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150" yWindow="30" windowWidth="18915" windowHeight="11550" tabRatio="647"/>
  </bookViews>
  <sheets>
    <sheet name="Dashboard" sheetId="1" r:id="rId1"/>
    <sheet name="Country" sheetId="3" state="veryHidden" r:id="rId2"/>
    <sheet name="Database" sheetId="7" state="veryHidden" r:id="rId3"/>
    <sheet name="Levelisation" sheetId="10" state="veryHidden" r:id="rId4"/>
    <sheet name="Investment" sheetId="8" state="veryHidden" r:id="rId5"/>
    <sheet name="ChartData" sheetId="9" state="veryHidden" r:id="rId6"/>
    <sheet name="Policy" sheetId="6" state="veryHidden" r:id="rId7"/>
    <sheet name="Changelog" sheetId="11" state="veryHidden" r:id="rId8"/>
  </sheets>
  <functionGroups builtInGroupCount="17"/>
  <definedNames>
    <definedName name="_xlnm._FilterDatabase" localSheetId="2" hidden="1">Database!$A$10:$AO$1256</definedName>
    <definedName name="_xlnm._FilterDatabase" localSheetId="4" hidden="1">Investment!$A$5:$AG$1303</definedName>
    <definedName name="_xlnm._FilterDatabase" localSheetId="3" hidden="1">Levelisation!$A$2637:$D$2737</definedName>
    <definedName name="_xlnm.Criteria" localSheetId="3">Levelisation!$A$2739:$A$2740</definedName>
    <definedName name="criteria_GreenMFIConts">Levelisation!$A$2739:$A$2740</definedName>
    <definedName name="dbl_BenchmarkMax">Database!$C$7</definedName>
    <definedName name="dbl_DBWeightP1">Dashboard!$E$26</definedName>
    <definedName name="dbl_DBWeightP2">Dashboard!$E$27</definedName>
    <definedName name="dbl_DBWeightP3">Dashboard!$E$28</definedName>
    <definedName name="dbl_DBWeightP4">Dashboard!$E$29</definedName>
    <definedName name="dbl_FirstScore">Dashboard!$E$35</definedName>
    <definedName name="dbl_Indicators">Country!$C$29</definedName>
    <definedName name="dbl_ScoreMax">Database!$C$6</definedName>
    <definedName name="dbl_ScoreOverall">Country!$C$28</definedName>
    <definedName name="dbl_WeightAI">Country!$E$47</definedName>
    <definedName name="dbl_WeightCAW">Country!$E$71</definedName>
    <definedName name="dbl_WeightCD">Country!$E$59</definedName>
    <definedName name="dbl_WeightCEP">Country!$E$34</definedName>
    <definedName name="dbl_WeightCOF">Country!$E$64</definedName>
    <definedName name="dbl_WeightCPO">Country!$E$67</definedName>
    <definedName name="dbl_WeightFS">Country!$E$53</definedName>
    <definedName name="dbl_WeightGMF">Country!$E$55</definedName>
    <definedName name="dbl_WeightIT">Country!$E$49</definedName>
    <definedName name="dbl_WeightMSE">Country!$E$45</definedName>
    <definedName name="dbl_WeightP1">Country!$C$31</definedName>
    <definedName name="dbl_WeightP2">Country!$C$47</definedName>
    <definedName name="dbl_WeightP3">Country!$C$61</definedName>
    <definedName name="dbl_WeightP4">Country!$C$64</definedName>
    <definedName name="dbl_WeightPA">Country!$E$40</definedName>
    <definedName name="dbl_WeightPR">Country!$E$31</definedName>
    <definedName name="dbl_WeightVC">Country!$E$61</definedName>
    <definedName name="DynamicRange_Scores">OFFSET(ChartData!$A$57, 0, 0, 27, COUNTIF(ChartData!$A$57:$F$57, "&lt;&gt;0"))</definedName>
    <definedName name="_xlnm.Extract" localSheetId="3">Levelisation!$A$2768:$D$2788</definedName>
    <definedName name="int_Year">Database!$C$5</definedName>
    <definedName name="list_Countries">Database!$D$15:$D$40</definedName>
    <definedName name="_xlnm.Print_Area" localSheetId="6">Policy!$A$5:$Y$31</definedName>
    <definedName name="str_CompareScores">Dashboard!#REF!</definedName>
    <definedName name="str_Country">Country!$C$26</definedName>
    <definedName name="str_FirstCountry">Dashboard!$D$35</definedName>
    <definedName name="str_OptionInvType">Country!$C$163</definedName>
    <definedName name="str_Permissions">ChartData!$B$4</definedName>
    <definedName name="str_WeightScenario">Dashboard!$E$25</definedName>
    <definedName name="tbl_DBFinOrgs">Country!$B$215:$D$234</definedName>
    <definedName name="tbl_DBGreenMFI">Country!$B$193:$D$212</definedName>
    <definedName name="tbl_FinOrgs">Levelisation!$B$2769:$D$2788</definedName>
    <definedName name="tbl_FinOrgsConts">Levelisation!$A$2637:$D$2737</definedName>
    <definedName name="tbl_FinOrgsContsFiltered">Levelisation!$A$2768:$D$2788</definedName>
    <definedName name="tbl_GreenMFI">Levelisation!$B$2745:$D$2764</definedName>
    <definedName name="tbl_GreenMFIConts">Levelisation!$A$2535:$D$2635</definedName>
    <definedName name="tbl_GreenMFIContsFiltered">Levelisation!$A$2744:$D$2764</definedName>
    <definedName name="tbl_Scores">Dashboard!$D$35:$E$60</definedName>
  </definedNames>
  <calcPr calcId="145621"/>
</workbook>
</file>

<file path=xl/calcChain.xml><?xml version="1.0" encoding="utf-8"?>
<calcChain xmlns="http://schemas.openxmlformats.org/spreadsheetml/2006/main">
  <c r="B8" i="1" l="1"/>
  <c r="B9" i="1" l="1"/>
  <c r="C34" i="1" l="1"/>
  <c r="I393" i="7" l="1"/>
  <c r="I42" i="3" l="1"/>
  <c r="C5" i="7" l="1"/>
  <c r="R1066" i="7"/>
  <c r="R1065" i="7"/>
  <c r="R1064" i="7"/>
  <c r="R1063" i="7"/>
  <c r="R1062" i="7"/>
  <c r="R1061" i="7"/>
  <c r="R1060" i="7"/>
  <c r="R1059" i="7"/>
  <c r="R1058" i="7"/>
  <c r="R1057" i="7"/>
  <c r="R1056" i="7"/>
  <c r="R1055" i="7"/>
  <c r="R1054" i="7"/>
  <c r="R1053" i="7"/>
  <c r="R1052" i="7"/>
  <c r="R1051" i="7"/>
  <c r="R1050" i="7"/>
  <c r="R1049" i="7"/>
  <c r="R1048" i="7"/>
  <c r="R1047" i="7"/>
  <c r="R1046" i="7"/>
  <c r="R1045" i="7"/>
  <c r="R1044" i="7"/>
  <c r="R1043" i="7"/>
  <c r="R1042" i="7"/>
  <c r="R1041" i="7"/>
  <c r="R1147" i="7"/>
  <c r="R1146" i="7"/>
  <c r="R1145" i="7"/>
  <c r="R1144" i="7"/>
  <c r="R1143" i="7"/>
  <c r="R1142" i="7"/>
  <c r="R1141" i="7"/>
  <c r="R1140" i="7"/>
  <c r="R1139" i="7"/>
  <c r="R1138" i="7"/>
  <c r="R1137" i="7"/>
  <c r="R1136" i="7"/>
  <c r="R1135" i="7"/>
  <c r="R1134" i="7"/>
  <c r="R1133" i="7"/>
  <c r="R1132" i="7"/>
  <c r="R1131" i="7"/>
  <c r="R1130" i="7"/>
  <c r="R1129" i="7"/>
  <c r="R1128" i="7"/>
  <c r="R1127" i="7"/>
  <c r="R1126" i="7"/>
  <c r="R1125" i="7"/>
  <c r="R1124" i="7"/>
  <c r="R1123" i="7"/>
  <c r="R1122" i="7"/>
  <c r="J83" i="9" l="1"/>
  <c r="I83" i="9"/>
  <c r="H83" i="9"/>
  <c r="F83" i="9"/>
  <c r="E83" i="9"/>
  <c r="D83" i="9"/>
  <c r="C83" i="9"/>
  <c r="B83" i="9"/>
  <c r="A83" i="9"/>
  <c r="J82" i="9"/>
  <c r="I82" i="9"/>
  <c r="H82" i="9"/>
  <c r="F82" i="9"/>
  <c r="E82" i="9"/>
  <c r="D82" i="9"/>
  <c r="C82" i="9"/>
  <c r="B82" i="9"/>
  <c r="A82" i="9"/>
  <c r="J81" i="9"/>
  <c r="I81" i="9"/>
  <c r="H81" i="9"/>
  <c r="F81" i="9"/>
  <c r="E81" i="9"/>
  <c r="D81" i="9"/>
  <c r="C81" i="9"/>
  <c r="B81" i="9"/>
  <c r="A81" i="9"/>
  <c r="J80" i="9"/>
  <c r="I80" i="9"/>
  <c r="H80" i="9"/>
  <c r="F80" i="9"/>
  <c r="E80" i="9"/>
  <c r="D80" i="9"/>
  <c r="C80" i="9"/>
  <c r="B80" i="9"/>
  <c r="A80" i="9"/>
  <c r="J79" i="9"/>
  <c r="I79" i="9"/>
  <c r="H79" i="9"/>
  <c r="F79" i="9"/>
  <c r="E79" i="9"/>
  <c r="D79" i="9"/>
  <c r="C79" i="9"/>
  <c r="B79" i="9"/>
  <c r="A79" i="9"/>
  <c r="J78" i="9"/>
  <c r="I78" i="9"/>
  <c r="H78" i="9"/>
  <c r="F78" i="9"/>
  <c r="E78" i="9"/>
  <c r="D78" i="9"/>
  <c r="C78" i="9"/>
  <c r="B78" i="9"/>
  <c r="A78" i="9"/>
  <c r="J77" i="9"/>
  <c r="I77" i="9"/>
  <c r="H77" i="9"/>
  <c r="F77" i="9"/>
  <c r="E77" i="9"/>
  <c r="D77" i="9"/>
  <c r="C77" i="9"/>
  <c r="B77" i="9"/>
  <c r="A77" i="9"/>
  <c r="J76" i="9"/>
  <c r="I76" i="9"/>
  <c r="H76" i="9"/>
  <c r="F76" i="9"/>
  <c r="E76" i="9"/>
  <c r="D76" i="9"/>
  <c r="C76" i="9"/>
  <c r="B76" i="9"/>
  <c r="A76" i="9"/>
  <c r="J75" i="9"/>
  <c r="I75" i="9"/>
  <c r="H75" i="9"/>
  <c r="F75" i="9"/>
  <c r="E75" i="9"/>
  <c r="D75" i="9"/>
  <c r="C75" i="9"/>
  <c r="B75" i="9"/>
  <c r="A75" i="9"/>
  <c r="J74" i="9"/>
  <c r="I74" i="9"/>
  <c r="H74" i="9"/>
  <c r="F74" i="9"/>
  <c r="E74" i="9"/>
  <c r="D74" i="9"/>
  <c r="C74" i="9"/>
  <c r="B74" i="9"/>
  <c r="A74" i="9"/>
  <c r="J73" i="9"/>
  <c r="I73" i="9"/>
  <c r="H73" i="9"/>
  <c r="F73" i="9"/>
  <c r="E73" i="9"/>
  <c r="D73" i="9"/>
  <c r="C73" i="9"/>
  <c r="B73" i="9"/>
  <c r="A73" i="9"/>
  <c r="J72" i="9"/>
  <c r="I72" i="9"/>
  <c r="H72" i="9"/>
  <c r="F72" i="9"/>
  <c r="E72" i="9"/>
  <c r="D72" i="9"/>
  <c r="C72" i="9"/>
  <c r="B72" i="9"/>
  <c r="A72" i="9"/>
  <c r="J71" i="9"/>
  <c r="I71" i="9"/>
  <c r="H71" i="9"/>
  <c r="F71" i="9"/>
  <c r="E71" i="9"/>
  <c r="D71" i="9"/>
  <c r="C71" i="9"/>
  <c r="B71" i="9"/>
  <c r="A71" i="9"/>
  <c r="J70" i="9"/>
  <c r="I70" i="9"/>
  <c r="H70" i="9"/>
  <c r="F70" i="9"/>
  <c r="E70" i="9"/>
  <c r="D70" i="9"/>
  <c r="C70" i="9"/>
  <c r="B70" i="9"/>
  <c r="A70" i="9"/>
  <c r="J69" i="9"/>
  <c r="I69" i="9"/>
  <c r="H69" i="9"/>
  <c r="F69" i="9"/>
  <c r="E69" i="9"/>
  <c r="D69" i="9"/>
  <c r="C69" i="9"/>
  <c r="B69" i="9"/>
  <c r="A69" i="9"/>
  <c r="J68" i="9"/>
  <c r="I68" i="9"/>
  <c r="H68" i="9"/>
  <c r="F68" i="9"/>
  <c r="E68" i="9"/>
  <c r="D68" i="9"/>
  <c r="C68" i="9"/>
  <c r="B68" i="9"/>
  <c r="A68" i="9"/>
  <c r="J67" i="9"/>
  <c r="I67" i="9"/>
  <c r="H67" i="9"/>
  <c r="F67" i="9"/>
  <c r="E67" i="9"/>
  <c r="D67" i="9"/>
  <c r="C67" i="9"/>
  <c r="B67" i="9"/>
  <c r="A67" i="9"/>
  <c r="J66" i="9"/>
  <c r="I66" i="9"/>
  <c r="H66" i="9"/>
  <c r="F66" i="9"/>
  <c r="E66" i="9"/>
  <c r="D66" i="9"/>
  <c r="C66" i="9"/>
  <c r="B66" i="9"/>
  <c r="A66" i="9"/>
  <c r="J65" i="9"/>
  <c r="I65" i="9"/>
  <c r="H65" i="9"/>
  <c r="F65" i="9"/>
  <c r="E65" i="9"/>
  <c r="D65" i="9"/>
  <c r="C65" i="9"/>
  <c r="B65" i="9"/>
  <c r="A65" i="9"/>
  <c r="J64" i="9"/>
  <c r="I64" i="9"/>
  <c r="H64" i="9"/>
  <c r="F64" i="9"/>
  <c r="E64" i="9"/>
  <c r="D64" i="9"/>
  <c r="C64" i="9"/>
  <c r="B64" i="9"/>
  <c r="A64" i="9"/>
  <c r="J63" i="9"/>
  <c r="I63" i="9"/>
  <c r="H63" i="9"/>
  <c r="F63" i="9"/>
  <c r="E63" i="9"/>
  <c r="D63" i="9"/>
  <c r="C63" i="9"/>
  <c r="B63" i="9"/>
  <c r="A63" i="9"/>
  <c r="J62" i="9"/>
  <c r="I62" i="9"/>
  <c r="H62" i="9"/>
  <c r="F62" i="9"/>
  <c r="E62" i="9"/>
  <c r="D62" i="9"/>
  <c r="C62" i="9"/>
  <c r="B62" i="9"/>
  <c r="A62" i="9"/>
  <c r="J61" i="9"/>
  <c r="I61" i="9"/>
  <c r="H61" i="9"/>
  <c r="F61" i="9"/>
  <c r="E61" i="9"/>
  <c r="D61" i="9"/>
  <c r="C61" i="9"/>
  <c r="B61" i="9"/>
  <c r="A61" i="9"/>
  <c r="J60" i="9"/>
  <c r="I60" i="9"/>
  <c r="H60" i="9"/>
  <c r="F60" i="9"/>
  <c r="E60" i="9"/>
  <c r="D60" i="9"/>
  <c r="C60" i="9"/>
  <c r="B60" i="9"/>
  <c r="A60" i="9"/>
  <c r="J59" i="9"/>
  <c r="I59" i="9"/>
  <c r="H59" i="9"/>
  <c r="F59" i="9"/>
  <c r="E59" i="9"/>
  <c r="D59" i="9"/>
  <c r="C59" i="9"/>
  <c r="B59" i="9"/>
  <c r="A59" i="9"/>
  <c r="J58" i="9"/>
  <c r="I58" i="9"/>
  <c r="H58" i="9"/>
  <c r="F58" i="9"/>
  <c r="E58" i="9"/>
  <c r="D58" i="9"/>
  <c r="C58" i="9"/>
  <c r="B58" i="9"/>
  <c r="A58" i="9"/>
  <c r="H57" i="9"/>
  <c r="A57" i="9"/>
  <c r="B5" i="9"/>
  <c r="K65" i="9" l="1"/>
  <c r="K73" i="9"/>
  <c r="K81" i="9"/>
  <c r="K59" i="9"/>
  <c r="K67" i="9"/>
  <c r="K60" i="9"/>
  <c r="K64" i="9"/>
  <c r="K68" i="9"/>
  <c r="K72" i="9"/>
  <c r="K76" i="9"/>
  <c r="K80" i="9"/>
  <c r="K61" i="9"/>
  <c r="K77" i="9"/>
  <c r="K58" i="9"/>
  <c r="K62" i="9"/>
  <c r="K66" i="9"/>
  <c r="K70" i="9"/>
  <c r="K74" i="9"/>
  <c r="K78" i="9"/>
  <c r="K82" i="9"/>
  <c r="K69" i="9"/>
  <c r="K63" i="9"/>
  <c r="K71" i="9"/>
  <c r="K75" i="9"/>
  <c r="K79" i="9"/>
  <c r="K83" i="9"/>
  <c r="E24" i="1"/>
  <c r="R985" i="7" l="1"/>
  <c r="R984" i="7"/>
  <c r="R983" i="7"/>
  <c r="R982" i="7"/>
  <c r="R981" i="7"/>
  <c r="R980" i="7"/>
  <c r="R979" i="7"/>
  <c r="R978" i="7"/>
  <c r="R977" i="7"/>
  <c r="R976" i="7"/>
  <c r="R975" i="7"/>
  <c r="R974" i="7"/>
  <c r="R973" i="7"/>
  <c r="R972" i="7"/>
  <c r="R971" i="7"/>
  <c r="R970" i="7"/>
  <c r="R969" i="7"/>
  <c r="R968" i="7"/>
  <c r="R967" i="7"/>
  <c r="R966" i="7"/>
  <c r="R965" i="7"/>
  <c r="R964" i="7"/>
  <c r="R963" i="7"/>
  <c r="R962" i="7"/>
  <c r="R961" i="7"/>
  <c r="R960" i="7"/>
  <c r="R986" i="7"/>
  <c r="R1093" i="7" l="1"/>
  <c r="R1092" i="7"/>
  <c r="R1091" i="7"/>
  <c r="R1090" i="7"/>
  <c r="R1089" i="7"/>
  <c r="R1088" i="7"/>
  <c r="R1087" i="7"/>
  <c r="R1086" i="7"/>
  <c r="R1085" i="7"/>
  <c r="R1084" i="7"/>
  <c r="R1083" i="7"/>
  <c r="R1082" i="7"/>
  <c r="R1081" i="7"/>
  <c r="R1080" i="7"/>
  <c r="R1079" i="7"/>
  <c r="R1078" i="7"/>
  <c r="R1077" i="7"/>
  <c r="R1076" i="7"/>
  <c r="R1075" i="7"/>
  <c r="R1074" i="7"/>
  <c r="R1073" i="7"/>
  <c r="R1072" i="7"/>
  <c r="R1071" i="7"/>
  <c r="R1070" i="7"/>
  <c r="R1069" i="7"/>
  <c r="R1068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J744" i="7"/>
  <c r="W769" i="7"/>
  <c r="W768" i="7"/>
  <c r="W767" i="7"/>
  <c r="W766" i="7"/>
  <c r="W765" i="7"/>
  <c r="W764" i="7"/>
  <c r="W763" i="7"/>
  <c r="W762" i="7"/>
  <c r="W761" i="7"/>
  <c r="W760" i="7"/>
  <c r="W759" i="7"/>
  <c r="W758" i="7"/>
  <c r="W757" i="7"/>
  <c r="W756" i="7"/>
  <c r="W755" i="7"/>
  <c r="W754" i="7"/>
  <c r="W753" i="7"/>
  <c r="W752" i="7"/>
  <c r="W751" i="7"/>
  <c r="W750" i="7"/>
  <c r="W749" i="7"/>
  <c r="W748" i="7"/>
  <c r="W747" i="7"/>
  <c r="W746" i="7"/>
  <c r="W745" i="7"/>
  <c r="W744" i="7"/>
  <c r="M68" i="7" l="1"/>
  <c r="L68" i="7"/>
  <c r="R68" i="7"/>
  <c r="R1039" i="7" l="1"/>
  <c r="R1038" i="7"/>
  <c r="R1037" i="7"/>
  <c r="R1036" i="7"/>
  <c r="R1035" i="7"/>
  <c r="R1034" i="7"/>
  <c r="R1033" i="7"/>
  <c r="R1032" i="7"/>
  <c r="R1031" i="7"/>
  <c r="R1030" i="7"/>
  <c r="R1029" i="7"/>
  <c r="R1028" i="7"/>
  <c r="R1027" i="7"/>
  <c r="R1026" i="7"/>
  <c r="R1025" i="7"/>
  <c r="R1024" i="7"/>
  <c r="R1023" i="7"/>
  <c r="R1022" i="7"/>
  <c r="R1021" i="7"/>
  <c r="R1020" i="7"/>
  <c r="R1019" i="7"/>
  <c r="R1018" i="7"/>
  <c r="R1017" i="7"/>
  <c r="R1016" i="7"/>
  <c r="R1015" i="7"/>
  <c r="R1014" i="7"/>
  <c r="R1067" i="7" l="1"/>
  <c r="Q1067" i="7"/>
  <c r="P1067" i="7"/>
  <c r="O1067" i="7"/>
  <c r="N1067" i="7"/>
  <c r="M1067" i="7"/>
  <c r="L1067" i="7"/>
  <c r="R1040" i="7"/>
  <c r="Q1040" i="7"/>
  <c r="P1040" i="7"/>
  <c r="O1040" i="7"/>
  <c r="N1040" i="7"/>
  <c r="M1040" i="7"/>
  <c r="L1040" i="7"/>
  <c r="R1094" i="7"/>
  <c r="Q1094" i="7"/>
  <c r="P1094" i="7"/>
  <c r="O1094" i="7"/>
  <c r="N1094" i="7"/>
  <c r="M1094" i="7"/>
  <c r="L1094" i="7"/>
  <c r="R1120" i="7"/>
  <c r="R1119" i="7"/>
  <c r="R1118" i="7"/>
  <c r="R1117" i="7"/>
  <c r="R1116" i="7"/>
  <c r="R1115" i="7"/>
  <c r="R1114" i="7"/>
  <c r="R1113" i="7"/>
  <c r="R1112" i="7"/>
  <c r="R1111" i="7"/>
  <c r="R1110" i="7"/>
  <c r="R1109" i="7"/>
  <c r="R1108" i="7"/>
  <c r="R1107" i="7"/>
  <c r="R1106" i="7"/>
  <c r="R1105" i="7"/>
  <c r="R1104" i="7"/>
  <c r="R1103" i="7"/>
  <c r="R1102" i="7"/>
  <c r="R1101" i="7"/>
  <c r="R1100" i="7"/>
  <c r="R1099" i="7"/>
  <c r="R1098" i="7"/>
  <c r="R1097" i="7"/>
  <c r="R1096" i="7"/>
  <c r="R1095" i="7"/>
  <c r="R1174" i="7"/>
  <c r="R1173" i="7"/>
  <c r="R1172" i="7"/>
  <c r="R1171" i="7"/>
  <c r="R1170" i="7"/>
  <c r="R1169" i="7"/>
  <c r="R1168" i="7"/>
  <c r="R1167" i="7"/>
  <c r="R1166" i="7"/>
  <c r="R1165" i="7"/>
  <c r="R1164" i="7"/>
  <c r="R1163" i="7"/>
  <c r="R1162" i="7"/>
  <c r="R1161" i="7"/>
  <c r="R1160" i="7"/>
  <c r="R1159" i="7"/>
  <c r="R1158" i="7"/>
  <c r="R1157" i="7"/>
  <c r="R1156" i="7"/>
  <c r="R1155" i="7"/>
  <c r="R1154" i="7"/>
  <c r="R1153" i="7"/>
  <c r="R1152" i="7"/>
  <c r="R1151" i="7"/>
  <c r="R1150" i="7"/>
  <c r="R1149" i="7"/>
  <c r="R1201" i="7"/>
  <c r="R1200" i="7"/>
  <c r="R1199" i="7"/>
  <c r="R1198" i="7"/>
  <c r="R1197" i="7"/>
  <c r="R1196" i="7"/>
  <c r="R1195" i="7"/>
  <c r="R1194" i="7"/>
  <c r="R1193" i="7"/>
  <c r="R1192" i="7"/>
  <c r="R1191" i="7"/>
  <c r="R1190" i="7"/>
  <c r="R1189" i="7"/>
  <c r="R1188" i="7"/>
  <c r="R1187" i="7"/>
  <c r="R1186" i="7"/>
  <c r="R1185" i="7"/>
  <c r="R1184" i="7"/>
  <c r="R1183" i="7"/>
  <c r="R1182" i="7"/>
  <c r="R1181" i="7"/>
  <c r="R1180" i="7"/>
  <c r="R1179" i="7"/>
  <c r="R1178" i="7"/>
  <c r="R1177" i="7"/>
  <c r="R1176" i="7"/>
  <c r="R1228" i="7"/>
  <c r="R1227" i="7"/>
  <c r="R1226" i="7"/>
  <c r="R1225" i="7"/>
  <c r="R1224" i="7"/>
  <c r="R1223" i="7"/>
  <c r="R1222" i="7"/>
  <c r="R1221" i="7"/>
  <c r="R1220" i="7"/>
  <c r="R1219" i="7"/>
  <c r="R1218" i="7"/>
  <c r="R1217" i="7"/>
  <c r="R1216" i="7"/>
  <c r="R1215" i="7"/>
  <c r="R1214" i="7"/>
  <c r="R1213" i="7"/>
  <c r="R1212" i="7"/>
  <c r="R1211" i="7"/>
  <c r="R1210" i="7"/>
  <c r="R1209" i="7"/>
  <c r="R1208" i="7"/>
  <c r="R1207" i="7"/>
  <c r="R1206" i="7"/>
  <c r="R1205" i="7"/>
  <c r="R1204" i="7"/>
  <c r="R1203" i="7"/>
  <c r="R1255" i="7"/>
  <c r="R1254" i="7"/>
  <c r="R1253" i="7"/>
  <c r="R1252" i="7"/>
  <c r="R1251" i="7"/>
  <c r="R1250" i="7"/>
  <c r="R1249" i="7"/>
  <c r="R1248" i="7"/>
  <c r="R1247" i="7"/>
  <c r="R1246" i="7"/>
  <c r="R1245" i="7"/>
  <c r="R1244" i="7"/>
  <c r="R1243" i="7"/>
  <c r="R1242" i="7"/>
  <c r="R1241" i="7"/>
  <c r="R1240" i="7"/>
  <c r="R1239" i="7"/>
  <c r="R1238" i="7"/>
  <c r="R1237" i="7"/>
  <c r="R1236" i="7"/>
  <c r="R1235" i="7"/>
  <c r="R1234" i="7"/>
  <c r="R1233" i="7"/>
  <c r="R1232" i="7"/>
  <c r="R1231" i="7"/>
  <c r="R1230" i="7"/>
  <c r="AF1256" i="7"/>
  <c r="R1256" i="7" s="1"/>
  <c r="B57" i="1" l="1"/>
  <c r="C57" i="1" s="1"/>
  <c r="I47" i="3"/>
  <c r="AF717" i="7" l="1"/>
  <c r="AF661" i="7" l="1"/>
  <c r="AE661" i="7"/>
  <c r="AD661" i="7"/>
  <c r="AC661" i="7"/>
  <c r="AB661" i="7"/>
  <c r="AA661" i="7"/>
  <c r="Z661" i="7"/>
  <c r="AF660" i="7"/>
  <c r="AE660" i="7"/>
  <c r="AD660" i="7"/>
  <c r="AC660" i="7"/>
  <c r="AB660" i="7"/>
  <c r="AA660" i="7"/>
  <c r="Z660" i="7"/>
  <c r="AF659" i="7"/>
  <c r="AE659" i="7"/>
  <c r="AD659" i="7"/>
  <c r="AC659" i="7"/>
  <c r="AB659" i="7"/>
  <c r="AA659" i="7"/>
  <c r="Z659" i="7"/>
  <c r="AF658" i="7"/>
  <c r="AE658" i="7"/>
  <c r="AD658" i="7"/>
  <c r="AC658" i="7"/>
  <c r="AB658" i="7"/>
  <c r="AA658" i="7"/>
  <c r="Z658" i="7"/>
  <c r="AF657" i="7"/>
  <c r="AE657" i="7"/>
  <c r="AD657" i="7"/>
  <c r="AC657" i="7"/>
  <c r="AB657" i="7"/>
  <c r="AA657" i="7"/>
  <c r="Z657" i="7"/>
  <c r="AF656" i="7"/>
  <c r="AE656" i="7"/>
  <c r="AD656" i="7"/>
  <c r="AC656" i="7"/>
  <c r="AB656" i="7"/>
  <c r="AA656" i="7"/>
  <c r="Z656" i="7"/>
  <c r="AF655" i="7"/>
  <c r="AE655" i="7"/>
  <c r="AD655" i="7"/>
  <c r="AC655" i="7"/>
  <c r="AB655" i="7"/>
  <c r="AA655" i="7"/>
  <c r="Z655" i="7"/>
  <c r="AF654" i="7"/>
  <c r="AE654" i="7"/>
  <c r="AD654" i="7"/>
  <c r="AC654" i="7"/>
  <c r="AB654" i="7"/>
  <c r="AA654" i="7"/>
  <c r="Z654" i="7"/>
  <c r="AF653" i="7"/>
  <c r="AE653" i="7"/>
  <c r="AD653" i="7"/>
  <c r="AC653" i="7"/>
  <c r="AB653" i="7"/>
  <c r="AA653" i="7"/>
  <c r="Z653" i="7"/>
  <c r="AF652" i="7"/>
  <c r="AE652" i="7"/>
  <c r="AD652" i="7"/>
  <c r="AC652" i="7"/>
  <c r="AB652" i="7"/>
  <c r="AA652" i="7"/>
  <c r="Z652" i="7"/>
  <c r="AF651" i="7"/>
  <c r="AE651" i="7"/>
  <c r="AD651" i="7"/>
  <c r="AC651" i="7"/>
  <c r="AB651" i="7"/>
  <c r="AA651" i="7"/>
  <c r="Z651" i="7"/>
  <c r="AF650" i="7"/>
  <c r="AE650" i="7"/>
  <c r="AD650" i="7"/>
  <c r="AC650" i="7"/>
  <c r="AB650" i="7"/>
  <c r="AA650" i="7"/>
  <c r="Z650" i="7"/>
  <c r="AF649" i="7"/>
  <c r="AE649" i="7"/>
  <c r="AD649" i="7"/>
  <c r="AC649" i="7"/>
  <c r="AB649" i="7"/>
  <c r="AA649" i="7"/>
  <c r="Z649" i="7"/>
  <c r="AF648" i="7"/>
  <c r="AE648" i="7"/>
  <c r="AD648" i="7"/>
  <c r="AC648" i="7"/>
  <c r="AB648" i="7"/>
  <c r="AA648" i="7"/>
  <c r="Z648" i="7"/>
  <c r="AF647" i="7"/>
  <c r="AE647" i="7"/>
  <c r="AD647" i="7"/>
  <c r="AC647" i="7"/>
  <c r="AB647" i="7"/>
  <c r="AA647" i="7"/>
  <c r="Z647" i="7"/>
  <c r="AF646" i="7"/>
  <c r="AE646" i="7"/>
  <c r="AD646" i="7"/>
  <c r="AC646" i="7"/>
  <c r="AB646" i="7"/>
  <c r="AA646" i="7"/>
  <c r="Z646" i="7"/>
  <c r="AF645" i="7"/>
  <c r="AE645" i="7"/>
  <c r="AD645" i="7"/>
  <c r="AC645" i="7"/>
  <c r="AB645" i="7"/>
  <c r="AA645" i="7"/>
  <c r="Z645" i="7"/>
  <c r="AF644" i="7"/>
  <c r="AE644" i="7"/>
  <c r="AD644" i="7"/>
  <c r="AC644" i="7"/>
  <c r="AB644" i="7"/>
  <c r="AA644" i="7"/>
  <c r="Z644" i="7"/>
  <c r="AF643" i="7"/>
  <c r="AE643" i="7"/>
  <c r="AD643" i="7"/>
  <c r="AC643" i="7"/>
  <c r="AB643" i="7"/>
  <c r="AA643" i="7"/>
  <c r="Z643" i="7"/>
  <c r="AF642" i="7"/>
  <c r="AE642" i="7"/>
  <c r="AD642" i="7"/>
  <c r="AC642" i="7"/>
  <c r="AB642" i="7"/>
  <c r="AA642" i="7"/>
  <c r="Z642" i="7"/>
  <c r="AF641" i="7"/>
  <c r="AE641" i="7"/>
  <c r="AD641" i="7"/>
  <c r="AC641" i="7"/>
  <c r="AB641" i="7"/>
  <c r="AA641" i="7"/>
  <c r="Z641" i="7"/>
  <c r="AF640" i="7"/>
  <c r="AE640" i="7"/>
  <c r="AD640" i="7"/>
  <c r="AC640" i="7"/>
  <c r="AB640" i="7"/>
  <c r="AA640" i="7"/>
  <c r="Z640" i="7"/>
  <c r="AF639" i="7"/>
  <c r="AE639" i="7"/>
  <c r="AD639" i="7"/>
  <c r="AC639" i="7"/>
  <c r="AB639" i="7"/>
  <c r="AA639" i="7"/>
  <c r="Z639" i="7"/>
  <c r="AF638" i="7"/>
  <c r="AE638" i="7"/>
  <c r="AD638" i="7"/>
  <c r="AC638" i="7"/>
  <c r="AB638" i="7"/>
  <c r="AA638" i="7"/>
  <c r="Z638" i="7"/>
  <c r="AF637" i="7"/>
  <c r="AE637" i="7"/>
  <c r="AD637" i="7"/>
  <c r="AC637" i="7"/>
  <c r="AB637" i="7"/>
  <c r="AA637" i="7"/>
  <c r="Z637" i="7"/>
  <c r="AF636" i="7"/>
  <c r="AE636" i="7"/>
  <c r="AD636" i="7"/>
  <c r="AC636" i="7"/>
  <c r="AB636" i="7"/>
  <c r="AA636" i="7"/>
  <c r="Z636" i="7"/>
  <c r="AD67" i="7"/>
  <c r="AD66" i="7"/>
  <c r="AD65" i="7"/>
  <c r="AD64" i="7"/>
  <c r="AD63" i="7"/>
  <c r="AD62" i="7"/>
  <c r="AD61" i="7"/>
  <c r="AD60" i="7"/>
  <c r="AD59" i="7"/>
  <c r="AD58" i="7"/>
  <c r="AD57" i="7"/>
  <c r="AD56" i="7"/>
  <c r="AD55" i="7"/>
  <c r="AD54" i="7"/>
  <c r="AD53" i="7"/>
  <c r="AD52" i="7"/>
  <c r="AD51" i="7"/>
  <c r="AD50" i="7"/>
  <c r="AD49" i="7"/>
  <c r="AD48" i="7"/>
  <c r="AD47" i="7"/>
  <c r="AD46" i="7"/>
  <c r="AD45" i="7"/>
  <c r="AD44" i="7"/>
  <c r="AD43" i="7"/>
  <c r="AD42" i="7"/>
  <c r="AD40" i="7" l="1"/>
  <c r="AD39" i="7"/>
  <c r="AD38" i="7"/>
  <c r="AD37" i="7"/>
  <c r="AD36" i="7"/>
  <c r="AD35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R958" i="7" l="1"/>
  <c r="R957" i="7"/>
  <c r="R956" i="7"/>
  <c r="R955" i="7"/>
  <c r="R954" i="7"/>
  <c r="R953" i="7"/>
  <c r="R952" i="7"/>
  <c r="R951" i="7"/>
  <c r="R950" i="7"/>
  <c r="R949" i="7"/>
  <c r="R948" i="7"/>
  <c r="R947" i="7"/>
  <c r="R946" i="7"/>
  <c r="R945" i="7"/>
  <c r="R944" i="7"/>
  <c r="R943" i="7"/>
  <c r="R942" i="7"/>
  <c r="R941" i="7"/>
  <c r="R940" i="7"/>
  <c r="R939" i="7"/>
  <c r="R938" i="7"/>
  <c r="R937" i="7"/>
  <c r="R936" i="7"/>
  <c r="R935" i="7"/>
  <c r="R934" i="7"/>
  <c r="R933" i="7"/>
  <c r="R931" i="7"/>
  <c r="R930" i="7"/>
  <c r="R929" i="7"/>
  <c r="R928" i="7"/>
  <c r="R927" i="7"/>
  <c r="R926" i="7"/>
  <c r="R925" i="7"/>
  <c r="R924" i="7"/>
  <c r="R923" i="7"/>
  <c r="R922" i="7"/>
  <c r="R921" i="7"/>
  <c r="R920" i="7"/>
  <c r="R919" i="7"/>
  <c r="R918" i="7"/>
  <c r="R917" i="7"/>
  <c r="R916" i="7"/>
  <c r="R915" i="7"/>
  <c r="R914" i="7"/>
  <c r="R913" i="7"/>
  <c r="R912" i="7"/>
  <c r="R911" i="7"/>
  <c r="R910" i="7"/>
  <c r="R909" i="7"/>
  <c r="R908" i="7"/>
  <c r="R907" i="7"/>
  <c r="R906" i="7"/>
  <c r="I923" i="7" l="1"/>
  <c r="J1335" i="10" l="1"/>
  <c r="I1335" i="10" s="1"/>
  <c r="H1335" i="10" s="1"/>
  <c r="G1335" i="10" s="1"/>
  <c r="J1334" i="10"/>
  <c r="I1334" i="10" s="1"/>
  <c r="H1334" i="10" s="1"/>
  <c r="G1334" i="10" s="1"/>
  <c r="J1333" i="10"/>
  <c r="I1333" i="10" s="1"/>
  <c r="H1333" i="10" s="1"/>
  <c r="G1333" i="10" s="1"/>
  <c r="J1332" i="10"/>
  <c r="I1332" i="10" s="1"/>
  <c r="H1332" i="10" s="1"/>
  <c r="G1332" i="10" s="1"/>
  <c r="F1332" i="10" s="1"/>
  <c r="J1331" i="10"/>
  <c r="I1331" i="10" s="1"/>
  <c r="H1331" i="10" s="1"/>
  <c r="G1331" i="10" s="1"/>
  <c r="J1330" i="10"/>
  <c r="I1330" i="10" s="1"/>
  <c r="H1330" i="10" s="1"/>
  <c r="G1330" i="10" s="1"/>
  <c r="J1329" i="10"/>
  <c r="I1329" i="10" s="1"/>
  <c r="H1329" i="10" s="1"/>
  <c r="G1329" i="10" s="1"/>
  <c r="J1328" i="10"/>
  <c r="I1328" i="10" s="1"/>
  <c r="H1328" i="10" s="1"/>
  <c r="G1328" i="10" s="1"/>
  <c r="J1327" i="10"/>
  <c r="I1327" i="10" s="1"/>
  <c r="H1327" i="10" s="1"/>
  <c r="G1327" i="10" s="1"/>
  <c r="J1326" i="10"/>
  <c r="I1326" i="10" s="1"/>
  <c r="H1326" i="10" s="1"/>
  <c r="G1326" i="10" s="1"/>
  <c r="J1325" i="10"/>
  <c r="I1325" i="10" s="1"/>
  <c r="H1325" i="10" s="1"/>
  <c r="G1325" i="10" s="1"/>
  <c r="J1324" i="10"/>
  <c r="I1324" i="10" s="1"/>
  <c r="H1324" i="10" s="1"/>
  <c r="G1324" i="10" s="1"/>
  <c r="J1323" i="10"/>
  <c r="I1323" i="10" s="1"/>
  <c r="H1323" i="10" s="1"/>
  <c r="G1323" i="10" s="1"/>
  <c r="J1322" i="10"/>
  <c r="I1322" i="10" s="1"/>
  <c r="H1322" i="10" s="1"/>
  <c r="G1322" i="10" s="1"/>
  <c r="J1321" i="10"/>
  <c r="I1321" i="10" s="1"/>
  <c r="H1321" i="10" s="1"/>
  <c r="G1321" i="10" s="1"/>
  <c r="F1321" i="10" s="1"/>
  <c r="J1320" i="10"/>
  <c r="I1320" i="10" s="1"/>
  <c r="H1320" i="10" s="1"/>
  <c r="G1320" i="10" s="1"/>
  <c r="J1319" i="10"/>
  <c r="I1319" i="10" s="1"/>
  <c r="H1319" i="10" s="1"/>
  <c r="G1319" i="10" s="1"/>
  <c r="F1319" i="10" s="1"/>
  <c r="J1318" i="10"/>
  <c r="I1318" i="10" s="1"/>
  <c r="H1318" i="10" s="1"/>
  <c r="G1318" i="10" s="1"/>
  <c r="J1317" i="10"/>
  <c r="I1317" i="10" s="1"/>
  <c r="H1317" i="10" s="1"/>
  <c r="G1317" i="10" s="1"/>
  <c r="J1316" i="10"/>
  <c r="I1316" i="10" s="1"/>
  <c r="H1316" i="10" s="1"/>
  <c r="G1316" i="10" s="1"/>
  <c r="F1316" i="10" s="1"/>
  <c r="J1315" i="10"/>
  <c r="I1315" i="10" s="1"/>
  <c r="H1315" i="10" s="1"/>
  <c r="G1315" i="10" s="1"/>
  <c r="J1314" i="10"/>
  <c r="I1314" i="10" s="1"/>
  <c r="H1314" i="10" s="1"/>
  <c r="G1314" i="10" s="1"/>
  <c r="J1313" i="10"/>
  <c r="I1313" i="10" s="1"/>
  <c r="H1313" i="10" s="1"/>
  <c r="G1313" i="10" s="1"/>
  <c r="J1312" i="10"/>
  <c r="I1312" i="10" s="1"/>
  <c r="H1312" i="10" s="1"/>
  <c r="G1312" i="10" s="1"/>
  <c r="J1311" i="10"/>
  <c r="I1311" i="10" s="1"/>
  <c r="H1311" i="10" s="1"/>
  <c r="G1311" i="10" s="1"/>
  <c r="J1310" i="10"/>
  <c r="I1310" i="10" s="1"/>
  <c r="H1310" i="10" s="1"/>
  <c r="G1310" i="10" s="1"/>
  <c r="J1309" i="10"/>
  <c r="I1309" i="10" s="1"/>
  <c r="H1309" i="10" s="1"/>
  <c r="G1309" i="10" s="1"/>
  <c r="J1308" i="10"/>
  <c r="I1308" i="10" s="1"/>
  <c r="H1308" i="10" s="1"/>
  <c r="G1308" i="10" s="1"/>
  <c r="J1307" i="10"/>
  <c r="I1307" i="10" s="1"/>
  <c r="H1307" i="10" s="1"/>
  <c r="G1307" i="10" s="1"/>
  <c r="J1306" i="10"/>
  <c r="I1306" i="10" s="1"/>
  <c r="H1306" i="10" s="1"/>
  <c r="G1306" i="10" s="1"/>
  <c r="J1305" i="10"/>
  <c r="I1305" i="10" s="1"/>
  <c r="H1305" i="10" s="1"/>
  <c r="G1305" i="10" s="1"/>
  <c r="F1305" i="10" s="1"/>
  <c r="J1304" i="10"/>
  <c r="I1304" i="10" s="1"/>
  <c r="H1304" i="10" s="1"/>
  <c r="G1304" i="10" s="1"/>
  <c r="J1303" i="10"/>
  <c r="I1303" i="10" s="1"/>
  <c r="H1303" i="10" s="1"/>
  <c r="G1303" i="10" s="1"/>
  <c r="F1303" i="10" s="1"/>
  <c r="J1302" i="10"/>
  <c r="I1302" i="10" s="1"/>
  <c r="H1302" i="10" s="1"/>
  <c r="G1302" i="10" s="1"/>
  <c r="J1301" i="10"/>
  <c r="I1301" i="10" s="1"/>
  <c r="H1301" i="10" s="1"/>
  <c r="G1301" i="10" s="1"/>
  <c r="J1300" i="10"/>
  <c r="I1300" i="10" s="1"/>
  <c r="H1300" i="10" s="1"/>
  <c r="G1300" i="10" s="1"/>
  <c r="F1300" i="10" s="1"/>
  <c r="J1299" i="10"/>
  <c r="I1299" i="10" s="1"/>
  <c r="H1299" i="10" s="1"/>
  <c r="G1299" i="10" s="1"/>
  <c r="J1298" i="10"/>
  <c r="I1298" i="10" s="1"/>
  <c r="H1298" i="10" s="1"/>
  <c r="G1298" i="10" s="1"/>
  <c r="J1297" i="10"/>
  <c r="I1297" i="10" s="1"/>
  <c r="H1297" i="10" s="1"/>
  <c r="G1297" i="10" s="1"/>
  <c r="J1296" i="10"/>
  <c r="I1296" i="10" s="1"/>
  <c r="H1296" i="10" s="1"/>
  <c r="G1296" i="10" s="1"/>
  <c r="J1295" i="10"/>
  <c r="I1295" i="10" s="1"/>
  <c r="H1295" i="10" s="1"/>
  <c r="G1295" i="10" s="1"/>
  <c r="J1294" i="10"/>
  <c r="I1294" i="10" s="1"/>
  <c r="H1294" i="10" s="1"/>
  <c r="G1294" i="10" s="1"/>
  <c r="J1293" i="10"/>
  <c r="I1293" i="10" s="1"/>
  <c r="H1293" i="10" s="1"/>
  <c r="G1293" i="10" s="1"/>
  <c r="J1292" i="10"/>
  <c r="I1292" i="10" s="1"/>
  <c r="H1292" i="10" s="1"/>
  <c r="G1292" i="10" s="1"/>
  <c r="J1291" i="10"/>
  <c r="I1291" i="10" s="1"/>
  <c r="H1291" i="10" s="1"/>
  <c r="G1291" i="10" s="1"/>
  <c r="J1290" i="10"/>
  <c r="I1290" i="10" s="1"/>
  <c r="H1290" i="10" s="1"/>
  <c r="G1290" i="10" s="1"/>
  <c r="J1289" i="10"/>
  <c r="I1289" i="10" s="1"/>
  <c r="H1289" i="10" s="1"/>
  <c r="G1289" i="10" s="1"/>
  <c r="F1289" i="10" s="1"/>
  <c r="J1288" i="10"/>
  <c r="I1288" i="10" s="1"/>
  <c r="H1288" i="10" s="1"/>
  <c r="G1288" i="10" s="1"/>
  <c r="J1287" i="10"/>
  <c r="I1287" i="10" s="1"/>
  <c r="H1287" i="10" s="1"/>
  <c r="G1287" i="10" s="1"/>
  <c r="F1287" i="10" s="1"/>
  <c r="J1286" i="10"/>
  <c r="I1286" i="10" s="1"/>
  <c r="H1286" i="10" s="1"/>
  <c r="G1286" i="10" s="1"/>
  <c r="J1285" i="10"/>
  <c r="I1285" i="10" s="1"/>
  <c r="H1285" i="10" s="1"/>
  <c r="G1285" i="10" s="1"/>
  <c r="J1284" i="10"/>
  <c r="I1284" i="10" s="1"/>
  <c r="H1284" i="10" s="1"/>
  <c r="G1284" i="10" s="1"/>
  <c r="F1284" i="10" s="1"/>
  <c r="J1283" i="10"/>
  <c r="I1283" i="10" s="1"/>
  <c r="H1283" i="10" s="1"/>
  <c r="G1283" i="10" s="1"/>
  <c r="J1282" i="10"/>
  <c r="I1282" i="10" s="1"/>
  <c r="H1282" i="10" s="1"/>
  <c r="G1282" i="10" s="1"/>
  <c r="J1281" i="10"/>
  <c r="I1281" i="10" s="1"/>
  <c r="H1281" i="10" s="1"/>
  <c r="G1281" i="10" s="1"/>
  <c r="J1280" i="10"/>
  <c r="I1280" i="10" s="1"/>
  <c r="H1280" i="10" s="1"/>
  <c r="G1280" i="10" s="1"/>
  <c r="J1279" i="10"/>
  <c r="I1279" i="10" s="1"/>
  <c r="H1279" i="10" s="1"/>
  <c r="G1279" i="10" s="1"/>
  <c r="J1278" i="10"/>
  <c r="I1278" i="10" s="1"/>
  <c r="H1278" i="10" s="1"/>
  <c r="G1278" i="10" s="1"/>
  <c r="J1277" i="10"/>
  <c r="I1277" i="10" s="1"/>
  <c r="H1277" i="10" s="1"/>
  <c r="G1277" i="10" s="1"/>
  <c r="J1276" i="10"/>
  <c r="I1276" i="10" s="1"/>
  <c r="H1276" i="10" s="1"/>
  <c r="G1276" i="10" s="1"/>
  <c r="J1275" i="10"/>
  <c r="I1275" i="10" s="1"/>
  <c r="H1275" i="10" s="1"/>
  <c r="G1275" i="10" s="1"/>
  <c r="J1274" i="10"/>
  <c r="I1274" i="10" s="1"/>
  <c r="H1274" i="10" s="1"/>
  <c r="G1274" i="10" s="1"/>
  <c r="J1273" i="10"/>
  <c r="I1273" i="10" s="1"/>
  <c r="H1273" i="10" s="1"/>
  <c r="G1273" i="10" s="1"/>
  <c r="F1273" i="10" s="1"/>
  <c r="J1272" i="10"/>
  <c r="I1272" i="10" s="1"/>
  <c r="H1272" i="10" s="1"/>
  <c r="G1272" i="10" s="1"/>
  <c r="J1271" i="10"/>
  <c r="I1271" i="10" s="1"/>
  <c r="H1271" i="10" s="1"/>
  <c r="G1271" i="10" s="1"/>
  <c r="F1271" i="10" s="1"/>
  <c r="J1270" i="10"/>
  <c r="I1270" i="10" s="1"/>
  <c r="H1270" i="10" s="1"/>
  <c r="G1270" i="10" s="1"/>
  <c r="J1269" i="10"/>
  <c r="I1269" i="10" s="1"/>
  <c r="H1269" i="10" s="1"/>
  <c r="G1269" i="10" s="1"/>
  <c r="J1268" i="10"/>
  <c r="I1268" i="10" s="1"/>
  <c r="H1268" i="10" s="1"/>
  <c r="G1268" i="10" s="1"/>
  <c r="F1268" i="10" s="1"/>
  <c r="J1267" i="10"/>
  <c r="I1267" i="10" s="1"/>
  <c r="H1267" i="10" s="1"/>
  <c r="G1267" i="10" s="1"/>
  <c r="J1266" i="10"/>
  <c r="I1266" i="10" s="1"/>
  <c r="H1266" i="10" s="1"/>
  <c r="G1266" i="10" s="1"/>
  <c r="J1265" i="10"/>
  <c r="I1265" i="10" s="1"/>
  <c r="H1265" i="10" s="1"/>
  <c r="G1265" i="10" s="1"/>
  <c r="J1264" i="10"/>
  <c r="I1264" i="10" s="1"/>
  <c r="H1264" i="10" s="1"/>
  <c r="G1264" i="10" s="1"/>
  <c r="J1263" i="10"/>
  <c r="I1263" i="10" s="1"/>
  <c r="H1263" i="10" s="1"/>
  <c r="G1263" i="10" s="1"/>
  <c r="J1262" i="10"/>
  <c r="I1262" i="10" s="1"/>
  <c r="H1262" i="10" s="1"/>
  <c r="G1262" i="10" s="1"/>
  <c r="J1261" i="10"/>
  <c r="I1261" i="10" s="1"/>
  <c r="H1261" i="10" s="1"/>
  <c r="G1261" i="10" s="1"/>
  <c r="J1260" i="10"/>
  <c r="I1260" i="10" s="1"/>
  <c r="H1260" i="10" s="1"/>
  <c r="G1260" i="10" s="1"/>
  <c r="J1259" i="10"/>
  <c r="I1259" i="10" s="1"/>
  <c r="H1259" i="10" s="1"/>
  <c r="G1259" i="10" s="1"/>
  <c r="J1258" i="10"/>
  <c r="I1258" i="10" s="1"/>
  <c r="H1258" i="10" s="1"/>
  <c r="G1258" i="10" s="1"/>
  <c r="J1257" i="10"/>
  <c r="I1257" i="10" s="1"/>
  <c r="H1257" i="10" s="1"/>
  <c r="G1257" i="10" s="1"/>
  <c r="F1257" i="10" s="1"/>
  <c r="J1256" i="10"/>
  <c r="I1256" i="10" s="1"/>
  <c r="H1256" i="10" s="1"/>
  <c r="G1256" i="10" s="1"/>
  <c r="J1255" i="10"/>
  <c r="I1255" i="10" s="1"/>
  <c r="H1255" i="10" s="1"/>
  <c r="G1255" i="10" s="1"/>
  <c r="F1255" i="10" s="1"/>
  <c r="J1254" i="10"/>
  <c r="I1254" i="10" s="1"/>
  <c r="H1254" i="10" s="1"/>
  <c r="G1254" i="10" s="1"/>
  <c r="J1253" i="10"/>
  <c r="I1253" i="10" s="1"/>
  <c r="H1253" i="10" s="1"/>
  <c r="G1253" i="10" s="1"/>
  <c r="J1252" i="10"/>
  <c r="I1252" i="10" s="1"/>
  <c r="H1252" i="10" s="1"/>
  <c r="G1252" i="10" s="1"/>
  <c r="F1252" i="10" s="1"/>
  <c r="J1251" i="10"/>
  <c r="I1251" i="10" s="1"/>
  <c r="H1251" i="10" s="1"/>
  <c r="G1251" i="10" s="1"/>
  <c r="J1250" i="10"/>
  <c r="I1250" i="10" s="1"/>
  <c r="H1250" i="10" s="1"/>
  <c r="G1250" i="10" s="1"/>
  <c r="J1249" i="10"/>
  <c r="I1249" i="10" s="1"/>
  <c r="H1249" i="10" s="1"/>
  <c r="G1249" i="10" s="1"/>
  <c r="J1248" i="10"/>
  <c r="I1248" i="10" s="1"/>
  <c r="H1248" i="10" s="1"/>
  <c r="G1248" i="10" s="1"/>
  <c r="J1247" i="10"/>
  <c r="I1247" i="10" s="1"/>
  <c r="H1247" i="10" s="1"/>
  <c r="G1247" i="10" s="1"/>
  <c r="J1246" i="10"/>
  <c r="I1246" i="10" s="1"/>
  <c r="H1246" i="10" s="1"/>
  <c r="G1246" i="10" s="1"/>
  <c r="J1245" i="10"/>
  <c r="I1245" i="10" s="1"/>
  <c r="H1245" i="10" s="1"/>
  <c r="G1245" i="10" s="1"/>
  <c r="J1244" i="10"/>
  <c r="I1244" i="10" s="1"/>
  <c r="H1244" i="10" s="1"/>
  <c r="G1244" i="10" s="1"/>
  <c r="J1243" i="10"/>
  <c r="I1243" i="10" s="1"/>
  <c r="H1243" i="10" s="1"/>
  <c r="G1243" i="10" s="1"/>
  <c r="J1242" i="10"/>
  <c r="I1242" i="10" s="1"/>
  <c r="H1242" i="10" s="1"/>
  <c r="G1242" i="10" s="1"/>
  <c r="J1241" i="10"/>
  <c r="I1241" i="10" s="1"/>
  <c r="H1241" i="10" s="1"/>
  <c r="G1241" i="10" s="1"/>
  <c r="J1240" i="10"/>
  <c r="I1240" i="10" s="1"/>
  <c r="H1240" i="10" s="1"/>
  <c r="G1240" i="10" s="1"/>
  <c r="J1239" i="10"/>
  <c r="I1239" i="10" s="1"/>
  <c r="H1239" i="10" s="1"/>
  <c r="G1239" i="10" s="1"/>
  <c r="J1238" i="10"/>
  <c r="I1238" i="10" s="1"/>
  <c r="H1238" i="10" s="1"/>
  <c r="G1238" i="10" s="1"/>
  <c r="J1237" i="10"/>
  <c r="I1237" i="10" s="1"/>
  <c r="H1237" i="10" s="1"/>
  <c r="G1237" i="10" s="1"/>
  <c r="J1236" i="10"/>
  <c r="I1236" i="10" s="1"/>
  <c r="H1236" i="10" s="1"/>
  <c r="G1236" i="10" s="1"/>
  <c r="J1235" i="10"/>
  <c r="I1235" i="10" s="1"/>
  <c r="H1235" i="10" s="1"/>
  <c r="G1235" i="10" s="1"/>
  <c r="J1234" i="10"/>
  <c r="I1234" i="10" s="1"/>
  <c r="H1234" i="10" s="1"/>
  <c r="G1234" i="10" s="1"/>
  <c r="J1233" i="10"/>
  <c r="I1233" i="10" s="1"/>
  <c r="H1233" i="10" s="1"/>
  <c r="G1233" i="10" s="1"/>
  <c r="J1232" i="10"/>
  <c r="I1232" i="10" s="1"/>
  <c r="H1232" i="10" s="1"/>
  <c r="G1232" i="10" s="1"/>
  <c r="F1232" i="10" s="1"/>
  <c r="J1231" i="10"/>
  <c r="I1231" i="10" s="1"/>
  <c r="H1231" i="10" s="1"/>
  <c r="G1231" i="10" s="1"/>
  <c r="J1230" i="10"/>
  <c r="I1230" i="10" s="1"/>
  <c r="H1230" i="10" s="1"/>
  <c r="G1230" i="10" s="1"/>
  <c r="J1229" i="10"/>
  <c r="I1229" i="10" s="1"/>
  <c r="H1229" i="10" s="1"/>
  <c r="G1229" i="10" s="1"/>
  <c r="J1228" i="10"/>
  <c r="I1228" i="10" s="1"/>
  <c r="H1228" i="10" s="1"/>
  <c r="G1228" i="10" s="1"/>
  <c r="J1227" i="10"/>
  <c r="I1227" i="10" s="1"/>
  <c r="H1227" i="10" s="1"/>
  <c r="G1227" i="10" s="1"/>
  <c r="J1226" i="10"/>
  <c r="I1226" i="10" s="1"/>
  <c r="H1226" i="10" s="1"/>
  <c r="G1226" i="10" s="1"/>
  <c r="J1225" i="10"/>
  <c r="I1225" i="10" s="1"/>
  <c r="H1225" i="10" s="1"/>
  <c r="G1225" i="10" s="1"/>
  <c r="F1225" i="10" s="1"/>
  <c r="J1224" i="10"/>
  <c r="I1224" i="10" s="1"/>
  <c r="H1224" i="10" s="1"/>
  <c r="G1224" i="10" s="1"/>
  <c r="J1223" i="10"/>
  <c r="I1223" i="10" s="1"/>
  <c r="H1223" i="10" s="1"/>
  <c r="G1223" i="10" s="1"/>
  <c r="J1222" i="10"/>
  <c r="I1222" i="10" s="1"/>
  <c r="H1222" i="10" s="1"/>
  <c r="G1222" i="10" s="1"/>
  <c r="J1221" i="10"/>
  <c r="I1221" i="10" s="1"/>
  <c r="H1221" i="10" s="1"/>
  <c r="G1221" i="10" s="1"/>
  <c r="J1220" i="10"/>
  <c r="I1220" i="10" s="1"/>
  <c r="H1220" i="10" s="1"/>
  <c r="G1220" i="10" s="1"/>
  <c r="J1219" i="10"/>
  <c r="I1219" i="10" s="1"/>
  <c r="H1219" i="10" s="1"/>
  <c r="G1219" i="10" s="1"/>
  <c r="J1218" i="10"/>
  <c r="I1218" i="10" s="1"/>
  <c r="H1218" i="10" s="1"/>
  <c r="G1218" i="10" s="1"/>
  <c r="J1217" i="10"/>
  <c r="I1217" i="10" s="1"/>
  <c r="H1217" i="10" s="1"/>
  <c r="G1217" i="10" s="1"/>
  <c r="J1216" i="10"/>
  <c r="I1216" i="10" s="1"/>
  <c r="H1216" i="10" s="1"/>
  <c r="G1216" i="10" s="1"/>
  <c r="J1215" i="10"/>
  <c r="I1215" i="10" s="1"/>
  <c r="H1215" i="10" s="1"/>
  <c r="G1215" i="10" s="1"/>
  <c r="J1214" i="10"/>
  <c r="I1214" i="10" s="1"/>
  <c r="H1214" i="10" s="1"/>
  <c r="G1214" i="10" s="1"/>
  <c r="F1214" i="10" s="1"/>
  <c r="J1213" i="10"/>
  <c r="I1213" i="10" s="1"/>
  <c r="H1213" i="10" s="1"/>
  <c r="G1213" i="10" s="1"/>
  <c r="J1212" i="10"/>
  <c r="I1212" i="10" s="1"/>
  <c r="H1212" i="10" s="1"/>
  <c r="G1212" i="10" s="1"/>
  <c r="F1212" i="10" s="1"/>
  <c r="J1211" i="10"/>
  <c r="I1211" i="10" s="1"/>
  <c r="H1211" i="10" s="1"/>
  <c r="G1211" i="10" s="1"/>
  <c r="J1210" i="10"/>
  <c r="I1210" i="10" s="1"/>
  <c r="H1210" i="10" s="1"/>
  <c r="G1210" i="10" s="1"/>
  <c r="J1209" i="10"/>
  <c r="I1209" i="10" s="1"/>
  <c r="H1209" i="10" s="1"/>
  <c r="G1209" i="10" s="1"/>
  <c r="F1209" i="10" s="1"/>
  <c r="J1208" i="10"/>
  <c r="I1208" i="10" s="1"/>
  <c r="H1208" i="10" s="1"/>
  <c r="G1208" i="10" s="1"/>
  <c r="J1207" i="10"/>
  <c r="I1207" i="10" s="1"/>
  <c r="H1207" i="10" s="1"/>
  <c r="G1207" i="10" s="1"/>
  <c r="J1206" i="10"/>
  <c r="I1206" i="10" s="1"/>
  <c r="H1206" i="10" s="1"/>
  <c r="G1206" i="10" s="1"/>
  <c r="J1205" i="10"/>
  <c r="I1205" i="10" s="1"/>
  <c r="H1205" i="10" s="1"/>
  <c r="G1205" i="10" s="1"/>
  <c r="J1204" i="10"/>
  <c r="I1204" i="10" s="1"/>
  <c r="H1204" i="10" s="1"/>
  <c r="G1204" i="10" s="1"/>
  <c r="J1203" i="10"/>
  <c r="I1203" i="10" s="1"/>
  <c r="H1203" i="10" s="1"/>
  <c r="G1203" i="10" s="1"/>
  <c r="J1202" i="10"/>
  <c r="I1202" i="10" s="1"/>
  <c r="H1202" i="10" s="1"/>
  <c r="G1202" i="10" s="1"/>
  <c r="J1201" i="10"/>
  <c r="I1201" i="10" s="1"/>
  <c r="H1201" i="10" s="1"/>
  <c r="G1201" i="10" s="1"/>
  <c r="J1200" i="10"/>
  <c r="I1200" i="10" s="1"/>
  <c r="H1200" i="10" s="1"/>
  <c r="G1200" i="10" s="1"/>
  <c r="J1199" i="10"/>
  <c r="I1199" i="10" s="1"/>
  <c r="H1199" i="10" s="1"/>
  <c r="G1199" i="10" s="1"/>
  <c r="J1198" i="10"/>
  <c r="I1198" i="10" s="1"/>
  <c r="H1198" i="10" s="1"/>
  <c r="G1198" i="10" s="1"/>
  <c r="J1197" i="10"/>
  <c r="I1197" i="10" s="1"/>
  <c r="H1197" i="10" s="1"/>
  <c r="G1197" i="10" s="1"/>
  <c r="J1196" i="10"/>
  <c r="I1196" i="10" s="1"/>
  <c r="H1196" i="10" s="1"/>
  <c r="G1196" i="10" s="1"/>
  <c r="F1196" i="10" s="1"/>
  <c r="J1195" i="10"/>
  <c r="I1195" i="10" s="1"/>
  <c r="H1195" i="10" s="1"/>
  <c r="G1195" i="10" s="1"/>
  <c r="J1194" i="10"/>
  <c r="I1194" i="10" s="1"/>
  <c r="H1194" i="10" s="1"/>
  <c r="G1194" i="10" s="1"/>
  <c r="J1193" i="10"/>
  <c r="I1193" i="10" s="1"/>
  <c r="H1193" i="10" s="1"/>
  <c r="G1193" i="10" s="1"/>
  <c r="J1192" i="10"/>
  <c r="I1192" i="10" s="1"/>
  <c r="H1192" i="10" s="1"/>
  <c r="G1192" i="10" s="1"/>
  <c r="F1192" i="10" s="1"/>
  <c r="J1191" i="10"/>
  <c r="I1191" i="10" s="1"/>
  <c r="H1191" i="10" s="1"/>
  <c r="G1191" i="10" s="1"/>
  <c r="J1190" i="10"/>
  <c r="I1190" i="10" s="1"/>
  <c r="H1190" i="10" s="1"/>
  <c r="G1190" i="10" s="1"/>
  <c r="J1189" i="10"/>
  <c r="I1189" i="10" s="1"/>
  <c r="H1189" i="10" s="1"/>
  <c r="G1189" i="10" s="1"/>
  <c r="J1188" i="10"/>
  <c r="I1188" i="10" s="1"/>
  <c r="H1188" i="10" s="1"/>
  <c r="G1188" i="10" s="1"/>
  <c r="F1188" i="10" s="1"/>
  <c r="J1187" i="10"/>
  <c r="I1187" i="10" s="1"/>
  <c r="H1187" i="10" s="1"/>
  <c r="G1187" i="10" s="1"/>
  <c r="J1186" i="10"/>
  <c r="I1186" i="10" s="1"/>
  <c r="H1186" i="10" s="1"/>
  <c r="G1186" i="10" s="1"/>
  <c r="J1185" i="10"/>
  <c r="I1185" i="10" s="1"/>
  <c r="H1185" i="10" s="1"/>
  <c r="G1185" i="10" s="1"/>
  <c r="F1185" i="10" s="1"/>
  <c r="J1184" i="10"/>
  <c r="I1184" i="10" s="1"/>
  <c r="H1184" i="10" s="1"/>
  <c r="G1184" i="10" s="1"/>
  <c r="F1184" i="10" s="1"/>
  <c r="J1183" i="10"/>
  <c r="I1183" i="10" s="1"/>
  <c r="H1183" i="10" s="1"/>
  <c r="G1183" i="10" s="1"/>
  <c r="J1182" i="10"/>
  <c r="I1182" i="10" s="1"/>
  <c r="H1182" i="10" s="1"/>
  <c r="G1182" i="10" s="1"/>
  <c r="J1181" i="10"/>
  <c r="I1181" i="10" s="1"/>
  <c r="H1181" i="10" s="1"/>
  <c r="G1181" i="10" s="1"/>
  <c r="J1180" i="10"/>
  <c r="I1180" i="10" s="1"/>
  <c r="H1180" i="10" s="1"/>
  <c r="G1180" i="10" s="1"/>
  <c r="J1179" i="10"/>
  <c r="I1179" i="10" s="1"/>
  <c r="H1179" i="10" s="1"/>
  <c r="G1179" i="10" s="1"/>
  <c r="J1178" i="10"/>
  <c r="I1178" i="10" s="1"/>
  <c r="H1178" i="10" s="1"/>
  <c r="G1178" i="10" s="1"/>
  <c r="J1177" i="10"/>
  <c r="I1177" i="10" s="1"/>
  <c r="H1177" i="10" s="1"/>
  <c r="G1177" i="10" s="1"/>
  <c r="F1177" i="10" s="1"/>
  <c r="J1176" i="10"/>
  <c r="I1176" i="10" s="1"/>
  <c r="H1176" i="10" s="1"/>
  <c r="G1176" i="10" s="1"/>
  <c r="J1175" i="10"/>
  <c r="I1175" i="10" s="1"/>
  <c r="H1175" i="10" s="1"/>
  <c r="G1175" i="10" s="1"/>
  <c r="J1174" i="10"/>
  <c r="I1174" i="10" s="1"/>
  <c r="H1174" i="10" s="1"/>
  <c r="G1174" i="10" s="1"/>
  <c r="J1173" i="10"/>
  <c r="I1173" i="10" s="1"/>
  <c r="H1173" i="10" s="1"/>
  <c r="G1173" i="10" s="1"/>
  <c r="F1173" i="10" s="1"/>
  <c r="J1172" i="10"/>
  <c r="I1172" i="10" s="1"/>
  <c r="H1172" i="10" s="1"/>
  <c r="G1172" i="10" s="1"/>
  <c r="J1171" i="10"/>
  <c r="I1171" i="10" s="1"/>
  <c r="H1171" i="10" s="1"/>
  <c r="G1171" i="10" s="1"/>
  <c r="F1171" i="10" s="1"/>
  <c r="J1170" i="10"/>
  <c r="I1170" i="10" s="1"/>
  <c r="H1170" i="10" s="1"/>
  <c r="G1170" i="10" s="1"/>
  <c r="J1169" i="10"/>
  <c r="I1169" i="10" s="1"/>
  <c r="H1169" i="10" s="1"/>
  <c r="G1169" i="10" s="1"/>
  <c r="J1168" i="10"/>
  <c r="I1168" i="10" s="1"/>
  <c r="H1168" i="10" s="1"/>
  <c r="G1168" i="10" s="1"/>
  <c r="J1167" i="10"/>
  <c r="I1167" i="10" s="1"/>
  <c r="H1167" i="10" s="1"/>
  <c r="G1167" i="10" s="1"/>
  <c r="J1166" i="10"/>
  <c r="I1166" i="10" s="1"/>
  <c r="H1166" i="10" s="1"/>
  <c r="G1166" i="10" s="1"/>
  <c r="F1166" i="10" s="1"/>
  <c r="J1165" i="10"/>
  <c r="I1165" i="10" s="1"/>
  <c r="H1165" i="10" s="1"/>
  <c r="G1165" i="10" s="1"/>
  <c r="J1164" i="10"/>
  <c r="I1164" i="10" s="1"/>
  <c r="H1164" i="10" s="1"/>
  <c r="G1164" i="10" s="1"/>
  <c r="J1163" i="10"/>
  <c r="I1163" i="10" s="1"/>
  <c r="H1163" i="10" s="1"/>
  <c r="G1163" i="10" s="1"/>
  <c r="J1162" i="10"/>
  <c r="I1162" i="10" s="1"/>
  <c r="H1162" i="10" s="1"/>
  <c r="G1162" i="10" s="1"/>
  <c r="F1162" i="10" s="1"/>
  <c r="J1161" i="10"/>
  <c r="I1161" i="10" s="1"/>
  <c r="H1161" i="10" s="1"/>
  <c r="G1161" i="10" s="1"/>
  <c r="J1160" i="10"/>
  <c r="I1160" i="10" s="1"/>
  <c r="H1160" i="10" s="1"/>
  <c r="G1160" i="10" s="1"/>
  <c r="J1159" i="10"/>
  <c r="I1159" i="10" s="1"/>
  <c r="H1159" i="10" s="1"/>
  <c r="G1159" i="10" s="1"/>
  <c r="F1159" i="10" s="1"/>
  <c r="J1158" i="10"/>
  <c r="I1158" i="10" s="1"/>
  <c r="H1158" i="10" s="1"/>
  <c r="G1158" i="10" s="1"/>
  <c r="F1158" i="10" s="1"/>
  <c r="J1157" i="10"/>
  <c r="I1157" i="10" s="1"/>
  <c r="H1157" i="10" s="1"/>
  <c r="G1157" i="10" s="1"/>
  <c r="J1156" i="10"/>
  <c r="I1156" i="10" s="1"/>
  <c r="H1156" i="10" s="1"/>
  <c r="G1156" i="10" s="1"/>
  <c r="J1155" i="10"/>
  <c r="I1155" i="10" s="1"/>
  <c r="H1155" i="10" s="1"/>
  <c r="G1155" i="10" s="1"/>
  <c r="J1154" i="10"/>
  <c r="I1154" i="10" s="1"/>
  <c r="H1154" i="10" s="1"/>
  <c r="G1154" i="10" s="1"/>
  <c r="F1154" i="10" s="1"/>
  <c r="J1153" i="10"/>
  <c r="I1153" i="10" s="1"/>
  <c r="H1153" i="10" s="1"/>
  <c r="G1153" i="10" s="1"/>
  <c r="J1152" i="10"/>
  <c r="I1152" i="10" s="1"/>
  <c r="H1152" i="10" s="1"/>
  <c r="G1152" i="10" s="1"/>
  <c r="J1151" i="10"/>
  <c r="I1151" i="10" s="1"/>
  <c r="H1151" i="10" s="1"/>
  <c r="G1151" i="10" s="1"/>
  <c r="J1150" i="10"/>
  <c r="I1150" i="10" s="1"/>
  <c r="H1150" i="10" s="1"/>
  <c r="G1150" i="10" s="1"/>
  <c r="F1150" i="10" s="1"/>
  <c r="J1149" i="10"/>
  <c r="I1149" i="10" s="1"/>
  <c r="H1149" i="10" s="1"/>
  <c r="G1149" i="10" s="1"/>
  <c r="J1148" i="10"/>
  <c r="I1148" i="10" s="1"/>
  <c r="H1148" i="10" s="1"/>
  <c r="G1148" i="10" s="1"/>
  <c r="J1147" i="10"/>
  <c r="I1147" i="10" s="1"/>
  <c r="H1147" i="10" s="1"/>
  <c r="G1147" i="10" s="1"/>
  <c r="J1146" i="10"/>
  <c r="I1146" i="10" s="1"/>
  <c r="H1146" i="10" s="1"/>
  <c r="G1146" i="10" s="1"/>
  <c r="F1146" i="10" s="1"/>
  <c r="J1145" i="10"/>
  <c r="I1145" i="10" s="1"/>
  <c r="H1145" i="10" s="1"/>
  <c r="G1145" i="10" s="1"/>
  <c r="J1144" i="10"/>
  <c r="I1144" i="10" s="1"/>
  <c r="H1144" i="10" s="1"/>
  <c r="G1144" i="10" s="1"/>
  <c r="J1143" i="10"/>
  <c r="I1143" i="10" s="1"/>
  <c r="H1143" i="10" s="1"/>
  <c r="G1143" i="10" s="1"/>
  <c r="J1142" i="10"/>
  <c r="I1142" i="10" s="1"/>
  <c r="H1142" i="10" s="1"/>
  <c r="G1142" i="10" s="1"/>
  <c r="J1141" i="10"/>
  <c r="I1141" i="10" s="1"/>
  <c r="H1141" i="10" s="1"/>
  <c r="G1141" i="10" s="1"/>
  <c r="J1140" i="10"/>
  <c r="I1140" i="10" s="1"/>
  <c r="H1140" i="10" s="1"/>
  <c r="G1140" i="10" s="1"/>
  <c r="F1140" i="10" s="1"/>
  <c r="J1139" i="10"/>
  <c r="I1139" i="10" s="1"/>
  <c r="H1139" i="10" s="1"/>
  <c r="G1139" i="10" s="1"/>
  <c r="F1139" i="10" s="1"/>
  <c r="J1138" i="10"/>
  <c r="I1138" i="10" s="1"/>
  <c r="H1138" i="10" s="1"/>
  <c r="G1138" i="10" s="1"/>
  <c r="F1138" i="10" s="1"/>
  <c r="J1137" i="10"/>
  <c r="I1137" i="10" s="1"/>
  <c r="H1137" i="10" s="1"/>
  <c r="G1137" i="10" s="1"/>
  <c r="J1136" i="10"/>
  <c r="I1136" i="10" s="1"/>
  <c r="H1136" i="10" s="1"/>
  <c r="G1136" i="10" s="1"/>
  <c r="J1135" i="10"/>
  <c r="I1135" i="10" s="1"/>
  <c r="H1135" i="10" s="1"/>
  <c r="G1135" i="10" s="1"/>
  <c r="J1134" i="10"/>
  <c r="I1134" i="10" s="1"/>
  <c r="H1134" i="10" s="1"/>
  <c r="G1134" i="10" s="1"/>
  <c r="F1134" i="10" s="1"/>
  <c r="J1133" i="10"/>
  <c r="I1133" i="10" s="1"/>
  <c r="H1133" i="10" s="1"/>
  <c r="G1133" i="10" s="1"/>
  <c r="J1132" i="10"/>
  <c r="I1132" i="10" s="1"/>
  <c r="H1132" i="10" s="1"/>
  <c r="G1132" i="10" s="1"/>
  <c r="J1131" i="10"/>
  <c r="I1131" i="10" s="1"/>
  <c r="H1131" i="10" s="1"/>
  <c r="G1131" i="10" s="1"/>
  <c r="J1130" i="10"/>
  <c r="I1130" i="10" s="1"/>
  <c r="H1130" i="10" s="1"/>
  <c r="G1130" i="10" s="1"/>
  <c r="F1130" i="10" s="1"/>
  <c r="J1129" i="10"/>
  <c r="I1129" i="10" s="1"/>
  <c r="H1129" i="10" s="1"/>
  <c r="G1129" i="10" s="1"/>
  <c r="J1128" i="10"/>
  <c r="I1128" i="10" s="1"/>
  <c r="H1128" i="10" s="1"/>
  <c r="G1128" i="10" s="1"/>
  <c r="F1128" i="10" s="1"/>
  <c r="J1127" i="10"/>
  <c r="I1127" i="10" s="1"/>
  <c r="H1127" i="10" s="1"/>
  <c r="G1127" i="10" s="1"/>
  <c r="F1127" i="10" s="1"/>
  <c r="J1126" i="10"/>
  <c r="I1126" i="10" s="1"/>
  <c r="H1126" i="10" s="1"/>
  <c r="G1126" i="10" s="1"/>
  <c r="J1125" i="10"/>
  <c r="I1125" i="10" s="1"/>
  <c r="H1125" i="10" s="1"/>
  <c r="G1125" i="10" s="1"/>
  <c r="J1124" i="10"/>
  <c r="I1124" i="10" s="1"/>
  <c r="H1124" i="10" s="1"/>
  <c r="G1124" i="10" s="1"/>
  <c r="J1123" i="10"/>
  <c r="I1123" i="10" s="1"/>
  <c r="H1123" i="10" s="1"/>
  <c r="G1123" i="10" s="1"/>
  <c r="F1123" i="10" s="1"/>
  <c r="J1122" i="10"/>
  <c r="I1122" i="10" s="1"/>
  <c r="H1122" i="10" s="1"/>
  <c r="G1122" i="10" s="1"/>
  <c r="F1122" i="10" s="1"/>
  <c r="J1121" i="10"/>
  <c r="I1121" i="10" s="1"/>
  <c r="H1121" i="10" s="1"/>
  <c r="G1121" i="10" s="1"/>
  <c r="J1120" i="10"/>
  <c r="I1120" i="10" s="1"/>
  <c r="H1120" i="10" s="1"/>
  <c r="G1120" i="10" s="1"/>
  <c r="J1119" i="10"/>
  <c r="I1119" i="10" s="1"/>
  <c r="H1119" i="10" s="1"/>
  <c r="G1119" i="10" s="1"/>
  <c r="J1118" i="10"/>
  <c r="I1118" i="10" s="1"/>
  <c r="H1118" i="10" s="1"/>
  <c r="G1118" i="10" s="1"/>
  <c r="F1118" i="10" s="1"/>
  <c r="J1117" i="10"/>
  <c r="I1117" i="10" s="1"/>
  <c r="H1117" i="10" s="1"/>
  <c r="G1117" i="10" s="1"/>
  <c r="J1116" i="10"/>
  <c r="I1116" i="10" s="1"/>
  <c r="H1116" i="10" s="1"/>
  <c r="G1116" i="10" s="1"/>
  <c r="J1115" i="10"/>
  <c r="I1115" i="10" s="1"/>
  <c r="H1115" i="10" s="1"/>
  <c r="G1115" i="10" s="1"/>
  <c r="J1114" i="10"/>
  <c r="I1114" i="10" s="1"/>
  <c r="H1114" i="10" s="1"/>
  <c r="G1114" i="10" s="1"/>
  <c r="F1114" i="10" s="1"/>
  <c r="J1113" i="10"/>
  <c r="I1113" i="10" s="1"/>
  <c r="H1113" i="10" s="1"/>
  <c r="G1113" i="10" s="1"/>
  <c r="J1112" i="10"/>
  <c r="I1112" i="10" s="1"/>
  <c r="H1112" i="10" s="1"/>
  <c r="G1112" i="10" s="1"/>
  <c r="J1111" i="10"/>
  <c r="I1111" i="10" s="1"/>
  <c r="H1111" i="10" s="1"/>
  <c r="G1111" i="10" s="1"/>
  <c r="F1111" i="10" s="1"/>
  <c r="J1110" i="10"/>
  <c r="I1110" i="10" s="1"/>
  <c r="H1110" i="10" s="1"/>
  <c r="G1110" i="10" s="1"/>
  <c r="J1109" i="10"/>
  <c r="I1109" i="10" s="1"/>
  <c r="H1109" i="10" s="1"/>
  <c r="G1109" i="10" s="1"/>
  <c r="J1108" i="10"/>
  <c r="I1108" i="10" s="1"/>
  <c r="H1108" i="10" s="1"/>
  <c r="G1108" i="10" s="1"/>
  <c r="J1107" i="10"/>
  <c r="I1107" i="10" s="1"/>
  <c r="H1107" i="10" s="1"/>
  <c r="G1107" i="10" s="1"/>
  <c r="F1107" i="10" s="1"/>
  <c r="J1106" i="10"/>
  <c r="I1106" i="10" s="1"/>
  <c r="H1106" i="10" s="1"/>
  <c r="G1106" i="10" s="1"/>
  <c r="J1105" i="10"/>
  <c r="I1105" i="10" s="1"/>
  <c r="H1105" i="10" s="1"/>
  <c r="G1105" i="10" s="1"/>
  <c r="J1104" i="10"/>
  <c r="I1104" i="10" s="1"/>
  <c r="H1104" i="10" s="1"/>
  <c r="G1104" i="10" s="1"/>
  <c r="F1104" i="10" s="1"/>
  <c r="J1103" i="10"/>
  <c r="I1103" i="10" s="1"/>
  <c r="H1103" i="10" s="1"/>
  <c r="G1103" i="10" s="1"/>
  <c r="J1102" i="10"/>
  <c r="I1102" i="10" s="1"/>
  <c r="H1102" i="10" s="1"/>
  <c r="G1102" i="10" s="1"/>
  <c r="F1102" i="10" s="1"/>
  <c r="J1101" i="10"/>
  <c r="I1101" i="10" s="1"/>
  <c r="H1101" i="10" s="1"/>
  <c r="G1101" i="10" s="1"/>
  <c r="J1100" i="10"/>
  <c r="I1100" i="10" s="1"/>
  <c r="H1100" i="10" s="1"/>
  <c r="G1100" i="10" s="1"/>
  <c r="F1100" i="10" s="1"/>
  <c r="J1099" i="10"/>
  <c r="I1099" i="10" s="1"/>
  <c r="H1099" i="10" s="1"/>
  <c r="G1099" i="10" s="1"/>
  <c r="J1098" i="10"/>
  <c r="I1098" i="10" s="1"/>
  <c r="H1098" i="10" s="1"/>
  <c r="G1098" i="10" s="1"/>
  <c r="F1098" i="10" s="1"/>
  <c r="J1097" i="10"/>
  <c r="I1097" i="10" s="1"/>
  <c r="H1097" i="10" s="1"/>
  <c r="G1097" i="10" s="1"/>
  <c r="J1096" i="10"/>
  <c r="I1096" i="10" s="1"/>
  <c r="H1096" i="10" s="1"/>
  <c r="G1096" i="10" s="1"/>
  <c r="J1095" i="10"/>
  <c r="I1095" i="10" s="1"/>
  <c r="H1095" i="10" s="1"/>
  <c r="G1095" i="10" s="1"/>
  <c r="J1094" i="10"/>
  <c r="I1094" i="10" s="1"/>
  <c r="H1094" i="10" s="1"/>
  <c r="G1094" i="10" s="1"/>
  <c r="J1093" i="10"/>
  <c r="I1093" i="10" s="1"/>
  <c r="H1093" i="10" s="1"/>
  <c r="G1093" i="10" s="1"/>
  <c r="J1092" i="10"/>
  <c r="I1092" i="10" s="1"/>
  <c r="H1092" i="10" s="1"/>
  <c r="G1092" i="10" s="1"/>
  <c r="F1092" i="10" s="1"/>
  <c r="J1091" i="10"/>
  <c r="I1091" i="10" s="1"/>
  <c r="H1091" i="10" s="1"/>
  <c r="G1091" i="10" s="1"/>
  <c r="J1090" i="10"/>
  <c r="I1090" i="10" s="1"/>
  <c r="H1090" i="10" s="1"/>
  <c r="G1090" i="10" s="1"/>
  <c r="F1090" i="10" s="1"/>
  <c r="J1089" i="10"/>
  <c r="I1089" i="10" s="1"/>
  <c r="H1089" i="10" s="1"/>
  <c r="G1089" i="10" s="1"/>
  <c r="J1088" i="10"/>
  <c r="I1088" i="10" s="1"/>
  <c r="H1088" i="10" s="1"/>
  <c r="G1088" i="10" s="1"/>
  <c r="F1088" i="10" s="1"/>
  <c r="J1087" i="10"/>
  <c r="I1087" i="10" s="1"/>
  <c r="H1087" i="10" s="1"/>
  <c r="G1087" i="10" s="1"/>
  <c r="J1086" i="10"/>
  <c r="I1086" i="10" s="1"/>
  <c r="H1086" i="10" s="1"/>
  <c r="G1086" i="10" s="1"/>
  <c r="F1086" i="10" s="1"/>
  <c r="J1085" i="10"/>
  <c r="I1085" i="10" s="1"/>
  <c r="H1085" i="10" s="1"/>
  <c r="G1085" i="10" s="1"/>
  <c r="J1084" i="10"/>
  <c r="I1084" i="10" s="1"/>
  <c r="H1084" i="10" s="1"/>
  <c r="G1084" i="10" s="1"/>
  <c r="J1083" i="10"/>
  <c r="I1083" i="10" s="1"/>
  <c r="H1083" i="10" s="1"/>
  <c r="G1083" i="10" s="1"/>
  <c r="J1082" i="10"/>
  <c r="I1082" i="10" s="1"/>
  <c r="H1082" i="10" s="1"/>
  <c r="G1082" i="10" s="1"/>
  <c r="F1082" i="10" s="1"/>
  <c r="J1081" i="10"/>
  <c r="I1081" i="10" s="1"/>
  <c r="H1081" i="10" s="1"/>
  <c r="G1081" i="10" s="1"/>
  <c r="J1080" i="10"/>
  <c r="I1080" i="10" s="1"/>
  <c r="H1080" i="10" s="1"/>
  <c r="G1080" i="10" s="1"/>
  <c r="J1079" i="10"/>
  <c r="I1079" i="10" s="1"/>
  <c r="H1079" i="10" s="1"/>
  <c r="G1079" i="10" s="1"/>
  <c r="F1079" i="10" s="1"/>
  <c r="J1078" i="10"/>
  <c r="I1078" i="10" s="1"/>
  <c r="H1078" i="10" s="1"/>
  <c r="G1078" i="10" s="1"/>
  <c r="F1078" i="10" s="1"/>
  <c r="J1077" i="10"/>
  <c r="I1077" i="10" s="1"/>
  <c r="H1077" i="10" s="1"/>
  <c r="G1077" i="10" s="1"/>
  <c r="J1076" i="10"/>
  <c r="I1076" i="10" s="1"/>
  <c r="H1076" i="10" s="1"/>
  <c r="G1076" i="10" s="1"/>
  <c r="J1075" i="10"/>
  <c r="I1075" i="10" s="1"/>
  <c r="H1075" i="10" s="1"/>
  <c r="G1075" i="10" s="1"/>
  <c r="J1074" i="10"/>
  <c r="I1074" i="10" s="1"/>
  <c r="H1074" i="10" s="1"/>
  <c r="G1074" i="10" s="1"/>
  <c r="F1074" i="10" s="1"/>
  <c r="J1073" i="10"/>
  <c r="I1073" i="10" s="1"/>
  <c r="H1073" i="10" s="1"/>
  <c r="G1073" i="10" s="1"/>
  <c r="J1072" i="10"/>
  <c r="I1072" i="10" s="1"/>
  <c r="H1072" i="10" s="1"/>
  <c r="G1072" i="10" s="1"/>
  <c r="J1071" i="10"/>
  <c r="I1071" i="10" s="1"/>
  <c r="H1071" i="10" s="1"/>
  <c r="G1071" i="10" s="1"/>
  <c r="J1070" i="10"/>
  <c r="I1070" i="10" s="1"/>
  <c r="H1070" i="10" s="1"/>
  <c r="G1070" i="10" s="1"/>
  <c r="F1070" i="10" s="1"/>
  <c r="J1069" i="10"/>
  <c r="I1069" i="10" s="1"/>
  <c r="H1069" i="10" s="1"/>
  <c r="G1069" i="10" s="1"/>
  <c r="J1068" i="10"/>
  <c r="I1068" i="10" s="1"/>
  <c r="H1068" i="10" s="1"/>
  <c r="G1068" i="10" s="1"/>
  <c r="J1067" i="10"/>
  <c r="I1067" i="10" s="1"/>
  <c r="H1067" i="10" s="1"/>
  <c r="G1067" i="10" s="1"/>
  <c r="J1066" i="10"/>
  <c r="I1066" i="10" s="1"/>
  <c r="H1066" i="10" s="1"/>
  <c r="G1066" i="10" s="1"/>
  <c r="F1066" i="10" s="1"/>
  <c r="J1065" i="10"/>
  <c r="I1065" i="10" s="1"/>
  <c r="H1065" i="10" s="1"/>
  <c r="G1065" i="10" s="1"/>
  <c r="J1064" i="10"/>
  <c r="I1064" i="10" s="1"/>
  <c r="H1064" i="10" s="1"/>
  <c r="G1064" i="10" s="1"/>
  <c r="J1063" i="10"/>
  <c r="I1063" i="10" s="1"/>
  <c r="H1063" i="10" s="1"/>
  <c r="G1063" i="10" s="1"/>
  <c r="J1062" i="10"/>
  <c r="I1062" i="10" s="1"/>
  <c r="H1062" i="10" s="1"/>
  <c r="G1062" i="10" s="1"/>
  <c r="J1061" i="10"/>
  <c r="I1061" i="10" s="1"/>
  <c r="H1061" i="10" s="1"/>
  <c r="G1061" i="10" s="1"/>
  <c r="J1060" i="10"/>
  <c r="I1060" i="10" s="1"/>
  <c r="H1060" i="10" s="1"/>
  <c r="G1060" i="10" s="1"/>
  <c r="J1059" i="10"/>
  <c r="I1059" i="10" s="1"/>
  <c r="H1059" i="10" s="1"/>
  <c r="G1059" i="10" s="1"/>
  <c r="J1058" i="10"/>
  <c r="I1058" i="10" s="1"/>
  <c r="H1058" i="10" s="1"/>
  <c r="G1058" i="10" s="1"/>
  <c r="J1057" i="10"/>
  <c r="I1057" i="10" s="1"/>
  <c r="H1057" i="10" s="1"/>
  <c r="G1057" i="10" s="1"/>
  <c r="F1057" i="10" s="1"/>
  <c r="J1056" i="10"/>
  <c r="I1056" i="10" s="1"/>
  <c r="H1056" i="10" s="1"/>
  <c r="G1056" i="10" s="1"/>
  <c r="J1055" i="10"/>
  <c r="I1055" i="10" s="1"/>
  <c r="H1055" i="10" s="1"/>
  <c r="G1055" i="10" s="1"/>
  <c r="J1054" i="10"/>
  <c r="I1054" i="10" s="1"/>
  <c r="H1054" i="10" s="1"/>
  <c r="G1054" i="10" s="1"/>
  <c r="F1054" i="10" s="1"/>
  <c r="J1053" i="10"/>
  <c r="I1053" i="10" s="1"/>
  <c r="H1053" i="10" s="1"/>
  <c r="G1053" i="10" s="1"/>
  <c r="F1053" i="10" s="1"/>
  <c r="J1052" i="10"/>
  <c r="I1052" i="10" s="1"/>
  <c r="H1052" i="10" s="1"/>
  <c r="G1052" i="10" s="1"/>
  <c r="J1051" i="10"/>
  <c r="I1051" i="10"/>
  <c r="H1051" i="10" s="1"/>
  <c r="G1051" i="10" s="1"/>
  <c r="J1050" i="10"/>
  <c r="I1050" i="10" s="1"/>
  <c r="H1050" i="10" s="1"/>
  <c r="G1050" i="10" s="1"/>
  <c r="F1050" i="10" s="1"/>
  <c r="J1049" i="10"/>
  <c r="I1049" i="10" s="1"/>
  <c r="H1049" i="10" s="1"/>
  <c r="G1049" i="10" s="1"/>
  <c r="J1048" i="10"/>
  <c r="I1048" i="10" s="1"/>
  <c r="H1048" i="10" s="1"/>
  <c r="G1048" i="10" s="1"/>
  <c r="J1047" i="10"/>
  <c r="I1047" i="10" s="1"/>
  <c r="H1047" i="10" s="1"/>
  <c r="G1047" i="10" s="1"/>
  <c r="J1046" i="10"/>
  <c r="I1046" i="10" s="1"/>
  <c r="H1046" i="10" s="1"/>
  <c r="G1046" i="10" s="1"/>
  <c r="J1045" i="10"/>
  <c r="I1045" i="10" s="1"/>
  <c r="H1045" i="10" s="1"/>
  <c r="G1045" i="10" s="1"/>
  <c r="F1045" i="10" s="1"/>
  <c r="J1044" i="10"/>
  <c r="I1044" i="10"/>
  <c r="H1044" i="10" s="1"/>
  <c r="G1044" i="10" s="1"/>
  <c r="F1044" i="10" s="1"/>
  <c r="J1043" i="10"/>
  <c r="I1043" i="10" s="1"/>
  <c r="H1043" i="10" s="1"/>
  <c r="G1043" i="10" s="1"/>
  <c r="F1043" i="10" s="1"/>
  <c r="J1042" i="10"/>
  <c r="I1042" i="10" s="1"/>
  <c r="H1042" i="10" s="1"/>
  <c r="G1042" i="10" s="1"/>
  <c r="J1041" i="10"/>
  <c r="I1041" i="10" s="1"/>
  <c r="H1041" i="10" s="1"/>
  <c r="G1041" i="10" s="1"/>
  <c r="F1041" i="10" s="1"/>
  <c r="J1040" i="10"/>
  <c r="I1040" i="10" s="1"/>
  <c r="H1040" i="10" s="1"/>
  <c r="G1040" i="10" s="1"/>
  <c r="J1039" i="10"/>
  <c r="I1039" i="10" s="1"/>
  <c r="H1039" i="10" s="1"/>
  <c r="G1039" i="10" s="1"/>
  <c r="J1038" i="10"/>
  <c r="I1038" i="10" s="1"/>
  <c r="H1038" i="10" s="1"/>
  <c r="G1038" i="10" s="1"/>
  <c r="F1038" i="10" s="1"/>
  <c r="J1037" i="10"/>
  <c r="I1037" i="10"/>
  <c r="H1037" i="10" s="1"/>
  <c r="G1037" i="10" s="1"/>
  <c r="F1037" i="10" s="1"/>
  <c r="J1036" i="10"/>
  <c r="I1036" i="10" s="1"/>
  <c r="H1036" i="10" s="1"/>
  <c r="G1036" i="10" s="1"/>
  <c r="J1035" i="10"/>
  <c r="I1035" i="10" s="1"/>
  <c r="H1035" i="10" s="1"/>
  <c r="G1035" i="10" s="1"/>
  <c r="J1034" i="10"/>
  <c r="I1034" i="10" s="1"/>
  <c r="H1034" i="10" s="1"/>
  <c r="G1034" i="10" s="1"/>
  <c r="J1033" i="10"/>
  <c r="I1033" i="10" s="1"/>
  <c r="H1033" i="10" s="1"/>
  <c r="G1033" i="10" s="1"/>
  <c r="F1033" i="10" s="1"/>
  <c r="J1032" i="10"/>
  <c r="I1032" i="10" s="1"/>
  <c r="H1032" i="10" s="1"/>
  <c r="G1032" i="10" s="1"/>
  <c r="J1031" i="10"/>
  <c r="I1031" i="10" s="1"/>
  <c r="H1031" i="10" s="1"/>
  <c r="G1031" i="10" s="1"/>
  <c r="F1031" i="10" s="1"/>
  <c r="J1030" i="10"/>
  <c r="I1030" i="10"/>
  <c r="H1030" i="10" s="1"/>
  <c r="G1030" i="10" s="1"/>
  <c r="F1030" i="10" s="1"/>
  <c r="J1029" i="10"/>
  <c r="I1029" i="10" s="1"/>
  <c r="H1029" i="10" s="1"/>
  <c r="G1029" i="10" s="1"/>
  <c r="F1029" i="10" s="1"/>
  <c r="J1028" i="10"/>
  <c r="I1028" i="10" s="1"/>
  <c r="H1028" i="10" s="1"/>
  <c r="G1028" i="10" s="1"/>
  <c r="J1027" i="10"/>
  <c r="I1027" i="10" s="1"/>
  <c r="H1027" i="10" s="1"/>
  <c r="G1027" i="10" s="1"/>
  <c r="J1026" i="10"/>
  <c r="I1026" i="10" s="1"/>
  <c r="H1026" i="10" s="1"/>
  <c r="G1026" i="10" s="1"/>
  <c r="F1026" i="10" s="1"/>
  <c r="J1025" i="10"/>
  <c r="I1025" i="10" s="1"/>
  <c r="H1025" i="10" s="1"/>
  <c r="G1025" i="10" s="1"/>
  <c r="F1025" i="10" s="1"/>
  <c r="J1024" i="10"/>
  <c r="I1024" i="10" s="1"/>
  <c r="H1024" i="10" s="1"/>
  <c r="G1024" i="10" s="1"/>
  <c r="F1024" i="10" s="1"/>
  <c r="J1023" i="10"/>
  <c r="I1023" i="10" s="1"/>
  <c r="H1023" i="10" s="1"/>
  <c r="G1023" i="10" s="1"/>
  <c r="J1022" i="10"/>
  <c r="I1022" i="10" s="1"/>
  <c r="H1022" i="10" s="1"/>
  <c r="G1022" i="10" s="1"/>
  <c r="F1022" i="10" s="1"/>
  <c r="J1021" i="10"/>
  <c r="I1021" i="10" s="1"/>
  <c r="H1021" i="10" s="1"/>
  <c r="G1021" i="10" s="1"/>
  <c r="F1021" i="10" s="1"/>
  <c r="J1020" i="10"/>
  <c r="I1020" i="10" s="1"/>
  <c r="H1020" i="10" s="1"/>
  <c r="G1020" i="10" s="1"/>
  <c r="J1019" i="10"/>
  <c r="I1019" i="10" s="1"/>
  <c r="H1019" i="10" s="1"/>
  <c r="G1019" i="10" s="1"/>
  <c r="F1019" i="10" s="1"/>
  <c r="J1018" i="10"/>
  <c r="I1018" i="10" s="1"/>
  <c r="H1018" i="10" s="1"/>
  <c r="G1018" i="10" s="1"/>
  <c r="J1017" i="10"/>
  <c r="I1017" i="10" s="1"/>
  <c r="H1017" i="10" s="1"/>
  <c r="G1017" i="10" s="1"/>
  <c r="F1017" i="10" s="1"/>
  <c r="J1016" i="10"/>
  <c r="I1016" i="10" s="1"/>
  <c r="H1016" i="10" s="1"/>
  <c r="G1016" i="10" s="1"/>
  <c r="J1015" i="10"/>
  <c r="I1015" i="10" s="1"/>
  <c r="H1015" i="10" s="1"/>
  <c r="G1015" i="10" s="1"/>
  <c r="F1015" i="10" s="1"/>
  <c r="J1014" i="10"/>
  <c r="I1014" i="10" s="1"/>
  <c r="H1014" i="10" s="1"/>
  <c r="G1014" i="10" s="1"/>
  <c r="F1014" i="10" s="1"/>
  <c r="J1013" i="10"/>
  <c r="I1013" i="10" s="1"/>
  <c r="H1013" i="10" s="1"/>
  <c r="G1013" i="10" s="1"/>
  <c r="F1013" i="10" s="1"/>
  <c r="J1012" i="10"/>
  <c r="I1012" i="10" s="1"/>
  <c r="H1012" i="10" s="1"/>
  <c r="G1012" i="10" s="1"/>
  <c r="F1012" i="10" s="1"/>
  <c r="J1011" i="10"/>
  <c r="I1011" i="10" s="1"/>
  <c r="H1011" i="10" s="1"/>
  <c r="G1011" i="10" s="1"/>
  <c r="J1010" i="10"/>
  <c r="I1010" i="10" s="1"/>
  <c r="H1010" i="10" s="1"/>
  <c r="G1010" i="10" s="1"/>
  <c r="F1010" i="10" s="1"/>
  <c r="J1009" i="10"/>
  <c r="I1009" i="10" s="1"/>
  <c r="H1009" i="10" s="1"/>
  <c r="G1009" i="10" s="1"/>
  <c r="F1009" i="10" s="1"/>
  <c r="J1008" i="10"/>
  <c r="I1008" i="10" s="1"/>
  <c r="H1008" i="10" s="1"/>
  <c r="G1008" i="10" s="1"/>
  <c r="J1007" i="10"/>
  <c r="I1007" i="10" s="1"/>
  <c r="H1007" i="10" s="1"/>
  <c r="G1007" i="10" s="1"/>
  <c r="J1006" i="10"/>
  <c r="I1006" i="10" s="1"/>
  <c r="H1006" i="10" s="1"/>
  <c r="G1006" i="10" s="1"/>
  <c r="F1006" i="10" s="1"/>
  <c r="J1005" i="10"/>
  <c r="I1005" i="10" s="1"/>
  <c r="H1005" i="10" s="1"/>
  <c r="G1005" i="10" s="1"/>
  <c r="F1005" i="10" s="1"/>
  <c r="J1004" i="10"/>
  <c r="I1004" i="10" s="1"/>
  <c r="H1004" i="10" s="1"/>
  <c r="G1004" i="10" s="1"/>
  <c r="J1003" i="10"/>
  <c r="I1003" i="10" s="1"/>
  <c r="H1003" i="10" s="1"/>
  <c r="G1003" i="10" s="1"/>
  <c r="F1003" i="10" s="1"/>
  <c r="J1002" i="10"/>
  <c r="I1002" i="10" s="1"/>
  <c r="H1002" i="10" s="1"/>
  <c r="G1002" i="10" s="1"/>
  <c r="J1001" i="10"/>
  <c r="I1001" i="10" s="1"/>
  <c r="H1001" i="10" s="1"/>
  <c r="G1001" i="10" s="1"/>
  <c r="F1001" i="10" s="1"/>
  <c r="J1000" i="10"/>
  <c r="I1000" i="10" s="1"/>
  <c r="H1000" i="10" s="1"/>
  <c r="G1000" i="10" s="1"/>
  <c r="J999" i="10"/>
  <c r="I999" i="10" s="1"/>
  <c r="H999" i="10" s="1"/>
  <c r="G999" i="10" s="1"/>
  <c r="J998" i="10"/>
  <c r="I998" i="10"/>
  <c r="H998" i="10" s="1"/>
  <c r="G998" i="10" s="1"/>
  <c r="F998" i="10" s="1"/>
  <c r="J997" i="10"/>
  <c r="I997" i="10" s="1"/>
  <c r="H997" i="10" s="1"/>
  <c r="G997" i="10" s="1"/>
  <c r="F997" i="10" s="1"/>
  <c r="J996" i="10"/>
  <c r="I996" i="10" s="1"/>
  <c r="H996" i="10" s="1"/>
  <c r="G996" i="10" s="1"/>
  <c r="F996" i="10" s="1"/>
  <c r="J995" i="10"/>
  <c r="I995" i="10" s="1"/>
  <c r="H995" i="10" s="1"/>
  <c r="G995" i="10" s="1"/>
  <c r="J994" i="10"/>
  <c r="I994" i="10" s="1"/>
  <c r="H994" i="10" s="1"/>
  <c r="G994" i="10" s="1"/>
  <c r="F994" i="10" s="1"/>
  <c r="J993" i="10"/>
  <c r="I993" i="10" s="1"/>
  <c r="H993" i="10" s="1"/>
  <c r="G993" i="10" s="1"/>
  <c r="J992" i="10"/>
  <c r="I992" i="10" s="1"/>
  <c r="H992" i="10" s="1"/>
  <c r="G992" i="10" s="1"/>
  <c r="J991" i="10"/>
  <c r="I991" i="10" s="1"/>
  <c r="H991" i="10" s="1"/>
  <c r="G991" i="10" s="1"/>
  <c r="J990" i="10"/>
  <c r="I990" i="10" s="1"/>
  <c r="H990" i="10" s="1"/>
  <c r="G990" i="10" s="1"/>
  <c r="F990" i="10" s="1"/>
  <c r="J989" i="10"/>
  <c r="I989" i="10"/>
  <c r="H989" i="10" s="1"/>
  <c r="G989" i="10" s="1"/>
  <c r="F989" i="10" s="1"/>
  <c r="J988" i="10"/>
  <c r="I988" i="10" s="1"/>
  <c r="H988" i="10" s="1"/>
  <c r="G988" i="10" s="1"/>
  <c r="J987" i="10"/>
  <c r="I987" i="10" s="1"/>
  <c r="H987" i="10" s="1"/>
  <c r="G987" i="10" s="1"/>
  <c r="J986" i="10"/>
  <c r="I986" i="10" s="1"/>
  <c r="H986" i="10" s="1"/>
  <c r="G986" i="10" s="1"/>
  <c r="J985" i="10"/>
  <c r="I985" i="10" s="1"/>
  <c r="H985" i="10" s="1"/>
  <c r="G985" i="10" s="1"/>
  <c r="F985" i="10" s="1"/>
  <c r="J984" i="10"/>
  <c r="I984" i="10" s="1"/>
  <c r="H984" i="10" s="1"/>
  <c r="G984" i="10" s="1"/>
  <c r="J983" i="10"/>
  <c r="I983" i="10" s="1"/>
  <c r="H983" i="10" s="1"/>
  <c r="G983" i="10" s="1"/>
  <c r="J982" i="10"/>
  <c r="I982" i="10"/>
  <c r="H982" i="10" s="1"/>
  <c r="G982" i="10" s="1"/>
  <c r="F982" i="10" s="1"/>
  <c r="J981" i="10"/>
  <c r="I981" i="10" s="1"/>
  <c r="H981" i="10" s="1"/>
  <c r="G981" i="10" s="1"/>
  <c r="F981" i="10" s="1"/>
  <c r="J980" i="10"/>
  <c r="I980" i="10" s="1"/>
  <c r="H980" i="10" s="1"/>
  <c r="G980" i="10" s="1"/>
  <c r="J979" i="10"/>
  <c r="I979" i="10" s="1"/>
  <c r="H979" i="10" s="1"/>
  <c r="G979" i="10" s="1"/>
  <c r="J978" i="10"/>
  <c r="I978" i="10" s="1"/>
  <c r="H978" i="10" s="1"/>
  <c r="G978" i="10" s="1"/>
  <c r="F978" i="10" s="1"/>
  <c r="J977" i="10"/>
  <c r="I977" i="10" s="1"/>
  <c r="H977" i="10" s="1"/>
  <c r="G977" i="10" s="1"/>
  <c r="J976" i="10"/>
  <c r="I976" i="10" s="1"/>
  <c r="H976" i="10" s="1"/>
  <c r="G976" i="10" s="1"/>
  <c r="J975" i="10"/>
  <c r="I975" i="10" s="1"/>
  <c r="H975" i="10" s="1"/>
  <c r="G975" i="10" s="1"/>
  <c r="J974" i="10"/>
  <c r="I974" i="10" s="1"/>
  <c r="H974" i="10" s="1"/>
  <c r="G974" i="10" s="1"/>
  <c r="F974" i="10" s="1"/>
  <c r="J973" i="10"/>
  <c r="I973" i="10" s="1"/>
  <c r="H973" i="10" s="1"/>
  <c r="G973" i="10" s="1"/>
  <c r="F973" i="10" s="1"/>
  <c r="J972" i="10"/>
  <c r="I972" i="10" s="1"/>
  <c r="H972" i="10" s="1"/>
  <c r="G972" i="10" s="1"/>
  <c r="J971" i="10"/>
  <c r="I971" i="10" s="1"/>
  <c r="H971" i="10" s="1"/>
  <c r="G971" i="10" s="1"/>
  <c r="F971" i="10" s="1"/>
  <c r="J970" i="10"/>
  <c r="I970" i="10" s="1"/>
  <c r="H970" i="10" s="1"/>
  <c r="G970" i="10" s="1"/>
  <c r="J969" i="10"/>
  <c r="I969" i="10" s="1"/>
  <c r="H969" i="10" s="1"/>
  <c r="G969" i="10" s="1"/>
  <c r="F969" i="10" s="1"/>
  <c r="J968" i="10"/>
  <c r="I968" i="10" s="1"/>
  <c r="H968" i="10" s="1"/>
  <c r="G968" i="10" s="1"/>
  <c r="J967" i="10"/>
  <c r="I967" i="10" s="1"/>
  <c r="H967" i="10" s="1"/>
  <c r="G967" i="10" s="1"/>
  <c r="F967" i="10" s="1"/>
  <c r="J966" i="10"/>
  <c r="I966" i="10" s="1"/>
  <c r="H966" i="10" s="1"/>
  <c r="G966" i="10" s="1"/>
  <c r="F966" i="10" s="1"/>
  <c r="J965" i="10"/>
  <c r="I965" i="10" s="1"/>
  <c r="H965" i="10" s="1"/>
  <c r="G965" i="10" s="1"/>
  <c r="F965" i="10" s="1"/>
  <c r="J964" i="10"/>
  <c r="I964" i="10" s="1"/>
  <c r="H964" i="10" s="1"/>
  <c r="G964" i="10" s="1"/>
  <c r="F964" i="10" s="1"/>
  <c r="J963" i="10"/>
  <c r="I963" i="10" s="1"/>
  <c r="H963" i="10" s="1"/>
  <c r="G963" i="10" s="1"/>
  <c r="J962" i="10"/>
  <c r="I962" i="10" s="1"/>
  <c r="H962" i="10" s="1"/>
  <c r="G962" i="10" s="1"/>
  <c r="F962" i="10" s="1"/>
  <c r="J961" i="10"/>
  <c r="I961" i="10" s="1"/>
  <c r="H961" i="10" s="1"/>
  <c r="G961" i="10" s="1"/>
  <c r="J960" i="10"/>
  <c r="I960" i="10" s="1"/>
  <c r="H960" i="10" s="1"/>
  <c r="G960" i="10" s="1"/>
  <c r="F960" i="10" s="1"/>
  <c r="J959" i="10"/>
  <c r="I959" i="10" s="1"/>
  <c r="H959" i="10" s="1"/>
  <c r="G959" i="10" s="1"/>
  <c r="F959" i="10" s="1"/>
  <c r="J958" i="10"/>
  <c r="I958" i="10" s="1"/>
  <c r="H958" i="10" s="1"/>
  <c r="G958" i="10" s="1"/>
  <c r="F958" i="10" s="1"/>
  <c r="J957" i="10"/>
  <c r="I957" i="10"/>
  <c r="H957" i="10" s="1"/>
  <c r="G957" i="10" s="1"/>
  <c r="F957" i="10" s="1"/>
  <c r="J956" i="10"/>
  <c r="I956" i="10" s="1"/>
  <c r="H956" i="10" s="1"/>
  <c r="G956" i="10" s="1"/>
  <c r="F956" i="10" s="1"/>
  <c r="J955" i="10"/>
  <c r="I955" i="10" s="1"/>
  <c r="H955" i="10" s="1"/>
  <c r="G955" i="10" s="1"/>
  <c r="F955" i="10" s="1"/>
  <c r="J954" i="10"/>
  <c r="I954" i="10" s="1"/>
  <c r="H954" i="10" s="1"/>
  <c r="G954" i="10" s="1"/>
  <c r="F954" i="10" s="1"/>
  <c r="J953" i="10"/>
  <c r="I953" i="10" s="1"/>
  <c r="H953" i="10" s="1"/>
  <c r="G953" i="10" s="1"/>
  <c r="F953" i="10" s="1"/>
  <c r="J952" i="10"/>
  <c r="I952" i="10" s="1"/>
  <c r="H952" i="10" s="1"/>
  <c r="G952" i="10" s="1"/>
  <c r="F952" i="10" s="1"/>
  <c r="J951" i="10"/>
  <c r="I951" i="10" s="1"/>
  <c r="H951" i="10" s="1"/>
  <c r="G951" i="10" s="1"/>
  <c r="F951" i="10" s="1"/>
  <c r="J950" i="10"/>
  <c r="I950" i="10"/>
  <c r="H950" i="10" s="1"/>
  <c r="G950" i="10" s="1"/>
  <c r="F950" i="10" s="1"/>
  <c r="J949" i="10"/>
  <c r="I949" i="10" s="1"/>
  <c r="H949" i="10" s="1"/>
  <c r="G949" i="10" s="1"/>
  <c r="F949" i="10" s="1"/>
  <c r="J948" i="10"/>
  <c r="I948" i="10" s="1"/>
  <c r="H948" i="10" s="1"/>
  <c r="G948" i="10" s="1"/>
  <c r="F948" i="10" s="1"/>
  <c r="J947" i="10"/>
  <c r="I947" i="10" s="1"/>
  <c r="H947" i="10" s="1"/>
  <c r="G947" i="10" s="1"/>
  <c r="F947" i="10" s="1"/>
  <c r="J946" i="10"/>
  <c r="I946" i="10" s="1"/>
  <c r="H946" i="10" s="1"/>
  <c r="G946" i="10" s="1"/>
  <c r="F946" i="10" s="1"/>
  <c r="J945" i="10"/>
  <c r="I945" i="10" s="1"/>
  <c r="H945" i="10" s="1"/>
  <c r="G945" i="10" s="1"/>
  <c r="F945" i="10" s="1"/>
  <c r="J944" i="10"/>
  <c r="I944" i="10" s="1"/>
  <c r="H944" i="10" s="1"/>
  <c r="G944" i="10" s="1"/>
  <c r="F944" i="10" s="1"/>
  <c r="J943" i="10"/>
  <c r="I943" i="10" s="1"/>
  <c r="H943" i="10" s="1"/>
  <c r="G943" i="10" s="1"/>
  <c r="F943" i="10" s="1"/>
  <c r="J942" i="10"/>
  <c r="I942" i="10" s="1"/>
  <c r="H942" i="10" s="1"/>
  <c r="G942" i="10" s="1"/>
  <c r="F942" i="10" s="1"/>
  <c r="J941" i="10"/>
  <c r="I941" i="10" s="1"/>
  <c r="H941" i="10" s="1"/>
  <c r="G941" i="10" s="1"/>
  <c r="F941" i="10" s="1"/>
  <c r="J940" i="10"/>
  <c r="I940" i="10" s="1"/>
  <c r="H940" i="10" s="1"/>
  <c r="G940" i="10" s="1"/>
  <c r="F940" i="10" s="1"/>
  <c r="J939" i="10"/>
  <c r="I939" i="10" s="1"/>
  <c r="H939" i="10" s="1"/>
  <c r="G939" i="10" s="1"/>
  <c r="F939" i="10" s="1"/>
  <c r="J938" i="10"/>
  <c r="I938" i="10" s="1"/>
  <c r="H938" i="10" s="1"/>
  <c r="G938" i="10" s="1"/>
  <c r="F938" i="10" s="1"/>
  <c r="J937" i="10"/>
  <c r="I937" i="10" s="1"/>
  <c r="H937" i="10" s="1"/>
  <c r="G937" i="10" s="1"/>
  <c r="F937" i="10" s="1"/>
  <c r="J936" i="10"/>
  <c r="I936" i="10" s="1"/>
  <c r="H936" i="10" s="1"/>
  <c r="G936" i="10" s="1"/>
  <c r="F936" i="10" s="1"/>
  <c r="J935" i="10"/>
  <c r="I935" i="10" s="1"/>
  <c r="H935" i="10" s="1"/>
  <c r="G935" i="10" s="1"/>
  <c r="F935" i="10" s="1"/>
  <c r="J934" i="10"/>
  <c r="I934" i="10" s="1"/>
  <c r="H934" i="10" s="1"/>
  <c r="G934" i="10" s="1"/>
  <c r="F934" i="10" s="1"/>
  <c r="J933" i="10"/>
  <c r="I933" i="10" s="1"/>
  <c r="H933" i="10" s="1"/>
  <c r="G933" i="10" s="1"/>
  <c r="F933" i="10" s="1"/>
  <c r="J932" i="10"/>
  <c r="I932" i="10" s="1"/>
  <c r="H932" i="10" s="1"/>
  <c r="G932" i="10" s="1"/>
  <c r="F932" i="10" s="1"/>
  <c r="J931" i="10"/>
  <c r="I931" i="10" s="1"/>
  <c r="H931" i="10" s="1"/>
  <c r="G931" i="10" s="1"/>
  <c r="F931" i="10" s="1"/>
  <c r="J930" i="10"/>
  <c r="I930" i="10" s="1"/>
  <c r="H930" i="10" s="1"/>
  <c r="G930" i="10" s="1"/>
  <c r="F930" i="10" s="1"/>
  <c r="J929" i="10"/>
  <c r="I929" i="10" s="1"/>
  <c r="H929" i="10" s="1"/>
  <c r="G929" i="10" s="1"/>
  <c r="F929" i="10" s="1"/>
  <c r="J928" i="10"/>
  <c r="I928" i="10" s="1"/>
  <c r="H928" i="10" s="1"/>
  <c r="G928" i="10" s="1"/>
  <c r="F928" i="10" s="1"/>
  <c r="J927" i="10"/>
  <c r="I927" i="10" s="1"/>
  <c r="H927" i="10" s="1"/>
  <c r="G927" i="10" s="1"/>
  <c r="F927" i="10" s="1"/>
  <c r="J926" i="10"/>
  <c r="I926" i="10" s="1"/>
  <c r="H926" i="10" s="1"/>
  <c r="G926" i="10" s="1"/>
  <c r="F926" i="10" s="1"/>
  <c r="J925" i="10"/>
  <c r="I925" i="10"/>
  <c r="H925" i="10" s="1"/>
  <c r="G925" i="10" s="1"/>
  <c r="F925" i="10" s="1"/>
  <c r="J924" i="10"/>
  <c r="I924" i="10" s="1"/>
  <c r="H924" i="10" s="1"/>
  <c r="G924" i="10" s="1"/>
  <c r="F924" i="10" s="1"/>
  <c r="J923" i="10"/>
  <c r="I923" i="10" s="1"/>
  <c r="H923" i="10" s="1"/>
  <c r="G923" i="10" s="1"/>
  <c r="F923" i="10" s="1"/>
  <c r="J922" i="10"/>
  <c r="I922" i="10" s="1"/>
  <c r="H922" i="10" s="1"/>
  <c r="G922" i="10" s="1"/>
  <c r="F922" i="10" s="1"/>
  <c r="J921" i="10"/>
  <c r="I921" i="10" s="1"/>
  <c r="H921" i="10" s="1"/>
  <c r="G921" i="10" s="1"/>
  <c r="F921" i="10" s="1"/>
  <c r="J920" i="10"/>
  <c r="I920" i="10" s="1"/>
  <c r="H920" i="10" s="1"/>
  <c r="G920" i="10" s="1"/>
  <c r="F920" i="10" s="1"/>
  <c r="J919" i="10"/>
  <c r="I919" i="10" s="1"/>
  <c r="H919" i="10" s="1"/>
  <c r="G919" i="10" s="1"/>
  <c r="F919" i="10" s="1"/>
  <c r="J918" i="10"/>
  <c r="I918" i="10"/>
  <c r="H918" i="10" s="1"/>
  <c r="G918" i="10" s="1"/>
  <c r="F918" i="10" s="1"/>
  <c r="J917" i="10"/>
  <c r="I917" i="10" s="1"/>
  <c r="H917" i="10" s="1"/>
  <c r="G917" i="10" s="1"/>
  <c r="F917" i="10" s="1"/>
  <c r="J916" i="10"/>
  <c r="I916" i="10" s="1"/>
  <c r="H916" i="10" s="1"/>
  <c r="G916" i="10" s="1"/>
  <c r="F916" i="10" s="1"/>
  <c r="J915" i="10"/>
  <c r="I915" i="10" s="1"/>
  <c r="H915" i="10" s="1"/>
  <c r="G915" i="10" s="1"/>
  <c r="F915" i="10" s="1"/>
  <c r="J914" i="10"/>
  <c r="I914" i="10" s="1"/>
  <c r="H914" i="10" s="1"/>
  <c r="G914" i="10" s="1"/>
  <c r="F914" i="10" s="1"/>
  <c r="J913" i="10"/>
  <c r="I913" i="10" s="1"/>
  <c r="H913" i="10" s="1"/>
  <c r="G913" i="10" s="1"/>
  <c r="F913" i="10" s="1"/>
  <c r="J912" i="10"/>
  <c r="I912" i="10" s="1"/>
  <c r="H912" i="10" s="1"/>
  <c r="G912" i="10" s="1"/>
  <c r="F912" i="10" s="1"/>
  <c r="J911" i="10"/>
  <c r="I911" i="10" s="1"/>
  <c r="H911" i="10" s="1"/>
  <c r="G911" i="10" s="1"/>
  <c r="F911" i="10" s="1"/>
  <c r="J910" i="10"/>
  <c r="I910" i="10" s="1"/>
  <c r="H910" i="10" s="1"/>
  <c r="G910" i="10" s="1"/>
  <c r="F910" i="10" s="1"/>
  <c r="J909" i="10"/>
  <c r="I909" i="10"/>
  <c r="H909" i="10" s="1"/>
  <c r="G909" i="10" s="1"/>
  <c r="F909" i="10" s="1"/>
  <c r="J908" i="10"/>
  <c r="I908" i="10" s="1"/>
  <c r="H908" i="10" s="1"/>
  <c r="G908" i="10" s="1"/>
  <c r="F908" i="10" s="1"/>
  <c r="J907" i="10"/>
  <c r="I907" i="10" s="1"/>
  <c r="H907" i="10" s="1"/>
  <c r="G907" i="10" s="1"/>
  <c r="F907" i="10" s="1"/>
  <c r="J906" i="10"/>
  <c r="I906" i="10" s="1"/>
  <c r="H906" i="10" s="1"/>
  <c r="G906" i="10" s="1"/>
  <c r="F906" i="10" s="1"/>
  <c r="J905" i="10"/>
  <c r="I905" i="10" s="1"/>
  <c r="H905" i="10" s="1"/>
  <c r="G905" i="10" s="1"/>
  <c r="F905" i="10" s="1"/>
  <c r="J904" i="10"/>
  <c r="I904" i="10" s="1"/>
  <c r="H904" i="10" s="1"/>
  <c r="G904" i="10" s="1"/>
  <c r="F904" i="10" s="1"/>
  <c r="J903" i="10"/>
  <c r="I903" i="10" s="1"/>
  <c r="H903" i="10" s="1"/>
  <c r="G903" i="10" s="1"/>
  <c r="F903" i="10" s="1"/>
  <c r="J902" i="10"/>
  <c r="I902" i="10" s="1"/>
  <c r="H902" i="10" s="1"/>
  <c r="G902" i="10" s="1"/>
  <c r="F902" i="10" s="1"/>
  <c r="J901" i="10"/>
  <c r="I901" i="10" s="1"/>
  <c r="H901" i="10" s="1"/>
  <c r="G901" i="10" s="1"/>
  <c r="F901" i="10" s="1"/>
  <c r="J900" i="10"/>
  <c r="I900" i="10" s="1"/>
  <c r="H900" i="10" s="1"/>
  <c r="G900" i="10" s="1"/>
  <c r="F900" i="10" s="1"/>
  <c r="J899" i="10"/>
  <c r="I899" i="10" s="1"/>
  <c r="H899" i="10" s="1"/>
  <c r="G899" i="10" s="1"/>
  <c r="F899" i="10" s="1"/>
  <c r="J898" i="10"/>
  <c r="I898" i="10"/>
  <c r="H898" i="10" s="1"/>
  <c r="G898" i="10" s="1"/>
  <c r="F898" i="10" s="1"/>
  <c r="J897" i="10"/>
  <c r="I897" i="10" s="1"/>
  <c r="H897" i="10" s="1"/>
  <c r="G897" i="10" s="1"/>
  <c r="F897" i="10" s="1"/>
  <c r="J896" i="10"/>
  <c r="I896" i="10" s="1"/>
  <c r="H896" i="10" s="1"/>
  <c r="G896" i="10" s="1"/>
  <c r="F896" i="10" s="1"/>
  <c r="J895" i="10"/>
  <c r="I895" i="10" s="1"/>
  <c r="H895" i="10" s="1"/>
  <c r="G895" i="10" s="1"/>
  <c r="F895" i="10" s="1"/>
  <c r="J894" i="10"/>
  <c r="I894" i="10" s="1"/>
  <c r="H894" i="10" s="1"/>
  <c r="G894" i="10" s="1"/>
  <c r="F894" i="10" s="1"/>
  <c r="J893" i="10"/>
  <c r="I893" i="10"/>
  <c r="H893" i="10" s="1"/>
  <c r="G893" i="10" s="1"/>
  <c r="F893" i="10" s="1"/>
  <c r="J892" i="10"/>
  <c r="I892" i="10" s="1"/>
  <c r="H892" i="10" s="1"/>
  <c r="G892" i="10" s="1"/>
  <c r="F892" i="10" s="1"/>
  <c r="J891" i="10"/>
  <c r="I891" i="10" s="1"/>
  <c r="H891" i="10" s="1"/>
  <c r="G891" i="10" s="1"/>
  <c r="F891" i="10" s="1"/>
  <c r="J890" i="10"/>
  <c r="I890" i="10" s="1"/>
  <c r="H890" i="10" s="1"/>
  <c r="G890" i="10" s="1"/>
  <c r="F890" i="10" s="1"/>
  <c r="J889" i="10"/>
  <c r="I889" i="10" s="1"/>
  <c r="H889" i="10" s="1"/>
  <c r="G889" i="10" s="1"/>
  <c r="F889" i="10" s="1"/>
  <c r="J888" i="10"/>
  <c r="I888" i="10" s="1"/>
  <c r="H888" i="10" s="1"/>
  <c r="G888" i="10" s="1"/>
  <c r="F888" i="10" s="1"/>
  <c r="J887" i="10"/>
  <c r="I887" i="10" s="1"/>
  <c r="H887" i="10" s="1"/>
  <c r="G887" i="10" s="1"/>
  <c r="F887" i="10" s="1"/>
  <c r="J886" i="10"/>
  <c r="I886" i="10"/>
  <c r="H886" i="10" s="1"/>
  <c r="G886" i="10" s="1"/>
  <c r="F886" i="10" s="1"/>
  <c r="J885" i="10"/>
  <c r="I885" i="10" s="1"/>
  <c r="H885" i="10" s="1"/>
  <c r="G885" i="10" s="1"/>
  <c r="F885" i="10" s="1"/>
  <c r="J884" i="10"/>
  <c r="I884" i="10" s="1"/>
  <c r="H884" i="10" s="1"/>
  <c r="G884" i="10" s="1"/>
  <c r="F884" i="10" s="1"/>
  <c r="J883" i="10"/>
  <c r="I883" i="10"/>
  <c r="H883" i="10" s="1"/>
  <c r="G883" i="10" s="1"/>
  <c r="F883" i="10" s="1"/>
  <c r="J882" i="10"/>
  <c r="I882" i="10"/>
  <c r="H882" i="10" s="1"/>
  <c r="G882" i="10" s="1"/>
  <c r="F882" i="10" s="1"/>
  <c r="J881" i="10"/>
  <c r="I881" i="10"/>
  <c r="H881" i="10" s="1"/>
  <c r="G881" i="10" s="1"/>
  <c r="F881" i="10" s="1"/>
  <c r="J880" i="10"/>
  <c r="I880" i="10" s="1"/>
  <c r="H880" i="10" s="1"/>
  <c r="G880" i="10" s="1"/>
  <c r="F880" i="10" s="1"/>
  <c r="J879" i="10"/>
  <c r="I879" i="10" s="1"/>
  <c r="H879" i="10" s="1"/>
  <c r="G879" i="10" s="1"/>
  <c r="F879" i="10" s="1"/>
  <c r="J878" i="10"/>
  <c r="I878" i="10" s="1"/>
  <c r="H878" i="10" s="1"/>
  <c r="G878" i="10" s="1"/>
  <c r="F878" i="10" s="1"/>
  <c r="J877" i="10"/>
  <c r="I877" i="10" s="1"/>
  <c r="H877" i="10" s="1"/>
  <c r="G877" i="10" s="1"/>
  <c r="F877" i="10" s="1"/>
  <c r="J876" i="10"/>
  <c r="I876" i="10" s="1"/>
  <c r="H876" i="10" s="1"/>
  <c r="G876" i="10" s="1"/>
  <c r="F876" i="10" s="1"/>
  <c r="J875" i="10"/>
  <c r="I875" i="10" s="1"/>
  <c r="H875" i="10" s="1"/>
  <c r="G875" i="10" s="1"/>
  <c r="F875" i="10" s="1"/>
  <c r="J874" i="10"/>
  <c r="I874" i="10" s="1"/>
  <c r="H874" i="10" s="1"/>
  <c r="G874" i="10" s="1"/>
  <c r="F874" i="10" s="1"/>
  <c r="J873" i="10"/>
  <c r="I873" i="10" s="1"/>
  <c r="H873" i="10" s="1"/>
  <c r="G873" i="10" s="1"/>
  <c r="F873" i="10" s="1"/>
  <c r="J872" i="10"/>
  <c r="I872" i="10" s="1"/>
  <c r="H872" i="10" s="1"/>
  <c r="G872" i="10" s="1"/>
  <c r="F872" i="10" s="1"/>
  <c r="J871" i="10"/>
  <c r="I871" i="10" s="1"/>
  <c r="H871" i="10" s="1"/>
  <c r="G871" i="10" s="1"/>
  <c r="F871" i="10" s="1"/>
  <c r="J870" i="10"/>
  <c r="I870" i="10" s="1"/>
  <c r="H870" i="10" s="1"/>
  <c r="G870" i="10" s="1"/>
  <c r="F870" i="10" s="1"/>
  <c r="J869" i="10"/>
  <c r="I869" i="10" s="1"/>
  <c r="H869" i="10" s="1"/>
  <c r="G869" i="10" s="1"/>
  <c r="F869" i="10" s="1"/>
  <c r="J868" i="10"/>
  <c r="I868" i="10" s="1"/>
  <c r="H868" i="10" s="1"/>
  <c r="G868" i="10" s="1"/>
  <c r="F868" i="10" s="1"/>
  <c r="J867" i="10"/>
  <c r="I867" i="10" s="1"/>
  <c r="H867" i="10" s="1"/>
  <c r="G867" i="10" s="1"/>
  <c r="F867" i="10" s="1"/>
  <c r="J866" i="10"/>
  <c r="I866" i="10" s="1"/>
  <c r="H866" i="10" s="1"/>
  <c r="G866" i="10" s="1"/>
  <c r="F866" i="10" s="1"/>
  <c r="J865" i="10"/>
  <c r="I865" i="10" s="1"/>
  <c r="H865" i="10" s="1"/>
  <c r="G865" i="10" s="1"/>
  <c r="F865" i="10" s="1"/>
  <c r="J864" i="10"/>
  <c r="I864" i="10" s="1"/>
  <c r="H864" i="10" s="1"/>
  <c r="G864" i="10" s="1"/>
  <c r="F864" i="10" s="1"/>
  <c r="J863" i="10"/>
  <c r="I863" i="10" s="1"/>
  <c r="H863" i="10" s="1"/>
  <c r="G863" i="10" s="1"/>
  <c r="F863" i="10" s="1"/>
  <c r="J862" i="10"/>
  <c r="I862" i="10" s="1"/>
  <c r="H862" i="10" s="1"/>
  <c r="G862" i="10" s="1"/>
  <c r="F862" i="10" s="1"/>
  <c r="J861" i="10"/>
  <c r="I861" i="10" s="1"/>
  <c r="H861" i="10" s="1"/>
  <c r="G861" i="10" s="1"/>
  <c r="F861" i="10" s="1"/>
  <c r="J860" i="10"/>
  <c r="I860" i="10" s="1"/>
  <c r="H860" i="10" s="1"/>
  <c r="G860" i="10" s="1"/>
  <c r="F860" i="10" s="1"/>
  <c r="J859" i="10"/>
  <c r="I859" i="10" s="1"/>
  <c r="H859" i="10" s="1"/>
  <c r="G859" i="10" s="1"/>
  <c r="F859" i="10" s="1"/>
  <c r="J858" i="10"/>
  <c r="I858" i="10" s="1"/>
  <c r="H858" i="10" s="1"/>
  <c r="G858" i="10" s="1"/>
  <c r="F858" i="10" s="1"/>
  <c r="J857" i="10"/>
  <c r="I857" i="10" s="1"/>
  <c r="H857" i="10" s="1"/>
  <c r="G857" i="10" s="1"/>
  <c r="F857" i="10" s="1"/>
  <c r="J856" i="10"/>
  <c r="I856" i="10" s="1"/>
  <c r="H856" i="10" s="1"/>
  <c r="G856" i="10" s="1"/>
  <c r="F856" i="10" s="1"/>
  <c r="J855" i="10"/>
  <c r="I855" i="10" s="1"/>
  <c r="H855" i="10" s="1"/>
  <c r="G855" i="10" s="1"/>
  <c r="F855" i="10" s="1"/>
  <c r="J854" i="10"/>
  <c r="I854" i="10" s="1"/>
  <c r="H854" i="10" s="1"/>
  <c r="G854" i="10" s="1"/>
  <c r="F854" i="10" s="1"/>
  <c r="J853" i="10"/>
  <c r="I853" i="10" s="1"/>
  <c r="H853" i="10" s="1"/>
  <c r="G853" i="10" s="1"/>
  <c r="F853" i="10" s="1"/>
  <c r="J852" i="10"/>
  <c r="I852" i="10" s="1"/>
  <c r="H852" i="10" s="1"/>
  <c r="G852" i="10" s="1"/>
  <c r="F852" i="10" s="1"/>
  <c r="J851" i="10"/>
  <c r="I851" i="10" s="1"/>
  <c r="H851" i="10" s="1"/>
  <c r="G851" i="10" s="1"/>
  <c r="F851" i="10" s="1"/>
  <c r="J850" i="10"/>
  <c r="I850" i="10" s="1"/>
  <c r="H850" i="10" s="1"/>
  <c r="G850" i="10" s="1"/>
  <c r="F850" i="10" s="1"/>
  <c r="J849" i="10"/>
  <c r="I849" i="10" s="1"/>
  <c r="H849" i="10" s="1"/>
  <c r="G849" i="10" s="1"/>
  <c r="F849" i="10" s="1"/>
  <c r="J848" i="10"/>
  <c r="I848" i="10" s="1"/>
  <c r="H848" i="10" s="1"/>
  <c r="G848" i="10" s="1"/>
  <c r="F848" i="10" s="1"/>
  <c r="J847" i="10"/>
  <c r="I847" i="10" s="1"/>
  <c r="H847" i="10" s="1"/>
  <c r="G847" i="10" s="1"/>
  <c r="F847" i="10" s="1"/>
  <c r="J846" i="10"/>
  <c r="I846" i="10" s="1"/>
  <c r="H846" i="10" s="1"/>
  <c r="G846" i="10" s="1"/>
  <c r="F846" i="10" s="1"/>
  <c r="J845" i="10"/>
  <c r="I845" i="10" s="1"/>
  <c r="H845" i="10" s="1"/>
  <c r="G845" i="10" s="1"/>
  <c r="F845" i="10" s="1"/>
  <c r="J844" i="10"/>
  <c r="I844" i="10" s="1"/>
  <c r="H844" i="10" s="1"/>
  <c r="G844" i="10" s="1"/>
  <c r="F844" i="10" s="1"/>
  <c r="J843" i="10"/>
  <c r="I843" i="10" s="1"/>
  <c r="H843" i="10" s="1"/>
  <c r="G843" i="10" s="1"/>
  <c r="F843" i="10" s="1"/>
  <c r="J842" i="10"/>
  <c r="I842" i="10" s="1"/>
  <c r="H842" i="10" s="1"/>
  <c r="G842" i="10" s="1"/>
  <c r="F842" i="10" s="1"/>
  <c r="J841" i="10"/>
  <c r="I841" i="10" s="1"/>
  <c r="H841" i="10" s="1"/>
  <c r="G841" i="10" s="1"/>
  <c r="F841" i="10" s="1"/>
  <c r="J840" i="10"/>
  <c r="I840" i="10" s="1"/>
  <c r="H840" i="10" s="1"/>
  <c r="G840" i="10" s="1"/>
  <c r="F840" i="10" s="1"/>
  <c r="J839" i="10"/>
  <c r="I839" i="10" s="1"/>
  <c r="H839" i="10" s="1"/>
  <c r="G839" i="10" s="1"/>
  <c r="F839" i="10" s="1"/>
  <c r="J838" i="10"/>
  <c r="I838" i="10" s="1"/>
  <c r="H838" i="10" s="1"/>
  <c r="G838" i="10" s="1"/>
  <c r="F838" i="10" s="1"/>
  <c r="J837" i="10"/>
  <c r="I837" i="10" s="1"/>
  <c r="H837" i="10" s="1"/>
  <c r="G837" i="10" s="1"/>
  <c r="F837" i="10" s="1"/>
  <c r="J836" i="10"/>
  <c r="I836" i="10" s="1"/>
  <c r="H836" i="10" s="1"/>
  <c r="G836" i="10" s="1"/>
  <c r="F836" i="10" s="1"/>
  <c r="J835" i="10"/>
  <c r="I835" i="10" s="1"/>
  <c r="H835" i="10" s="1"/>
  <c r="G835" i="10" s="1"/>
  <c r="F835" i="10" s="1"/>
  <c r="J834" i="10"/>
  <c r="I834" i="10" s="1"/>
  <c r="H834" i="10" s="1"/>
  <c r="G834" i="10" s="1"/>
  <c r="F834" i="10" s="1"/>
  <c r="J833" i="10"/>
  <c r="I833" i="10" s="1"/>
  <c r="H833" i="10" s="1"/>
  <c r="G833" i="10" s="1"/>
  <c r="F833" i="10" s="1"/>
  <c r="J832" i="10"/>
  <c r="I832" i="10" s="1"/>
  <c r="H832" i="10" s="1"/>
  <c r="G832" i="10" s="1"/>
  <c r="F832" i="10" s="1"/>
  <c r="J831" i="10"/>
  <c r="I831" i="10" s="1"/>
  <c r="H831" i="10" s="1"/>
  <c r="G831" i="10" s="1"/>
  <c r="F831" i="10" s="1"/>
  <c r="J830" i="10"/>
  <c r="I830" i="10" s="1"/>
  <c r="H830" i="10" s="1"/>
  <c r="G830" i="10" s="1"/>
  <c r="F830" i="10" s="1"/>
  <c r="J829" i="10"/>
  <c r="I829" i="10" s="1"/>
  <c r="H829" i="10" s="1"/>
  <c r="G829" i="10" s="1"/>
  <c r="F829" i="10" s="1"/>
  <c r="J828" i="10"/>
  <c r="I828" i="10" s="1"/>
  <c r="H828" i="10" s="1"/>
  <c r="G828" i="10" s="1"/>
  <c r="F828" i="10" s="1"/>
  <c r="J827" i="10"/>
  <c r="I827" i="10" s="1"/>
  <c r="H827" i="10" s="1"/>
  <c r="G827" i="10" s="1"/>
  <c r="F827" i="10" s="1"/>
  <c r="J826" i="10"/>
  <c r="I826" i="10" s="1"/>
  <c r="H826" i="10" s="1"/>
  <c r="G826" i="10" s="1"/>
  <c r="F826" i="10" s="1"/>
  <c r="J825" i="10"/>
  <c r="I825" i="10" s="1"/>
  <c r="H825" i="10" s="1"/>
  <c r="G825" i="10" s="1"/>
  <c r="F825" i="10" s="1"/>
  <c r="J824" i="10"/>
  <c r="I824" i="10" s="1"/>
  <c r="H824" i="10" s="1"/>
  <c r="G824" i="10" s="1"/>
  <c r="F824" i="10" s="1"/>
  <c r="J823" i="10"/>
  <c r="I823" i="10" s="1"/>
  <c r="H823" i="10" s="1"/>
  <c r="G823" i="10" s="1"/>
  <c r="F823" i="10" s="1"/>
  <c r="J822" i="10"/>
  <c r="I822" i="10" s="1"/>
  <c r="H822" i="10" s="1"/>
  <c r="G822" i="10" s="1"/>
  <c r="F822" i="10" s="1"/>
  <c r="J821" i="10"/>
  <c r="I821" i="10" s="1"/>
  <c r="H821" i="10" s="1"/>
  <c r="G821" i="10" s="1"/>
  <c r="F821" i="10" s="1"/>
  <c r="J820" i="10"/>
  <c r="I820" i="10" s="1"/>
  <c r="H820" i="10" s="1"/>
  <c r="G820" i="10" s="1"/>
  <c r="F820" i="10" s="1"/>
  <c r="J819" i="10"/>
  <c r="I819" i="10" s="1"/>
  <c r="H819" i="10" s="1"/>
  <c r="G819" i="10" s="1"/>
  <c r="F819" i="10" s="1"/>
  <c r="J818" i="10"/>
  <c r="I818" i="10" s="1"/>
  <c r="H818" i="10" s="1"/>
  <c r="G818" i="10" s="1"/>
  <c r="F818" i="10" s="1"/>
  <c r="J817" i="10"/>
  <c r="I817" i="10" s="1"/>
  <c r="H817" i="10" s="1"/>
  <c r="G817" i="10" s="1"/>
  <c r="F817" i="10" s="1"/>
  <c r="J816" i="10"/>
  <c r="I816" i="10" s="1"/>
  <c r="H816" i="10" s="1"/>
  <c r="G816" i="10" s="1"/>
  <c r="F816" i="10" s="1"/>
  <c r="F1335" i="10"/>
  <c r="F1334" i="10"/>
  <c r="F1333" i="10"/>
  <c r="F1331" i="10"/>
  <c r="F1330" i="10"/>
  <c r="F1329" i="10"/>
  <c r="F1328" i="10"/>
  <c r="F1327" i="10"/>
  <c r="F1326" i="10"/>
  <c r="F1325" i="10"/>
  <c r="F1324" i="10"/>
  <c r="F1323" i="10"/>
  <c r="F1322" i="10"/>
  <c r="F1320" i="10"/>
  <c r="F1318" i="10"/>
  <c r="F1317" i="10"/>
  <c r="F1315" i="10"/>
  <c r="F1314" i="10"/>
  <c r="F1313" i="10"/>
  <c r="F1312" i="10"/>
  <c r="F1311" i="10"/>
  <c r="F1310" i="10"/>
  <c r="F1309" i="10"/>
  <c r="F1308" i="10"/>
  <c r="F1307" i="10"/>
  <c r="F1306" i="10"/>
  <c r="F1304" i="10"/>
  <c r="F1302" i="10"/>
  <c r="F1301" i="10"/>
  <c r="F1299" i="10"/>
  <c r="F1298" i="10"/>
  <c r="F1297" i="10"/>
  <c r="F1296" i="10"/>
  <c r="F1295" i="10"/>
  <c r="F1294" i="10"/>
  <c r="F1293" i="10"/>
  <c r="F1292" i="10"/>
  <c r="F1291" i="10"/>
  <c r="F1290" i="10"/>
  <c r="F1288" i="10"/>
  <c r="F1286" i="10"/>
  <c r="F1285" i="10"/>
  <c r="F1283" i="10"/>
  <c r="F1282" i="10"/>
  <c r="F1281" i="10"/>
  <c r="F1280" i="10"/>
  <c r="F1279" i="10"/>
  <c r="F1278" i="10"/>
  <c r="F1277" i="10"/>
  <c r="F1276" i="10"/>
  <c r="F1275" i="10"/>
  <c r="F1274" i="10"/>
  <c r="F1272" i="10"/>
  <c r="F1270" i="10"/>
  <c r="F1269" i="10"/>
  <c r="F1267" i="10"/>
  <c r="F1266" i="10"/>
  <c r="F1265" i="10"/>
  <c r="F1264" i="10"/>
  <c r="F1263" i="10"/>
  <c r="F1262" i="10"/>
  <c r="F1261" i="10"/>
  <c r="F1260" i="10"/>
  <c r="F1259" i="10"/>
  <c r="F1258" i="10"/>
  <c r="F1256" i="10"/>
  <c r="F1254" i="10"/>
  <c r="F1253" i="10"/>
  <c r="F1251" i="10"/>
  <c r="F1250" i="10"/>
  <c r="F1249" i="10"/>
  <c r="F1248" i="10"/>
  <c r="F1247" i="10"/>
  <c r="F1246" i="10"/>
  <c r="F1245" i="10"/>
  <c r="F1244" i="10"/>
  <c r="F1243" i="10"/>
  <c r="F1242" i="10"/>
  <c r="F1241" i="10"/>
  <c r="F1240" i="10"/>
  <c r="F1239" i="10"/>
  <c r="F1238" i="10"/>
  <c r="F1237" i="10"/>
  <c r="F1236" i="10"/>
  <c r="F1235" i="10"/>
  <c r="F1234" i="10"/>
  <c r="F1233" i="10"/>
  <c r="F1231" i="10"/>
  <c r="F1230" i="10"/>
  <c r="F1229" i="10"/>
  <c r="F1228" i="10"/>
  <c r="F1227" i="10"/>
  <c r="F1226" i="10"/>
  <c r="F1224" i="10"/>
  <c r="F1223" i="10"/>
  <c r="F1222" i="10"/>
  <c r="F1221" i="10"/>
  <c r="F1220" i="10"/>
  <c r="F1219" i="10"/>
  <c r="F1218" i="10"/>
  <c r="F1217" i="10"/>
  <c r="F1216" i="10"/>
  <c r="F1215" i="10"/>
  <c r="F1213" i="10"/>
  <c r="F1211" i="10"/>
  <c r="F1210" i="10"/>
  <c r="F1208" i="10"/>
  <c r="F1207" i="10"/>
  <c r="F1206" i="10"/>
  <c r="F1205" i="10"/>
  <c r="F1204" i="10"/>
  <c r="F1203" i="10"/>
  <c r="F1202" i="10"/>
  <c r="F1201" i="10"/>
  <c r="F1200" i="10"/>
  <c r="F1199" i="10"/>
  <c r="F1198" i="10"/>
  <c r="F1197" i="10"/>
  <c r="F1195" i="10"/>
  <c r="F1194" i="10"/>
  <c r="F1193" i="10"/>
  <c r="F1191" i="10"/>
  <c r="F1190" i="10"/>
  <c r="F1189" i="10"/>
  <c r="F1187" i="10"/>
  <c r="F1186" i="10"/>
  <c r="F1183" i="10"/>
  <c r="F1182" i="10"/>
  <c r="F1181" i="10"/>
  <c r="F1180" i="10"/>
  <c r="F1179" i="10"/>
  <c r="F1178" i="10"/>
  <c r="F1176" i="10"/>
  <c r="F1175" i="10"/>
  <c r="F1174" i="10"/>
  <c r="F1172" i="10"/>
  <c r="F1170" i="10"/>
  <c r="F1169" i="10"/>
  <c r="F1168" i="10"/>
  <c r="F1167" i="10"/>
  <c r="F1165" i="10"/>
  <c r="F1164" i="10"/>
  <c r="F1163" i="10"/>
  <c r="F1161" i="10"/>
  <c r="F1160" i="10"/>
  <c r="F1157" i="10"/>
  <c r="F1156" i="10"/>
  <c r="F1155" i="10"/>
  <c r="F1153" i="10"/>
  <c r="F1152" i="10"/>
  <c r="F1151" i="10"/>
  <c r="F1149" i="10"/>
  <c r="F1148" i="10"/>
  <c r="F1147" i="10"/>
  <c r="F1145" i="10"/>
  <c r="F1144" i="10"/>
  <c r="F1143" i="10"/>
  <c r="F1142" i="10"/>
  <c r="F1141" i="10"/>
  <c r="F1137" i="10"/>
  <c r="F1136" i="10"/>
  <c r="F1135" i="10"/>
  <c r="F1133" i="10"/>
  <c r="F1132" i="10"/>
  <c r="F1131" i="10"/>
  <c r="F1129" i="10"/>
  <c r="F1126" i="10"/>
  <c r="F1125" i="10"/>
  <c r="F1124" i="10"/>
  <c r="F1121" i="10"/>
  <c r="F1120" i="10"/>
  <c r="F1119" i="10"/>
  <c r="F1117" i="10"/>
  <c r="F1116" i="10"/>
  <c r="F1115" i="10"/>
  <c r="F1113" i="10"/>
  <c r="F1112" i="10"/>
  <c r="F1110" i="10"/>
  <c r="F1109" i="10"/>
  <c r="F1108" i="10"/>
  <c r="F1106" i="10"/>
  <c r="F1105" i="10"/>
  <c r="F1103" i="10"/>
  <c r="F1101" i="10"/>
  <c r="F1099" i="10"/>
  <c r="F1097" i="10"/>
  <c r="F1096" i="10"/>
  <c r="F1095" i="10"/>
  <c r="F1094" i="10"/>
  <c r="F1093" i="10"/>
  <c r="F1091" i="10"/>
  <c r="F1089" i="10"/>
  <c r="F1087" i="10"/>
  <c r="F1085" i="10"/>
  <c r="F1084" i="10"/>
  <c r="F1083" i="10"/>
  <c r="F1081" i="10"/>
  <c r="F1080" i="10"/>
  <c r="F1077" i="10"/>
  <c r="F1076" i="10"/>
  <c r="F1075" i="10"/>
  <c r="F1073" i="10"/>
  <c r="F1072" i="10"/>
  <c r="F1071" i="10"/>
  <c r="F1069" i="10"/>
  <c r="F1068" i="10"/>
  <c r="F1067" i="10"/>
  <c r="F1065" i="10"/>
  <c r="F1064" i="10"/>
  <c r="F1063" i="10"/>
  <c r="F1062" i="10"/>
  <c r="F1061" i="10"/>
  <c r="F1060" i="10"/>
  <c r="F1059" i="10"/>
  <c r="F1058" i="10"/>
  <c r="F1056" i="10"/>
  <c r="F1055" i="10"/>
  <c r="F1052" i="10"/>
  <c r="F1051" i="10"/>
  <c r="F1049" i="10"/>
  <c r="F1048" i="10"/>
  <c r="F1047" i="10"/>
  <c r="F1046" i="10"/>
  <c r="F1042" i="10"/>
  <c r="F1040" i="10"/>
  <c r="F1039" i="10"/>
  <c r="F1036" i="10"/>
  <c r="F1035" i="10"/>
  <c r="F1034" i="10"/>
  <c r="F1032" i="10"/>
  <c r="F1028" i="10"/>
  <c r="F1027" i="10"/>
  <c r="F1023" i="10"/>
  <c r="F1020" i="10"/>
  <c r="F1018" i="10"/>
  <c r="F1016" i="10"/>
  <c r="F1011" i="10"/>
  <c r="F1008" i="10"/>
  <c r="F1007" i="10"/>
  <c r="F1004" i="10"/>
  <c r="F1002" i="10"/>
  <c r="F1000" i="10"/>
  <c r="F999" i="10"/>
  <c r="F995" i="10"/>
  <c r="F993" i="10"/>
  <c r="F992" i="10"/>
  <c r="F991" i="10"/>
  <c r="F988" i="10"/>
  <c r="F987" i="10"/>
  <c r="F986" i="10"/>
  <c r="F984" i="10"/>
  <c r="F983" i="10"/>
  <c r="F980" i="10"/>
  <c r="F979" i="10"/>
  <c r="F977" i="10"/>
  <c r="F976" i="10"/>
  <c r="F975" i="10"/>
  <c r="F972" i="10"/>
  <c r="F970" i="10"/>
  <c r="F968" i="10"/>
  <c r="F963" i="10"/>
  <c r="F961" i="10"/>
  <c r="J2507" i="10"/>
  <c r="J2506" i="10"/>
  <c r="J2505" i="10"/>
  <c r="J2504" i="10"/>
  <c r="J2503" i="10"/>
  <c r="J2502" i="10"/>
  <c r="J2501" i="10"/>
  <c r="J2500" i="10"/>
  <c r="J2499" i="10"/>
  <c r="J2498" i="10"/>
  <c r="J2497" i="10"/>
  <c r="J2496" i="10"/>
  <c r="J2495" i="10"/>
  <c r="J2494" i="10"/>
  <c r="J2493" i="10"/>
  <c r="J2492" i="10"/>
  <c r="J2491" i="10"/>
  <c r="J2490" i="10"/>
  <c r="J2489" i="10"/>
  <c r="J2488" i="10"/>
  <c r="J2487" i="10"/>
  <c r="J2486" i="10"/>
  <c r="J2485" i="10"/>
  <c r="J2484" i="10"/>
  <c r="J2483" i="10"/>
  <c r="J2482" i="10"/>
  <c r="J2481" i="10"/>
  <c r="J2480" i="10"/>
  <c r="J2479" i="10"/>
  <c r="J2478" i="10"/>
  <c r="J2477" i="10"/>
  <c r="J2476" i="10"/>
  <c r="J2475" i="10"/>
  <c r="J2474" i="10"/>
  <c r="J2473" i="10"/>
  <c r="J2472" i="10"/>
  <c r="J2471" i="10"/>
  <c r="J2470" i="10"/>
  <c r="J2469" i="10"/>
  <c r="J2468" i="10"/>
  <c r="J2467" i="10"/>
  <c r="J2466" i="10"/>
  <c r="J2465" i="10"/>
  <c r="J2464" i="10"/>
  <c r="J2463" i="10"/>
  <c r="J2462" i="10"/>
  <c r="J2461" i="10"/>
  <c r="J2460" i="10"/>
  <c r="J2459" i="10"/>
  <c r="J2458" i="10"/>
  <c r="J2457" i="10"/>
  <c r="J2456" i="10"/>
  <c r="J2455" i="10"/>
  <c r="J2454" i="10"/>
  <c r="J2453" i="10"/>
  <c r="J2452" i="10"/>
  <c r="J2451" i="10"/>
  <c r="J2450" i="10"/>
  <c r="J2449" i="10"/>
  <c r="J2448" i="10"/>
  <c r="J2447" i="10"/>
  <c r="J2446" i="10"/>
  <c r="J2445" i="10"/>
  <c r="J2444" i="10"/>
  <c r="J2443" i="10"/>
  <c r="J2442" i="10"/>
  <c r="J2441" i="10"/>
  <c r="J2440" i="10"/>
  <c r="J2439" i="10"/>
  <c r="J2438" i="10"/>
  <c r="J2437" i="10"/>
  <c r="J2436" i="10"/>
  <c r="J2435" i="10"/>
  <c r="J2434" i="10"/>
  <c r="J2433" i="10"/>
  <c r="J2432" i="10"/>
  <c r="J2431" i="10"/>
  <c r="J2430" i="10"/>
  <c r="J2429" i="10"/>
  <c r="J2428" i="10"/>
  <c r="J2427" i="10"/>
  <c r="J2426" i="10"/>
  <c r="J2425" i="10"/>
  <c r="J2424" i="10"/>
  <c r="J2423" i="10"/>
  <c r="J2422" i="10"/>
  <c r="J2421" i="10"/>
  <c r="J2420" i="10"/>
  <c r="J2419" i="10"/>
  <c r="J2418" i="10"/>
  <c r="J2417" i="10"/>
  <c r="J2416" i="10"/>
  <c r="J2415" i="10"/>
  <c r="J2414" i="10"/>
  <c r="J2413" i="10"/>
  <c r="J2412" i="10"/>
  <c r="J2411" i="10"/>
  <c r="J2410" i="10"/>
  <c r="J2409" i="10"/>
  <c r="J2408" i="10"/>
  <c r="J2407" i="10"/>
  <c r="J2406" i="10"/>
  <c r="J2405" i="10"/>
  <c r="J2404" i="10"/>
  <c r="J2403" i="10"/>
  <c r="J2402" i="10"/>
  <c r="J2401" i="10"/>
  <c r="J2400" i="10"/>
  <c r="J2399" i="10"/>
  <c r="J2398" i="10"/>
  <c r="J2397" i="10"/>
  <c r="J2396" i="10"/>
  <c r="J2395" i="10"/>
  <c r="J2394" i="10"/>
  <c r="J2393" i="10"/>
  <c r="J2392" i="10"/>
  <c r="J2391" i="10"/>
  <c r="J2390" i="10"/>
  <c r="J2389" i="10"/>
  <c r="J2388" i="10"/>
  <c r="J2387" i="10"/>
  <c r="J2386" i="10"/>
  <c r="J2385" i="10"/>
  <c r="J2384" i="10"/>
  <c r="J2383" i="10"/>
  <c r="J2382" i="10"/>
  <c r="J2381" i="10"/>
  <c r="J2380" i="10"/>
  <c r="J2379" i="10"/>
  <c r="J2378" i="10"/>
  <c r="J2377" i="10"/>
  <c r="J2376" i="10"/>
  <c r="J2375" i="10"/>
  <c r="J2374" i="10"/>
  <c r="J2373" i="10"/>
  <c r="J2372" i="10"/>
  <c r="J2371" i="10"/>
  <c r="J2370" i="10"/>
  <c r="J2369" i="10"/>
  <c r="J2368" i="10"/>
  <c r="J2367" i="10"/>
  <c r="J2366" i="10"/>
  <c r="J2365" i="10"/>
  <c r="J2364" i="10"/>
  <c r="J2363" i="10"/>
  <c r="J2362" i="10"/>
  <c r="J2361" i="10"/>
  <c r="J2360" i="10"/>
  <c r="J2359" i="10"/>
  <c r="J2358" i="10"/>
  <c r="J2357" i="10"/>
  <c r="J2356" i="10"/>
  <c r="J2355" i="10"/>
  <c r="J2354" i="10"/>
  <c r="J2353" i="10"/>
  <c r="J2352" i="10"/>
  <c r="J2351" i="10"/>
  <c r="J2350" i="10"/>
  <c r="J2349" i="10"/>
  <c r="J2348" i="10"/>
  <c r="J2347" i="10"/>
  <c r="J2346" i="10"/>
  <c r="J2345" i="10"/>
  <c r="J2344" i="10"/>
  <c r="J2343" i="10"/>
  <c r="J2342" i="10"/>
  <c r="J2341" i="10"/>
  <c r="J2340" i="10"/>
  <c r="J2339" i="10"/>
  <c r="J2338" i="10"/>
  <c r="J2337" i="10"/>
  <c r="J2336" i="10"/>
  <c r="J2335" i="10"/>
  <c r="J2334" i="10"/>
  <c r="J2333" i="10"/>
  <c r="J2332" i="10"/>
  <c r="J2331" i="10"/>
  <c r="J2330" i="10"/>
  <c r="J2329" i="10"/>
  <c r="J2328" i="10"/>
  <c r="J2327" i="10"/>
  <c r="J2326" i="10"/>
  <c r="J2325" i="10"/>
  <c r="J2324" i="10"/>
  <c r="J2323" i="10"/>
  <c r="J2322" i="10"/>
  <c r="J2321" i="10"/>
  <c r="J2320" i="10"/>
  <c r="J2319" i="10"/>
  <c r="J2318" i="10"/>
  <c r="J2317" i="10"/>
  <c r="J2316" i="10"/>
  <c r="J2315" i="10"/>
  <c r="J2314" i="10"/>
  <c r="J2313" i="10"/>
  <c r="J2312" i="10"/>
  <c r="J2311" i="10"/>
  <c r="J2310" i="10"/>
  <c r="J2309" i="10"/>
  <c r="J2308" i="10"/>
  <c r="J2307" i="10"/>
  <c r="J2306" i="10"/>
  <c r="J2305" i="10"/>
  <c r="J2304" i="10"/>
  <c r="J2303" i="10"/>
  <c r="J2302" i="10"/>
  <c r="J2301" i="10"/>
  <c r="J2300" i="10"/>
  <c r="J2299" i="10"/>
  <c r="J2298" i="10"/>
  <c r="J2297" i="10"/>
  <c r="J2296" i="10"/>
  <c r="J2295" i="10"/>
  <c r="J2294" i="10"/>
  <c r="J2293" i="10"/>
  <c r="J2292" i="10"/>
  <c r="J2291" i="10"/>
  <c r="J2290" i="10"/>
  <c r="J2289" i="10"/>
  <c r="J2288" i="10"/>
  <c r="J2287" i="10"/>
  <c r="J2286" i="10"/>
  <c r="J2285" i="10"/>
  <c r="J2284" i="10"/>
  <c r="J2283" i="10"/>
  <c r="J2282" i="10"/>
  <c r="J2281" i="10"/>
  <c r="J2280" i="10"/>
  <c r="J2279" i="10"/>
  <c r="J2278" i="10"/>
  <c r="J2277" i="10"/>
  <c r="J2276" i="10"/>
  <c r="J2275" i="10"/>
  <c r="J2274" i="10"/>
  <c r="J2273" i="10"/>
  <c r="J2272" i="10"/>
  <c r="J2271" i="10"/>
  <c r="J2270" i="10"/>
  <c r="J2269" i="10"/>
  <c r="J2268" i="10"/>
  <c r="J2267" i="10"/>
  <c r="J2266" i="10"/>
  <c r="J2265" i="10"/>
  <c r="J2264" i="10"/>
  <c r="J2263" i="10"/>
  <c r="J2262" i="10"/>
  <c r="J2261" i="10"/>
  <c r="J2260" i="10"/>
  <c r="J2259" i="10"/>
  <c r="J2258" i="10"/>
  <c r="J2257" i="10"/>
  <c r="J2256" i="10"/>
  <c r="J2255" i="10"/>
  <c r="J2254" i="10"/>
  <c r="J2253" i="10"/>
  <c r="J2252" i="10"/>
  <c r="J2251" i="10"/>
  <c r="J2250" i="10"/>
  <c r="J2249" i="10"/>
  <c r="J2248" i="10"/>
  <c r="J2247" i="10"/>
  <c r="J2246" i="10"/>
  <c r="J2245" i="10"/>
  <c r="J2244" i="10"/>
  <c r="J2243" i="10"/>
  <c r="J2242" i="10"/>
  <c r="J2241" i="10"/>
  <c r="J2240" i="10"/>
  <c r="J2239" i="10"/>
  <c r="J2238" i="10"/>
  <c r="J2237" i="10"/>
  <c r="J2236" i="10"/>
  <c r="J2235" i="10"/>
  <c r="J2234" i="10"/>
  <c r="J2233" i="10"/>
  <c r="J2232" i="10"/>
  <c r="J2231" i="10"/>
  <c r="J2230" i="10"/>
  <c r="J2229" i="10"/>
  <c r="J2228" i="10"/>
  <c r="J2227" i="10"/>
  <c r="J2226" i="10"/>
  <c r="J2225" i="10"/>
  <c r="J2224" i="10"/>
  <c r="J2223" i="10"/>
  <c r="J2222" i="10"/>
  <c r="J2221" i="10"/>
  <c r="J2220" i="10"/>
  <c r="J2219" i="10"/>
  <c r="J2218" i="10"/>
  <c r="J2217" i="10"/>
  <c r="J2216" i="10"/>
  <c r="J2215" i="10"/>
  <c r="J2214" i="10"/>
  <c r="J2213" i="10"/>
  <c r="J2212" i="10"/>
  <c r="J2211" i="10"/>
  <c r="J2210" i="10"/>
  <c r="J2209" i="10"/>
  <c r="J2208" i="10"/>
  <c r="J2207" i="10"/>
  <c r="J2206" i="10"/>
  <c r="J2205" i="10"/>
  <c r="J2204" i="10"/>
  <c r="J2203" i="10"/>
  <c r="J2202" i="10"/>
  <c r="J2201" i="10"/>
  <c r="J2200" i="10"/>
  <c r="J2199" i="10"/>
  <c r="J2198" i="10"/>
  <c r="J2197" i="10"/>
  <c r="J2196" i="10"/>
  <c r="J2195" i="10"/>
  <c r="J2194" i="10"/>
  <c r="J2193" i="10"/>
  <c r="J2192" i="10"/>
  <c r="J2191" i="10"/>
  <c r="J2190" i="10"/>
  <c r="J2189" i="10"/>
  <c r="J2188" i="10"/>
  <c r="J2187" i="10"/>
  <c r="J2186" i="10"/>
  <c r="J2185" i="10"/>
  <c r="J2184" i="10"/>
  <c r="J2183" i="10"/>
  <c r="J2182" i="10"/>
  <c r="J2181" i="10"/>
  <c r="J2180" i="10"/>
  <c r="J2179" i="10"/>
  <c r="J2178" i="10"/>
  <c r="J2177" i="10"/>
  <c r="J2176" i="10"/>
  <c r="J2175" i="10"/>
  <c r="J2174" i="10"/>
  <c r="J2173" i="10"/>
  <c r="J2172" i="10"/>
  <c r="J2171" i="10"/>
  <c r="J2170" i="10"/>
  <c r="J2169" i="10"/>
  <c r="J2168" i="10"/>
  <c r="J2167" i="10"/>
  <c r="J2166" i="10"/>
  <c r="J2165" i="10"/>
  <c r="J2164" i="10"/>
  <c r="J2163" i="10"/>
  <c r="J2162" i="10"/>
  <c r="J2161" i="10"/>
  <c r="J2160" i="10"/>
  <c r="J2159" i="10"/>
  <c r="J2158" i="10"/>
  <c r="J2157" i="10"/>
  <c r="J2156" i="10"/>
  <c r="J2155" i="10"/>
  <c r="J2154" i="10"/>
  <c r="J2153" i="10"/>
  <c r="J2152" i="10"/>
  <c r="J2151" i="10"/>
  <c r="J2150" i="10"/>
  <c r="J2149" i="10"/>
  <c r="J2148" i="10"/>
  <c r="J2147" i="10"/>
  <c r="J2146" i="10"/>
  <c r="J2145" i="10"/>
  <c r="J2144" i="10"/>
  <c r="J2143" i="10"/>
  <c r="J2142" i="10"/>
  <c r="J2141" i="10"/>
  <c r="J2140" i="10"/>
  <c r="J2139" i="10"/>
  <c r="J2138" i="10"/>
  <c r="J2137" i="10"/>
  <c r="J2136" i="10"/>
  <c r="J2135" i="10"/>
  <c r="J2134" i="10"/>
  <c r="J2133" i="10"/>
  <c r="J2132" i="10"/>
  <c r="J2131" i="10"/>
  <c r="J2130" i="10"/>
  <c r="J2129" i="10"/>
  <c r="J2128" i="10"/>
  <c r="J2127" i="10"/>
  <c r="J2126" i="10"/>
  <c r="J2125" i="10"/>
  <c r="J2124" i="10"/>
  <c r="J2123" i="10"/>
  <c r="J2122" i="10"/>
  <c r="J2121" i="10"/>
  <c r="J2120" i="10"/>
  <c r="J2119" i="10"/>
  <c r="J2118" i="10"/>
  <c r="J2117" i="10"/>
  <c r="J2116" i="10"/>
  <c r="J2115" i="10"/>
  <c r="J2114" i="10"/>
  <c r="J2113" i="10"/>
  <c r="J2112" i="10"/>
  <c r="J2111" i="10"/>
  <c r="J2110" i="10"/>
  <c r="J2109" i="10"/>
  <c r="J2108" i="10"/>
  <c r="J2107" i="10"/>
  <c r="J2106" i="10"/>
  <c r="J2105" i="10"/>
  <c r="J2104" i="10"/>
  <c r="J2103" i="10"/>
  <c r="J2102" i="10"/>
  <c r="J2101" i="10"/>
  <c r="J2100" i="10"/>
  <c r="J2099" i="10"/>
  <c r="J2098" i="10"/>
  <c r="J2097" i="10"/>
  <c r="J2096" i="10"/>
  <c r="J2095" i="10"/>
  <c r="J2094" i="10"/>
  <c r="J2093" i="10"/>
  <c r="J2092" i="10"/>
  <c r="J2091" i="10"/>
  <c r="J2090" i="10"/>
  <c r="J2089" i="10"/>
  <c r="J2088" i="10"/>
  <c r="J2087" i="10"/>
  <c r="J2086" i="10"/>
  <c r="J2085" i="10"/>
  <c r="J2084" i="10"/>
  <c r="J2083" i="10"/>
  <c r="J2082" i="10"/>
  <c r="J2081" i="10"/>
  <c r="J2080" i="10"/>
  <c r="J2079" i="10"/>
  <c r="J2078" i="10"/>
  <c r="J2077" i="10"/>
  <c r="J2076" i="10"/>
  <c r="J2075" i="10"/>
  <c r="J2074" i="10"/>
  <c r="J2073" i="10"/>
  <c r="J2072" i="10"/>
  <c r="J2071" i="10"/>
  <c r="J2070" i="10"/>
  <c r="J2069" i="10"/>
  <c r="J2068" i="10"/>
  <c r="J2067" i="10"/>
  <c r="J2066" i="10"/>
  <c r="J2065" i="10"/>
  <c r="J2064" i="10"/>
  <c r="J2063" i="10"/>
  <c r="J2062" i="10"/>
  <c r="J2061" i="10"/>
  <c r="J2060" i="10"/>
  <c r="J2059" i="10"/>
  <c r="J2058" i="10"/>
  <c r="J2057" i="10"/>
  <c r="J2056" i="10"/>
  <c r="J2055" i="10"/>
  <c r="J2054" i="10"/>
  <c r="J2053" i="10"/>
  <c r="J2052" i="10"/>
  <c r="J2051" i="10"/>
  <c r="J2050" i="10"/>
  <c r="J2049" i="10"/>
  <c r="J2048" i="10"/>
  <c r="J2047" i="10"/>
  <c r="J2046" i="10"/>
  <c r="J2045" i="10"/>
  <c r="J2044" i="10"/>
  <c r="J2043" i="10"/>
  <c r="J2042" i="10"/>
  <c r="J2041" i="10"/>
  <c r="J2040" i="10"/>
  <c r="J2039" i="10"/>
  <c r="J2038" i="10"/>
  <c r="J2037" i="10"/>
  <c r="J2036" i="10"/>
  <c r="J2035" i="10"/>
  <c r="J2034" i="10"/>
  <c r="J2033" i="10"/>
  <c r="J2032" i="10"/>
  <c r="J2031" i="10"/>
  <c r="J2030" i="10"/>
  <c r="J2029" i="10"/>
  <c r="J2028" i="10"/>
  <c r="J2027" i="10"/>
  <c r="J2026" i="10"/>
  <c r="J2025" i="10"/>
  <c r="J2024" i="10"/>
  <c r="J2023" i="10"/>
  <c r="J2022" i="10"/>
  <c r="J2021" i="10"/>
  <c r="J2020" i="10"/>
  <c r="J2019" i="10"/>
  <c r="J2018" i="10"/>
  <c r="J2017" i="10"/>
  <c r="J2016" i="10"/>
  <c r="J2015" i="10"/>
  <c r="J2014" i="10"/>
  <c r="J2013" i="10"/>
  <c r="J2012" i="10"/>
  <c r="J2011" i="10"/>
  <c r="J2010" i="10"/>
  <c r="J2009" i="10"/>
  <c r="J2008" i="10"/>
  <c r="J2007" i="10"/>
  <c r="J2006" i="10"/>
  <c r="J2005" i="10"/>
  <c r="J2004" i="10"/>
  <c r="J2003" i="10"/>
  <c r="J2002" i="10"/>
  <c r="J2001" i="10"/>
  <c r="J2000" i="10"/>
  <c r="J1999" i="10"/>
  <c r="J1998" i="10"/>
  <c r="J1997" i="10"/>
  <c r="J1996" i="10"/>
  <c r="J1995" i="10"/>
  <c r="J1994" i="10"/>
  <c r="J1993" i="10"/>
  <c r="J1992" i="10"/>
  <c r="J1991" i="10"/>
  <c r="J1990" i="10"/>
  <c r="J1989" i="10"/>
  <c r="J1988" i="10"/>
  <c r="J1987" i="10"/>
  <c r="J1986" i="10"/>
  <c r="J1985" i="10"/>
  <c r="J1984" i="10"/>
  <c r="J1983" i="10"/>
  <c r="J1982" i="10"/>
  <c r="J1981" i="10"/>
  <c r="J1980" i="10"/>
  <c r="J1979" i="10"/>
  <c r="J1978" i="10"/>
  <c r="J1977" i="10"/>
  <c r="J1976" i="10"/>
  <c r="J1975" i="10"/>
  <c r="J1974" i="10"/>
  <c r="J1973" i="10"/>
  <c r="J1972" i="10"/>
  <c r="J1971" i="10"/>
  <c r="J1970" i="10"/>
  <c r="J1969" i="10"/>
  <c r="J1968" i="10"/>
  <c r="J1967" i="10"/>
  <c r="J1966" i="10"/>
  <c r="J1965" i="10"/>
  <c r="J1964" i="10"/>
  <c r="J1963" i="10"/>
  <c r="J1962" i="10"/>
  <c r="J1961" i="10"/>
  <c r="J1960" i="10"/>
  <c r="J1959" i="10"/>
  <c r="J1958" i="10"/>
  <c r="J1957" i="10"/>
  <c r="J1956" i="10"/>
  <c r="J1955" i="10"/>
  <c r="J1954" i="10"/>
  <c r="J1953" i="10"/>
  <c r="J1952" i="10"/>
  <c r="J1951" i="10"/>
  <c r="J1950" i="10"/>
  <c r="J1949" i="10"/>
  <c r="J1948" i="10"/>
  <c r="J1947" i="10"/>
  <c r="J1946" i="10"/>
  <c r="J1945" i="10"/>
  <c r="J1944" i="10"/>
  <c r="J1943" i="10"/>
  <c r="J1942" i="10"/>
  <c r="J1941" i="10"/>
  <c r="J1940" i="10"/>
  <c r="J1939" i="10"/>
  <c r="J1938" i="10"/>
  <c r="J1937" i="10"/>
  <c r="J1936" i="10"/>
  <c r="J1935" i="10"/>
  <c r="J1934" i="10"/>
  <c r="J1933" i="10"/>
  <c r="J1932" i="10"/>
  <c r="J1931" i="10"/>
  <c r="J1930" i="10"/>
  <c r="J1929" i="10"/>
  <c r="J1928" i="10"/>
  <c r="J1927" i="10"/>
  <c r="J1926" i="10"/>
  <c r="J1925" i="10"/>
  <c r="J1924" i="10"/>
  <c r="J1923" i="10"/>
  <c r="J1922" i="10"/>
  <c r="J1921" i="10"/>
  <c r="J1920" i="10"/>
  <c r="J1919" i="10"/>
  <c r="J1918" i="10"/>
  <c r="J1917" i="10"/>
  <c r="J1916" i="10"/>
  <c r="J1915" i="10"/>
  <c r="J1914" i="10"/>
  <c r="J1913" i="10"/>
  <c r="J1912" i="10"/>
  <c r="J1911" i="10"/>
  <c r="J1910" i="10"/>
  <c r="J1909" i="10"/>
  <c r="J1908" i="10"/>
  <c r="J1907" i="10"/>
  <c r="J1906" i="10"/>
  <c r="J1905" i="10"/>
  <c r="J1904" i="10"/>
  <c r="J1903" i="10"/>
  <c r="J1902" i="10"/>
  <c r="J1901" i="10"/>
  <c r="J1900" i="10"/>
  <c r="J1899" i="10"/>
  <c r="J1898" i="10"/>
  <c r="J1897" i="10"/>
  <c r="J1896" i="10"/>
  <c r="J1895" i="10"/>
  <c r="J1894" i="10"/>
  <c r="J1893" i="10"/>
  <c r="J1892" i="10"/>
  <c r="J1891" i="10"/>
  <c r="J1890" i="10"/>
  <c r="J1889" i="10"/>
  <c r="J1888" i="10"/>
  <c r="J1887" i="10"/>
  <c r="J1886" i="10"/>
  <c r="J1885" i="10"/>
  <c r="J1884" i="10"/>
  <c r="J1883" i="10"/>
  <c r="J1882" i="10"/>
  <c r="J1881" i="10"/>
  <c r="J1880" i="10"/>
  <c r="J1879" i="10"/>
  <c r="J1878" i="10"/>
  <c r="J1877" i="10"/>
  <c r="J1876" i="10"/>
  <c r="J1875" i="10"/>
  <c r="J1874" i="10"/>
  <c r="J1873" i="10"/>
  <c r="J1872" i="10"/>
  <c r="J1871" i="10"/>
  <c r="J1870" i="10"/>
  <c r="J1869" i="10"/>
  <c r="J1868" i="10"/>
  <c r="J1867" i="10"/>
  <c r="J1866" i="10"/>
  <c r="J1865" i="10"/>
  <c r="J1864" i="10"/>
  <c r="J1863" i="10"/>
  <c r="J1862" i="10"/>
  <c r="J1861" i="10"/>
  <c r="J1860" i="10"/>
  <c r="J1859" i="10"/>
  <c r="J1858" i="10"/>
  <c r="J1857" i="10"/>
  <c r="J1856" i="10"/>
  <c r="J1855" i="10"/>
  <c r="J1854" i="10"/>
  <c r="J1853" i="10"/>
  <c r="J1852" i="10"/>
  <c r="J1851" i="10"/>
  <c r="J1850" i="10"/>
  <c r="J1849" i="10"/>
  <c r="J1848" i="10"/>
  <c r="J1847" i="10"/>
  <c r="J1846" i="10"/>
  <c r="J1845" i="10"/>
  <c r="J1844" i="10"/>
  <c r="J1843" i="10"/>
  <c r="J1842" i="10"/>
  <c r="J1841" i="10"/>
  <c r="J1840" i="10"/>
  <c r="J1839" i="10"/>
  <c r="J1838" i="10"/>
  <c r="J1837" i="10"/>
  <c r="J1836" i="10"/>
  <c r="J1835" i="10"/>
  <c r="J1834" i="10"/>
  <c r="J1833" i="10"/>
  <c r="J1832" i="10"/>
  <c r="J1831" i="10"/>
  <c r="J1830" i="10"/>
  <c r="J1829" i="10"/>
  <c r="J1828" i="10"/>
  <c r="J1827" i="10"/>
  <c r="J1826" i="10"/>
  <c r="J1825" i="10"/>
  <c r="J1824" i="10"/>
  <c r="J1823" i="10"/>
  <c r="J1822" i="10"/>
  <c r="J1821" i="10"/>
  <c r="J1820" i="10"/>
  <c r="J1819" i="10"/>
  <c r="J1818" i="10"/>
  <c r="J1817" i="10"/>
  <c r="J1816" i="10"/>
  <c r="J1815" i="10"/>
  <c r="J1814" i="10"/>
  <c r="J1813" i="10"/>
  <c r="J1812" i="10"/>
  <c r="J1811" i="10"/>
  <c r="J1810" i="10"/>
  <c r="J1809" i="10"/>
  <c r="J1808" i="10"/>
  <c r="J1807" i="10"/>
  <c r="J1806" i="10"/>
  <c r="J1805" i="10"/>
  <c r="J1804" i="10"/>
  <c r="J1803" i="10"/>
  <c r="J1802" i="10"/>
  <c r="J1801" i="10"/>
  <c r="J1800" i="10"/>
  <c r="J1799" i="10"/>
  <c r="J1798" i="10"/>
  <c r="J1797" i="10"/>
  <c r="J1796" i="10"/>
  <c r="J1795" i="10"/>
  <c r="J1794" i="10"/>
  <c r="J1793" i="10"/>
  <c r="J1792" i="10"/>
  <c r="J1791" i="10"/>
  <c r="J1790" i="10"/>
  <c r="J1789" i="10"/>
  <c r="J1788" i="10"/>
  <c r="J1787" i="10"/>
  <c r="J1786" i="10"/>
  <c r="J1785" i="10"/>
  <c r="J1784" i="10"/>
  <c r="J1783" i="10"/>
  <c r="J1782" i="10"/>
  <c r="J1781" i="10"/>
  <c r="J1780" i="10"/>
  <c r="J1779" i="10"/>
  <c r="J1778" i="10"/>
  <c r="J1777" i="10"/>
  <c r="J1776" i="10"/>
  <c r="J1775" i="10"/>
  <c r="J1774" i="10"/>
  <c r="J1773" i="10"/>
  <c r="J1772" i="10"/>
  <c r="J1771" i="10"/>
  <c r="J1770" i="10"/>
  <c r="J1769" i="10"/>
  <c r="J1768" i="10"/>
  <c r="J1767" i="10"/>
  <c r="J1766" i="10"/>
  <c r="J1765" i="10"/>
  <c r="J1764" i="10"/>
  <c r="J1763" i="10"/>
  <c r="J1762" i="10"/>
  <c r="J1761" i="10"/>
  <c r="J1760" i="10"/>
  <c r="J1759" i="10"/>
  <c r="J1758" i="10"/>
  <c r="J1757" i="10"/>
  <c r="J1756" i="10"/>
  <c r="J1755" i="10"/>
  <c r="J1754" i="10"/>
  <c r="J1753" i="10"/>
  <c r="J1752" i="10"/>
  <c r="J1751" i="10"/>
  <c r="J1750" i="10"/>
  <c r="J1749" i="10"/>
  <c r="J1748" i="10"/>
  <c r="J1747" i="10"/>
  <c r="J1746" i="10"/>
  <c r="J1745" i="10"/>
  <c r="J1744" i="10"/>
  <c r="J1743" i="10"/>
  <c r="J1742" i="10"/>
  <c r="J1741" i="10"/>
  <c r="J1740" i="10"/>
  <c r="J1739" i="10"/>
  <c r="J1738" i="10"/>
  <c r="J1737" i="10"/>
  <c r="J1736" i="10"/>
  <c r="J1735" i="10"/>
  <c r="J1734" i="10"/>
  <c r="J1733" i="10"/>
  <c r="J1732" i="10"/>
  <c r="J1731" i="10"/>
  <c r="J1730" i="10"/>
  <c r="J1729" i="10"/>
  <c r="J1728" i="10"/>
  <c r="J1727" i="10"/>
  <c r="J1726" i="10"/>
  <c r="J1725" i="10"/>
  <c r="J1724" i="10"/>
  <c r="J1723" i="10"/>
  <c r="J1722" i="10"/>
  <c r="J1721" i="10"/>
  <c r="J1720" i="10"/>
  <c r="J1719" i="10"/>
  <c r="J1718" i="10"/>
  <c r="J1717" i="10"/>
  <c r="J1716" i="10"/>
  <c r="J1715" i="10"/>
  <c r="J1714" i="10"/>
  <c r="J1713" i="10"/>
  <c r="J1712" i="10"/>
  <c r="J1711" i="10"/>
  <c r="J1710" i="10"/>
  <c r="J1709" i="10"/>
  <c r="J1708" i="10"/>
  <c r="J1707" i="10"/>
  <c r="J1706" i="10"/>
  <c r="J1705" i="10"/>
  <c r="J1704" i="10"/>
  <c r="J1703" i="10"/>
  <c r="J1702" i="10"/>
  <c r="J1701" i="10"/>
  <c r="J1700" i="10"/>
  <c r="J1699" i="10"/>
  <c r="J1698" i="10"/>
  <c r="J1697" i="10"/>
  <c r="J1696" i="10"/>
  <c r="J1695" i="10"/>
  <c r="J1694" i="10"/>
  <c r="J1693" i="10"/>
  <c r="J1692" i="10"/>
  <c r="J1691" i="10"/>
  <c r="J1690" i="10"/>
  <c r="J1689" i="10"/>
  <c r="J1688" i="10"/>
  <c r="J1687" i="10"/>
  <c r="J1686" i="10"/>
  <c r="J1685" i="10"/>
  <c r="J1684" i="10"/>
  <c r="J1683" i="10"/>
  <c r="J1682" i="10"/>
  <c r="J1681" i="10"/>
  <c r="J1680" i="10"/>
  <c r="J1679" i="10"/>
  <c r="J1678" i="10"/>
  <c r="J1677" i="10"/>
  <c r="J1676" i="10"/>
  <c r="J1675" i="10"/>
  <c r="J1674" i="10"/>
  <c r="J1673" i="10"/>
  <c r="J1672" i="10"/>
  <c r="J1671" i="10"/>
  <c r="J1670" i="10"/>
  <c r="J1669" i="10"/>
  <c r="J1668" i="10"/>
  <c r="J1667" i="10"/>
  <c r="J1666" i="10"/>
  <c r="J1665" i="10"/>
  <c r="J1664" i="10"/>
  <c r="J1663" i="10"/>
  <c r="J1662" i="10"/>
  <c r="J1661" i="10"/>
  <c r="J1660" i="10"/>
  <c r="J1659" i="10"/>
  <c r="J1658" i="10"/>
  <c r="J1657" i="10"/>
  <c r="J1656" i="10"/>
  <c r="J1655" i="10"/>
  <c r="J1654" i="10"/>
  <c r="J1653" i="10"/>
  <c r="J1652" i="10"/>
  <c r="J1651" i="10"/>
  <c r="J1650" i="10"/>
  <c r="J1649" i="10"/>
  <c r="J1648" i="10"/>
  <c r="J1647" i="10"/>
  <c r="J1646" i="10"/>
  <c r="J1645" i="10"/>
  <c r="J1644" i="10"/>
  <c r="J1643" i="10"/>
  <c r="J1642" i="10"/>
  <c r="J1641" i="10"/>
  <c r="J1640" i="10"/>
  <c r="J1639" i="10"/>
  <c r="J1638" i="10"/>
  <c r="J1637" i="10"/>
  <c r="J1636" i="10"/>
  <c r="J1635" i="10"/>
  <c r="J1634" i="10"/>
  <c r="J1633" i="10"/>
  <c r="J1632" i="10"/>
  <c r="J1631" i="10"/>
  <c r="J1630" i="10"/>
  <c r="J1629" i="10"/>
  <c r="J1628" i="10"/>
  <c r="J1627" i="10"/>
  <c r="J1626" i="10"/>
  <c r="J1625" i="10"/>
  <c r="J1624" i="10"/>
  <c r="J1623" i="10"/>
  <c r="J1622" i="10"/>
  <c r="J1621" i="10"/>
  <c r="J1620" i="10"/>
  <c r="J1619" i="10"/>
  <c r="J1618" i="10"/>
  <c r="J1617" i="10"/>
  <c r="J1616" i="10"/>
  <c r="J1615" i="10"/>
  <c r="J1614" i="10"/>
  <c r="J1613" i="10"/>
  <c r="J1612" i="10"/>
  <c r="J1611" i="10"/>
  <c r="J1610" i="10"/>
  <c r="J1609" i="10"/>
  <c r="J1608" i="10"/>
  <c r="J1607" i="10"/>
  <c r="J1606" i="10"/>
  <c r="J1605" i="10"/>
  <c r="J1604" i="10"/>
  <c r="J1603" i="10"/>
  <c r="J1602" i="10"/>
  <c r="J1601" i="10"/>
  <c r="J1600" i="10"/>
  <c r="J1599" i="10"/>
  <c r="J1598" i="10"/>
  <c r="J1597" i="10"/>
  <c r="J1596" i="10"/>
  <c r="J1595" i="10"/>
  <c r="J1594" i="10"/>
  <c r="J1593" i="10"/>
  <c r="J1592" i="10"/>
  <c r="J1591" i="10"/>
  <c r="J1590" i="10"/>
  <c r="J1589" i="10"/>
  <c r="J1588" i="10"/>
  <c r="J1587" i="10"/>
  <c r="J1586" i="10"/>
  <c r="J1585" i="10"/>
  <c r="J1584" i="10"/>
  <c r="J1583" i="10"/>
  <c r="J1582" i="10"/>
  <c r="J1581" i="10"/>
  <c r="J1580" i="10"/>
  <c r="J1579" i="10"/>
  <c r="J1578" i="10"/>
  <c r="J1577" i="10"/>
  <c r="J1576" i="10"/>
  <c r="J1575" i="10"/>
  <c r="J1574" i="10"/>
  <c r="J1573" i="10"/>
  <c r="J1572" i="10"/>
  <c r="J1571" i="10"/>
  <c r="J1570" i="10"/>
  <c r="J1569" i="10"/>
  <c r="J1568" i="10"/>
  <c r="J1567" i="10"/>
  <c r="J1566" i="10"/>
  <c r="J1565" i="10"/>
  <c r="J1564" i="10"/>
  <c r="J1563" i="10"/>
  <c r="J1562" i="10"/>
  <c r="J1561" i="10"/>
  <c r="J1560" i="10"/>
  <c r="J1559" i="10"/>
  <c r="J1558" i="10"/>
  <c r="J1557" i="10"/>
  <c r="J1556" i="10"/>
  <c r="J1555" i="10"/>
  <c r="J1554" i="10"/>
  <c r="J1553" i="10"/>
  <c r="J1552" i="10"/>
  <c r="J1551" i="10"/>
  <c r="J1550" i="10"/>
  <c r="J1549" i="10"/>
  <c r="J1548" i="10"/>
  <c r="J1547" i="10"/>
  <c r="J1546" i="10"/>
  <c r="J1545" i="10"/>
  <c r="J1544" i="10"/>
  <c r="J1543" i="10"/>
  <c r="J1542" i="10"/>
  <c r="J1541" i="10"/>
  <c r="J1540" i="10"/>
  <c r="J1539" i="10"/>
  <c r="J1538" i="10"/>
  <c r="J1537" i="10"/>
  <c r="J1536" i="10"/>
  <c r="J1535" i="10"/>
  <c r="J1534" i="10"/>
  <c r="J1533" i="10"/>
  <c r="J1532" i="10"/>
  <c r="J1531" i="10"/>
  <c r="J1530" i="10"/>
  <c r="J1529" i="10"/>
  <c r="J1528" i="10"/>
  <c r="J1527" i="10"/>
  <c r="J1526" i="10"/>
  <c r="J1525" i="10"/>
  <c r="J1524" i="10"/>
  <c r="J1523" i="10"/>
  <c r="J1522" i="10"/>
  <c r="J1521" i="10"/>
  <c r="J1520" i="10"/>
  <c r="J1519" i="10"/>
  <c r="J1518" i="10"/>
  <c r="J1517" i="10"/>
  <c r="J1516" i="10"/>
  <c r="J1515" i="10"/>
  <c r="J1514" i="10"/>
  <c r="J1513" i="10"/>
  <c r="J1512" i="10"/>
  <c r="J1511" i="10"/>
  <c r="J1510" i="10"/>
  <c r="J1509" i="10"/>
  <c r="J1508" i="10"/>
  <c r="J1507" i="10"/>
  <c r="J1506" i="10"/>
  <c r="J1505" i="10"/>
  <c r="J1504" i="10"/>
  <c r="J1503" i="10"/>
  <c r="J1502" i="10"/>
  <c r="J1501" i="10"/>
  <c r="J1500" i="10"/>
  <c r="J1499" i="10"/>
  <c r="J1498" i="10"/>
  <c r="J1497" i="10"/>
  <c r="J1496" i="10"/>
  <c r="J1495" i="10"/>
  <c r="J1494" i="10"/>
  <c r="J1493" i="10"/>
  <c r="J2533" i="10" s="1"/>
  <c r="J1492" i="10"/>
  <c r="J2532" i="10" s="1"/>
  <c r="J1491" i="10"/>
  <c r="J2531" i="10" s="1"/>
  <c r="J1490" i="10"/>
  <c r="J2530" i="10" s="1"/>
  <c r="J1489" i="10"/>
  <c r="J2529" i="10" s="1"/>
  <c r="J1488" i="10"/>
  <c r="J2528" i="10" s="1"/>
  <c r="J1487" i="10"/>
  <c r="J2527" i="10" s="1"/>
  <c r="J1486" i="10"/>
  <c r="J2526" i="10" s="1"/>
  <c r="J1485" i="10"/>
  <c r="J2525" i="10" s="1"/>
  <c r="J1484" i="10"/>
  <c r="J2524" i="10" s="1"/>
  <c r="J1483" i="10"/>
  <c r="J2523" i="10" s="1"/>
  <c r="J1482" i="10"/>
  <c r="J2522" i="10" s="1"/>
  <c r="J1481" i="10"/>
  <c r="J2521" i="10" s="1"/>
  <c r="J1480" i="10"/>
  <c r="J2520" i="10" s="1"/>
  <c r="J1479" i="10"/>
  <c r="J2519" i="10" s="1"/>
  <c r="J1478" i="10"/>
  <c r="J2518" i="10" s="1"/>
  <c r="J1477" i="10"/>
  <c r="J2517" i="10" s="1"/>
  <c r="J1476" i="10"/>
  <c r="J2516" i="10" s="1"/>
  <c r="J1475" i="10"/>
  <c r="J2515" i="10" s="1"/>
  <c r="J1474" i="10"/>
  <c r="J2514" i="10" s="1"/>
  <c r="J1473" i="10"/>
  <c r="J2513" i="10" s="1"/>
  <c r="J1472" i="10"/>
  <c r="J2512" i="10" s="1"/>
  <c r="J1471" i="10"/>
  <c r="J2511" i="10" s="1"/>
  <c r="J1470" i="10"/>
  <c r="J2510" i="10" s="1"/>
  <c r="J1469" i="10"/>
  <c r="J2509" i="10" s="1"/>
  <c r="J1468" i="10"/>
  <c r="J2508" i="10" s="1"/>
  <c r="AE961" i="7" l="1"/>
  <c r="Q961" i="7" s="1"/>
  <c r="AE962" i="7"/>
  <c r="AE963" i="7"/>
  <c r="Q963" i="7" s="1"/>
  <c r="AE964" i="7"/>
  <c r="Q964" i="7" s="1"/>
  <c r="AE965" i="7"/>
  <c r="Q965" i="7" s="1"/>
  <c r="AE966" i="7"/>
  <c r="AE967" i="7"/>
  <c r="Q967" i="7" s="1"/>
  <c r="AE968" i="7"/>
  <c r="Q968" i="7" s="1"/>
  <c r="AE969" i="7"/>
  <c r="Q969" i="7" s="1"/>
  <c r="AE970" i="7"/>
  <c r="AE971" i="7"/>
  <c r="Q971" i="7" s="1"/>
  <c r="AE972" i="7"/>
  <c r="Q972" i="7" s="1"/>
  <c r="AE973" i="7"/>
  <c r="Q973" i="7" s="1"/>
  <c r="AE974" i="7"/>
  <c r="AE975" i="7"/>
  <c r="Q975" i="7" s="1"/>
  <c r="AE976" i="7"/>
  <c r="Q976" i="7" s="1"/>
  <c r="AE977" i="7"/>
  <c r="Q977" i="7" s="1"/>
  <c r="AE978" i="7"/>
  <c r="AE979" i="7"/>
  <c r="Q979" i="7" s="1"/>
  <c r="AE980" i="7"/>
  <c r="Q980" i="7" s="1"/>
  <c r="AE981" i="7"/>
  <c r="Q981" i="7" s="1"/>
  <c r="AE982" i="7"/>
  <c r="AE983" i="7"/>
  <c r="Q983" i="7" s="1"/>
  <c r="AE984" i="7"/>
  <c r="Q984" i="7" s="1"/>
  <c r="AE985" i="7"/>
  <c r="Q985" i="7" s="1"/>
  <c r="AE960" i="7"/>
  <c r="Q960" i="7" s="1"/>
  <c r="AD964" i="7" l="1"/>
  <c r="P964" i="7" s="1"/>
  <c r="AD963" i="7"/>
  <c r="AD965" i="7"/>
  <c r="P965" i="7" s="1"/>
  <c r="AD961" i="7"/>
  <c r="P961" i="7" s="1"/>
  <c r="AD981" i="7"/>
  <c r="P981" i="7" s="1"/>
  <c r="AD975" i="7"/>
  <c r="AC975" i="7" s="1"/>
  <c r="AD973" i="7"/>
  <c r="AC973" i="7" s="1"/>
  <c r="AD971" i="7"/>
  <c r="P971" i="7" s="1"/>
  <c r="AD969" i="7"/>
  <c r="AC964" i="7"/>
  <c r="O964" i="7" s="1"/>
  <c r="AD968" i="7"/>
  <c r="P968" i="7" s="1"/>
  <c r="AD980" i="7"/>
  <c r="AD985" i="7"/>
  <c r="P985" i="7" s="1"/>
  <c r="AD979" i="7"/>
  <c r="P979" i="7" s="1"/>
  <c r="AD972" i="7"/>
  <c r="P972" i="7" s="1"/>
  <c r="AD967" i="7"/>
  <c r="AC967" i="7" s="1"/>
  <c r="AD984" i="7"/>
  <c r="AC984" i="7" s="1"/>
  <c r="AD976" i="7"/>
  <c r="AC963" i="7"/>
  <c r="P963" i="7"/>
  <c r="AD960" i="7"/>
  <c r="AD983" i="7"/>
  <c r="AD977" i="7"/>
  <c r="AC961" i="7"/>
  <c r="AD982" i="7"/>
  <c r="Q982" i="7"/>
  <c r="AD978" i="7"/>
  <c r="Q978" i="7"/>
  <c r="AD974" i="7"/>
  <c r="Q974" i="7"/>
  <c r="AD970" i="7"/>
  <c r="Q970" i="7"/>
  <c r="AD966" i="7"/>
  <c r="Q966" i="7"/>
  <c r="AD962" i="7"/>
  <c r="Q962" i="7"/>
  <c r="AC965" i="7" l="1"/>
  <c r="AB965" i="7" s="1"/>
  <c r="AC971" i="7"/>
  <c r="AC981" i="7"/>
  <c r="AB981" i="7" s="1"/>
  <c r="AB964" i="7"/>
  <c r="N964" i="7" s="1"/>
  <c r="AC979" i="7"/>
  <c r="AB979" i="7" s="1"/>
  <c r="P975" i="7"/>
  <c r="AC972" i="7"/>
  <c r="O972" i="7" s="1"/>
  <c r="P973" i="7"/>
  <c r="P967" i="7"/>
  <c r="AC968" i="7"/>
  <c r="O968" i="7" s="1"/>
  <c r="P969" i="7"/>
  <c r="AC969" i="7"/>
  <c r="AC985" i="7"/>
  <c r="O985" i="7" s="1"/>
  <c r="P980" i="7"/>
  <c r="AC980" i="7"/>
  <c r="P984" i="7"/>
  <c r="P976" i="7"/>
  <c r="AC976" i="7"/>
  <c r="AB963" i="7"/>
  <c r="O963" i="7"/>
  <c r="AB984" i="7"/>
  <c r="O984" i="7"/>
  <c r="AC962" i="7"/>
  <c r="P962" i="7"/>
  <c r="AC970" i="7"/>
  <c r="O986" i="7" s="1"/>
  <c r="P970" i="7"/>
  <c r="AC978" i="7"/>
  <c r="P978" i="7"/>
  <c r="AB961" i="7"/>
  <c r="O961" i="7"/>
  <c r="O981" i="7"/>
  <c r="AC977" i="7"/>
  <c r="P977" i="7"/>
  <c r="AC960" i="7"/>
  <c r="P960" i="7"/>
  <c r="AB968" i="7"/>
  <c r="AB971" i="7"/>
  <c r="O971" i="7"/>
  <c r="AC966" i="7"/>
  <c r="P966" i="7"/>
  <c r="AC974" i="7"/>
  <c r="P974" i="7"/>
  <c r="AC982" i="7"/>
  <c r="P982" i="7"/>
  <c r="AB967" i="7"/>
  <c r="O967" i="7"/>
  <c r="AC983" i="7"/>
  <c r="P983" i="7"/>
  <c r="AB973" i="7"/>
  <c r="O973" i="7"/>
  <c r="AB975" i="7"/>
  <c r="O975" i="7"/>
  <c r="AE906" i="7"/>
  <c r="AE907" i="7"/>
  <c r="AE908" i="7"/>
  <c r="AE909" i="7"/>
  <c r="Q909" i="7" s="1"/>
  <c r="AE910" i="7"/>
  <c r="AE911" i="7"/>
  <c r="AE912" i="7"/>
  <c r="AE913" i="7"/>
  <c r="AE914" i="7"/>
  <c r="Q914" i="7" s="1"/>
  <c r="AE915" i="7"/>
  <c r="AE916" i="7"/>
  <c r="AE917" i="7"/>
  <c r="AE918" i="7"/>
  <c r="AE919" i="7"/>
  <c r="AE920" i="7"/>
  <c r="Q920" i="7" s="1"/>
  <c r="AE921" i="7"/>
  <c r="AE922" i="7"/>
  <c r="AE923" i="7"/>
  <c r="AE924" i="7"/>
  <c r="AE925" i="7"/>
  <c r="AE926" i="7"/>
  <c r="AE927" i="7"/>
  <c r="AE928" i="7"/>
  <c r="AE929" i="7"/>
  <c r="AE930" i="7"/>
  <c r="AE931" i="7"/>
  <c r="AE933" i="7"/>
  <c r="Q933" i="7" s="1"/>
  <c r="AE934" i="7"/>
  <c r="AE935" i="7"/>
  <c r="AE936" i="7"/>
  <c r="AE937" i="7"/>
  <c r="AE938" i="7"/>
  <c r="AE939" i="7"/>
  <c r="AE940" i="7"/>
  <c r="AE941" i="7"/>
  <c r="AE942" i="7"/>
  <c r="AE943" i="7"/>
  <c r="Q943" i="7" s="1"/>
  <c r="AE944" i="7"/>
  <c r="AE945" i="7"/>
  <c r="AE946" i="7"/>
  <c r="AE947" i="7"/>
  <c r="AE948" i="7"/>
  <c r="AE949" i="7"/>
  <c r="AE950" i="7"/>
  <c r="AE951" i="7"/>
  <c r="AE952" i="7"/>
  <c r="AE953" i="7"/>
  <c r="AE954" i="7"/>
  <c r="AE955" i="7"/>
  <c r="AE956" i="7"/>
  <c r="AE957" i="7"/>
  <c r="AE958" i="7"/>
  <c r="P986" i="7"/>
  <c r="Q986" i="7"/>
  <c r="AE1255" i="7"/>
  <c r="AE1254" i="7"/>
  <c r="AE1253" i="7"/>
  <c r="AE1252" i="7"/>
  <c r="AE1251" i="7"/>
  <c r="AE1250" i="7"/>
  <c r="AE1249" i="7"/>
  <c r="AE1248" i="7"/>
  <c r="AE1247" i="7"/>
  <c r="AE1246" i="7"/>
  <c r="AE1245" i="7"/>
  <c r="AE1244" i="7"/>
  <c r="AE1243" i="7"/>
  <c r="AE1242" i="7"/>
  <c r="AE1241" i="7"/>
  <c r="AE1240" i="7"/>
  <c r="AE1239" i="7"/>
  <c r="AE1238" i="7"/>
  <c r="AE1237" i="7"/>
  <c r="AE1236" i="7"/>
  <c r="AE1235" i="7"/>
  <c r="AE1234" i="7"/>
  <c r="Q1234" i="7" s="1"/>
  <c r="AE1233" i="7"/>
  <c r="AE1232" i="7"/>
  <c r="Q1232" i="7" s="1"/>
  <c r="AE1231" i="7"/>
  <c r="AE1230" i="7"/>
  <c r="Q1230" i="7" s="1"/>
  <c r="AE1228" i="7"/>
  <c r="AE1227" i="7"/>
  <c r="AE1226" i="7"/>
  <c r="Q1226" i="7" s="1"/>
  <c r="AE1225" i="7"/>
  <c r="AE1224" i="7"/>
  <c r="AE1223" i="7"/>
  <c r="AE1222" i="7"/>
  <c r="AE1221" i="7"/>
  <c r="AE1220" i="7"/>
  <c r="AE1219" i="7"/>
  <c r="AE1218" i="7"/>
  <c r="Q1218" i="7" s="1"/>
  <c r="AE1217" i="7"/>
  <c r="AE1216" i="7"/>
  <c r="AE1215" i="7"/>
  <c r="AE1214" i="7"/>
  <c r="AE1213" i="7"/>
  <c r="AE1212" i="7"/>
  <c r="AE1211" i="7"/>
  <c r="AE1210" i="7"/>
  <c r="Q1210" i="7" s="1"/>
  <c r="AE1209" i="7"/>
  <c r="AE1208" i="7"/>
  <c r="AE1207" i="7"/>
  <c r="AE1206" i="7"/>
  <c r="AE1205" i="7"/>
  <c r="AE1204" i="7"/>
  <c r="Q1204" i="7" s="1"/>
  <c r="AE1203" i="7"/>
  <c r="AE1201" i="7"/>
  <c r="AE1200" i="7"/>
  <c r="AE1199" i="7"/>
  <c r="AE1198" i="7"/>
  <c r="AE1197" i="7"/>
  <c r="AE1196" i="7"/>
  <c r="AE1195" i="7"/>
  <c r="AE1194" i="7"/>
  <c r="Q1194" i="7" s="1"/>
  <c r="AE1193" i="7"/>
  <c r="Q1193" i="7" s="1"/>
  <c r="AE1192" i="7"/>
  <c r="Q1192" i="7" s="1"/>
  <c r="AE1191" i="7"/>
  <c r="AE1190" i="7"/>
  <c r="AE1189" i="7"/>
  <c r="AE1188" i="7"/>
  <c r="Q1188" i="7" s="1"/>
  <c r="AE1187" i="7"/>
  <c r="AE1186" i="7"/>
  <c r="AE1185" i="7"/>
  <c r="AE1184" i="7"/>
  <c r="Q1184" i="7" s="1"/>
  <c r="AE1183" i="7"/>
  <c r="AE1182" i="7"/>
  <c r="AE1181" i="7"/>
  <c r="AE1180" i="7"/>
  <c r="Q1180" i="7" s="1"/>
  <c r="AE1179" i="7"/>
  <c r="AE1178" i="7"/>
  <c r="AE1177" i="7"/>
  <c r="AE1176" i="7"/>
  <c r="AD1176" i="7" s="1"/>
  <c r="P1176" i="7" s="1"/>
  <c r="AE1174" i="7"/>
  <c r="AE1173" i="7"/>
  <c r="AE1172" i="7"/>
  <c r="AE1171" i="7"/>
  <c r="Q1171" i="7" s="1"/>
  <c r="AE1170" i="7"/>
  <c r="AE1169" i="7"/>
  <c r="AE1168" i="7"/>
  <c r="Q1168" i="7" s="1"/>
  <c r="AE1167" i="7"/>
  <c r="AE1166" i="7"/>
  <c r="AE1165" i="7"/>
  <c r="AE1164" i="7"/>
  <c r="Q1164" i="7" s="1"/>
  <c r="AE1163" i="7"/>
  <c r="AE1162" i="7"/>
  <c r="AE1161" i="7"/>
  <c r="AE1160" i="7"/>
  <c r="AE1159" i="7"/>
  <c r="Q1159" i="7" s="1"/>
  <c r="AE1158" i="7"/>
  <c r="AE1157" i="7"/>
  <c r="Q1157" i="7" s="1"/>
  <c r="AE1156" i="7"/>
  <c r="AE1155" i="7"/>
  <c r="AE1154" i="7"/>
  <c r="AE1153" i="7"/>
  <c r="AE1152" i="7"/>
  <c r="AE1151" i="7"/>
  <c r="AE1150" i="7"/>
  <c r="AE1149" i="7"/>
  <c r="AE1147" i="7"/>
  <c r="AE1146" i="7"/>
  <c r="AE1145" i="7"/>
  <c r="AE1144" i="7"/>
  <c r="AE1143" i="7"/>
  <c r="AE1142" i="7"/>
  <c r="AE1141" i="7"/>
  <c r="AE1140" i="7"/>
  <c r="AE1139" i="7"/>
  <c r="AE1138" i="7"/>
  <c r="AE1137" i="7"/>
  <c r="Q1137" i="7" s="1"/>
  <c r="AE1136" i="7"/>
  <c r="AE1135" i="7"/>
  <c r="AE1134" i="7"/>
  <c r="AE1133" i="7"/>
  <c r="AE1132" i="7"/>
  <c r="AE1131" i="7"/>
  <c r="AE1130" i="7"/>
  <c r="AE1129" i="7"/>
  <c r="AE1128" i="7"/>
  <c r="AE1127" i="7"/>
  <c r="AE1126" i="7"/>
  <c r="AE1125" i="7"/>
  <c r="AE1124" i="7"/>
  <c r="AE1123" i="7"/>
  <c r="AE1122" i="7"/>
  <c r="AE1120" i="7"/>
  <c r="Q1120" i="7" s="1"/>
  <c r="AE1119" i="7"/>
  <c r="AE1118" i="7"/>
  <c r="Q1118" i="7" s="1"/>
  <c r="AE1117" i="7"/>
  <c r="AE1116" i="7"/>
  <c r="AE1115" i="7"/>
  <c r="AE1114" i="7"/>
  <c r="AE1113" i="7"/>
  <c r="AE1112" i="7"/>
  <c r="AE1111" i="7"/>
  <c r="AE1110" i="7"/>
  <c r="Q1110" i="7" s="1"/>
  <c r="AE1109" i="7"/>
  <c r="AE1108" i="7"/>
  <c r="AE1107" i="7"/>
  <c r="AE1106" i="7"/>
  <c r="AE1105" i="7"/>
  <c r="AE1104" i="7"/>
  <c r="AE1103" i="7"/>
  <c r="AE1102" i="7"/>
  <c r="Q1102" i="7" s="1"/>
  <c r="AE1101" i="7"/>
  <c r="AE1100" i="7"/>
  <c r="AE1099" i="7"/>
  <c r="AE1098" i="7"/>
  <c r="AE1097" i="7"/>
  <c r="AE1096" i="7"/>
  <c r="AE1095" i="7"/>
  <c r="AE1093" i="7"/>
  <c r="AE1092" i="7"/>
  <c r="AE1091" i="7"/>
  <c r="AE1090" i="7"/>
  <c r="AE1089" i="7"/>
  <c r="AE1088" i="7"/>
  <c r="AE1087" i="7"/>
  <c r="AE1086" i="7"/>
  <c r="AE1085" i="7"/>
  <c r="AE1084" i="7"/>
  <c r="AE1083" i="7"/>
  <c r="AE1082" i="7"/>
  <c r="AE1081" i="7"/>
  <c r="AE1080" i="7"/>
  <c r="AE1079" i="7"/>
  <c r="AE1078" i="7"/>
  <c r="AE1077" i="7"/>
  <c r="AE1076" i="7"/>
  <c r="AE1075" i="7"/>
  <c r="AE1074" i="7"/>
  <c r="AE1073" i="7"/>
  <c r="AE1072" i="7"/>
  <c r="AE1071" i="7"/>
  <c r="Q1071" i="7" s="1"/>
  <c r="AE1070" i="7"/>
  <c r="AE1069" i="7"/>
  <c r="Q1069" i="7" s="1"/>
  <c r="AE1068" i="7"/>
  <c r="AE1066" i="7"/>
  <c r="AE1065" i="7"/>
  <c r="AE1064" i="7"/>
  <c r="AE1063" i="7"/>
  <c r="AE1062" i="7"/>
  <c r="AE1061" i="7"/>
  <c r="AE1060" i="7"/>
  <c r="AE1059" i="7"/>
  <c r="AE1058" i="7"/>
  <c r="AE1057" i="7"/>
  <c r="AE1056" i="7"/>
  <c r="AE1055" i="7"/>
  <c r="AE1054" i="7"/>
  <c r="AE1053" i="7"/>
  <c r="AE1052" i="7"/>
  <c r="AE1051" i="7"/>
  <c r="AE1050" i="7"/>
  <c r="AE1049" i="7"/>
  <c r="AE1048" i="7"/>
  <c r="AE1047" i="7"/>
  <c r="AE1046" i="7"/>
  <c r="AE1045" i="7"/>
  <c r="AE1044" i="7"/>
  <c r="AE1043" i="7"/>
  <c r="AE1042" i="7"/>
  <c r="AE1041" i="7"/>
  <c r="AE1039" i="7"/>
  <c r="AE1038" i="7"/>
  <c r="AE1037" i="7"/>
  <c r="AE1036" i="7"/>
  <c r="AE1035" i="7"/>
  <c r="AE1034" i="7"/>
  <c r="AE1033" i="7"/>
  <c r="AE1032" i="7"/>
  <c r="AE1031" i="7"/>
  <c r="AE1030" i="7"/>
  <c r="AE1029" i="7"/>
  <c r="AE1028" i="7"/>
  <c r="AE1027" i="7"/>
  <c r="AE1026" i="7"/>
  <c r="AE1025" i="7"/>
  <c r="AE1024" i="7"/>
  <c r="Q1024" i="7" s="1"/>
  <c r="AE1023" i="7"/>
  <c r="AE1022" i="7"/>
  <c r="AE1021" i="7"/>
  <c r="AE1020" i="7"/>
  <c r="AE1019" i="7"/>
  <c r="Q1019" i="7" s="1"/>
  <c r="AE1018" i="7"/>
  <c r="AE1017" i="7"/>
  <c r="Q1017" i="7" s="1"/>
  <c r="AE1016" i="7"/>
  <c r="Q1016" i="7" s="1"/>
  <c r="AE1015" i="7"/>
  <c r="AE1014" i="7"/>
  <c r="AE1012" i="7"/>
  <c r="AD1012" i="7" s="1"/>
  <c r="AC1012" i="7" s="1"/>
  <c r="AB1012" i="7" s="1"/>
  <c r="AA1012" i="7" s="1"/>
  <c r="Z1012" i="7" s="1"/>
  <c r="AE1011" i="7"/>
  <c r="AD1011" i="7" s="1"/>
  <c r="AC1011" i="7" s="1"/>
  <c r="AB1011" i="7" s="1"/>
  <c r="AA1011" i="7" s="1"/>
  <c r="Z1011" i="7" s="1"/>
  <c r="AE1010" i="7"/>
  <c r="AD1010" i="7" s="1"/>
  <c r="AC1010" i="7" s="1"/>
  <c r="AB1010" i="7" s="1"/>
  <c r="AA1010" i="7" s="1"/>
  <c r="Z1010" i="7" s="1"/>
  <c r="AE1009" i="7"/>
  <c r="AD1009" i="7" s="1"/>
  <c r="AC1009" i="7" s="1"/>
  <c r="AB1009" i="7" s="1"/>
  <c r="AA1009" i="7" s="1"/>
  <c r="Z1009" i="7" s="1"/>
  <c r="AE1008" i="7"/>
  <c r="AD1008" i="7" s="1"/>
  <c r="AC1008" i="7" s="1"/>
  <c r="AB1008" i="7" s="1"/>
  <c r="AA1008" i="7" s="1"/>
  <c r="Z1008" i="7" s="1"/>
  <c r="AE1007" i="7"/>
  <c r="AD1007" i="7" s="1"/>
  <c r="AC1007" i="7" s="1"/>
  <c r="AB1007" i="7" s="1"/>
  <c r="AA1007" i="7" s="1"/>
  <c r="Z1007" i="7" s="1"/>
  <c r="AE1006" i="7"/>
  <c r="AD1006" i="7" s="1"/>
  <c r="AC1006" i="7" s="1"/>
  <c r="AB1006" i="7" s="1"/>
  <c r="AA1006" i="7" s="1"/>
  <c r="Z1006" i="7" s="1"/>
  <c r="AE1005" i="7"/>
  <c r="AD1005" i="7" s="1"/>
  <c r="AC1005" i="7" s="1"/>
  <c r="AB1005" i="7" s="1"/>
  <c r="AA1005" i="7" s="1"/>
  <c r="Z1005" i="7" s="1"/>
  <c r="AE1004" i="7"/>
  <c r="AD1004" i="7" s="1"/>
  <c r="AC1004" i="7" s="1"/>
  <c r="AB1004" i="7" s="1"/>
  <c r="AA1004" i="7" s="1"/>
  <c r="Z1004" i="7" s="1"/>
  <c r="AE1003" i="7"/>
  <c r="AD1003" i="7" s="1"/>
  <c r="AC1003" i="7" s="1"/>
  <c r="AB1003" i="7" s="1"/>
  <c r="AA1003" i="7" s="1"/>
  <c r="Z1003" i="7" s="1"/>
  <c r="AE1002" i="7"/>
  <c r="AD1002" i="7" s="1"/>
  <c r="AC1002" i="7" s="1"/>
  <c r="AB1002" i="7" s="1"/>
  <c r="AA1002" i="7" s="1"/>
  <c r="Z1002" i="7" s="1"/>
  <c r="AE1001" i="7"/>
  <c r="AD1001" i="7" s="1"/>
  <c r="AC1001" i="7" s="1"/>
  <c r="AB1001" i="7" s="1"/>
  <c r="AA1001" i="7" s="1"/>
  <c r="Z1001" i="7" s="1"/>
  <c r="AE1000" i="7"/>
  <c r="AD1000" i="7" s="1"/>
  <c r="AC1000" i="7" s="1"/>
  <c r="AB1000" i="7" s="1"/>
  <c r="AA1000" i="7" s="1"/>
  <c r="Z1000" i="7" s="1"/>
  <c r="AE999" i="7"/>
  <c r="AD999" i="7" s="1"/>
  <c r="AC999" i="7" s="1"/>
  <c r="AB999" i="7" s="1"/>
  <c r="AA999" i="7" s="1"/>
  <c r="Z999" i="7" s="1"/>
  <c r="AE998" i="7"/>
  <c r="AD998" i="7" s="1"/>
  <c r="AC998" i="7" s="1"/>
  <c r="AB998" i="7" s="1"/>
  <c r="AA998" i="7" s="1"/>
  <c r="Z998" i="7" s="1"/>
  <c r="AE997" i="7"/>
  <c r="AD997" i="7" s="1"/>
  <c r="AC997" i="7" s="1"/>
  <c r="AB997" i="7" s="1"/>
  <c r="AA997" i="7" s="1"/>
  <c r="Z997" i="7" s="1"/>
  <c r="AE996" i="7"/>
  <c r="AD996" i="7" s="1"/>
  <c r="AC996" i="7" s="1"/>
  <c r="AB996" i="7" s="1"/>
  <c r="AA996" i="7" s="1"/>
  <c r="Z996" i="7" s="1"/>
  <c r="AE995" i="7"/>
  <c r="AD995" i="7" s="1"/>
  <c r="AC995" i="7" s="1"/>
  <c r="AB995" i="7" s="1"/>
  <c r="AA995" i="7" s="1"/>
  <c r="Z995" i="7" s="1"/>
  <c r="AE994" i="7"/>
  <c r="AD994" i="7" s="1"/>
  <c r="AC994" i="7" s="1"/>
  <c r="AB994" i="7" s="1"/>
  <c r="AA994" i="7" s="1"/>
  <c r="Z994" i="7" s="1"/>
  <c r="AE993" i="7"/>
  <c r="AD993" i="7" s="1"/>
  <c r="AC993" i="7" s="1"/>
  <c r="AB993" i="7" s="1"/>
  <c r="AA993" i="7" s="1"/>
  <c r="Z993" i="7" s="1"/>
  <c r="AE992" i="7"/>
  <c r="AD992" i="7" s="1"/>
  <c r="AC992" i="7" s="1"/>
  <c r="AB992" i="7" s="1"/>
  <c r="AA992" i="7" s="1"/>
  <c r="Z992" i="7" s="1"/>
  <c r="AE991" i="7"/>
  <c r="AD991" i="7" s="1"/>
  <c r="AC991" i="7" s="1"/>
  <c r="AB991" i="7" s="1"/>
  <c r="AA991" i="7" s="1"/>
  <c r="Z991" i="7" s="1"/>
  <c r="AE990" i="7"/>
  <c r="AD990" i="7" s="1"/>
  <c r="AC990" i="7" s="1"/>
  <c r="AB990" i="7" s="1"/>
  <c r="AA990" i="7" s="1"/>
  <c r="Z990" i="7" s="1"/>
  <c r="AE989" i="7"/>
  <c r="AD989" i="7" s="1"/>
  <c r="AC989" i="7" s="1"/>
  <c r="AB989" i="7" s="1"/>
  <c r="AA989" i="7" s="1"/>
  <c r="Z989" i="7" s="1"/>
  <c r="AE988" i="7"/>
  <c r="AD988" i="7" s="1"/>
  <c r="AC988" i="7" s="1"/>
  <c r="AB988" i="7" s="1"/>
  <c r="AA988" i="7" s="1"/>
  <c r="Z988" i="7" s="1"/>
  <c r="AE987" i="7"/>
  <c r="AD987" i="7" s="1"/>
  <c r="AC987" i="7" s="1"/>
  <c r="AB987" i="7" s="1"/>
  <c r="AA987" i="7" s="1"/>
  <c r="Z987" i="7" s="1"/>
  <c r="AA964" i="7" l="1"/>
  <c r="AB972" i="7"/>
  <c r="O965" i="7"/>
  <c r="AD1017" i="7"/>
  <c r="AC1017" i="7" s="1"/>
  <c r="O979" i="7"/>
  <c r="AB985" i="7"/>
  <c r="AD1193" i="7"/>
  <c r="AC1193" i="7" s="1"/>
  <c r="AD1016" i="7"/>
  <c r="P1016" i="7" s="1"/>
  <c r="AD1168" i="7"/>
  <c r="AD1192" i="7"/>
  <c r="AC1192" i="7" s="1"/>
  <c r="AD1194" i="7"/>
  <c r="P1194" i="7" s="1"/>
  <c r="AD1071" i="7"/>
  <c r="P1071" i="7" s="1"/>
  <c r="AD1118" i="7"/>
  <c r="AD1184" i="7"/>
  <c r="P1184" i="7" s="1"/>
  <c r="AB969" i="7"/>
  <c r="O969" i="7"/>
  <c r="AD1102" i="7"/>
  <c r="AD1137" i="7"/>
  <c r="P1137" i="7" s="1"/>
  <c r="AD1157" i="7"/>
  <c r="AC1157" i="7" s="1"/>
  <c r="AD1041" i="7"/>
  <c r="P1041" i="7" s="1"/>
  <c r="Q1041" i="7"/>
  <c r="AD1045" i="7"/>
  <c r="Q1045" i="7"/>
  <c r="AD1049" i="7"/>
  <c r="Q1049" i="7"/>
  <c r="AD1053" i="7"/>
  <c r="Q1053" i="7"/>
  <c r="AD1057" i="7"/>
  <c r="Q1057" i="7"/>
  <c r="AD1061" i="7"/>
  <c r="Q1061" i="7"/>
  <c r="AD1065" i="7"/>
  <c r="Q1065" i="7"/>
  <c r="AD1072" i="7"/>
  <c r="Q1072" i="7"/>
  <c r="AD1079" i="7"/>
  <c r="Q1079" i="7"/>
  <c r="AD1083" i="7"/>
  <c r="Q1083" i="7"/>
  <c r="AD1087" i="7"/>
  <c r="Q1087" i="7"/>
  <c r="AD1091" i="7"/>
  <c r="Q1091" i="7"/>
  <c r="AD1096" i="7"/>
  <c r="Q1096" i="7"/>
  <c r="AD1100" i="7"/>
  <c r="Q1100" i="7"/>
  <c r="AD1103" i="7"/>
  <c r="Q1103" i="7"/>
  <c r="AD1107" i="7"/>
  <c r="Q1107" i="7"/>
  <c r="AD1114" i="7"/>
  <c r="Q1114" i="7"/>
  <c r="AC1118" i="7"/>
  <c r="P1118" i="7"/>
  <c r="AD1125" i="7"/>
  <c r="Q1125" i="7"/>
  <c r="AD1129" i="7"/>
  <c r="Q1129" i="7"/>
  <c r="AD1133" i="7"/>
  <c r="Q1133" i="7"/>
  <c r="AC1137" i="7"/>
  <c r="AD1140" i="7"/>
  <c r="Q1140" i="7"/>
  <c r="AD1146" i="7"/>
  <c r="Q1146" i="7"/>
  <c r="AD1151" i="7"/>
  <c r="Q1151" i="7"/>
  <c r="AD1155" i="7"/>
  <c r="Q1155" i="7"/>
  <c r="AD1158" i="7"/>
  <c r="Q1158" i="7"/>
  <c r="AD1161" i="7"/>
  <c r="Q1161" i="7"/>
  <c r="AC1168" i="7"/>
  <c r="P1168" i="7"/>
  <c r="AD1173" i="7"/>
  <c r="Q1173" i="7"/>
  <c r="AD1177" i="7"/>
  <c r="Q1177" i="7"/>
  <c r="AD1187" i="7"/>
  <c r="Q1187" i="7"/>
  <c r="AD1190" i="7"/>
  <c r="Q1190" i="7"/>
  <c r="AD1195" i="7"/>
  <c r="Q1195" i="7"/>
  <c r="AD1199" i="7"/>
  <c r="Q1199" i="7"/>
  <c r="AD1207" i="7"/>
  <c r="Q1207" i="7"/>
  <c r="AD1214" i="7"/>
  <c r="Q1214" i="7"/>
  <c r="AD1217" i="7"/>
  <c r="Q1217" i="7"/>
  <c r="AD1220" i="7"/>
  <c r="Q1220" i="7"/>
  <c r="AD1223" i="7"/>
  <c r="Q1223" i="7"/>
  <c r="AD1233" i="7"/>
  <c r="Q1233" i="7"/>
  <c r="AD1236" i="7"/>
  <c r="Q1236" i="7"/>
  <c r="AD1243" i="7"/>
  <c r="Q1243" i="7"/>
  <c r="AD1246" i="7"/>
  <c r="Q1246" i="7"/>
  <c r="AD1253" i="7"/>
  <c r="Q1253" i="7"/>
  <c r="AD1019" i="7"/>
  <c r="P1019" i="7" s="1"/>
  <c r="AD1042" i="7"/>
  <c r="Q1042" i="7"/>
  <c r="AD1046" i="7"/>
  <c r="Q1046" i="7"/>
  <c r="AD1050" i="7"/>
  <c r="Q1050" i="7"/>
  <c r="AD1054" i="7"/>
  <c r="Q1054" i="7"/>
  <c r="AD1058" i="7"/>
  <c r="Q1058" i="7"/>
  <c r="AD1062" i="7"/>
  <c r="Q1062" i="7"/>
  <c r="AD1066" i="7"/>
  <c r="Q1066" i="7"/>
  <c r="AD1070" i="7"/>
  <c r="Q1070" i="7"/>
  <c r="AD1073" i="7"/>
  <c r="Q1073" i="7"/>
  <c r="AD1076" i="7"/>
  <c r="Q1076" i="7"/>
  <c r="AD1080" i="7"/>
  <c r="Q1080" i="7"/>
  <c r="AD1084" i="7"/>
  <c r="Q1084" i="7"/>
  <c r="AD1088" i="7"/>
  <c r="Q1088" i="7"/>
  <c r="AD1092" i="7"/>
  <c r="Q1092" i="7"/>
  <c r="AD1097" i="7"/>
  <c r="Q1097" i="7"/>
  <c r="AD1101" i="7"/>
  <c r="Q1101" i="7"/>
  <c r="AD1104" i="7"/>
  <c r="Q1104" i="7"/>
  <c r="AD1108" i="7"/>
  <c r="Q1108" i="7"/>
  <c r="AD1111" i="7"/>
  <c r="Q1111" i="7"/>
  <c r="AD1115" i="7"/>
  <c r="Q1115" i="7"/>
  <c r="AD1122" i="7"/>
  <c r="P1122" i="7" s="1"/>
  <c r="Q1122" i="7"/>
  <c r="AD1126" i="7"/>
  <c r="Q1126" i="7"/>
  <c r="AD1130" i="7"/>
  <c r="Q1130" i="7"/>
  <c r="AD1134" i="7"/>
  <c r="Q1134" i="7"/>
  <c r="AD1141" i="7"/>
  <c r="Q1141" i="7"/>
  <c r="AD1144" i="7"/>
  <c r="Q1144" i="7"/>
  <c r="AD1147" i="7"/>
  <c r="Q1147" i="7"/>
  <c r="AD1152" i="7"/>
  <c r="Q1152" i="7"/>
  <c r="AD1156" i="7"/>
  <c r="Q1156" i="7"/>
  <c r="AD1159" i="7"/>
  <c r="AD1162" i="7"/>
  <c r="Q1162" i="7"/>
  <c r="AD1165" i="7"/>
  <c r="Q1165" i="7"/>
  <c r="AD1171" i="7"/>
  <c r="AD1174" i="7"/>
  <c r="Q1174" i="7"/>
  <c r="AD1178" i="7"/>
  <c r="Q1178" i="7"/>
  <c r="AD1181" i="7"/>
  <c r="Q1181" i="7"/>
  <c r="AD1188" i="7"/>
  <c r="AD1191" i="7"/>
  <c r="Q1191" i="7"/>
  <c r="AD1196" i="7"/>
  <c r="Q1196" i="7"/>
  <c r="AD1200" i="7"/>
  <c r="Q1200" i="7"/>
  <c r="AD1205" i="7"/>
  <c r="Q1205" i="7"/>
  <c r="AD1208" i="7"/>
  <c r="Q1208" i="7"/>
  <c r="AD1211" i="7"/>
  <c r="Q1211" i="7"/>
  <c r="AD1218" i="7"/>
  <c r="AD1221" i="7"/>
  <c r="Q1221" i="7"/>
  <c r="AD1224" i="7"/>
  <c r="Q1224" i="7"/>
  <c r="AD1227" i="7"/>
  <c r="Q1227" i="7"/>
  <c r="AD1234" i="7"/>
  <c r="AD1237" i="7"/>
  <c r="Q1237" i="7"/>
  <c r="AD1240" i="7"/>
  <c r="Q1240" i="7"/>
  <c r="AD1244" i="7"/>
  <c r="Q1244" i="7"/>
  <c r="AD1247" i="7"/>
  <c r="Q1247" i="7"/>
  <c r="AD1250" i="7"/>
  <c r="Q1250" i="7"/>
  <c r="AD1254" i="7"/>
  <c r="Q1254" i="7"/>
  <c r="AD1043" i="7"/>
  <c r="Q1043" i="7"/>
  <c r="AD1047" i="7"/>
  <c r="Q1047" i="7"/>
  <c r="AD1051" i="7"/>
  <c r="Q1051" i="7"/>
  <c r="AD1055" i="7"/>
  <c r="Q1055" i="7"/>
  <c r="AD1059" i="7"/>
  <c r="Q1059" i="7"/>
  <c r="AD1063" i="7"/>
  <c r="Q1063" i="7"/>
  <c r="AD1074" i="7"/>
  <c r="Q1074" i="7"/>
  <c r="AD1077" i="7"/>
  <c r="Q1077" i="7"/>
  <c r="AD1081" i="7"/>
  <c r="Q1081" i="7"/>
  <c r="AD1085" i="7"/>
  <c r="Q1085" i="7"/>
  <c r="AD1089" i="7"/>
  <c r="Q1089" i="7"/>
  <c r="AD1093" i="7"/>
  <c r="Q1093" i="7"/>
  <c r="AD1098" i="7"/>
  <c r="Q1098" i="7"/>
  <c r="AC1102" i="7"/>
  <c r="P1102" i="7"/>
  <c r="AD1105" i="7"/>
  <c r="Q1105" i="7"/>
  <c r="AD1109" i="7"/>
  <c r="Q1109" i="7"/>
  <c r="AD1112" i="7"/>
  <c r="Q1112" i="7"/>
  <c r="AD1116" i="7"/>
  <c r="Q1116" i="7"/>
  <c r="AD1119" i="7"/>
  <c r="Q1119" i="7"/>
  <c r="AD1123" i="7"/>
  <c r="Q1123" i="7"/>
  <c r="AD1127" i="7"/>
  <c r="Q1127" i="7"/>
  <c r="AD1131" i="7"/>
  <c r="Q1131" i="7"/>
  <c r="AD1135" i="7"/>
  <c r="Q1135" i="7"/>
  <c r="AD1138" i="7"/>
  <c r="Q1138" i="7"/>
  <c r="AD1142" i="7"/>
  <c r="Q1142" i="7"/>
  <c r="AD1145" i="7"/>
  <c r="Q1145" i="7"/>
  <c r="AD1149" i="7"/>
  <c r="P1149" i="7" s="1"/>
  <c r="Q1149" i="7"/>
  <c r="AD1153" i="7"/>
  <c r="Q1153" i="7"/>
  <c r="AD1163" i="7"/>
  <c r="Q1163" i="7"/>
  <c r="AD1166" i="7"/>
  <c r="Q1166" i="7"/>
  <c r="AD1169" i="7"/>
  <c r="Q1169" i="7"/>
  <c r="AD1179" i="7"/>
  <c r="Q1179" i="7"/>
  <c r="AD1182" i="7"/>
  <c r="Q1182" i="7"/>
  <c r="AD1185" i="7"/>
  <c r="Q1185" i="7"/>
  <c r="AD1197" i="7"/>
  <c r="Q1197" i="7"/>
  <c r="AD1201" i="7"/>
  <c r="Q1201" i="7"/>
  <c r="AD1206" i="7"/>
  <c r="Q1206" i="7"/>
  <c r="AD1209" i="7"/>
  <c r="Q1209" i="7"/>
  <c r="AD1212" i="7"/>
  <c r="Q1212" i="7"/>
  <c r="AD1215" i="7"/>
  <c r="Q1215" i="7"/>
  <c r="AD1222" i="7"/>
  <c r="Q1222" i="7"/>
  <c r="AD1225" i="7"/>
  <c r="Q1225" i="7"/>
  <c r="AD1228" i="7"/>
  <c r="Q1228" i="7"/>
  <c r="AD1231" i="7"/>
  <c r="Q1231" i="7"/>
  <c r="AD1238" i="7"/>
  <c r="Q1238" i="7"/>
  <c r="AD1241" i="7"/>
  <c r="Q1241" i="7"/>
  <c r="AD1245" i="7"/>
  <c r="Q1245" i="7"/>
  <c r="AD1248" i="7"/>
  <c r="Q1248" i="7"/>
  <c r="AD1251" i="7"/>
  <c r="Q1251" i="7"/>
  <c r="AD1255" i="7"/>
  <c r="Q1255" i="7"/>
  <c r="AD1024" i="7"/>
  <c r="AC1024" i="7" s="1"/>
  <c r="AD1044" i="7"/>
  <c r="Q1044" i="7"/>
  <c r="AD1048" i="7"/>
  <c r="Q1048" i="7"/>
  <c r="AD1052" i="7"/>
  <c r="Q1052" i="7"/>
  <c r="AD1056" i="7"/>
  <c r="Q1056" i="7"/>
  <c r="AD1060" i="7"/>
  <c r="Q1060" i="7"/>
  <c r="AD1064" i="7"/>
  <c r="Q1064" i="7"/>
  <c r="AD1068" i="7"/>
  <c r="Q1068" i="7"/>
  <c r="AD1075" i="7"/>
  <c r="Q1075" i="7"/>
  <c r="AD1078" i="7"/>
  <c r="Q1078" i="7"/>
  <c r="AD1082" i="7"/>
  <c r="Q1082" i="7"/>
  <c r="AD1086" i="7"/>
  <c r="Q1086" i="7"/>
  <c r="AD1090" i="7"/>
  <c r="Q1090" i="7"/>
  <c r="AD1095" i="7"/>
  <c r="Q1095" i="7"/>
  <c r="AD1099" i="7"/>
  <c r="Q1099" i="7"/>
  <c r="AD1106" i="7"/>
  <c r="Q1106" i="7"/>
  <c r="AD1110" i="7"/>
  <c r="AD1113" i="7"/>
  <c r="Q1113" i="7"/>
  <c r="AD1117" i="7"/>
  <c r="Q1117" i="7"/>
  <c r="AD1120" i="7"/>
  <c r="AD1124" i="7"/>
  <c r="Q1124" i="7"/>
  <c r="AD1128" i="7"/>
  <c r="Q1128" i="7"/>
  <c r="AD1132" i="7"/>
  <c r="Q1132" i="7"/>
  <c r="AD1136" i="7"/>
  <c r="Q1136" i="7"/>
  <c r="AD1139" i="7"/>
  <c r="Q1139" i="7"/>
  <c r="AD1143" i="7"/>
  <c r="Q1143" i="7"/>
  <c r="AD1150" i="7"/>
  <c r="Q1150" i="7"/>
  <c r="AD1154" i="7"/>
  <c r="Q1154" i="7"/>
  <c r="AD1160" i="7"/>
  <c r="Q1160" i="7"/>
  <c r="AD1164" i="7"/>
  <c r="AD1167" i="7"/>
  <c r="Q1167" i="7"/>
  <c r="AD1170" i="7"/>
  <c r="Q1170" i="7"/>
  <c r="AD1172" i="7"/>
  <c r="Q1172" i="7"/>
  <c r="AE1202" i="7"/>
  <c r="Q1202" i="7" s="1"/>
  <c r="Q1176" i="7"/>
  <c r="AD1180" i="7"/>
  <c r="AD1183" i="7"/>
  <c r="Q1183" i="7"/>
  <c r="AD1186" i="7"/>
  <c r="Q1186" i="7"/>
  <c r="AD1189" i="7"/>
  <c r="Q1189" i="7"/>
  <c r="AD1198" i="7"/>
  <c r="Q1198" i="7"/>
  <c r="AD1203" i="7"/>
  <c r="Q1203" i="7"/>
  <c r="AD1210" i="7"/>
  <c r="AD1213" i="7"/>
  <c r="Q1213" i="7"/>
  <c r="AD1216" i="7"/>
  <c r="Q1216" i="7"/>
  <c r="AD1219" i="7"/>
  <c r="Q1219" i="7"/>
  <c r="AD1226" i="7"/>
  <c r="AD1230" i="7"/>
  <c r="AD1235" i="7"/>
  <c r="Q1235" i="7"/>
  <c r="AD1239" i="7"/>
  <c r="Q1239" i="7"/>
  <c r="AD1242" i="7"/>
  <c r="Q1242" i="7"/>
  <c r="AD1249" i="7"/>
  <c r="Q1249" i="7"/>
  <c r="AD1252" i="7"/>
  <c r="Q1252" i="7"/>
  <c r="AD920" i="7"/>
  <c r="AC920" i="7" s="1"/>
  <c r="O920" i="7" s="1"/>
  <c r="AB980" i="7"/>
  <c r="O980" i="7"/>
  <c r="O976" i="7"/>
  <c r="AB976" i="7"/>
  <c r="AD1015" i="7"/>
  <c r="Q1015" i="7"/>
  <c r="AD1020" i="7"/>
  <c r="Q1020" i="7"/>
  <c r="AD1027" i="7"/>
  <c r="Q1027" i="7"/>
  <c r="AD1031" i="7"/>
  <c r="Q1031" i="7"/>
  <c r="AD1035" i="7"/>
  <c r="Q1035" i="7"/>
  <c r="AD1039" i="7"/>
  <c r="Q1039" i="7"/>
  <c r="AD1018" i="7"/>
  <c r="Q1018" i="7"/>
  <c r="AD1021" i="7"/>
  <c r="Q1021" i="7"/>
  <c r="AD1028" i="7"/>
  <c r="Q1028" i="7"/>
  <c r="AD1032" i="7"/>
  <c r="Q1032" i="7"/>
  <c r="AD1036" i="7"/>
  <c r="Q1036" i="7"/>
  <c r="AC1019" i="7"/>
  <c r="AD1022" i="7"/>
  <c r="Q1022" i="7"/>
  <c r="AD1025" i="7"/>
  <c r="Q1025" i="7"/>
  <c r="AD1029" i="7"/>
  <c r="Q1029" i="7"/>
  <c r="AD1033" i="7"/>
  <c r="Q1033" i="7"/>
  <c r="AD1037" i="7"/>
  <c r="Q1037" i="7"/>
  <c r="AD1014" i="7"/>
  <c r="P1014" i="7" s="1"/>
  <c r="Q1014" i="7"/>
  <c r="P1017" i="7"/>
  <c r="AD1023" i="7"/>
  <c r="Q1023" i="7"/>
  <c r="AD1026" i="7"/>
  <c r="Q1026" i="7"/>
  <c r="AD1030" i="7"/>
  <c r="Q1030" i="7"/>
  <c r="AD1034" i="7"/>
  <c r="Q1034" i="7"/>
  <c r="AD1038" i="7"/>
  <c r="Q1038" i="7"/>
  <c r="AD955" i="7"/>
  <c r="Q955" i="7"/>
  <c r="AD951" i="7"/>
  <c r="Q951" i="7"/>
  <c r="AD947" i="7"/>
  <c r="Q947" i="7"/>
  <c r="AD940" i="7"/>
  <c r="Q940" i="7"/>
  <c r="AD936" i="7"/>
  <c r="Q936" i="7"/>
  <c r="AD931" i="7"/>
  <c r="Q931" i="7"/>
  <c r="AD927" i="7"/>
  <c r="Q927" i="7"/>
  <c r="AD923" i="7"/>
  <c r="Q923" i="7"/>
  <c r="AD916" i="7"/>
  <c r="Q916" i="7"/>
  <c r="AD913" i="7"/>
  <c r="Q913" i="7"/>
  <c r="AD958" i="7"/>
  <c r="Q958" i="7"/>
  <c r="AD954" i="7"/>
  <c r="Q954" i="7"/>
  <c r="AD950" i="7"/>
  <c r="Q950" i="7"/>
  <c r="AD946" i="7"/>
  <c r="Q946" i="7"/>
  <c r="AD943" i="7"/>
  <c r="AD939" i="7"/>
  <c r="Q939" i="7"/>
  <c r="AD935" i="7"/>
  <c r="Q935" i="7"/>
  <c r="AD930" i="7"/>
  <c r="Q930" i="7"/>
  <c r="AD926" i="7"/>
  <c r="Q926" i="7"/>
  <c r="AD922" i="7"/>
  <c r="Q922" i="7"/>
  <c r="AD919" i="7"/>
  <c r="Q919" i="7"/>
  <c r="AD915" i="7"/>
  <c r="Q915" i="7"/>
  <c r="AD912" i="7"/>
  <c r="Q912" i="7"/>
  <c r="AD908" i="7"/>
  <c r="Q908" i="7"/>
  <c r="AA975" i="7"/>
  <c r="N975" i="7"/>
  <c r="AA973" i="7"/>
  <c r="N973" i="7"/>
  <c r="AA967" i="7"/>
  <c r="N967" i="7"/>
  <c r="AB974" i="7"/>
  <c r="O974" i="7"/>
  <c r="AA968" i="7"/>
  <c r="N968" i="7"/>
  <c r="AB977" i="7"/>
  <c r="O977" i="7"/>
  <c r="AA985" i="7"/>
  <c r="N985" i="7"/>
  <c r="AA981" i="7"/>
  <c r="N981" i="7"/>
  <c r="AA961" i="7"/>
  <c r="N961" i="7"/>
  <c r="AB970" i="7"/>
  <c r="O970" i="7"/>
  <c r="Z964" i="7"/>
  <c r="L964" i="7" s="1"/>
  <c r="M964" i="7"/>
  <c r="AA963" i="7"/>
  <c r="N963" i="7"/>
  <c r="AD957" i="7"/>
  <c r="Q957" i="7"/>
  <c r="AD953" i="7"/>
  <c r="Q953" i="7"/>
  <c r="AD949" i="7"/>
  <c r="Q949" i="7"/>
  <c r="AD945" i="7"/>
  <c r="Q945" i="7"/>
  <c r="AD942" i="7"/>
  <c r="Q942" i="7"/>
  <c r="AD938" i="7"/>
  <c r="Q938" i="7"/>
  <c r="AD934" i="7"/>
  <c r="Q934" i="7"/>
  <c r="AD929" i="7"/>
  <c r="Q929" i="7"/>
  <c r="AD925" i="7"/>
  <c r="Q925" i="7"/>
  <c r="AD921" i="7"/>
  <c r="Q921" i="7"/>
  <c r="AD918" i="7"/>
  <c r="Q918" i="7"/>
  <c r="AD911" i="7"/>
  <c r="Q911" i="7"/>
  <c r="AD907" i="7"/>
  <c r="Q907" i="7"/>
  <c r="AD956" i="7"/>
  <c r="Q956" i="7"/>
  <c r="AD952" i="7"/>
  <c r="Q952" i="7"/>
  <c r="AD948" i="7"/>
  <c r="Q948" i="7"/>
  <c r="AD944" i="7"/>
  <c r="Q944" i="7"/>
  <c r="AD941" i="7"/>
  <c r="Q941" i="7"/>
  <c r="AD937" i="7"/>
  <c r="Q937" i="7"/>
  <c r="AD928" i="7"/>
  <c r="Q928" i="7"/>
  <c r="AD924" i="7"/>
  <c r="Q924" i="7"/>
  <c r="AD917" i="7"/>
  <c r="Q917" i="7"/>
  <c r="AD914" i="7"/>
  <c r="AD910" i="7"/>
  <c r="Q910" i="7"/>
  <c r="AD906" i="7"/>
  <c r="P906" i="7" s="1"/>
  <c r="Q906" i="7"/>
  <c r="AB983" i="7"/>
  <c r="O983" i="7"/>
  <c r="AB982" i="7"/>
  <c r="O982" i="7"/>
  <c r="AB966" i="7"/>
  <c r="O966" i="7"/>
  <c r="AA971" i="7"/>
  <c r="N971" i="7"/>
  <c r="AB960" i="7"/>
  <c r="O960" i="7"/>
  <c r="AA979" i="7"/>
  <c r="N979" i="7"/>
  <c r="AA972" i="7"/>
  <c r="N972" i="7"/>
  <c r="AB978" i="7"/>
  <c r="O978" i="7"/>
  <c r="AB962" i="7"/>
  <c r="O962" i="7"/>
  <c r="AA984" i="7"/>
  <c r="N984" i="7"/>
  <c r="AA965" i="7"/>
  <c r="N965" i="7"/>
  <c r="AE1229" i="7"/>
  <c r="Q1229" i="7" s="1"/>
  <c r="AE959" i="7"/>
  <c r="Q959" i="7" s="1"/>
  <c r="AE1256" i="7"/>
  <c r="Q1256" i="7" s="1"/>
  <c r="AE932" i="7"/>
  <c r="Q932" i="7" s="1"/>
  <c r="AC906" i="7"/>
  <c r="O906" i="7" s="1"/>
  <c r="AD933" i="7"/>
  <c r="P933" i="7" s="1"/>
  <c r="AD909" i="7"/>
  <c r="AD1069" i="7"/>
  <c r="AC1122" i="7"/>
  <c r="O1122" i="7" s="1"/>
  <c r="AE1148" i="7"/>
  <c r="Q1148" i="7" s="1"/>
  <c r="AE1121" i="7"/>
  <c r="Q1121" i="7" s="1"/>
  <c r="AC1176" i="7"/>
  <c r="AE1175" i="7"/>
  <c r="Q1175" i="7" s="1"/>
  <c r="AD1232" i="7"/>
  <c r="AD1204" i="7"/>
  <c r="B35" i="1"/>
  <c r="C35" i="1" s="1"/>
  <c r="AF1229" i="7"/>
  <c r="R1229" i="7" s="1"/>
  <c r="AF1202" i="7"/>
  <c r="R1202" i="7" s="1"/>
  <c r="AF1175" i="7"/>
  <c r="R1175" i="7" s="1"/>
  <c r="AF1148" i="7"/>
  <c r="R1148" i="7" s="1"/>
  <c r="AF1121" i="7"/>
  <c r="R1121" i="7" s="1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AC1041" i="7" l="1"/>
  <c r="O1041" i="7" s="1"/>
  <c r="AC1194" i="7"/>
  <c r="P1157" i="7"/>
  <c r="P1024" i="7"/>
  <c r="AC1184" i="7"/>
  <c r="AB1184" i="7" s="1"/>
  <c r="P1193" i="7"/>
  <c r="AC1014" i="7"/>
  <c r="O1014" i="7" s="1"/>
  <c r="P1192" i="7"/>
  <c r="AC1016" i="7"/>
  <c r="AB1016" i="7" s="1"/>
  <c r="AD1202" i="7"/>
  <c r="P1202" i="7" s="1"/>
  <c r="AD1175" i="7"/>
  <c r="P1175" i="7" s="1"/>
  <c r="AD1148" i="7"/>
  <c r="P1148" i="7" s="1"/>
  <c r="AD1121" i="7"/>
  <c r="P1121" i="7" s="1"/>
  <c r="AC1071" i="7"/>
  <c r="AB1071" i="7" s="1"/>
  <c r="AC1149" i="7"/>
  <c r="O1149" i="7" s="1"/>
  <c r="AA969" i="7"/>
  <c r="N969" i="7"/>
  <c r="AD1256" i="7"/>
  <c r="P1256" i="7" s="1"/>
  <c r="AC1069" i="7"/>
  <c r="P1069" i="7"/>
  <c r="AC1203" i="7"/>
  <c r="P1203" i="7"/>
  <c r="AC1189" i="7"/>
  <c r="P1189" i="7"/>
  <c r="AC1183" i="7"/>
  <c r="P1183" i="7"/>
  <c r="AC1160" i="7"/>
  <c r="P1160" i="7"/>
  <c r="AC1150" i="7"/>
  <c r="P1150" i="7"/>
  <c r="AC1139" i="7"/>
  <c r="P1139" i="7"/>
  <c r="AC1132" i="7"/>
  <c r="P1132" i="7"/>
  <c r="AC1124" i="7"/>
  <c r="P1124" i="7"/>
  <c r="AC1106" i="7"/>
  <c r="P1106" i="7"/>
  <c r="AC1095" i="7"/>
  <c r="P1095" i="7"/>
  <c r="AC1086" i="7"/>
  <c r="P1086" i="7"/>
  <c r="AC1078" i="7"/>
  <c r="P1078" i="7"/>
  <c r="P1068" i="7"/>
  <c r="AC1068" i="7"/>
  <c r="AC1060" i="7"/>
  <c r="P1060" i="7"/>
  <c r="AC1052" i="7"/>
  <c r="P1052" i="7"/>
  <c r="AC1044" i="7"/>
  <c r="P1044" i="7"/>
  <c r="AC1227" i="7"/>
  <c r="P1227" i="7"/>
  <c r="AC1221" i="7"/>
  <c r="P1221" i="7"/>
  <c r="AC1181" i="7"/>
  <c r="P1181" i="7"/>
  <c r="AC1174" i="7"/>
  <c r="P1174" i="7"/>
  <c r="AC1156" i="7"/>
  <c r="P1156" i="7"/>
  <c r="AC1147" i="7"/>
  <c r="P1147" i="7"/>
  <c r="AC1141" i="7"/>
  <c r="P1141" i="7"/>
  <c r="AC1130" i="7"/>
  <c r="P1130" i="7"/>
  <c r="AC1111" i="7"/>
  <c r="P1111" i="7"/>
  <c r="AC1104" i="7"/>
  <c r="P1104" i="7"/>
  <c r="AC1097" i="7"/>
  <c r="P1097" i="7"/>
  <c r="AC1088" i="7"/>
  <c r="P1088" i="7"/>
  <c r="AC1080" i="7"/>
  <c r="P1080" i="7"/>
  <c r="AC1073" i="7"/>
  <c r="P1073" i="7"/>
  <c r="AC1066" i="7"/>
  <c r="P1066" i="7"/>
  <c r="AC1058" i="7"/>
  <c r="P1058" i="7"/>
  <c r="AC1050" i="7"/>
  <c r="P1050" i="7"/>
  <c r="AC1042" i="7"/>
  <c r="P1042" i="7"/>
  <c r="P920" i="7"/>
  <c r="AC1252" i="7"/>
  <c r="P1252" i="7"/>
  <c r="AC1242" i="7"/>
  <c r="P1242" i="7"/>
  <c r="AC1235" i="7"/>
  <c r="P1235" i="7"/>
  <c r="AC1219" i="7"/>
  <c r="P1219" i="7"/>
  <c r="AC1213" i="7"/>
  <c r="P1213" i="7"/>
  <c r="AC1180" i="7"/>
  <c r="P1180" i="7"/>
  <c r="AC1172" i="7"/>
  <c r="P1172" i="7"/>
  <c r="AC1167" i="7"/>
  <c r="P1167" i="7"/>
  <c r="AC1120" i="7"/>
  <c r="P1120" i="7"/>
  <c r="AC1113" i="7"/>
  <c r="P1113" i="7"/>
  <c r="AC1251" i="7"/>
  <c r="P1251" i="7"/>
  <c r="AC1245" i="7"/>
  <c r="P1245" i="7"/>
  <c r="AC1238" i="7"/>
  <c r="P1238" i="7"/>
  <c r="AC1228" i="7"/>
  <c r="P1228" i="7"/>
  <c r="AC1222" i="7"/>
  <c r="P1222" i="7"/>
  <c r="AC1212" i="7"/>
  <c r="P1212" i="7"/>
  <c r="AC1206" i="7"/>
  <c r="P1206" i="7"/>
  <c r="AC1197" i="7"/>
  <c r="P1197" i="7"/>
  <c r="AB1192" i="7"/>
  <c r="O1192" i="7"/>
  <c r="AC1182" i="7"/>
  <c r="P1182" i="7"/>
  <c r="AC1169" i="7"/>
  <c r="P1169" i="7"/>
  <c r="AC1163" i="7"/>
  <c r="P1163" i="7"/>
  <c r="AC1153" i="7"/>
  <c r="P1153" i="7"/>
  <c r="AC1145" i="7"/>
  <c r="P1145" i="7"/>
  <c r="AC1138" i="7"/>
  <c r="P1138" i="7"/>
  <c r="AC1131" i="7"/>
  <c r="P1131" i="7"/>
  <c r="AC1123" i="7"/>
  <c r="P1123" i="7"/>
  <c r="AC1116" i="7"/>
  <c r="P1116" i="7"/>
  <c r="AC1109" i="7"/>
  <c r="P1109" i="7"/>
  <c r="AB1102" i="7"/>
  <c r="O1102" i="7"/>
  <c r="AC1093" i="7"/>
  <c r="P1093" i="7"/>
  <c r="AC1085" i="7"/>
  <c r="P1085" i="7"/>
  <c r="AC1077" i="7"/>
  <c r="P1077" i="7"/>
  <c r="AC1059" i="7"/>
  <c r="P1059" i="7"/>
  <c r="AC1051" i="7"/>
  <c r="P1051" i="7"/>
  <c r="AC1043" i="7"/>
  <c r="P1043" i="7"/>
  <c r="P1250" i="7"/>
  <c r="AC1250" i="7"/>
  <c r="AC1244" i="7"/>
  <c r="P1244" i="7"/>
  <c r="AC1237" i="7"/>
  <c r="P1237" i="7"/>
  <c r="AC1218" i="7"/>
  <c r="P1218" i="7"/>
  <c r="AC1208" i="7"/>
  <c r="P1208" i="7"/>
  <c r="AC1200" i="7"/>
  <c r="P1200" i="7"/>
  <c r="AC1191" i="7"/>
  <c r="P1191" i="7"/>
  <c r="AC1171" i="7"/>
  <c r="P1171" i="7"/>
  <c r="AC1162" i="7"/>
  <c r="P1162" i="7"/>
  <c r="P1246" i="7"/>
  <c r="AC1246" i="7"/>
  <c r="AC1236" i="7"/>
  <c r="P1236" i="7"/>
  <c r="P1223" i="7"/>
  <c r="AC1223" i="7"/>
  <c r="AC1217" i="7"/>
  <c r="P1217" i="7"/>
  <c r="P1207" i="7"/>
  <c r="AC1207" i="7"/>
  <c r="AC1195" i="7"/>
  <c r="P1195" i="7"/>
  <c r="AC1190" i="7"/>
  <c r="P1190" i="7"/>
  <c r="AC1173" i="7"/>
  <c r="P1173" i="7"/>
  <c r="AC1161" i="7"/>
  <c r="P1161" i="7"/>
  <c r="AC1155" i="7"/>
  <c r="P1155" i="7"/>
  <c r="AC1146" i="7"/>
  <c r="P1146" i="7"/>
  <c r="AB1137" i="7"/>
  <c r="O1137" i="7"/>
  <c r="AC1129" i="7"/>
  <c r="P1129" i="7"/>
  <c r="AB1118" i="7"/>
  <c r="O1118" i="7"/>
  <c r="AC1107" i="7"/>
  <c r="P1107" i="7"/>
  <c r="AC1100" i="7"/>
  <c r="P1100" i="7"/>
  <c r="AC1091" i="7"/>
  <c r="P1091" i="7"/>
  <c r="AC1083" i="7"/>
  <c r="P1083" i="7"/>
  <c r="AC1072" i="7"/>
  <c r="P1072" i="7"/>
  <c r="AC1061" i="7"/>
  <c r="P1061" i="7"/>
  <c r="AC1053" i="7"/>
  <c r="P1053" i="7"/>
  <c r="AC1045" i="7"/>
  <c r="P1045" i="7"/>
  <c r="O1176" i="7"/>
  <c r="AC1204" i="7"/>
  <c r="P1204" i="7"/>
  <c r="AC1230" i="7"/>
  <c r="P1230" i="7"/>
  <c r="AC1210" i="7"/>
  <c r="P1210" i="7"/>
  <c r="AC1198" i="7"/>
  <c r="P1198" i="7"/>
  <c r="AC1186" i="7"/>
  <c r="P1186" i="7"/>
  <c r="AC1164" i="7"/>
  <c r="P1164" i="7"/>
  <c r="AC1154" i="7"/>
  <c r="P1154" i="7"/>
  <c r="AC1143" i="7"/>
  <c r="P1143" i="7"/>
  <c r="AC1136" i="7"/>
  <c r="P1136" i="7"/>
  <c r="AC1128" i="7"/>
  <c r="P1128" i="7"/>
  <c r="AC1110" i="7"/>
  <c r="P1110" i="7"/>
  <c r="AC1099" i="7"/>
  <c r="P1099" i="7"/>
  <c r="AC1090" i="7"/>
  <c r="P1090" i="7"/>
  <c r="AC1082" i="7"/>
  <c r="P1082" i="7"/>
  <c r="AC1075" i="7"/>
  <c r="P1075" i="7"/>
  <c r="AC1064" i="7"/>
  <c r="P1064" i="7"/>
  <c r="AC1056" i="7"/>
  <c r="P1056" i="7"/>
  <c r="AC1048" i="7"/>
  <c r="P1048" i="7"/>
  <c r="AC1234" i="7"/>
  <c r="P1234" i="7"/>
  <c r="AC1224" i="7"/>
  <c r="P1224" i="7"/>
  <c r="AC1188" i="7"/>
  <c r="P1188" i="7"/>
  <c r="AC1178" i="7"/>
  <c r="P1178" i="7"/>
  <c r="AC1159" i="7"/>
  <c r="P1159" i="7"/>
  <c r="AC1152" i="7"/>
  <c r="P1152" i="7"/>
  <c r="AC1144" i="7"/>
  <c r="P1144" i="7"/>
  <c r="AC1134" i="7"/>
  <c r="P1134" i="7"/>
  <c r="AC1126" i="7"/>
  <c r="P1126" i="7"/>
  <c r="AC1115" i="7"/>
  <c r="P1115" i="7"/>
  <c r="AC1108" i="7"/>
  <c r="P1108" i="7"/>
  <c r="AC1101" i="7"/>
  <c r="P1101" i="7"/>
  <c r="AC1092" i="7"/>
  <c r="P1092" i="7"/>
  <c r="AC1084" i="7"/>
  <c r="P1084" i="7"/>
  <c r="P1076" i="7"/>
  <c r="AC1076" i="7"/>
  <c r="AC1070" i="7"/>
  <c r="P1070" i="7"/>
  <c r="AC1062" i="7"/>
  <c r="P1062" i="7"/>
  <c r="AC1054" i="7"/>
  <c r="P1054" i="7"/>
  <c r="AC1046" i="7"/>
  <c r="P1046" i="7"/>
  <c r="AC1232" i="7"/>
  <c r="P1232" i="7"/>
  <c r="AC1249" i="7"/>
  <c r="P1249" i="7"/>
  <c r="AC1239" i="7"/>
  <c r="P1239" i="7"/>
  <c r="AC1226" i="7"/>
  <c r="P1226" i="7"/>
  <c r="AC1216" i="7"/>
  <c r="P1216" i="7"/>
  <c r="AC1170" i="7"/>
  <c r="P1170" i="7"/>
  <c r="AC1117" i="7"/>
  <c r="P1117" i="7"/>
  <c r="AC1255" i="7"/>
  <c r="P1255" i="7"/>
  <c r="AC1248" i="7"/>
  <c r="P1248" i="7"/>
  <c r="AC1241" i="7"/>
  <c r="P1241" i="7"/>
  <c r="P1231" i="7"/>
  <c r="AC1231" i="7"/>
  <c r="AC1225" i="7"/>
  <c r="P1225" i="7"/>
  <c r="P1215" i="7"/>
  <c r="AC1215" i="7"/>
  <c r="AC1209" i="7"/>
  <c r="P1209" i="7"/>
  <c r="AC1201" i="7"/>
  <c r="P1201" i="7"/>
  <c r="AB1194" i="7"/>
  <c r="O1194" i="7"/>
  <c r="AC1185" i="7"/>
  <c r="P1185" i="7"/>
  <c r="AC1179" i="7"/>
  <c r="P1179" i="7"/>
  <c r="AC1166" i="7"/>
  <c r="P1166" i="7"/>
  <c r="AB1157" i="7"/>
  <c r="O1157" i="7"/>
  <c r="AC1142" i="7"/>
  <c r="P1142" i="7"/>
  <c r="AC1135" i="7"/>
  <c r="P1135" i="7"/>
  <c r="AC1127" i="7"/>
  <c r="P1127" i="7"/>
  <c r="AC1119" i="7"/>
  <c r="P1119" i="7"/>
  <c r="AC1112" i="7"/>
  <c r="P1112" i="7"/>
  <c r="AC1105" i="7"/>
  <c r="P1105" i="7"/>
  <c r="AC1098" i="7"/>
  <c r="P1098" i="7"/>
  <c r="AC1089" i="7"/>
  <c r="P1089" i="7"/>
  <c r="AC1081" i="7"/>
  <c r="P1081" i="7"/>
  <c r="AC1074" i="7"/>
  <c r="P1074" i="7"/>
  <c r="AC1063" i="7"/>
  <c r="P1063" i="7"/>
  <c r="AC1055" i="7"/>
  <c r="P1055" i="7"/>
  <c r="AC1047" i="7"/>
  <c r="P1047" i="7"/>
  <c r="AC1254" i="7"/>
  <c r="P1254" i="7"/>
  <c r="AC1247" i="7"/>
  <c r="P1247" i="7"/>
  <c r="P1240" i="7"/>
  <c r="AC1240" i="7"/>
  <c r="AC1211" i="7"/>
  <c r="P1211" i="7"/>
  <c r="AC1205" i="7"/>
  <c r="P1205" i="7"/>
  <c r="AC1196" i="7"/>
  <c r="P1196" i="7"/>
  <c r="AC1165" i="7"/>
  <c r="P1165" i="7"/>
  <c r="AC1253" i="7"/>
  <c r="P1253" i="7"/>
  <c r="AC1243" i="7"/>
  <c r="P1243" i="7"/>
  <c r="AC1233" i="7"/>
  <c r="P1233" i="7"/>
  <c r="AC1220" i="7"/>
  <c r="P1220" i="7"/>
  <c r="AC1214" i="7"/>
  <c r="P1214" i="7"/>
  <c r="AC1199" i="7"/>
  <c r="P1199" i="7"/>
  <c r="AB1193" i="7"/>
  <c r="O1193" i="7"/>
  <c r="AC1187" i="7"/>
  <c r="P1187" i="7"/>
  <c r="AC1177" i="7"/>
  <c r="P1177" i="7"/>
  <c r="AB1168" i="7"/>
  <c r="O1168" i="7"/>
  <c r="AC1158" i="7"/>
  <c r="P1158" i="7"/>
  <c r="AC1151" i="7"/>
  <c r="P1151" i="7"/>
  <c r="AC1140" i="7"/>
  <c r="P1140" i="7"/>
  <c r="AC1133" i="7"/>
  <c r="P1133" i="7"/>
  <c r="AC1125" i="7"/>
  <c r="P1125" i="7"/>
  <c r="AC1114" i="7"/>
  <c r="P1114" i="7"/>
  <c r="AC1103" i="7"/>
  <c r="P1103" i="7"/>
  <c r="AC1096" i="7"/>
  <c r="P1096" i="7"/>
  <c r="AC1087" i="7"/>
  <c r="P1087" i="7"/>
  <c r="AC1079" i="7"/>
  <c r="P1079" i="7"/>
  <c r="AC1065" i="7"/>
  <c r="P1065" i="7"/>
  <c r="AC1057" i="7"/>
  <c r="P1057" i="7"/>
  <c r="AC1049" i="7"/>
  <c r="P1049" i="7"/>
  <c r="AA976" i="7"/>
  <c r="N976" i="7"/>
  <c r="N980" i="7"/>
  <c r="AA980" i="7"/>
  <c r="AC1038" i="7"/>
  <c r="P1038" i="7"/>
  <c r="AC1030" i="7"/>
  <c r="P1030" i="7"/>
  <c r="AC1023" i="7"/>
  <c r="P1023" i="7"/>
  <c r="AC1033" i="7"/>
  <c r="P1033" i="7"/>
  <c r="AC1025" i="7"/>
  <c r="P1025" i="7"/>
  <c r="AB1019" i="7"/>
  <c r="O1019" i="7"/>
  <c r="AC1032" i="7"/>
  <c r="P1032" i="7"/>
  <c r="AC1021" i="7"/>
  <c r="P1021" i="7"/>
  <c r="AC1035" i="7"/>
  <c r="P1035" i="7"/>
  <c r="AC1027" i="7"/>
  <c r="P1027" i="7"/>
  <c r="AC1020" i="7"/>
  <c r="P1020" i="7"/>
  <c r="AC1034" i="7"/>
  <c r="P1034" i="7"/>
  <c r="AC1026" i="7"/>
  <c r="P1026" i="7"/>
  <c r="AB1017" i="7"/>
  <c r="O1017" i="7"/>
  <c r="AC1037" i="7"/>
  <c r="P1037" i="7"/>
  <c r="AC1029" i="7"/>
  <c r="P1029" i="7"/>
  <c r="AC1022" i="7"/>
  <c r="P1022" i="7"/>
  <c r="AC1036" i="7"/>
  <c r="P1036" i="7"/>
  <c r="AC1028" i="7"/>
  <c r="P1028" i="7"/>
  <c r="AC1018" i="7"/>
  <c r="P1018" i="7"/>
  <c r="AC1039" i="7"/>
  <c r="P1039" i="7"/>
  <c r="AC1031" i="7"/>
  <c r="P1031" i="7"/>
  <c r="AB1024" i="7"/>
  <c r="O1024" i="7"/>
  <c r="AC1015" i="7"/>
  <c r="P1015" i="7"/>
  <c r="AC914" i="7"/>
  <c r="O914" i="7" s="1"/>
  <c r="P914" i="7"/>
  <c r="AC924" i="7"/>
  <c r="O924" i="7" s="1"/>
  <c r="P924" i="7"/>
  <c r="AC937" i="7"/>
  <c r="O937" i="7" s="1"/>
  <c r="P937" i="7"/>
  <c r="AC944" i="7"/>
  <c r="O944" i="7" s="1"/>
  <c r="P944" i="7"/>
  <c r="AC952" i="7"/>
  <c r="O952" i="7" s="1"/>
  <c r="P952" i="7"/>
  <c r="AC907" i="7"/>
  <c r="O907" i="7" s="1"/>
  <c r="P907" i="7"/>
  <c r="AC918" i="7"/>
  <c r="O918" i="7" s="1"/>
  <c r="P918" i="7"/>
  <c r="AC925" i="7"/>
  <c r="O925" i="7" s="1"/>
  <c r="P925" i="7"/>
  <c r="AC934" i="7"/>
  <c r="O934" i="7" s="1"/>
  <c r="P934" i="7"/>
  <c r="AC942" i="7"/>
  <c r="O942" i="7" s="1"/>
  <c r="P942" i="7"/>
  <c r="AC949" i="7"/>
  <c r="O949" i="7" s="1"/>
  <c r="P949" i="7"/>
  <c r="AC957" i="7"/>
  <c r="O957" i="7" s="1"/>
  <c r="P957" i="7"/>
  <c r="Z961" i="7"/>
  <c r="L961" i="7" s="1"/>
  <c r="M961" i="7"/>
  <c r="Z985" i="7"/>
  <c r="L985" i="7" s="1"/>
  <c r="M985" i="7"/>
  <c r="Z968" i="7"/>
  <c r="L968" i="7" s="1"/>
  <c r="M968" i="7"/>
  <c r="AA974" i="7"/>
  <c r="N974" i="7"/>
  <c r="Z973" i="7"/>
  <c r="L973" i="7" s="1"/>
  <c r="M973" i="7"/>
  <c r="AC908" i="7"/>
  <c r="O908" i="7" s="1"/>
  <c r="P908" i="7"/>
  <c r="AC915" i="7"/>
  <c r="O915" i="7" s="1"/>
  <c r="P915" i="7"/>
  <c r="AC922" i="7"/>
  <c r="O922" i="7" s="1"/>
  <c r="P922" i="7"/>
  <c r="AC930" i="7"/>
  <c r="O930" i="7" s="1"/>
  <c r="P930" i="7"/>
  <c r="AC939" i="7"/>
  <c r="O939" i="7" s="1"/>
  <c r="P939" i="7"/>
  <c r="Z984" i="7"/>
  <c r="L984" i="7" s="1"/>
  <c r="M984" i="7"/>
  <c r="AA978" i="7"/>
  <c r="N978" i="7"/>
  <c r="Z979" i="7"/>
  <c r="L979" i="7" s="1"/>
  <c r="M979" i="7"/>
  <c r="AA960" i="7"/>
  <c r="N960" i="7"/>
  <c r="AA966" i="7"/>
  <c r="N966" i="7"/>
  <c r="AA983" i="7"/>
  <c r="N983" i="7"/>
  <c r="AC943" i="7"/>
  <c r="O943" i="7" s="1"/>
  <c r="P943" i="7"/>
  <c r="AC950" i="7"/>
  <c r="O950" i="7" s="1"/>
  <c r="P950" i="7"/>
  <c r="AC958" i="7"/>
  <c r="O958" i="7" s="1"/>
  <c r="P958" i="7"/>
  <c r="AC916" i="7"/>
  <c r="O916" i="7" s="1"/>
  <c r="P916" i="7"/>
  <c r="AC923" i="7"/>
  <c r="O923" i="7" s="1"/>
  <c r="P923" i="7"/>
  <c r="AC931" i="7"/>
  <c r="O931" i="7" s="1"/>
  <c r="P931" i="7"/>
  <c r="AC940" i="7"/>
  <c r="O940" i="7" s="1"/>
  <c r="P940" i="7"/>
  <c r="AC951" i="7"/>
  <c r="O951" i="7" s="1"/>
  <c r="P951" i="7"/>
  <c r="AD1229" i="7"/>
  <c r="P1229" i="7" s="1"/>
  <c r="AC917" i="7"/>
  <c r="O917" i="7" s="1"/>
  <c r="P917" i="7"/>
  <c r="AC928" i="7"/>
  <c r="O928" i="7" s="1"/>
  <c r="P928" i="7"/>
  <c r="AC941" i="7"/>
  <c r="O941" i="7" s="1"/>
  <c r="P941" i="7"/>
  <c r="AC948" i="7"/>
  <c r="O948" i="7" s="1"/>
  <c r="P948" i="7"/>
  <c r="AC956" i="7"/>
  <c r="O956" i="7" s="1"/>
  <c r="P956" i="7"/>
  <c r="AC911" i="7"/>
  <c r="O911" i="7" s="1"/>
  <c r="P911" i="7"/>
  <c r="AC921" i="7"/>
  <c r="O921" i="7" s="1"/>
  <c r="P921" i="7"/>
  <c r="AC929" i="7"/>
  <c r="O929" i="7" s="1"/>
  <c r="P929" i="7"/>
  <c r="AC938" i="7"/>
  <c r="O938" i="7" s="1"/>
  <c r="P938" i="7"/>
  <c r="AC945" i="7"/>
  <c r="O945" i="7" s="1"/>
  <c r="P945" i="7"/>
  <c r="AC953" i="7"/>
  <c r="O953" i="7" s="1"/>
  <c r="P953" i="7"/>
  <c r="Z963" i="7"/>
  <c r="L963" i="7" s="1"/>
  <c r="M963" i="7"/>
  <c r="AA970" i="7"/>
  <c r="N970" i="7"/>
  <c r="Z981" i="7"/>
  <c r="L981" i="7" s="1"/>
  <c r="M981" i="7"/>
  <c r="AA977" i="7"/>
  <c r="N977" i="7"/>
  <c r="Z967" i="7"/>
  <c r="L967" i="7" s="1"/>
  <c r="M967" i="7"/>
  <c r="Z975" i="7"/>
  <c r="L975" i="7" s="1"/>
  <c r="M975" i="7"/>
  <c r="AC912" i="7"/>
  <c r="O912" i="7" s="1"/>
  <c r="P912" i="7"/>
  <c r="AC919" i="7"/>
  <c r="O919" i="7" s="1"/>
  <c r="P919" i="7"/>
  <c r="AC926" i="7"/>
  <c r="O926" i="7" s="1"/>
  <c r="P926" i="7"/>
  <c r="AC935" i="7"/>
  <c r="O935" i="7" s="1"/>
  <c r="P935" i="7"/>
  <c r="AC909" i="7"/>
  <c r="O909" i="7" s="1"/>
  <c r="P909" i="7"/>
  <c r="Z965" i="7"/>
  <c r="L965" i="7" s="1"/>
  <c r="M965" i="7"/>
  <c r="AA962" i="7"/>
  <c r="N962" i="7"/>
  <c r="Z972" i="7"/>
  <c r="L972" i="7" s="1"/>
  <c r="M972" i="7"/>
  <c r="Z971" i="7"/>
  <c r="L971" i="7" s="1"/>
  <c r="M971" i="7"/>
  <c r="AA982" i="7"/>
  <c r="N982" i="7"/>
  <c r="AC910" i="7"/>
  <c r="O910" i="7" s="1"/>
  <c r="P910" i="7"/>
  <c r="AC946" i="7"/>
  <c r="O946" i="7" s="1"/>
  <c r="P946" i="7"/>
  <c r="AC954" i="7"/>
  <c r="O954" i="7" s="1"/>
  <c r="P954" i="7"/>
  <c r="AC913" i="7"/>
  <c r="O913" i="7" s="1"/>
  <c r="P913" i="7"/>
  <c r="AC927" i="7"/>
  <c r="O927" i="7" s="1"/>
  <c r="P927" i="7"/>
  <c r="AC936" i="7"/>
  <c r="O936" i="7" s="1"/>
  <c r="P936" i="7"/>
  <c r="AC947" i="7"/>
  <c r="O947" i="7" s="1"/>
  <c r="P947" i="7"/>
  <c r="AC955" i="7"/>
  <c r="O955" i="7" s="1"/>
  <c r="P955" i="7"/>
  <c r="AD932" i="7"/>
  <c r="P932" i="7" s="1"/>
  <c r="AD959" i="7"/>
  <c r="P959" i="7" s="1"/>
  <c r="AC933" i="7"/>
  <c r="AB1176" i="7"/>
  <c r="AB1122" i="7"/>
  <c r="N1122" i="7" s="1"/>
  <c r="AB1041" i="7"/>
  <c r="N1041" i="7" s="1"/>
  <c r="O1016" i="7" l="1"/>
  <c r="O1184" i="7"/>
  <c r="AC1175" i="7"/>
  <c r="O1175" i="7" s="1"/>
  <c r="O1071" i="7"/>
  <c r="AC1256" i="7"/>
  <c r="O1256" i="7" s="1"/>
  <c r="AC1229" i="7"/>
  <c r="O1229" i="7" s="1"/>
  <c r="AC1148" i="7"/>
  <c r="O1148" i="7" s="1"/>
  <c r="AB1014" i="7"/>
  <c r="N1014" i="7" s="1"/>
  <c r="AB1149" i="7"/>
  <c r="N1149" i="7" s="1"/>
  <c r="M969" i="7"/>
  <c r="Z969" i="7"/>
  <c r="L969" i="7" s="1"/>
  <c r="AC932" i="7"/>
  <c r="O932" i="7" s="1"/>
  <c r="N1176" i="7"/>
  <c r="AB1057" i="7"/>
  <c r="O1057" i="7"/>
  <c r="AB1079" i="7"/>
  <c r="O1079" i="7"/>
  <c r="AB1096" i="7"/>
  <c r="O1096" i="7"/>
  <c r="AB1114" i="7"/>
  <c r="O1114" i="7"/>
  <c r="AB1133" i="7"/>
  <c r="O1133" i="7"/>
  <c r="AB1151" i="7"/>
  <c r="O1151" i="7"/>
  <c r="AA1168" i="7"/>
  <c r="N1168" i="7"/>
  <c r="AB1187" i="7"/>
  <c r="O1187" i="7"/>
  <c r="AB1199" i="7"/>
  <c r="O1199" i="7"/>
  <c r="AB1220" i="7"/>
  <c r="O1220" i="7"/>
  <c r="AB1243" i="7"/>
  <c r="O1243" i="7"/>
  <c r="AB1165" i="7"/>
  <c r="O1165" i="7"/>
  <c r="AB1205" i="7"/>
  <c r="O1205" i="7"/>
  <c r="AB1254" i="7"/>
  <c r="O1254" i="7"/>
  <c r="AB1055" i="7"/>
  <c r="O1055" i="7"/>
  <c r="AB1074" i="7"/>
  <c r="O1074" i="7"/>
  <c r="AB1089" i="7"/>
  <c r="O1089" i="7"/>
  <c r="AB1105" i="7"/>
  <c r="O1105" i="7"/>
  <c r="AB1119" i="7"/>
  <c r="O1119" i="7"/>
  <c r="AB1135" i="7"/>
  <c r="O1135" i="7"/>
  <c r="AA1157" i="7"/>
  <c r="N1157" i="7"/>
  <c r="AB1179" i="7"/>
  <c r="O1179" i="7"/>
  <c r="AA1194" i="7"/>
  <c r="N1194" i="7"/>
  <c r="AB1209" i="7"/>
  <c r="O1209" i="7"/>
  <c r="AB1225" i="7"/>
  <c r="O1225" i="7"/>
  <c r="AB1241" i="7"/>
  <c r="O1241" i="7"/>
  <c r="AB1255" i="7"/>
  <c r="O1255" i="7"/>
  <c r="AB1170" i="7"/>
  <c r="O1170" i="7"/>
  <c r="AB1226" i="7"/>
  <c r="O1226" i="7"/>
  <c r="AB1249" i="7"/>
  <c r="O1249" i="7"/>
  <c r="AB1046" i="7"/>
  <c r="O1046" i="7"/>
  <c r="AB1062" i="7"/>
  <c r="O1062" i="7"/>
  <c r="AB1092" i="7"/>
  <c r="O1092" i="7"/>
  <c r="AB1108" i="7"/>
  <c r="O1108" i="7"/>
  <c r="AB1126" i="7"/>
  <c r="O1126" i="7"/>
  <c r="AB1144" i="7"/>
  <c r="O1144" i="7"/>
  <c r="AB1159" i="7"/>
  <c r="O1159" i="7"/>
  <c r="AB1188" i="7"/>
  <c r="O1188" i="7"/>
  <c r="AB1234" i="7"/>
  <c r="O1234" i="7"/>
  <c r="AB1056" i="7"/>
  <c r="O1056" i="7"/>
  <c r="AB1075" i="7"/>
  <c r="O1075" i="7"/>
  <c r="AB1090" i="7"/>
  <c r="O1090" i="7"/>
  <c r="AB1110" i="7"/>
  <c r="O1110" i="7"/>
  <c r="AB1136" i="7"/>
  <c r="O1136" i="7"/>
  <c r="AB1154" i="7"/>
  <c r="O1154" i="7"/>
  <c r="AB1186" i="7"/>
  <c r="O1186" i="7"/>
  <c r="AB1210" i="7"/>
  <c r="O1210" i="7"/>
  <c r="AB1204" i="7"/>
  <c r="O1204" i="7"/>
  <c r="AB1045" i="7"/>
  <c r="O1045" i="7"/>
  <c r="AB1061" i="7"/>
  <c r="O1061" i="7"/>
  <c r="AB1083" i="7"/>
  <c r="O1083" i="7"/>
  <c r="AB1100" i="7"/>
  <c r="O1100" i="7"/>
  <c r="AA1118" i="7"/>
  <c r="N1118" i="7"/>
  <c r="AA1137" i="7"/>
  <c r="N1137" i="7"/>
  <c r="AB1155" i="7"/>
  <c r="O1155" i="7"/>
  <c r="AB1173" i="7"/>
  <c r="O1173" i="7"/>
  <c r="AB1190" i="7"/>
  <c r="O1190" i="7"/>
  <c r="O1171" i="7"/>
  <c r="AB1171" i="7"/>
  <c r="AB1200" i="7"/>
  <c r="O1200" i="7"/>
  <c r="AB1218" i="7"/>
  <c r="O1218" i="7"/>
  <c r="AB1244" i="7"/>
  <c r="O1244" i="7"/>
  <c r="AB1043" i="7"/>
  <c r="O1043" i="7"/>
  <c r="AB1059" i="7"/>
  <c r="O1059" i="7"/>
  <c r="AB1077" i="7"/>
  <c r="O1077" i="7"/>
  <c r="AB1093" i="7"/>
  <c r="O1093" i="7"/>
  <c r="AB1109" i="7"/>
  <c r="O1109" i="7"/>
  <c r="AB1123" i="7"/>
  <c r="O1123" i="7"/>
  <c r="AB1138" i="7"/>
  <c r="O1138" i="7"/>
  <c r="AB1153" i="7"/>
  <c r="O1153" i="7"/>
  <c r="AB1169" i="7"/>
  <c r="O1169" i="7"/>
  <c r="AA1192" i="7"/>
  <c r="N1192" i="7"/>
  <c r="AB1206" i="7"/>
  <c r="O1206" i="7"/>
  <c r="AB1222" i="7"/>
  <c r="O1222" i="7"/>
  <c r="AB1238" i="7"/>
  <c r="O1238" i="7"/>
  <c r="AB1251" i="7"/>
  <c r="O1251" i="7"/>
  <c r="AB1120" i="7"/>
  <c r="O1120" i="7"/>
  <c r="AB1172" i="7"/>
  <c r="O1172" i="7"/>
  <c r="AB1213" i="7"/>
  <c r="O1213" i="7"/>
  <c r="AB1235" i="7"/>
  <c r="O1235" i="7"/>
  <c r="AB1252" i="7"/>
  <c r="O1252" i="7"/>
  <c r="AB1068" i="7"/>
  <c r="O1068" i="7"/>
  <c r="AB1215" i="7"/>
  <c r="O1215" i="7"/>
  <c r="AB1231" i="7"/>
  <c r="O1231" i="7"/>
  <c r="AB1250" i="7"/>
  <c r="O1250" i="7"/>
  <c r="AB1050" i="7"/>
  <c r="O1050" i="7"/>
  <c r="AB1066" i="7"/>
  <c r="O1066" i="7"/>
  <c r="AB1080" i="7"/>
  <c r="O1080" i="7"/>
  <c r="AB1097" i="7"/>
  <c r="O1097" i="7"/>
  <c r="AB1111" i="7"/>
  <c r="O1111" i="7"/>
  <c r="AB1141" i="7"/>
  <c r="O1141" i="7"/>
  <c r="AB1156" i="7"/>
  <c r="O1156" i="7"/>
  <c r="AB1181" i="7"/>
  <c r="O1181" i="7"/>
  <c r="AB1227" i="7"/>
  <c r="O1227" i="7"/>
  <c r="AB1052" i="7"/>
  <c r="O1052" i="7"/>
  <c r="AB1086" i="7"/>
  <c r="O1086" i="7"/>
  <c r="AB1106" i="7"/>
  <c r="O1106" i="7"/>
  <c r="AB1132" i="7"/>
  <c r="O1132" i="7"/>
  <c r="AB1150" i="7"/>
  <c r="O1150" i="7"/>
  <c r="AB1183" i="7"/>
  <c r="O1183" i="7"/>
  <c r="O1203" i="7"/>
  <c r="AB1203" i="7"/>
  <c r="AB1049" i="7"/>
  <c r="O1049" i="7"/>
  <c r="AB1065" i="7"/>
  <c r="O1065" i="7"/>
  <c r="AB1087" i="7"/>
  <c r="O1087" i="7"/>
  <c r="AB1103" i="7"/>
  <c r="O1103" i="7"/>
  <c r="AB1125" i="7"/>
  <c r="O1125" i="7"/>
  <c r="AB1140" i="7"/>
  <c r="O1140" i="7"/>
  <c r="AB1158" i="7"/>
  <c r="O1158" i="7"/>
  <c r="AB1177" i="7"/>
  <c r="O1177" i="7"/>
  <c r="AA1193" i="7"/>
  <c r="N1193" i="7"/>
  <c r="AB1214" i="7"/>
  <c r="O1214" i="7"/>
  <c r="AB1233" i="7"/>
  <c r="O1233" i="7"/>
  <c r="AB1253" i="7"/>
  <c r="O1253" i="7"/>
  <c r="AB1196" i="7"/>
  <c r="O1196" i="7"/>
  <c r="AB1211" i="7"/>
  <c r="O1211" i="7"/>
  <c r="AB1247" i="7"/>
  <c r="O1247" i="7"/>
  <c r="AB1047" i="7"/>
  <c r="O1047" i="7"/>
  <c r="AB1063" i="7"/>
  <c r="O1063" i="7"/>
  <c r="AB1081" i="7"/>
  <c r="O1081" i="7"/>
  <c r="AB1098" i="7"/>
  <c r="O1098" i="7"/>
  <c r="AB1112" i="7"/>
  <c r="O1112" i="7"/>
  <c r="AB1127" i="7"/>
  <c r="O1127" i="7"/>
  <c r="AB1142" i="7"/>
  <c r="O1142" i="7"/>
  <c r="AB1166" i="7"/>
  <c r="O1166" i="7"/>
  <c r="AB1185" i="7"/>
  <c r="O1185" i="7"/>
  <c r="AB1201" i="7"/>
  <c r="O1201" i="7"/>
  <c r="AB1248" i="7"/>
  <c r="O1248" i="7"/>
  <c r="AB1117" i="7"/>
  <c r="O1117" i="7"/>
  <c r="AB1216" i="7"/>
  <c r="O1216" i="7"/>
  <c r="AB1239" i="7"/>
  <c r="O1239" i="7"/>
  <c r="AB1232" i="7"/>
  <c r="O1232" i="7"/>
  <c r="AB1054" i="7"/>
  <c r="O1054" i="7"/>
  <c r="AB1070" i="7"/>
  <c r="O1070" i="7"/>
  <c r="AB1084" i="7"/>
  <c r="O1084" i="7"/>
  <c r="AB1101" i="7"/>
  <c r="O1101" i="7"/>
  <c r="AB1115" i="7"/>
  <c r="O1115" i="7"/>
  <c r="AB1134" i="7"/>
  <c r="O1134" i="7"/>
  <c r="AB1152" i="7"/>
  <c r="O1152" i="7"/>
  <c r="AB1178" i="7"/>
  <c r="O1178" i="7"/>
  <c r="AB1224" i="7"/>
  <c r="O1224" i="7"/>
  <c r="AB1048" i="7"/>
  <c r="O1048" i="7"/>
  <c r="AB1064" i="7"/>
  <c r="O1064" i="7"/>
  <c r="AB1082" i="7"/>
  <c r="O1082" i="7"/>
  <c r="AB1099" i="7"/>
  <c r="O1099" i="7"/>
  <c r="AB1128" i="7"/>
  <c r="O1128" i="7"/>
  <c r="AB1143" i="7"/>
  <c r="O1143" i="7"/>
  <c r="AB1164" i="7"/>
  <c r="O1164" i="7"/>
  <c r="AB1198" i="7"/>
  <c r="O1198" i="7"/>
  <c r="O1230" i="7"/>
  <c r="AB1230" i="7"/>
  <c r="AC1202" i="7"/>
  <c r="O1202" i="7" s="1"/>
  <c r="AB1053" i="7"/>
  <c r="O1053" i="7"/>
  <c r="AB1072" i="7"/>
  <c r="O1072" i="7"/>
  <c r="AB1091" i="7"/>
  <c r="O1091" i="7"/>
  <c r="AB1107" i="7"/>
  <c r="O1107" i="7"/>
  <c r="AB1129" i="7"/>
  <c r="O1129" i="7"/>
  <c r="O1146" i="7"/>
  <c r="AB1146" i="7"/>
  <c r="AB1161" i="7"/>
  <c r="O1161" i="7"/>
  <c r="AA1184" i="7"/>
  <c r="N1184" i="7"/>
  <c r="AB1195" i="7"/>
  <c r="O1195" i="7"/>
  <c r="AB1217" i="7"/>
  <c r="O1217" i="7"/>
  <c r="AB1236" i="7"/>
  <c r="O1236" i="7"/>
  <c r="AB1162" i="7"/>
  <c r="O1162" i="7"/>
  <c r="AB1191" i="7"/>
  <c r="O1191" i="7"/>
  <c r="AB1208" i="7"/>
  <c r="O1208" i="7"/>
  <c r="AB1237" i="7"/>
  <c r="O1237" i="7"/>
  <c r="AB1051" i="7"/>
  <c r="O1051" i="7"/>
  <c r="AA1071" i="7"/>
  <c r="N1071" i="7"/>
  <c r="AB1085" i="7"/>
  <c r="O1085" i="7"/>
  <c r="AA1102" i="7"/>
  <c r="N1102" i="7"/>
  <c r="AB1116" i="7"/>
  <c r="O1116" i="7"/>
  <c r="AB1131" i="7"/>
  <c r="O1131" i="7"/>
  <c r="AB1145" i="7"/>
  <c r="O1145" i="7"/>
  <c r="AB1163" i="7"/>
  <c r="O1163" i="7"/>
  <c r="AB1182" i="7"/>
  <c r="O1182" i="7"/>
  <c r="AB1197" i="7"/>
  <c r="O1197" i="7"/>
  <c r="AB1212" i="7"/>
  <c r="O1212" i="7"/>
  <c r="AB1228" i="7"/>
  <c r="O1228" i="7"/>
  <c r="AB1245" i="7"/>
  <c r="O1245" i="7"/>
  <c r="AB1113" i="7"/>
  <c r="O1113" i="7"/>
  <c r="AB1167" i="7"/>
  <c r="O1167" i="7"/>
  <c r="AB1180" i="7"/>
  <c r="O1180" i="7"/>
  <c r="AB1219" i="7"/>
  <c r="O1219" i="7"/>
  <c r="AB1242" i="7"/>
  <c r="O1242" i="7"/>
  <c r="AB1240" i="7"/>
  <c r="O1240" i="7"/>
  <c r="AB1076" i="7"/>
  <c r="O1076" i="7"/>
  <c r="AB1207" i="7"/>
  <c r="O1207" i="7"/>
  <c r="AB1223" i="7"/>
  <c r="O1223" i="7"/>
  <c r="AB1246" i="7"/>
  <c r="O1246" i="7"/>
  <c r="AB1042" i="7"/>
  <c r="O1042" i="7"/>
  <c r="AB1058" i="7"/>
  <c r="O1058" i="7"/>
  <c r="AB1073" i="7"/>
  <c r="O1073" i="7"/>
  <c r="AB1088" i="7"/>
  <c r="O1088" i="7"/>
  <c r="AB1104" i="7"/>
  <c r="O1104" i="7"/>
  <c r="AB1130" i="7"/>
  <c r="O1130" i="7"/>
  <c r="AB1147" i="7"/>
  <c r="O1147" i="7"/>
  <c r="AB1174" i="7"/>
  <c r="O1174" i="7"/>
  <c r="AB1221" i="7"/>
  <c r="O1221" i="7"/>
  <c r="AB1044" i="7"/>
  <c r="O1044" i="7"/>
  <c r="AB1060" i="7"/>
  <c r="O1060" i="7"/>
  <c r="AB1078" i="7"/>
  <c r="O1078" i="7"/>
  <c r="O1095" i="7"/>
  <c r="AC1121" i="7"/>
  <c r="O1121" i="7" s="1"/>
  <c r="AB1095" i="7"/>
  <c r="AB1124" i="7"/>
  <c r="O1124" i="7"/>
  <c r="AB1139" i="7"/>
  <c r="O1139" i="7"/>
  <c r="AB1160" i="7"/>
  <c r="O1160" i="7"/>
  <c r="AB1189" i="7"/>
  <c r="O1189" i="7"/>
  <c r="AB1069" i="7"/>
  <c r="O1069" i="7"/>
  <c r="Z980" i="7"/>
  <c r="L980" i="7" s="1"/>
  <c r="M980" i="7"/>
  <c r="Z976" i="7"/>
  <c r="L976" i="7" s="1"/>
  <c r="M976" i="7"/>
  <c r="AA1024" i="7"/>
  <c r="N1024" i="7"/>
  <c r="AB1039" i="7"/>
  <c r="O1039" i="7"/>
  <c r="AB1028" i="7"/>
  <c r="O1028" i="7"/>
  <c r="AB1022" i="7"/>
  <c r="O1022" i="7"/>
  <c r="AB1037" i="7"/>
  <c r="O1037" i="7"/>
  <c r="AB1026" i="7"/>
  <c r="O1026" i="7"/>
  <c r="AB1020" i="7"/>
  <c r="O1020" i="7"/>
  <c r="AB1035" i="7"/>
  <c r="O1035" i="7"/>
  <c r="AB1021" i="7"/>
  <c r="O1021" i="7"/>
  <c r="AA1019" i="7"/>
  <c r="N1019" i="7"/>
  <c r="AB1033" i="7"/>
  <c r="O1033" i="7"/>
  <c r="AB1030" i="7"/>
  <c r="O1030" i="7"/>
  <c r="AB1015" i="7"/>
  <c r="O1015" i="7"/>
  <c r="AB1031" i="7"/>
  <c r="O1031" i="7"/>
  <c r="AB1018" i="7"/>
  <c r="O1018" i="7"/>
  <c r="AB1036" i="7"/>
  <c r="O1036" i="7"/>
  <c r="AB1029" i="7"/>
  <c r="O1029" i="7"/>
  <c r="AA1017" i="7"/>
  <c r="N1017" i="7"/>
  <c r="AB1034" i="7"/>
  <c r="O1034" i="7"/>
  <c r="AB1027" i="7"/>
  <c r="O1027" i="7"/>
  <c r="AA1016" i="7"/>
  <c r="N1016" i="7"/>
  <c r="AB1032" i="7"/>
  <c r="O1032" i="7"/>
  <c r="AB1025" i="7"/>
  <c r="O1025" i="7"/>
  <c r="AB1023" i="7"/>
  <c r="O1023" i="7"/>
  <c r="AB1038" i="7"/>
  <c r="O1038" i="7"/>
  <c r="Z962" i="7"/>
  <c r="L962" i="7" s="1"/>
  <c r="M962" i="7"/>
  <c r="AC959" i="7"/>
  <c r="O959" i="7" s="1"/>
  <c r="O933" i="7"/>
  <c r="Z983" i="7"/>
  <c r="L983" i="7" s="1"/>
  <c r="M983" i="7"/>
  <c r="Z960" i="7"/>
  <c r="L960" i="7" s="1"/>
  <c r="M960" i="7"/>
  <c r="Z978" i="7"/>
  <c r="L978" i="7" s="1"/>
  <c r="M978" i="7"/>
  <c r="Z974" i="7"/>
  <c r="L974" i="7" s="1"/>
  <c r="M974" i="7"/>
  <c r="Z982" i="7"/>
  <c r="L982" i="7" s="1"/>
  <c r="M982" i="7"/>
  <c r="Z977" i="7"/>
  <c r="L977" i="7" s="1"/>
  <c r="M977" i="7"/>
  <c r="Z970" i="7"/>
  <c r="L970" i="7" s="1"/>
  <c r="M970" i="7"/>
  <c r="Z966" i="7"/>
  <c r="L966" i="7" s="1"/>
  <c r="M966" i="7"/>
  <c r="AA1122" i="7"/>
  <c r="M1122" i="7" s="1"/>
  <c r="AA1041" i="7"/>
  <c r="M1041" i="7" s="1"/>
  <c r="AA1014" i="7"/>
  <c r="M1014" i="7" s="1"/>
  <c r="AA1176" i="7"/>
  <c r="AA1149" i="7"/>
  <c r="M1149" i="7" s="1"/>
  <c r="D1389" i="10"/>
  <c r="D1390" i="10"/>
  <c r="D1391" i="10"/>
  <c r="D1392" i="10"/>
  <c r="D1393" i="10"/>
  <c r="D1394" i="10"/>
  <c r="D1395" i="10"/>
  <c r="D1396" i="10"/>
  <c r="D1397" i="10"/>
  <c r="D1398" i="10"/>
  <c r="D1399" i="10"/>
  <c r="D1400" i="10"/>
  <c r="D1401" i="10"/>
  <c r="D1402" i="10"/>
  <c r="D1403" i="10"/>
  <c r="D1404" i="10"/>
  <c r="D1405" i="10"/>
  <c r="D1406" i="10"/>
  <c r="D1407" i="10"/>
  <c r="D1408" i="10"/>
  <c r="D1409" i="10"/>
  <c r="D1410" i="10"/>
  <c r="D1411" i="10"/>
  <c r="D1412" i="10"/>
  <c r="D1413" i="10"/>
  <c r="D1414" i="10"/>
  <c r="D1415" i="10"/>
  <c r="D1416" i="10"/>
  <c r="D1417" i="10"/>
  <c r="D1418" i="10"/>
  <c r="D1419" i="10"/>
  <c r="D1420" i="10"/>
  <c r="D1421" i="10"/>
  <c r="D1422" i="10"/>
  <c r="D1423" i="10"/>
  <c r="D1424" i="10"/>
  <c r="D1425" i="10"/>
  <c r="D1426" i="10"/>
  <c r="D1427" i="10"/>
  <c r="D1428" i="10"/>
  <c r="D1429" i="10"/>
  <c r="D1430" i="10"/>
  <c r="D1431" i="10"/>
  <c r="D1432" i="10"/>
  <c r="D1433" i="10"/>
  <c r="D1434" i="10"/>
  <c r="D1435" i="10"/>
  <c r="D1436" i="10"/>
  <c r="D1437" i="10"/>
  <c r="D1438" i="10"/>
  <c r="D1439" i="10"/>
  <c r="D1440" i="10"/>
  <c r="D1441" i="10"/>
  <c r="D1442" i="10"/>
  <c r="D1443" i="10"/>
  <c r="D1444" i="10"/>
  <c r="D1445" i="10"/>
  <c r="D1446" i="10"/>
  <c r="D1447" i="10"/>
  <c r="D1448" i="10"/>
  <c r="D1449" i="10"/>
  <c r="D1450" i="10"/>
  <c r="D1451" i="10"/>
  <c r="D1452" i="10"/>
  <c r="D1453" i="10"/>
  <c r="D1454" i="10"/>
  <c r="D1455" i="10"/>
  <c r="D1456" i="10"/>
  <c r="D1457" i="10"/>
  <c r="D1458" i="10"/>
  <c r="D1459" i="10"/>
  <c r="D1460" i="10"/>
  <c r="D1461" i="10"/>
  <c r="D1462" i="10"/>
  <c r="D1463" i="10"/>
  <c r="D1464" i="10"/>
  <c r="D1465" i="10"/>
  <c r="D1466" i="10"/>
  <c r="D711" i="10"/>
  <c r="D712" i="10"/>
  <c r="D713" i="10"/>
  <c r="D714" i="10"/>
  <c r="D715" i="10"/>
  <c r="D716" i="10"/>
  <c r="D717" i="10"/>
  <c r="D718" i="10"/>
  <c r="D719" i="10"/>
  <c r="D720" i="10"/>
  <c r="D721" i="10"/>
  <c r="D722" i="10"/>
  <c r="D723" i="10"/>
  <c r="D724" i="10"/>
  <c r="D725" i="10"/>
  <c r="D726" i="10"/>
  <c r="D727" i="10"/>
  <c r="D728" i="10"/>
  <c r="D729" i="10"/>
  <c r="D730" i="10"/>
  <c r="D731" i="10"/>
  <c r="D732" i="10"/>
  <c r="D733" i="10"/>
  <c r="D734" i="10"/>
  <c r="D735" i="10"/>
  <c r="D736" i="10"/>
  <c r="D737" i="10"/>
  <c r="D738" i="10"/>
  <c r="D739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AB1148" i="7" l="1"/>
  <c r="N1148" i="7" s="1"/>
  <c r="AB1175" i="7"/>
  <c r="N1175" i="7" s="1"/>
  <c r="AA1069" i="7"/>
  <c r="N1069" i="7"/>
  <c r="AA1160" i="7"/>
  <c r="N1160" i="7"/>
  <c r="AA1124" i="7"/>
  <c r="N1124" i="7"/>
  <c r="AA1146" i="7"/>
  <c r="N1146" i="7"/>
  <c r="AA1198" i="7"/>
  <c r="N1198" i="7"/>
  <c r="AA1143" i="7"/>
  <c r="N1143" i="7"/>
  <c r="AA1099" i="7"/>
  <c r="N1099" i="7"/>
  <c r="AA1064" i="7"/>
  <c r="N1064" i="7"/>
  <c r="AA1224" i="7"/>
  <c r="N1224" i="7"/>
  <c r="AA1152" i="7"/>
  <c r="N1152" i="7"/>
  <c r="AA1115" i="7"/>
  <c r="N1115" i="7"/>
  <c r="AA1084" i="7"/>
  <c r="N1084" i="7"/>
  <c r="AA1054" i="7"/>
  <c r="N1054" i="7"/>
  <c r="AA1239" i="7"/>
  <c r="N1239" i="7"/>
  <c r="AA1117" i="7"/>
  <c r="N1117" i="7"/>
  <c r="AA1201" i="7"/>
  <c r="N1201" i="7"/>
  <c r="AA1166" i="7"/>
  <c r="N1166" i="7"/>
  <c r="AA1127" i="7"/>
  <c r="N1127" i="7"/>
  <c r="AA1098" i="7"/>
  <c r="N1098" i="7"/>
  <c r="AA1063" i="7"/>
  <c r="N1063" i="7"/>
  <c r="AA1247" i="7"/>
  <c r="N1247" i="7"/>
  <c r="AA1196" i="7"/>
  <c r="N1196" i="7"/>
  <c r="AA1233" i="7"/>
  <c r="N1233" i="7"/>
  <c r="Z1193" i="7"/>
  <c r="L1193" i="7" s="1"/>
  <c r="M1193" i="7"/>
  <c r="AA1158" i="7"/>
  <c r="N1158" i="7"/>
  <c r="AA1125" i="7"/>
  <c r="N1125" i="7"/>
  <c r="AA1087" i="7"/>
  <c r="N1087" i="7"/>
  <c r="AA1049" i="7"/>
  <c r="N1049" i="7"/>
  <c r="AA1183" i="7"/>
  <c r="N1183" i="7"/>
  <c r="AA1132" i="7"/>
  <c r="N1132" i="7"/>
  <c r="AA1086" i="7"/>
  <c r="N1086" i="7"/>
  <c r="AA1227" i="7"/>
  <c r="N1227" i="7"/>
  <c r="AA1156" i="7"/>
  <c r="N1156" i="7"/>
  <c r="AA1111" i="7"/>
  <c r="N1111" i="7"/>
  <c r="AA1080" i="7"/>
  <c r="N1080" i="7"/>
  <c r="AA1050" i="7"/>
  <c r="N1050" i="7"/>
  <c r="AA1231" i="7"/>
  <c r="N1231" i="7"/>
  <c r="N1068" i="7"/>
  <c r="AA1068" i="7"/>
  <c r="AA1235" i="7"/>
  <c r="N1235" i="7"/>
  <c r="AA1172" i="7"/>
  <c r="N1172" i="7"/>
  <c r="AA1251" i="7"/>
  <c r="N1251" i="7"/>
  <c r="AA1222" i="7"/>
  <c r="N1222" i="7"/>
  <c r="Z1192" i="7"/>
  <c r="L1192" i="7" s="1"/>
  <c r="M1192" i="7"/>
  <c r="AA1153" i="7"/>
  <c r="N1153" i="7"/>
  <c r="AA1123" i="7"/>
  <c r="N1123" i="7"/>
  <c r="AA1093" i="7"/>
  <c r="N1093" i="7"/>
  <c r="AA1059" i="7"/>
  <c r="N1059" i="7"/>
  <c r="AA1244" i="7"/>
  <c r="N1244" i="7"/>
  <c r="AA1200" i="7"/>
  <c r="N1200" i="7"/>
  <c r="AA1190" i="7"/>
  <c r="N1190" i="7"/>
  <c r="AA1155" i="7"/>
  <c r="N1155" i="7"/>
  <c r="Z1118" i="7"/>
  <c r="L1118" i="7" s="1"/>
  <c r="M1118" i="7"/>
  <c r="AA1083" i="7"/>
  <c r="N1083" i="7"/>
  <c r="AA1045" i="7"/>
  <c r="N1045" i="7"/>
  <c r="AA1210" i="7"/>
  <c r="N1210" i="7"/>
  <c r="AA1154" i="7"/>
  <c r="N1154" i="7"/>
  <c r="AA1110" i="7"/>
  <c r="N1110" i="7"/>
  <c r="AA1075" i="7"/>
  <c r="N1075" i="7"/>
  <c r="AA1234" i="7"/>
  <c r="N1234" i="7"/>
  <c r="AA1159" i="7"/>
  <c r="N1159" i="7"/>
  <c r="AA1126" i="7"/>
  <c r="N1126" i="7"/>
  <c r="AA1092" i="7"/>
  <c r="N1092" i="7"/>
  <c r="AA1046" i="7"/>
  <c r="N1046" i="7"/>
  <c r="AA1226" i="7"/>
  <c r="N1226" i="7"/>
  <c r="AA1255" i="7"/>
  <c r="N1255" i="7"/>
  <c r="AA1225" i="7"/>
  <c r="N1225" i="7"/>
  <c r="Z1194" i="7"/>
  <c r="L1194" i="7" s="1"/>
  <c r="M1194" i="7"/>
  <c r="Z1157" i="7"/>
  <c r="L1157" i="7" s="1"/>
  <c r="M1157" i="7"/>
  <c r="AA1119" i="7"/>
  <c r="N1119" i="7"/>
  <c r="AA1089" i="7"/>
  <c r="N1089" i="7"/>
  <c r="AA1055" i="7"/>
  <c r="N1055" i="7"/>
  <c r="AA1205" i="7"/>
  <c r="N1205" i="7"/>
  <c r="AA1243" i="7"/>
  <c r="N1243" i="7"/>
  <c r="AA1199" i="7"/>
  <c r="N1199" i="7"/>
  <c r="Z1168" i="7"/>
  <c r="L1168" i="7" s="1"/>
  <c r="M1168" i="7"/>
  <c r="AA1133" i="7"/>
  <c r="N1133" i="7"/>
  <c r="AA1096" i="7"/>
  <c r="N1096" i="7"/>
  <c r="AA1057" i="7"/>
  <c r="N1057" i="7"/>
  <c r="N1095" i="7"/>
  <c r="AB1121" i="7"/>
  <c r="N1121" i="7" s="1"/>
  <c r="AA1095" i="7"/>
  <c r="AA1078" i="7"/>
  <c r="N1078" i="7"/>
  <c r="AA1044" i="7"/>
  <c r="N1044" i="7"/>
  <c r="AA1174" i="7"/>
  <c r="N1174" i="7"/>
  <c r="AA1130" i="7"/>
  <c r="N1130" i="7"/>
  <c r="AA1088" i="7"/>
  <c r="N1088" i="7"/>
  <c r="AA1058" i="7"/>
  <c r="N1058" i="7"/>
  <c r="AA1246" i="7"/>
  <c r="N1246" i="7"/>
  <c r="AA1207" i="7"/>
  <c r="N1207" i="7"/>
  <c r="AA1240" i="7"/>
  <c r="N1240" i="7"/>
  <c r="AA1219" i="7"/>
  <c r="N1219" i="7"/>
  <c r="AA1167" i="7"/>
  <c r="N1167" i="7"/>
  <c r="AA1245" i="7"/>
  <c r="N1245" i="7"/>
  <c r="AA1212" i="7"/>
  <c r="N1212" i="7"/>
  <c r="AA1182" i="7"/>
  <c r="N1182" i="7"/>
  <c r="AA1145" i="7"/>
  <c r="N1145" i="7"/>
  <c r="AA1116" i="7"/>
  <c r="N1116" i="7"/>
  <c r="AA1085" i="7"/>
  <c r="N1085" i="7"/>
  <c r="AA1051" i="7"/>
  <c r="N1051" i="7"/>
  <c r="AA1208" i="7"/>
  <c r="N1208" i="7"/>
  <c r="AA1162" i="7"/>
  <c r="N1162" i="7"/>
  <c r="AA1217" i="7"/>
  <c r="N1217" i="7"/>
  <c r="Z1184" i="7"/>
  <c r="L1184" i="7" s="1"/>
  <c r="M1184" i="7"/>
  <c r="AA1107" i="7"/>
  <c r="N1107" i="7"/>
  <c r="AA1072" i="7"/>
  <c r="N1072" i="7"/>
  <c r="N1230" i="7"/>
  <c r="AB1256" i="7"/>
  <c r="N1256" i="7" s="1"/>
  <c r="AA1230" i="7"/>
  <c r="N1203" i="7"/>
  <c r="AB1229" i="7"/>
  <c r="N1229" i="7" s="1"/>
  <c r="AA1203" i="7"/>
  <c r="AA1171" i="7"/>
  <c r="N1171" i="7"/>
  <c r="M1176" i="7"/>
  <c r="AA1189" i="7"/>
  <c r="N1189" i="7"/>
  <c r="AA1139" i="7"/>
  <c r="N1139" i="7"/>
  <c r="AA1164" i="7"/>
  <c r="N1164" i="7"/>
  <c r="AA1128" i="7"/>
  <c r="N1128" i="7"/>
  <c r="AA1082" i="7"/>
  <c r="N1082" i="7"/>
  <c r="AA1048" i="7"/>
  <c r="N1048" i="7"/>
  <c r="AA1178" i="7"/>
  <c r="N1178" i="7"/>
  <c r="AA1134" i="7"/>
  <c r="N1134" i="7"/>
  <c r="AA1101" i="7"/>
  <c r="N1101" i="7"/>
  <c r="AA1070" i="7"/>
  <c r="N1070" i="7"/>
  <c r="AA1232" i="7"/>
  <c r="N1232" i="7"/>
  <c r="AA1216" i="7"/>
  <c r="N1216" i="7"/>
  <c r="AA1248" i="7"/>
  <c r="N1248" i="7"/>
  <c r="AA1185" i="7"/>
  <c r="N1185" i="7"/>
  <c r="AA1142" i="7"/>
  <c r="N1142" i="7"/>
  <c r="AA1112" i="7"/>
  <c r="N1112" i="7"/>
  <c r="AA1081" i="7"/>
  <c r="N1081" i="7"/>
  <c r="AA1047" i="7"/>
  <c r="N1047" i="7"/>
  <c r="AA1211" i="7"/>
  <c r="N1211" i="7"/>
  <c r="AA1253" i="7"/>
  <c r="N1253" i="7"/>
  <c r="AA1214" i="7"/>
  <c r="N1214" i="7"/>
  <c r="AA1177" i="7"/>
  <c r="N1177" i="7"/>
  <c r="AA1140" i="7"/>
  <c r="N1140" i="7"/>
  <c r="AA1103" i="7"/>
  <c r="N1103" i="7"/>
  <c r="AA1065" i="7"/>
  <c r="N1065" i="7"/>
  <c r="AA1150" i="7"/>
  <c r="N1150" i="7"/>
  <c r="AA1106" i="7"/>
  <c r="N1106" i="7"/>
  <c r="AA1052" i="7"/>
  <c r="N1052" i="7"/>
  <c r="AA1181" i="7"/>
  <c r="N1181" i="7"/>
  <c r="AA1141" i="7"/>
  <c r="N1141" i="7"/>
  <c r="AA1097" i="7"/>
  <c r="N1097" i="7"/>
  <c r="AA1066" i="7"/>
  <c r="N1066" i="7"/>
  <c r="AA1250" i="7"/>
  <c r="N1250" i="7"/>
  <c r="AA1215" i="7"/>
  <c r="N1215" i="7"/>
  <c r="AA1252" i="7"/>
  <c r="N1252" i="7"/>
  <c r="AA1213" i="7"/>
  <c r="N1213" i="7"/>
  <c r="AA1120" i="7"/>
  <c r="N1120" i="7"/>
  <c r="AA1238" i="7"/>
  <c r="N1238" i="7"/>
  <c r="AA1206" i="7"/>
  <c r="N1206" i="7"/>
  <c r="AA1169" i="7"/>
  <c r="N1169" i="7"/>
  <c r="AA1138" i="7"/>
  <c r="N1138" i="7"/>
  <c r="AA1109" i="7"/>
  <c r="N1109" i="7"/>
  <c r="AA1077" i="7"/>
  <c r="N1077" i="7"/>
  <c r="AA1043" i="7"/>
  <c r="N1043" i="7"/>
  <c r="AA1218" i="7"/>
  <c r="N1218" i="7"/>
  <c r="AA1173" i="7"/>
  <c r="N1173" i="7"/>
  <c r="Z1137" i="7"/>
  <c r="L1137" i="7" s="1"/>
  <c r="M1137" i="7"/>
  <c r="AA1100" i="7"/>
  <c r="N1100" i="7"/>
  <c r="AA1061" i="7"/>
  <c r="N1061" i="7"/>
  <c r="AA1204" i="7"/>
  <c r="N1204" i="7"/>
  <c r="AA1186" i="7"/>
  <c r="N1186" i="7"/>
  <c r="AA1136" i="7"/>
  <c r="N1136" i="7"/>
  <c r="AA1090" i="7"/>
  <c r="N1090" i="7"/>
  <c r="AA1056" i="7"/>
  <c r="N1056" i="7"/>
  <c r="AA1188" i="7"/>
  <c r="N1188" i="7"/>
  <c r="AA1144" i="7"/>
  <c r="N1144" i="7"/>
  <c r="AA1108" i="7"/>
  <c r="N1108" i="7"/>
  <c r="AA1062" i="7"/>
  <c r="N1062" i="7"/>
  <c r="AA1249" i="7"/>
  <c r="N1249" i="7"/>
  <c r="AA1170" i="7"/>
  <c r="N1170" i="7"/>
  <c r="AA1241" i="7"/>
  <c r="N1241" i="7"/>
  <c r="AA1209" i="7"/>
  <c r="N1209" i="7"/>
  <c r="AA1179" i="7"/>
  <c r="N1179" i="7"/>
  <c r="AA1135" i="7"/>
  <c r="N1135" i="7"/>
  <c r="AA1105" i="7"/>
  <c r="N1105" i="7"/>
  <c r="AA1074" i="7"/>
  <c r="N1074" i="7"/>
  <c r="AA1254" i="7"/>
  <c r="N1254" i="7"/>
  <c r="AA1165" i="7"/>
  <c r="N1165" i="7"/>
  <c r="AA1220" i="7"/>
  <c r="N1220" i="7"/>
  <c r="AA1187" i="7"/>
  <c r="N1187" i="7"/>
  <c r="AA1151" i="7"/>
  <c r="N1151" i="7"/>
  <c r="AA1114" i="7"/>
  <c r="N1114" i="7"/>
  <c r="AA1079" i="7"/>
  <c r="N1079" i="7"/>
  <c r="AB1202" i="7"/>
  <c r="N1202" i="7" s="1"/>
  <c r="AA1060" i="7"/>
  <c r="N1060" i="7"/>
  <c r="AA1221" i="7"/>
  <c r="N1221" i="7"/>
  <c r="AA1147" i="7"/>
  <c r="N1147" i="7"/>
  <c r="AA1104" i="7"/>
  <c r="N1104" i="7"/>
  <c r="AA1073" i="7"/>
  <c r="N1073" i="7"/>
  <c r="AA1042" i="7"/>
  <c r="N1042" i="7"/>
  <c r="AA1223" i="7"/>
  <c r="N1223" i="7"/>
  <c r="AA1076" i="7"/>
  <c r="N1076" i="7"/>
  <c r="AA1242" i="7"/>
  <c r="N1242" i="7"/>
  <c r="AA1180" i="7"/>
  <c r="N1180" i="7"/>
  <c r="AA1113" i="7"/>
  <c r="N1113" i="7"/>
  <c r="AA1228" i="7"/>
  <c r="N1228" i="7"/>
  <c r="AA1197" i="7"/>
  <c r="N1197" i="7"/>
  <c r="AA1163" i="7"/>
  <c r="N1163" i="7"/>
  <c r="AA1131" i="7"/>
  <c r="N1131" i="7"/>
  <c r="Z1102" i="7"/>
  <c r="L1102" i="7" s="1"/>
  <c r="M1102" i="7"/>
  <c r="Z1071" i="7"/>
  <c r="L1071" i="7" s="1"/>
  <c r="M1071" i="7"/>
  <c r="AA1237" i="7"/>
  <c r="N1237" i="7"/>
  <c r="AA1191" i="7"/>
  <c r="N1191" i="7"/>
  <c r="AA1236" i="7"/>
  <c r="N1236" i="7"/>
  <c r="AA1195" i="7"/>
  <c r="N1195" i="7"/>
  <c r="AA1161" i="7"/>
  <c r="N1161" i="7"/>
  <c r="AA1129" i="7"/>
  <c r="N1129" i="7"/>
  <c r="AA1091" i="7"/>
  <c r="N1091" i="7"/>
  <c r="AA1053" i="7"/>
  <c r="N1053" i="7"/>
  <c r="AA1023" i="7"/>
  <c r="N1023" i="7"/>
  <c r="AA1032" i="7"/>
  <c r="N1032" i="7"/>
  <c r="AA1027" i="7"/>
  <c r="N1027" i="7"/>
  <c r="Z1017" i="7"/>
  <c r="L1017" i="7" s="1"/>
  <c r="M1017" i="7"/>
  <c r="AA1036" i="7"/>
  <c r="N1036" i="7"/>
  <c r="AA1031" i="7"/>
  <c r="N1031" i="7"/>
  <c r="AA1030" i="7"/>
  <c r="N1030" i="7"/>
  <c r="Z1019" i="7"/>
  <c r="L1019" i="7" s="1"/>
  <c r="M1019" i="7"/>
  <c r="AA1035" i="7"/>
  <c r="N1035" i="7"/>
  <c r="AA1026" i="7"/>
  <c r="N1026" i="7"/>
  <c r="AA1022" i="7"/>
  <c r="N1022" i="7"/>
  <c r="AA1039" i="7"/>
  <c r="N1039" i="7"/>
  <c r="AA1038" i="7"/>
  <c r="N1038" i="7"/>
  <c r="AA1025" i="7"/>
  <c r="N1025" i="7"/>
  <c r="Z1016" i="7"/>
  <c r="L1016" i="7" s="1"/>
  <c r="M1016" i="7"/>
  <c r="AA1034" i="7"/>
  <c r="N1034" i="7"/>
  <c r="AA1029" i="7"/>
  <c r="N1029" i="7"/>
  <c r="AA1018" i="7"/>
  <c r="N1018" i="7"/>
  <c r="AA1015" i="7"/>
  <c r="N1015" i="7"/>
  <c r="AA1033" i="7"/>
  <c r="N1033" i="7"/>
  <c r="AA1021" i="7"/>
  <c r="N1021" i="7"/>
  <c r="AA1020" i="7"/>
  <c r="N1020" i="7"/>
  <c r="AA1037" i="7"/>
  <c r="N1037" i="7"/>
  <c r="AA1028" i="7"/>
  <c r="N1028" i="7"/>
  <c r="Z1024" i="7"/>
  <c r="L1024" i="7" s="1"/>
  <c r="M1024" i="7"/>
  <c r="Z1014" i="7"/>
  <c r="L1014" i="7" s="1"/>
  <c r="Z1122" i="7"/>
  <c r="Z1149" i="7"/>
  <c r="Z1176" i="7"/>
  <c r="Z1041" i="7"/>
  <c r="L1041" i="7" s="1"/>
  <c r="I2455" i="10"/>
  <c r="H2455" i="10" s="1"/>
  <c r="G2455" i="10" s="1"/>
  <c r="F2455" i="10" s="1"/>
  <c r="I2454" i="10"/>
  <c r="H2454" i="10" s="1"/>
  <c r="G2454" i="10" s="1"/>
  <c r="F2454" i="10" s="1"/>
  <c r="I2453" i="10"/>
  <c r="H2453" i="10" s="1"/>
  <c r="G2453" i="10" s="1"/>
  <c r="F2453" i="10" s="1"/>
  <c r="I2452" i="10"/>
  <c r="H2452" i="10" s="1"/>
  <c r="G2452" i="10" s="1"/>
  <c r="F2452" i="10" s="1"/>
  <c r="I2451" i="10"/>
  <c r="H2451" i="10" s="1"/>
  <c r="G2451" i="10" s="1"/>
  <c r="F2451" i="10" s="1"/>
  <c r="I2450" i="10"/>
  <c r="H2450" i="10" s="1"/>
  <c r="G2450" i="10" s="1"/>
  <c r="F2450" i="10" s="1"/>
  <c r="I2449" i="10"/>
  <c r="H2449" i="10" s="1"/>
  <c r="G2449" i="10" s="1"/>
  <c r="F2449" i="10" s="1"/>
  <c r="I2448" i="10"/>
  <c r="H2448" i="10" s="1"/>
  <c r="G2448" i="10" s="1"/>
  <c r="F2448" i="10" s="1"/>
  <c r="I2447" i="10"/>
  <c r="H2447" i="10" s="1"/>
  <c r="G2447" i="10" s="1"/>
  <c r="F2447" i="10" s="1"/>
  <c r="I2446" i="10"/>
  <c r="H2446" i="10" s="1"/>
  <c r="G2446" i="10" s="1"/>
  <c r="F2446" i="10" s="1"/>
  <c r="I2445" i="10"/>
  <c r="H2445" i="10" s="1"/>
  <c r="G2445" i="10" s="1"/>
  <c r="F2445" i="10" s="1"/>
  <c r="I2444" i="10"/>
  <c r="H2444" i="10" s="1"/>
  <c r="G2444" i="10" s="1"/>
  <c r="F2444" i="10" s="1"/>
  <c r="I2443" i="10"/>
  <c r="H2443" i="10" s="1"/>
  <c r="G2443" i="10" s="1"/>
  <c r="F2443" i="10" s="1"/>
  <c r="I2442" i="10"/>
  <c r="H2442" i="10" s="1"/>
  <c r="G2442" i="10" s="1"/>
  <c r="F2442" i="10" s="1"/>
  <c r="I2441" i="10"/>
  <c r="H2441" i="10" s="1"/>
  <c r="G2441" i="10" s="1"/>
  <c r="F2441" i="10" s="1"/>
  <c r="I2440" i="10"/>
  <c r="H2440" i="10" s="1"/>
  <c r="G2440" i="10" s="1"/>
  <c r="F2440" i="10" s="1"/>
  <c r="I2439" i="10"/>
  <c r="H2439" i="10" s="1"/>
  <c r="G2439" i="10" s="1"/>
  <c r="F2439" i="10" s="1"/>
  <c r="I2438" i="10"/>
  <c r="H2438" i="10" s="1"/>
  <c r="G2438" i="10" s="1"/>
  <c r="F2438" i="10" s="1"/>
  <c r="I2437" i="10"/>
  <c r="H2437" i="10" s="1"/>
  <c r="G2437" i="10" s="1"/>
  <c r="F2437" i="10" s="1"/>
  <c r="I2436" i="10"/>
  <c r="H2436" i="10" s="1"/>
  <c r="G2436" i="10" s="1"/>
  <c r="F2436" i="10" s="1"/>
  <c r="I2435" i="10"/>
  <c r="H2435" i="10" s="1"/>
  <c r="G2435" i="10" s="1"/>
  <c r="F2435" i="10" s="1"/>
  <c r="I2434" i="10"/>
  <c r="H2434" i="10" s="1"/>
  <c r="G2434" i="10" s="1"/>
  <c r="F2434" i="10" s="1"/>
  <c r="I2433" i="10"/>
  <c r="H2433" i="10" s="1"/>
  <c r="G2433" i="10" s="1"/>
  <c r="F2433" i="10" s="1"/>
  <c r="I2432" i="10"/>
  <c r="H2432" i="10" s="1"/>
  <c r="G2432" i="10" s="1"/>
  <c r="F2432" i="10" s="1"/>
  <c r="I2431" i="10"/>
  <c r="H2431" i="10" s="1"/>
  <c r="G2431" i="10" s="1"/>
  <c r="F2431" i="10" s="1"/>
  <c r="I2430" i="10"/>
  <c r="H2430" i="10" s="1"/>
  <c r="G2430" i="10" s="1"/>
  <c r="F2430" i="10" s="1"/>
  <c r="AA1175" i="7" l="1"/>
  <c r="M1175" i="7" s="1"/>
  <c r="AA1148" i="7"/>
  <c r="M1148" i="7" s="1"/>
  <c r="Z1114" i="7"/>
  <c r="L1114" i="7" s="1"/>
  <c r="M1114" i="7"/>
  <c r="Z1187" i="7"/>
  <c r="L1187" i="7" s="1"/>
  <c r="M1187" i="7"/>
  <c r="Z1165" i="7"/>
  <c r="L1165" i="7" s="1"/>
  <c r="M1165" i="7"/>
  <c r="Z1074" i="7"/>
  <c r="L1074" i="7" s="1"/>
  <c r="M1074" i="7"/>
  <c r="Z1135" i="7"/>
  <c r="L1135" i="7" s="1"/>
  <c r="M1135" i="7"/>
  <c r="Z1209" i="7"/>
  <c r="L1209" i="7" s="1"/>
  <c r="M1209" i="7"/>
  <c r="Z1170" i="7"/>
  <c r="L1170" i="7" s="1"/>
  <c r="M1170" i="7"/>
  <c r="Z1062" i="7"/>
  <c r="L1062" i="7" s="1"/>
  <c r="M1062" i="7"/>
  <c r="M1144" i="7"/>
  <c r="Z1144" i="7"/>
  <c r="L1144" i="7" s="1"/>
  <c r="Z1056" i="7"/>
  <c r="L1056" i="7" s="1"/>
  <c r="M1056" i="7"/>
  <c r="Z1136" i="7"/>
  <c r="L1136" i="7" s="1"/>
  <c r="M1136" i="7"/>
  <c r="Z1204" i="7"/>
  <c r="L1204" i="7" s="1"/>
  <c r="M1204" i="7"/>
  <c r="Z1100" i="7"/>
  <c r="L1100" i="7" s="1"/>
  <c r="M1100" i="7"/>
  <c r="Z1173" i="7"/>
  <c r="L1173" i="7" s="1"/>
  <c r="M1173" i="7"/>
  <c r="Z1043" i="7"/>
  <c r="L1043" i="7" s="1"/>
  <c r="M1043" i="7"/>
  <c r="Z1109" i="7"/>
  <c r="L1109" i="7" s="1"/>
  <c r="M1109" i="7"/>
  <c r="Z1169" i="7"/>
  <c r="L1169" i="7" s="1"/>
  <c r="M1169" i="7"/>
  <c r="Z1238" i="7"/>
  <c r="L1238" i="7" s="1"/>
  <c r="M1238" i="7"/>
  <c r="Z1213" i="7"/>
  <c r="L1213" i="7" s="1"/>
  <c r="M1213" i="7"/>
  <c r="Z1215" i="7"/>
  <c r="L1215" i="7" s="1"/>
  <c r="M1215" i="7"/>
  <c r="Z1066" i="7"/>
  <c r="L1066" i="7" s="1"/>
  <c r="M1066" i="7"/>
  <c r="Z1141" i="7"/>
  <c r="L1141" i="7" s="1"/>
  <c r="M1141" i="7"/>
  <c r="Z1052" i="7"/>
  <c r="L1052" i="7" s="1"/>
  <c r="M1052" i="7"/>
  <c r="Z1150" i="7"/>
  <c r="L1150" i="7" s="1"/>
  <c r="M1150" i="7"/>
  <c r="Z1103" i="7"/>
  <c r="L1103" i="7" s="1"/>
  <c r="M1103" i="7"/>
  <c r="Z1177" i="7"/>
  <c r="L1177" i="7" s="1"/>
  <c r="M1177" i="7"/>
  <c r="Z1253" i="7"/>
  <c r="L1253" i="7" s="1"/>
  <c r="M1253" i="7"/>
  <c r="Z1047" i="7"/>
  <c r="L1047" i="7" s="1"/>
  <c r="M1047" i="7"/>
  <c r="Z1112" i="7"/>
  <c r="L1112" i="7" s="1"/>
  <c r="M1112" i="7"/>
  <c r="Z1185" i="7"/>
  <c r="L1185" i="7" s="1"/>
  <c r="M1185" i="7"/>
  <c r="Z1216" i="7"/>
  <c r="L1216" i="7" s="1"/>
  <c r="M1216" i="7"/>
  <c r="Z1070" i="7"/>
  <c r="L1070" i="7" s="1"/>
  <c r="M1070" i="7"/>
  <c r="Z1134" i="7"/>
  <c r="L1134" i="7" s="1"/>
  <c r="M1134" i="7"/>
  <c r="Z1048" i="7"/>
  <c r="L1048" i="7" s="1"/>
  <c r="M1048" i="7"/>
  <c r="Z1128" i="7"/>
  <c r="L1128" i="7" s="1"/>
  <c r="M1128" i="7"/>
  <c r="Z1139" i="7"/>
  <c r="L1139" i="7" s="1"/>
  <c r="M1139" i="7"/>
  <c r="AA1202" i="7"/>
  <c r="M1202" i="7" s="1"/>
  <c r="Z1107" i="7"/>
  <c r="L1107" i="7" s="1"/>
  <c r="M1107" i="7"/>
  <c r="Z1217" i="7"/>
  <c r="L1217" i="7" s="1"/>
  <c r="M1217" i="7"/>
  <c r="Z1208" i="7"/>
  <c r="L1208" i="7" s="1"/>
  <c r="M1208" i="7"/>
  <c r="Z1085" i="7"/>
  <c r="L1085" i="7" s="1"/>
  <c r="M1085" i="7"/>
  <c r="Z1145" i="7"/>
  <c r="L1145" i="7" s="1"/>
  <c r="M1145" i="7"/>
  <c r="Z1212" i="7"/>
  <c r="L1212" i="7" s="1"/>
  <c r="M1212" i="7"/>
  <c r="Z1167" i="7"/>
  <c r="L1167" i="7" s="1"/>
  <c r="M1167" i="7"/>
  <c r="Z1240" i="7"/>
  <c r="L1240" i="7" s="1"/>
  <c r="M1240" i="7"/>
  <c r="Z1246" i="7"/>
  <c r="L1246" i="7" s="1"/>
  <c r="M1246" i="7"/>
  <c r="Z1088" i="7"/>
  <c r="L1088" i="7" s="1"/>
  <c r="M1088" i="7"/>
  <c r="Z1174" i="7"/>
  <c r="L1174" i="7" s="1"/>
  <c r="M1174" i="7"/>
  <c r="Z1078" i="7"/>
  <c r="L1078" i="7" s="1"/>
  <c r="M1078" i="7"/>
  <c r="M1068" i="7"/>
  <c r="Z1068" i="7"/>
  <c r="L1068" i="7" s="1"/>
  <c r="L1122" i="7"/>
  <c r="Z1091" i="7"/>
  <c r="L1091" i="7" s="1"/>
  <c r="M1091" i="7"/>
  <c r="Z1161" i="7"/>
  <c r="L1161" i="7" s="1"/>
  <c r="M1161" i="7"/>
  <c r="Z1236" i="7"/>
  <c r="L1236" i="7" s="1"/>
  <c r="M1236" i="7"/>
  <c r="Z1237" i="7"/>
  <c r="L1237" i="7" s="1"/>
  <c r="M1237" i="7"/>
  <c r="Z1163" i="7"/>
  <c r="L1163" i="7" s="1"/>
  <c r="M1163" i="7"/>
  <c r="Z1228" i="7"/>
  <c r="L1228" i="7" s="1"/>
  <c r="M1228" i="7"/>
  <c r="Z1180" i="7"/>
  <c r="L1180" i="7" s="1"/>
  <c r="M1180" i="7"/>
  <c r="Z1076" i="7"/>
  <c r="L1076" i="7" s="1"/>
  <c r="M1076" i="7"/>
  <c r="Z1042" i="7"/>
  <c r="L1042" i="7" s="1"/>
  <c r="M1042" i="7"/>
  <c r="Z1104" i="7"/>
  <c r="L1104" i="7" s="1"/>
  <c r="M1104" i="7"/>
  <c r="Z1221" i="7"/>
  <c r="L1221" i="7" s="1"/>
  <c r="M1221" i="7"/>
  <c r="M1095" i="7"/>
  <c r="AA1121" i="7"/>
  <c r="M1121" i="7" s="1"/>
  <c r="Z1095" i="7"/>
  <c r="Z1057" i="7"/>
  <c r="L1057" i="7" s="1"/>
  <c r="M1057" i="7"/>
  <c r="Z1133" i="7"/>
  <c r="L1133" i="7" s="1"/>
  <c r="M1133" i="7"/>
  <c r="Z1199" i="7"/>
  <c r="L1199" i="7" s="1"/>
  <c r="M1199" i="7"/>
  <c r="Z1205" i="7"/>
  <c r="L1205" i="7" s="1"/>
  <c r="M1205" i="7"/>
  <c r="Z1089" i="7"/>
  <c r="L1089" i="7" s="1"/>
  <c r="M1089" i="7"/>
  <c r="Z1225" i="7"/>
  <c r="L1225" i="7" s="1"/>
  <c r="M1225" i="7"/>
  <c r="Z1226" i="7"/>
  <c r="L1226" i="7" s="1"/>
  <c r="M1226" i="7"/>
  <c r="Z1092" i="7"/>
  <c r="L1092" i="7" s="1"/>
  <c r="M1092" i="7"/>
  <c r="Z1159" i="7"/>
  <c r="L1159" i="7" s="1"/>
  <c r="M1159" i="7"/>
  <c r="Z1075" i="7"/>
  <c r="L1075" i="7" s="1"/>
  <c r="M1075" i="7"/>
  <c r="Z1154" i="7"/>
  <c r="L1154" i="7" s="1"/>
  <c r="M1154" i="7"/>
  <c r="Z1045" i="7"/>
  <c r="L1045" i="7" s="1"/>
  <c r="M1045" i="7"/>
  <c r="Z1190" i="7"/>
  <c r="L1190" i="7" s="1"/>
  <c r="M1190" i="7"/>
  <c r="Z1244" i="7"/>
  <c r="L1244" i="7" s="1"/>
  <c r="M1244" i="7"/>
  <c r="Z1093" i="7"/>
  <c r="L1093" i="7" s="1"/>
  <c r="M1093" i="7"/>
  <c r="Z1153" i="7"/>
  <c r="L1153" i="7" s="1"/>
  <c r="M1153" i="7"/>
  <c r="Z1222" i="7"/>
  <c r="L1222" i="7" s="1"/>
  <c r="M1222" i="7"/>
  <c r="Z1172" i="7"/>
  <c r="L1172" i="7" s="1"/>
  <c r="M1172" i="7"/>
  <c r="Z1050" i="7"/>
  <c r="L1050" i="7" s="1"/>
  <c r="M1050" i="7"/>
  <c r="Z1111" i="7"/>
  <c r="L1111" i="7" s="1"/>
  <c r="M1111" i="7"/>
  <c r="Z1227" i="7"/>
  <c r="L1227" i="7" s="1"/>
  <c r="M1227" i="7"/>
  <c r="Z1132" i="7"/>
  <c r="L1132" i="7" s="1"/>
  <c r="M1132" i="7"/>
  <c r="Z1049" i="7"/>
  <c r="L1049" i="7" s="1"/>
  <c r="M1049" i="7"/>
  <c r="Z1125" i="7"/>
  <c r="L1125" i="7" s="1"/>
  <c r="M1125" i="7"/>
  <c r="Z1196" i="7"/>
  <c r="L1196" i="7" s="1"/>
  <c r="M1196" i="7"/>
  <c r="Z1063" i="7"/>
  <c r="L1063" i="7" s="1"/>
  <c r="M1063" i="7"/>
  <c r="Z1127" i="7"/>
  <c r="L1127" i="7" s="1"/>
  <c r="M1127" i="7"/>
  <c r="Z1201" i="7"/>
  <c r="L1201" i="7" s="1"/>
  <c r="M1201" i="7"/>
  <c r="Z1239" i="7"/>
  <c r="L1239" i="7" s="1"/>
  <c r="M1239" i="7"/>
  <c r="Z1084" i="7"/>
  <c r="L1084" i="7" s="1"/>
  <c r="M1084" i="7"/>
  <c r="Z1152" i="7"/>
  <c r="L1152" i="7" s="1"/>
  <c r="M1152" i="7"/>
  <c r="Z1064" i="7"/>
  <c r="L1064" i="7" s="1"/>
  <c r="M1064" i="7"/>
  <c r="Z1143" i="7"/>
  <c r="L1143" i="7" s="1"/>
  <c r="M1143" i="7"/>
  <c r="Z1146" i="7"/>
  <c r="L1146" i="7" s="1"/>
  <c r="M1146" i="7"/>
  <c r="Z1160" i="7"/>
  <c r="L1160" i="7" s="1"/>
  <c r="M1160" i="7"/>
  <c r="Z1079" i="7"/>
  <c r="L1079" i="7" s="1"/>
  <c r="M1079" i="7"/>
  <c r="Z1151" i="7"/>
  <c r="L1151" i="7" s="1"/>
  <c r="M1151" i="7"/>
  <c r="Z1220" i="7"/>
  <c r="L1220" i="7" s="1"/>
  <c r="M1220" i="7"/>
  <c r="Z1254" i="7"/>
  <c r="L1254" i="7" s="1"/>
  <c r="M1254" i="7"/>
  <c r="Z1105" i="7"/>
  <c r="L1105" i="7" s="1"/>
  <c r="M1105" i="7"/>
  <c r="Z1179" i="7"/>
  <c r="L1179" i="7" s="1"/>
  <c r="M1179" i="7"/>
  <c r="Z1241" i="7"/>
  <c r="L1241" i="7" s="1"/>
  <c r="M1241" i="7"/>
  <c r="Z1249" i="7"/>
  <c r="L1249" i="7" s="1"/>
  <c r="M1249" i="7"/>
  <c r="Z1108" i="7"/>
  <c r="L1108" i="7" s="1"/>
  <c r="M1108" i="7"/>
  <c r="Z1188" i="7"/>
  <c r="L1188" i="7" s="1"/>
  <c r="M1188" i="7"/>
  <c r="Z1090" i="7"/>
  <c r="L1090" i="7" s="1"/>
  <c r="M1090" i="7"/>
  <c r="Z1186" i="7"/>
  <c r="L1186" i="7" s="1"/>
  <c r="M1186" i="7"/>
  <c r="Z1061" i="7"/>
  <c r="L1061" i="7" s="1"/>
  <c r="M1061" i="7"/>
  <c r="Z1218" i="7"/>
  <c r="L1218" i="7" s="1"/>
  <c r="M1218" i="7"/>
  <c r="Z1077" i="7"/>
  <c r="L1077" i="7" s="1"/>
  <c r="M1077" i="7"/>
  <c r="Z1138" i="7"/>
  <c r="L1138" i="7" s="1"/>
  <c r="M1138" i="7"/>
  <c r="Z1206" i="7"/>
  <c r="L1206" i="7" s="1"/>
  <c r="M1206" i="7"/>
  <c r="Z1120" i="7"/>
  <c r="L1120" i="7" s="1"/>
  <c r="M1120" i="7"/>
  <c r="Z1252" i="7"/>
  <c r="L1252" i="7" s="1"/>
  <c r="M1252" i="7"/>
  <c r="Z1250" i="7"/>
  <c r="L1250" i="7" s="1"/>
  <c r="M1250" i="7"/>
  <c r="Z1097" i="7"/>
  <c r="L1097" i="7" s="1"/>
  <c r="M1097" i="7"/>
  <c r="Z1181" i="7"/>
  <c r="L1181" i="7" s="1"/>
  <c r="M1181" i="7"/>
  <c r="Z1106" i="7"/>
  <c r="L1106" i="7" s="1"/>
  <c r="M1106" i="7"/>
  <c r="Z1065" i="7"/>
  <c r="L1065" i="7" s="1"/>
  <c r="M1065" i="7"/>
  <c r="Z1140" i="7"/>
  <c r="L1140" i="7" s="1"/>
  <c r="M1140" i="7"/>
  <c r="Z1214" i="7"/>
  <c r="L1214" i="7" s="1"/>
  <c r="M1214" i="7"/>
  <c r="Z1211" i="7"/>
  <c r="L1211" i="7" s="1"/>
  <c r="M1211" i="7"/>
  <c r="Z1081" i="7"/>
  <c r="L1081" i="7" s="1"/>
  <c r="M1081" i="7"/>
  <c r="Z1142" i="7"/>
  <c r="L1142" i="7" s="1"/>
  <c r="M1142" i="7"/>
  <c r="Z1248" i="7"/>
  <c r="L1248" i="7" s="1"/>
  <c r="M1248" i="7"/>
  <c r="Z1232" i="7"/>
  <c r="L1232" i="7" s="1"/>
  <c r="M1232" i="7"/>
  <c r="Z1101" i="7"/>
  <c r="L1101" i="7" s="1"/>
  <c r="M1101" i="7"/>
  <c r="Z1178" i="7"/>
  <c r="L1178" i="7" s="1"/>
  <c r="M1178" i="7"/>
  <c r="Z1082" i="7"/>
  <c r="L1082" i="7" s="1"/>
  <c r="M1082" i="7"/>
  <c r="Z1164" i="7"/>
  <c r="L1164" i="7" s="1"/>
  <c r="M1164" i="7"/>
  <c r="Z1189" i="7"/>
  <c r="L1189" i="7" s="1"/>
  <c r="M1189" i="7"/>
  <c r="Z1171" i="7"/>
  <c r="L1171" i="7" s="1"/>
  <c r="M1171" i="7"/>
  <c r="M1230" i="7"/>
  <c r="AA1256" i="7"/>
  <c r="M1256" i="7" s="1"/>
  <c r="Z1230" i="7"/>
  <c r="Z1072" i="7"/>
  <c r="L1072" i="7" s="1"/>
  <c r="M1072" i="7"/>
  <c r="Z1162" i="7"/>
  <c r="L1162" i="7" s="1"/>
  <c r="M1162" i="7"/>
  <c r="Z1051" i="7"/>
  <c r="L1051" i="7" s="1"/>
  <c r="M1051" i="7"/>
  <c r="Z1116" i="7"/>
  <c r="L1116" i="7" s="1"/>
  <c r="M1116" i="7"/>
  <c r="Z1182" i="7"/>
  <c r="L1182" i="7" s="1"/>
  <c r="M1182" i="7"/>
  <c r="Z1245" i="7"/>
  <c r="L1245" i="7" s="1"/>
  <c r="M1245" i="7"/>
  <c r="Z1219" i="7"/>
  <c r="L1219" i="7" s="1"/>
  <c r="M1219" i="7"/>
  <c r="Z1207" i="7"/>
  <c r="L1207" i="7" s="1"/>
  <c r="M1207" i="7"/>
  <c r="Z1058" i="7"/>
  <c r="L1058" i="7" s="1"/>
  <c r="M1058" i="7"/>
  <c r="Z1130" i="7"/>
  <c r="L1130" i="7" s="1"/>
  <c r="M1130" i="7"/>
  <c r="Z1044" i="7"/>
  <c r="L1044" i="7" s="1"/>
  <c r="M1044" i="7"/>
  <c r="L1176" i="7"/>
  <c r="L1149" i="7"/>
  <c r="Z1053" i="7"/>
  <c r="L1053" i="7" s="1"/>
  <c r="M1053" i="7"/>
  <c r="Z1129" i="7"/>
  <c r="L1129" i="7" s="1"/>
  <c r="M1129" i="7"/>
  <c r="Z1195" i="7"/>
  <c r="L1195" i="7" s="1"/>
  <c r="M1195" i="7"/>
  <c r="Z1191" i="7"/>
  <c r="L1191" i="7" s="1"/>
  <c r="M1191" i="7"/>
  <c r="Z1131" i="7"/>
  <c r="L1131" i="7" s="1"/>
  <c r="M1131" i="7"/>
  <c r="Z1197" i="7"/>
  <c r="L1197" i="7" s="1"/>
  <c r="M1197" i="7"/>
  <c r="Z1113" i="7"/>
  <c r="L1113" i="7" s="1"/>
  <c r="M1113" i="7"/>
  <c r="Z1242" i="7"/>
  <c r="L1242" i="7" s="1"/>
  <c r="M1242" i="7"/>
  <c r="Z1223" i="7"/>
  <c r="L1223" i="7" s="1"/>
  <c r="M1223" i="7"/>
  <c r="Z1073" i="7"/>
  <c r="L1073" i="7" s="1"/>
  <c r="M1073" i="7"/>
  <c r="Z1147" i="7"/>
  <c r="L1147" i="7" s="1"/>
  <c r="M1147" i="7"/>
  <c r="Z1060" i="7"/>
  <c r="L1060" i="7" s="1"/>
  <c r="M1060" i="7"/>
  <c r="M1203" i="7"/>
  <c r="Z1203" i="7"/>
  <c r="AA1229" i="7"/>
  <c r="M1229" i="7" s="1"/>
  <c r="Z1096" i="7"/>
  <c r="L1096" i="7" s="1"/>
  <c r="M1096" i="7"/>
  <c r="Z1243" i="7"/>
  <c r="L1243" i="7" s="1"/>
  <c r="M1243" i="7"/>
  <c r="Z1055" i="7"/>
  <c r="L1055" i="7" s="1"/>
  <c r="M1055" i="7"/>
  <c r="Z1119" i="7"/>
  <c r="L1119" i="7" s="1"/>
  <c r="M1119" i="7"/>
  <c r="Z1255" i="7"/>
  <c r="L1255" i="7" s="1"/>
  <c r="M1255" i="7"/>
  <c r="Z1046" i="7"/>
  <c r="L1046" i="7" s="1"/>
  <c r="M1046" i="7"/>
  <c r="Z1126" i="7"/>
  <c r="L1126" i="7" s="1"/>
  <c r="M1126" i="7"/>
  <c r="Z1234" i="7"/>
  <c r="L1234" i="7" s="1"/>
  <c r="M1234" i="7"/>
  <c r="Z1110" i="7"/>
  <c r="L1110" i="7" s="1"/>
  <c r="M1110" i="7"/>
  <c r="Z1210" i="7"/>
  <c r="L1210" i="7" s="1"/>
  <c r="M1210" i="7"/>
  <c r="Z1083" i="7"/>
  <c r="L1083" i="7" s="1"/>
  <c r="M1083" i="7"/>
  <c r="Z1155" i="7"/>
  <c r="L1155" i="7" s="1"/>
  <c r="M1155" i="7"/>
  <c r="Z1200" i="7"/>
  <c r="L1200" i="7" s="1"/>
  <c r="M1200" i="7"/>
  <c r="Z1059" i="7"/>
  <c r="L1059" i="7" s="1"/>
  <c r="M1059" i="7"/>
  <c r="Z1123" i="7"/>
  <c r="L1123" i="7" s="1"/>
  <c r="M1123" i="7"/>
  <c r="Z1251" i="7"/>
  <c r="L1251" i="7" s="1"/>
  <c r="M1251" i="7"/>
  <c r="Z1235" i="7"/>
  <c r="L1235" i="7" s="1"/>
  <c r="M1235" i="7"/>
  <c r="Z1231" i="7"/>
  <c r="L1231" i="7" s="1"/>
  <c r="M1231" i="7"/>
  <c r="Z1080" i="7"/>
  <c r="L1080" i="7" s="1"/>
  <c r="M1080" i="7"/>
  <c r="Z1156" i="7"/>
  <c r="L1156" i="7" s="1"/>
  <c r="M1156" i="7"/>
  <c r="Z1086" i="7"/>
  <c r="L1086" i="7" s="1"/>
  <c r="M1086" i="7"/>
  <c r="Z1183" i="7"/>
  <c r="L1183" i="7" s="1"/>
  <c r="M1183" i="7"/>
  <c r="Z1087" i="7"/>
  <c r="L1087" i="7" s="1"/>
  <c r="M1087" i="7"/>
  <c r="Z1158" i="7"/>
  <c r="L1158" i="7" s="1"/>
  <c r="M1158" i="7"/>
  <c r="Z1233" i="7"/>
  <c r="L1233" i="7" s="1"/>
  <c r="M1233" i="7"/>
  <c r="Z1247" i="7"/>
  <c r="L1247" i="7" s="1"/>
  <c r="M1247" i="7"/>
  <c r="Z1098" i="7"/>
  <c r="L1098" i="7" s="1"/>
  <c r="M1098" i="7"/>
  <c r="Z1166" i="7"/>
  <c r="L1166" i="7" s="1"/>
  <c r="M1166" i="7"/>
  <c r="Z1117" i="7"/>
  <c r="L1117" i="7" s="1"/>
  <c r="M1117" i="7"/>
  <c r="Z1054" i="7"/>
  <c r="L1054" i="7" s="1"/>
  <c r="M1054" i="7"/>
  <c r="Z1115" i="7"/>
  <c r="L1115" i="7" s="1"/>
  <c r="M1115" i="7"/>
  <c r="Z1224" i="7"/>
  <c r="L1224" i="7" s="1"/>
  <c r="M1224" i="7"/>
  <c r="Z1099" i="7"/>
  <c r="L1099" i="7" s="1"/>
  <c r="M1099" i="7"/>
  <c r="Z1198" i="7"/>
  <c r="L1198" i="7" s="1"/>
  <c r="M1198" i="7"/>
  <c r="Z1124" i="7"/>
  <c r="L1124" i="7" s="1"/>
  <c r="M1124" i="7"/>
  <c r="Z1069" i="7"/>
  <c r="L1069" i="7" s="1"/>
  <c r="M1069" i="7"/>
  <c r="Z1028" i="7"/>
  <c r="L1028" i="7" s="1"/>
  <c r="M1028" i="7"/>
  <c r="Z1020" i="7"/>
  <c r="L1020" i="7" s="1"/>
  <c r="M1020" i="7"/>
  <c r="Z1033" i="7"/>
  <c r="L1033" i="7" s="1"/>
  <c r="M1033" i="7"/>
  <c r="Z1018" i="7"/>
  <c r="L1018" i="7" s="1"/>
  <c r="M1018" i="7"/>
  <c r="Z1034" i="7"/>
  <c r="L1034" i="7" s="1"/>
  <c r="M1034" i="7"/>
  <c r="Z1025" i="7"/>
  <c r="L1025" i="7" s="1"/>
  <c r="M1025" i="7"/>
  <c r="Z1039" i="7"/>
  <c r="L1039" i="7" s="1"/>
  <c r="M1039" i="7"/>
  <c r="Z1026" i="7"/>
  <c r="L1026" i="7" s="1"/>
  <c r="M1026" i="7"/>
  <c r="Z1031" i="7"/>
  <c r="L1031" i="7" s="1"/>
  <c r="M1031" i="7"/>
  <c r="Z1032" i="7"/>
  <c r="L1032" i="7" s="1"/>
  <c r="M1032" i="7"/>
  <c r="Z1037" i="7"/>
  <c r="L1037" i="7" s="1"/>
  <c r="M1037" i="7"/>
  <c r="Z1021" i="7"/>
  <c r="L1021" i="7" s="1"/>
  <c r="M1021" i="7"/>
  <c r="Z1015" i="7"/>
  <c r="L1015" i="7" s="1"/>
  <c r="M1015" i="7"/>
  <c r="Z1029" i="7"/>
  <c r="L1029" i="7" s="1"/>
  <c r="M1029" i="7"/>
  <c r="Z1038" i="7"/>
  <c r="L1038" i="7" s="1"/>
  <c r="M1038" i="7"/>
  <c r="Z1022" i="7"/>
  <c r="L1022" i="7" s="1"/>
  <c r="M1022" i="7"/>
  <c r="Z1035" i="7"/>
  <c r="L1035" i="7" s="1"/>
  <c r="M1035" i="7"/>
  <c r="Z1030" i="7"/>
  <c r="L1030" i="7" s="1"/>
  <c r="M1030" i="7"/>
  <c r="Z1036" i="7"/>
  <c r="L1036" i="7" s="1"/>
  <c r="M1036" i="7"/>
  <c r="Z1027" i="7"/>
  <c r="L1027" i="7" s="1"/>
  <c r="M1027" i="7"/>
  <c r="Z1023" i="7"/>
  <c r="L1023" i="7" s="1"/>
  <c r="M1023" i="7"/>
  <c r="Z1202" i="7" l="1"/>
  <c r="L1202" i="7" s="1"/>
  <c r="Z1148" i="7"/>
  <c r="L1148" i="7" s="1"/>
  <c r="Z1175" i="7"/>
  <c r="L1175" i="7" s="1"/>
  <c r="Z1121" i="7"/>
  <c r="L1121" i="7" s="1"/>
  <c r="L1095" i="7"/>
  <c r="Z1229" i="7"/>
  <c r="L1229" i="7" s="1"/>
  <c r="L1203" i="7"/>
  <c r="Z1256" i="7"/>
  <c r="L1256" i="7" s="1"/>
  <c r="L1230" i="7"/>
  <c r="I2481" i="10"/>
  <c r="H2481" i="10" s="1"/>
  <c r="G2481" i="10" s="1"/>
  <c r="F2481" i="10" s="1"/>
  <c r="I2480" i="10"/>
  <c r="H2480" i="10" s="1"/>
  <c r="G2480" i="10" s="1"/>
  <c r="F2480" i="10" s="1"/>
  <c r="I2479" i="10"/>
  <c r="H2479" i="10" s="1"/>
  <c r="G2479" i="10" s="1"/>
  <c r="F2479" i="10" s="1"/>
  <c r="I2478" i="10"/>
  <c r="H2478" i="10" s="1"/>
  <c r="G2478" i="10" s="1"/>
  <c r="F2478" i="10" s="1"/>
  <c r="I2477" i="10"/>
  <c r="H2477" i="10" s="1"/>
  <c r="G2477" i="10" s="1"/>
  <c r="F2477" i="10" s="1"/>
  <c r="I2476" i="10"/>
  <c r="H2476" i="10" s="1"/>
  <c r="G2476" i="10" s="1"/>
  <c r="F2476" i="10" s="1"/>
  <c r="I2475" i="10"/>
  <c r="H2475" i="10" s="1"/>
  <c r="G2475" i="10" s="1"/>
  <c r="F2475" i="10" s="1"/>
  <c r="I2474" i="10"/>
  <c r="H2474" i="10" s="1"/>
  <c r="G2474" i="10" s="1"/>
  <c r="F2474" i="10" s="1"/>
  <c r="I2473" i="10"/>
  <c r="H2473" i="10" s="1"/>
  <c r="G2473" i="10" s="1"/>
  <c r="F2473" i="10" s="1"/>
  <c r="I2472" i="10"/>
  <c r="H2472" i="10" s="1"/>
  <c r="G2472" i="10" s="1"/>
  <c r="F2472" i="10" s="1"/>
  <c r="I2471" i="10"/>
  <c r="H2471" i="10" s="1"/>
  <c r="G2471" i="10" s="1"/>
  <c r="F2471" i="10" s="1"/>
  <c r="I2470" i="10"/>
  <c r="H2470" i="10" s="1"/>
  <c r="G2470" i="10" s="1"/>
  <c r="F2470" i="10" s="1"/>
  <c r="I2469" i="10"/>
  <c r="H2469" i="10" s="1"/>
  <c r="G2469" i="10" s="1"/>
  <c r="F2469" i="10" s="1"/>
  <c r="I2468" i="10"/>
  <c r="H2468" i="10" s="1"/>
  <c r="G2468" i="10" s="1"/>
  <c r="F2468" i="10" s="1"/>
  <c r="I2467" i="10"/>
  <c r="H2467" i="10" s="1"/>
  <c r="G2467" i="10" s="1"/>
  <c r="F2467" i="10" s="1"/>
  <c r="I2466" i="10"/>
  <c r="H2466" i="10" s="1"/>
  <c r="G2466" i="10" s="1"/>
  <c r="F2466" i="10" s="1"/>
  <c r="I2465" i="10"/>
  <c r="H2465" i="10" s="1"/>
  <c r="G2465" i="10" s="1"/>
  <c r="F2465" i="10" s="1"/>
  <c r="I2464" i="10"/>
  <c r="H2464" i="10" s="1"/>
  <c r="G2464" i="10" s="1"/>
  <c r="F2464" i="10" s="1"/>
  <c r="I2463" i="10"/>
  <c r="H2463" i="10" s="1"/>
  <c r="G2463" i="10" s="1"/>
  <c r="F2463" i="10" s="1"/>
  <c r="I2462" i="10"/>
  <c r="H2462" i="10" s="1"/>
  <c r="G2462" i="10" s="1"/>
  <c r="F2462" i="10" s="1"/>
  <c r="I2461" i="10"/>
  <c r="H2461" i="10" s="1"/>
  <c r="G2461" i="10" s="1"/>
  <c r="F2461" i="10" s="1"/>
  <c r="I2460" i="10"/>
  <c r="H2460" i="10" s="1"/>
  <c r="G2460" i="10" s="1"/>
  <c r="F2460" i="10" s="1"/>
  <c r="I2459" i="10"/>
  <c r="H2459" i="10" s="1"/>
  <c r="G2459" i="10" s="1"/>
  <c r="F2459" i="10" s="1"/>
  <c r="I2458" i="10"/>
  <c r="H2458" i="10" s="1"/>
  <c r="G2458" i="10" s="1"/>
  <c r="F2458" i="10" s="1"/>
  <c r="I2457" i="10"/>
  <c r="H2457" i="10" s="1"/>
  <c r="G2457" i="10" s="1"/>
  <c r="F2457" i="10" s="1"/>
  <c r="I2456" i="10"/>
  <c r="H2456" i="10" s="1"/>
  <c r="G2456" i="10" s="1"/>
  <c r="F2456" i="10" s="1"/>
  <c r="D248" i="3"/>
  <c r="K824" i="7"/>
  <c r="J824" i="7"/>
  <c r="I824" i="7"/>
  <c r="H824" i="7"/>
  <c r="G824" i="7"/>
  <c r="F824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K770" i="7"/>
  <c r="J751" i="7"/>
  <c r="J750" i="7"/>
  <c r="J749" i="7"/>
  <c r="J748" i="7"/>
  <c r="J747" i="7"/>
  <c r="J746" i="7"/>
  <c r="J745" i="7"/>
  <c r="G393" i="7"/>
  <c r="H393" i="7"/>
  <c r="J393" i="7"/>
  <c r="K393" i="7"/>
  <c r="G394" i="7"/>
  <c r="H394" i="7"/>
  <c r="I394" i="7"/>
  <c r="J394" i="7"/>
  <c r="K394" i="7"/>
  <c r="G395" i="7"/>
  <c r="H395" i="7"/>
  <c r="I395" i="7"/>
  <c r="J395" i="7"/>
  <c r="K395" i="7"/>
  <c r="G396" i="7"/>
  <c r="H396" i="7"/>
  <c r="I396" i="7"/>
  <c r="J396" i="7"/>
  <c r="K396" i="7"/>
  <c r="G397" i="7"/>
  <c r="H397" i="7"/>
  <c r="I397" i="7"/>
  <c r="J397" i="7"/>
  <c r="K397" i="7"/>
  <c r="G398" i="7"/>
  <c r="H398" i="7"/>
  <c r="I398" i="7"/>
  <c r="J398" i="7"/>
  <c r="K398" i="7"/>
  <c r="G399" i="7"/>
  <c r="H399" i="7"/>
  <c r="I399" i="7"/>
  <c r="J399" i="7"/>
  <c r="K399" i="7"/>
  <c r="G400" i="7"/>
  <c r="H400" i="7"/>
  <c r="I400" i="7"/>
  <c r="J400" i="7"/>
  <c r="K400" i="7"/>
  <c r="G401" i="7"/>
  <c r="H401" i="7"/>
  <c r="I401" i="7"/>
  <c r="J401" i="7"/>
  <c r="K401" i="7"/>
  <c r="G402" i="7"/>
  <c r="H402" i="7"/>
  <c r="I402" i="7"/>
  <c r="J402" i="7"/>
  <c r="K402" i="7"/>
  <c r="G403" i="7"/>
  <c r="H403" i="7"/>
  <c r="I403" i="7"/>
  <c r="J403" i="7"/>
  <c r="K403" i="7"/>
  <c r="G404" i="7"/>
  <c r="H404" i="7"/>
  <c r="I404" i="7"/>
  <c r="J404" i="7"/>
  <c r="K404" i="7"/>
  <c r="G405" i="7"/>
  <c r="H405" i="7"/>
  <c r="I405" i="7"/>
  <c r="J405" i="7"/>
  <c r="K405" i="7"/>
  <c r="G406" i="7"/>
  <c r="H406" i="7"/>
  <c r="I406" i="7"/>
  <c r="J406" i="7"/>
  <c r="K406" i="7"/>
  <c r="G407" i="7"/>
  <c r="H407" i="7"/>
  <c r="I407" i="7"/>
  <c r="J407" i="7"/>
  <c r="K407" i="7"/>
  <c r="G408" i="7"/>
  <c r="H408" i="7"/>
  <c r="I408" i="7"/>
  <c r="J408" i="7"/>
  <c r="K408" i="7"/>
  <c r="G409" i="7"/>
  <c r="H409" i="7"/>
  <c r="I409" i="7"/>
  <c r="J409" i="7"/>
  <c r="K409" i="7"/>
  <c r="G410" i="7"/>
  <c r="H410" i="7"/>
  <c r="I410" i="7"/>
  <c r="J410" i="7"/>
  <c r="K410" i="7"/>
  <c r="G411" i="7"/>
  <c r="H411" i="7"/>
  <c r="I411" i="7"/>
  <c r="J411" i="7"/>
  <c r="K411" i="7"/>
  <c r="G412" i="7"/>
  <c r="H412" i="7"/>
  <c r="I412" i="7"/>
  <c r="J412" i="7"/>
  <c r="K412" i="7"/>
  <c r="G413" i="7"/>
  <c r="H413" i="7"/>
  <c r="I413" i="7"/>
  <c r="J413" i="7"/>
  <c r="K413" i="7"/>
  <c r="G414" i="7"/>
  <c r="H414" i="7"/>
  <c r="I414" i="7"/>
  <c r="J414" i="7"/>
  <c r="K414" i="7"/>
  <c r="G415" i="7"/>
  <c r="H415" i="7"/>
  <c r="I415" i="7"/>
  <c r="J415" i="7"/>
  <c r="K415" i="7"/>
  <c r="G416" i="7"/>
  <c r="H416" i="7"/>
  <c r="I416" i="7"/>
  <c r="J416" i="7"/>
  <c r="K416" i="7"/>
  <c r="G417" i="7"/>
  <c r="H417" i="7"/>
  <c r="I417" i="7"/>
  <c r="J417" i="7"/>
  <c r="K417" i="7"/>
  <c r="G418" i="7"/>
  <c r="H418" i="7"/>
  <c r="I418" i="7"/>
  <c r="J418" i="7"/>
  <c r="K418" i="7"/>
  <c r="G230" i="7"/>
  <c r="H230" i="7"/>
  <c r="I230" i="7"/>
  <c r="J230" i="7"/>
  <c r="K230" i="7"/>
  <c r="G231" i="7"/>
  <c r="H231" i="7"/>
  <c r="I231" i="7"/>
  <c r="J231" i="7"/>
  <c r="K231" i="7"/>
  <c r="G232" i="7"/>
  <c r="H232" i="7"/>
  <c r="I232" i="7"/>
  <c r="J232" i="7"/>
  <c r="K232" i="7"/>
  <c r="G233" i="7"/>
  <c r="H233" i="7"/>
  <c r="I233" i="7"/>
  <c r="J233" i="7"/>
  <c r="K233" i="7"/>
  <c r="G234" i="7"/>
  <c r="H234" i="7"/>
  <c r="I234" i="7"/>
  <c r="J234" i="7"/>
  <c r="K234" i="7"/>
  <c r="G235" i="7"/>
  <c r="H235" i="7"/>
  <c r="I235" i="7"/>
  <c r="J235" i="7"/>
  <c r="K235" i="7"/>
  <c r="G236" i="7"/>
  <c r="H236" i="7"/>
  <c r="I236" i="7"/>
  <c r="J236" i="7"/>
  <c r="K236" i="7"/>
  <c r="G237" i="7"/>
  <c r="H237" i="7"/>
  <c r="I237" i="7"/>
  <c r="J237" i="7"/>
  <c r="K237" i="7"/>
  <c r="G238" i="7"/>
  <c r="H238" i="7"/>
  <c r="I238" i="7"/>
  <c r="J238" i="7"/>
  <c r="K238" i="7"/>
  <c r="G239" i="7"/>
  <c r="H239" i="7"/>
  <c r="I239" i="7"/>
  <c r="J239" i="7"/>
  <c r="K239" i="7"/>
  <c r="G240" i="7"/>
  <c r="H240" i="7"/>
  <c r="I240" i="7"/>
  <c r="J240" i="7"/>
  <c r="K240" i="7"/>
  <c r="G241" i="7"/>
  <c r="H241" i="7"/>
  <c r="I241" i="7"/>
  <c r="J241" i="7"/>
  <c r="K241" i="7"/>
  <c r="G242" i="7"/>
  <c r="H242" i="7"/>
  <c r="I242" i="7"/>
  <c r="J242" i="7"/>
  <c r="K242" i="7"/>
  <c r="G243" i="7"/>
  <c r="H243" i="7"/>
  <c r="I243" i="7"/>
  <c r="J243" i="7"/>
  <c r="K243" i="7"/>
  <c r="G244" i="7"/>
  <c r="H244" i="7"/>
  <c r="I244" i="7"/>
  <c r="J244" i="7"/>
  <c r="K244" i="7"/>
  <c r="G245" i="7"/>
  <c r="H245" i="7"/>
  <c r="I245" i="7"/>
  <c r="J245" i="7"/>
  <c r="K245" i="7"/>
  <c r="G246" i="7"/>
  <c r="H246" i="7"/>
  <c r="I246" i="7"/>
  <c r="J246" i="7"/>
  <c r="K246" i="7"/>
  <c r="G247" i="7"/>
  <c r="H247" i="7"/>
  <c r="I247" i="7"/>
  <c r="J247" i="7"/>
  <c r="K247" i="7"/>
  <c r="G248" i="7"/>
  <c r="H248" i="7"/>
  <c r="I248" i="7"/>
  <c r="J248" i="7"/>
  <c r="K248" i="7"/>
  <c r="G249" i="7"/>
  <c r="H249" i="7"/>
  <c r="I249" i="7"/>
  <c r="J249" i="7"/>
  <c r="K249" i="7"/>
  <c r="G250" i="7"/>
  <c r="H250" i="7"/>
  <c r="I250" i="7"/>
  <c r="J250" i="7"/>
  <c r="K250" i="7"/>
  <c r="G251" i="7"/>
  <c r="H251" i="7"/>
  <c r="I251" i="7"/>
  <c r="J251" i="7"/>
  <c r="K251" i="7"/>
  <c r="G252" i="7"/>
  <c r="H252" i="7"/>
  <c r="I252" i="7"/>
  <c r="J252" i="7"/>
  <c r="K252" i="7"/>
  <c r="G253" i="7"/>
  <c r="H253" i="7"/>
  <c r="I253" i="7"/>
  <c r="J253" i="7"/>
  <c r="K253" i="7"/>
  <c r="G254" i="7"/>
  <c r="H254" i="7"/>
  <c r="I254" i="7"/>
  <c r="J254" i="7"/>
  <c r="K254" i="7"/>
  <c r="G255" i="7"/>
  <c r="H255" i="7"/>
  <c r="I255" i="7"/>
  <c r="J255" i="7"/>
  <c r="K255" i="7"/>
  <c r="G256" i="7"/>
  <c r="H256" i="7"/>
  <c r="I256" i="7"/>
  <c r="J256" i="7"/>
  <c r="K256" i="7"/>
  <c r="Q1012" i="7"/>
  <c r="P1012" i="7"/>
  <c r="O1012" i="7"/>
  <c r="N1012" i="7"/>
  <c r="Q1011" i="7"/>
  <c r="P1011" i="7"/>
  <c r="O1011" i="7"/>
  <c r="N1011" i="7"/>
  <c r="Q1010" i="7"/>
  <c r="P1010" i="7"/>
  <c r="O1010" i="7"/>
  <c r="N1010" i="7"/>
  <c r="Q1009" i="7"/>
  <c r="P1009" i="7"/>
  <c r="O1009" i="7"/>
  <c r="N1009" i="7"/>
  <c r="Q1008" i="7"/>
  <c r="P1008" i="7"/>
  <c r="O1008" i="7"/>
  <c r="N1008" i="7"/>
  <c r="Q1007" i="7"/>
  <c r="P1007" i="7"/>
  <c r="O1007" i="7"/>
  <c r="N1007" i="7"/>
  <c r="Q1006" i="7"/>
  <c r="P1006" i="7"/>
  <c r="O1006" i="7"/>
  <c r="N1006" i="7"/>
  <c r="Q1005" i="7"/>
  <c r="P1005" i="7"/>
  <c r="O1005" i="7"/>
  <c r="N1005" i="7"/>
  <c r="Q1004" i="7"/>
  <c r="P1004" i="7"/>
  <c r="O1004" i="7"/>
  <c r="N1004" i="7"/>
  <c r="Q1003" i="7"/>
  <c r="P1003" i="7"/>
  <c r="O1003" i="7"/>
  <c r="N1003" i="7"/>
  <c r="Q1002" i="7"/>
  <c r="P1002" i="7"/>
  <c r="O1002" i="7"/>
  <c r="N1002" i="7"/>
  <c r="Q1001" i="7"/>
  <c r="P1001" i="7"/>
  <c r="O1001" i="7"/>
  <c r="N1001" i="7"/>
  <c r="Q1000" i="7"/>
  <c r="P1000" i="7"/>
  <c r="O1000" i="7"/>
  <c r="N1000" i="7"/>
  <c r="Q999" i="7"/>
  <c r="P999" i="7"/>
  <c r="O999" i="7"/>
  <c r="N999" i="7"/>
  <c r="Q998" i="7"/>
  <c r="P998" i="7"/>
  <c r="O998" i="7"/>
  <c r="N998" i="7"/>
  <c r="Q997" i="7"/>
  <c r="P997" i="7"/>
  <c r="O997" i="7"/>
  <c r="N997" i="7"/>
  <c r="Q996" i="7"/>
  <c r="P996" i="7"/>
  <c r="O996" i="7"/>
  <c r="N996" i="7"/>
  <c r="Q995" i="7"/>
  <c r="P995" i="7"/>
  <c r="O995" i="7"/>
  <c r="N995" i="7"/>
  <c r="Q994" i="7"/>
  <c r="P994" i="7"/>
  <c r="O994" i="7"/>
  <c r="N994" i="7"/>
  <c r="Q993" i="7"/>
  <c r="P993" i="7"/>
  <c r="O993" i="7"/>
  <c r="N993" i="7"/>
  <c r="Q992" i="7"/>
  <c r="P992" i="7"/>
  <c r="O992" i="7"/>
  <c r="N992" i="7"/>
  <c r="Q991" i="7"/>
  <c r="P991" i="7"/>
  <c r="O991" i="7"/>
  <c r="N991" i="7"/>
  <c r="Q990" i="7"/>
  <c r="P990" i="7"/>
  <c r="O990" i="7"/>
  <c r="N990" i="7"/>
  <c r="Q989" i="7"/>
  <c r="P989" i="7"/>
  <c r="O989" i="7"/>
  <c r="N989" i="7"/>
  <c r="Q988" i="7"/>
  <c r="P988" i="7"/>
  <c r="O988" i="7"/>
  <c r="N988" i="7"/>
  <c r="Q987" i="7"/>
  <c r="P987" i="7"/>
  <c r="O987" i="7"/>
  <c r="N987" i="7"/>
  <c r="Q68" i="7"/>
  <c r="R67" i="7"/>
  <c r="Q67" i="7"/>
  <c r="R66" i="7"/>
  <c r="Q66" i="7"/>
  <c r="R65" i="7"/>
  <c r="Q65" i="7"/>
  <c r="R64" i="7"/>
  <c r="Q64" i="7"/>
  <c r="R63" i="7"/>
  <c r="Q63" i="7"/>
  <c r="R62" i="7"/>
  <c r="Q62" i="7"/>
  <c r="R61" i="7"/>
  <c r="Q61" i="7"/>
  <c r="R60" i="7"/>
  <c r="Q60" i="7"/>
  <c r="R59" i="7"/>
  <c r="Q59" i="7"/>
  <c r="R58" i="7"/>
  <c r="Q58" i="7"/>
  <c r="R57" i="7"/>
  <c r="Q57" i="7"/>
  <c r="R56" i="7"/>
  <c r="Q56" i="7"/>
  <c r="R55" i="7"/>
  <c r="Q55" i="7"/>
  <c r="R54" i="7"/>
  <c r="Q54" i="7"/>
  <c r="R53" i="7"/>
  <c r="Q53" i="7"/>
  <c r="R52" i="7"/>
  <c r="Q52" i="7"/>
  <c r="R51" i="7"/>
  <c r="Q51" i="7"/>
  <c r="R50" i="7"/>
  <c r="Q50" i="7"/>
  <c r="R49" i="7"/>
  <c r="Q49" i="7"/>
  <c r="R48" i="7"/>
  <c r="Q48" i="7"/>
  <c r="R47" i="7"/>
  <c r="Q47" i="7"/>
  <c r="R46" i="7"/>
  <c r="Q46" i="7"/>
  <c r="R45" i="7"/>
  <c r="Q45" i="7"/>
  <c r="R44" i="7"/>
  <c r="Q44" i="7"/>
  <c r="R43" i="7"/>
  <c r="Q43" i="7"/>
  <c r="R42" i="7"/>
  <c r="Q42" i="7"/>
  <c r="R41" i="7"/>
  <c r="Q41" i="7"/>
  <c r="R40" i="7"/>
  <c r="Q40" i="7"/>
  <c r="R39" i="7"/>
  <c r="Q39" i="7"/>
  <c r="R38" i="7"/>
  <c r="Q38" i="7"/>
  <c r="R37" i="7"/>
  <c r="Q37" i="7"/>
  <c r="R36" i="7"/>
  <c r="Q36" i="7"/>
  <c r="R35" i="7"/>
  <c r="Q35" i="7"/>
  <c r="R34" i="7"/>
  <c r="Q34" i="7"/>
  <c r="R33" i="7"/>
  <c r="Q33" i="7"/>
  <c r="R32" i="7"/>
  <c r="Q32" i="7"/>
  <c r="R31" i="7"/>
  <c r="Q31" i="7"/>
  <c r="R30" i="7"/>
  <c r="Q30" i="7"/>
  <c r="R29" i="7"/>
  <c r="Q29" i="7"/>
  <c r="R28" i="7"/>
  <c r="Q28" i="7"/>
  <c r="R27" i="7"/>
  <c r="Q27" i="7"/>
  <c r="R26" i="7"/>
  <c r="Q26" i="7"/>
  <c r="R25" i="7"/>
  <c r="Q25" i="7"/>
  <c r="R24" i="7"/>
  <c r="Q24" i="7"/>
  <c r="R23" i="7"/>
  <c r="Q23" i="7"/>
  <c r="R22" i="7"/>
  <c r="Q22" i="7"/>
  <c r="R21" i="7"/>
  <c r="Q21" i="7"/>
  <c r="R20" i="7"/>
  <c r="Q20" i="7"/>
  <c r="R19" i="7"/>
  <c r="Q19" i="7"/>
  <c r="R18" i="7"/>
  <c r="Q18" i="7"/>
  <c r="R17" i="7"/>
  <c r="Q17" i="7"/>
  <c r="R16" i="7"/>
  <c r="Q16" i="7"/>
  <c r="R15" i="7"/>
  <c r="Q15" i="7"/>
  <c r="E15" i="7"/>
  <c r="F15" i="7"/>
  <c r="G15" i="7"/>
  <c r="H15" i="7"/>
  <c r="I15" i="7"/>
  <c r="E16" i="7"/>
  <c r="F16" i="7"/>
  <c r="G16" i="7"/>
  <c r="H16" i="7"/>
  <c r="I16" i="7"/>
  <c r="E18" i="7"/>
  <c r="F18" i="7"/>
  <c r="G18" i="7"/>
  <c r="H18" i="7"/>
  <c r="I18" i="7"/>
  <c r="E19" i="7"/>
  <c r="F19" i="7"/>
  <c r="G19" i="7"/>
  <c r="H19" i="7"/>
  <c r="I19" i="7"/>
  <c r="E26" i="7"/>
  <c r="F26" i="7"/>
  <c r="G26" i="7"/>
  <c r="H26" i="7"/>
  <c r="I26" i="7"/>
  <c r="E28" i="7"/>
  <c r="F28" i="7"/>
  <c r="G28" i="7"/>
  <c r="H28" i="7"/>
  <c r="I28" i="7"/>
  <c r="E29" i="7"/>
  <c r="F29" i="7"/>
  <c r="G29" i="7"/>
  <c r="H29" i="7"/>
  <c r="I29" i="7"/>
  <c r="E33" i="7"/>
  <c r="F33" i="7"/>
  <c r="G33" i="7"/>
  <c r="H33" i="7"/>
  <c r="I33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F65" i="3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Z11" i="6"/>
  <c r="F20" i="7" s="1"/>
  <c r="I20" i="7" l="1"/>
  <c r="E20" i="7"/>
  <c r="H20" i="7"/>
  <c r="G20" i="7"/>
  <c r="J770" i="7"/>
  <c r="H419" i="7"/>
  <c r="G419" i="7"/>
  <c r="J419" i="7"/>
  <c r="K419" i="7"/>
  <c r="I419" i="7"/>
  <c r="J257" i="7"/>
  <c r="I257" i="7"/>
  <c r="K257" i="7"/>
  <c r="G257" i="7"/>
  <c r="H257" i="7"/>
  <c r="I50" i="3"/>
  <c r="I51" i="3"/>
  <c r="I52" i="3"/>
  <c r="D685" i="10" l="1"/>
  <c r="D686" i="10"/>
  <c r="D687" i="10"/>
  <c r="D688" i="10"/>
  <c r="D689" i="10"/>
  <c r="D690" i="10"/>
  <c r="D691" i="10"/>
  <c r="D692" i="10"/>
  <c r="D693" i="10"/>
  <c r="D694" i="10"/>
  <c r="D695" i="10"/>
  <c r="D696" i="10"/>
  <c r="D697" i="10"/>
  <c r="D698" i="10"/>
  <c r="D699" i="10"/>
  <c r="D700" i="10"/>
  <c r="D701" i="10"/>
  <c r="D702" i="10"/>
  <c r="D703" i="10"/>
  <c r="D704" i="10"/>
  <c r="D705" i="10"/>
  <c r="D706" i="10"/>
  <c r="D707" i="10"/>
  <c r="D708" i="10"/>
  <c r="D709" i="10"/>
  <c r="D710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F10" i="7"/>
  <c r="G10" i="7" s="1"/>
  <c r="M10" i="7"/>
  <c r="N10" i="7" s="1"/>
  <c r="T10" i="7"/>
  <c r="U10" i="7" s="1"/>
  <c r="AA10" i="7"/>
  <c r="AB10" i="7" s="1"/>
  <c r="E14" i="7"/>
  <c r="L14" i="7"/>
  <c r="M14" i="7"/>
  <c r="S14" i="7"/>
  <c r="Z14" i="7"/>
  <c r="AA14" i="7"/>
  <c r="J15" i="7"/>
  <c r="K15" i="7"/>
  <c r="P15" i="7"/>
  <c r="J16" i="7"/>
  <c r="K16" i="7"/>
  <c r="P16" i="7"/>
  <c r="P17" i="7"/>
  <c r="J18" i="7"/>
  <c r="K18" i="7"/>
  <c r="P18" i="7"/>
  <c r="J19" i="7"/>
  <c r="K19" i="7"/>
  <c r="P19" i="7"/>
  <c r="J20" i="7"/>
  <c r="K20" i="7"/>
  <c r="P20" i="7"/>
  <c r="P21" i="7"/>
  <c r="P22" i="7"/>
  <c r="P23" i="7"/>
  <c r="J26" i="7"/>
  <c r="K26" i="7"/>
  <c r="P26" i="7"/>
  <c r="P27" i="7"/>
  <c r="J28" i="7"/>
  <c r="K28" i="7"/>
  <c r="P28" i="7"/>
  <c r="J29" i="7"/>
  <c r="K29" i="7"/>
  <c r="P30" i="7"/>
  <c r="P31" i="7"/>
  <c r="J33" i="7"/>
  <c r="K33" i="7"/>
  <c r="P34" i="7"/>
  <c r="J35" i="7"/>
  <c r="K35" i="7"/>
  <c r="P35" i="7"/>
  <c r="J36" i="7"/>
  <c r="K36" i="7"/>
  <c r="J37" i="7"/>
  <c r="K37" i="7"/>
  <c r="P37" i="7"/>
  <c r="J38" i="7"/>
  <c r="K38" i="7"/>
  <c r="P38" i="7"/>
  <c r="J39" i="7"/>
  <c r="K39" i="7"/>
  <c r="P39" i="7"/>
  <c r="J40" i="7"/>
  <c r="K40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E68" i="7"/>
  <c r="F68" i="7"/>
  <c r="G68" i="7"/>
  <c r="H68" i="7"/>
  <c r="I68" i="7"/>
  <c r="J68" i="7"/>
  <c r="K68" i="7"/>
  <c r="I69" i="7"/>
  <c r="H69" i="7" s="1"/>
  <c r="G69" i="7" s="1"/>
  <c r="F69" i="7" s="1"/>
  <c r="I70" i="7"/>
  <c r="H70" i="7" s="1"/>
  <c r="G70" i="7" s="1"/>
  <c r="F70" i="7" s="1"/>
  <c r="E70" i="7" s="1"/>
  <c r="I71" i="7"/>
  <c r="H71" i="7" s="1"/>
  <c r="I72" i="7"/>
  <c r="H72" i="7" s="1"/>
  <c r="G72" i="7" s="1"/>
  <c r="F72" i="7" s="1"/>
  <c r="E72" i="7" s="1"/>
  <c r="I73" i="7"/>
  <c r="H73" i="7" s="1"/>
  <c r="I74" i="7"/>
  <c r="H74" i="7" s="1"/>
  <c r="G74" i="7" s="1"/>
  <c r="F74" i="7" s="1"/>
  <c r="E74" i="7" s="1"/>
  <c r="I75" i="7"/>
  <c r="H75" i="7" s="1"/>
  <c r="I76" i="7"/>
  <c r="H76" i="7" s="1"/>
  <c r="G76" i="7" s="1"/>
  <c r="F76" i="7" s="1"/>
  <c r="E76" i="7" s="1"/>
  <c r="I77" i="7"/>
  <c r="H77" i="7" s="1"/>
  <c r="I78" i="7"/>
  <c r="H78" i="7" s="1"/>
  <c r="G78" i="7" s="1"/>
  <c r="F78" i="7" s="1"/>
  <c r="E78" i="7" s="1"/>
  <c r="I79" i="7"/>
  <c r="H79" i="7" s="1"/>
  <c r="I80" i="7"/>
  <c r="H80" i="7" s="1"/>
  <c r="G80" i="7" s="1"/>
  <c r="F80" i="7" s="1"/>
  <c r="E80" i="7" s="1"/>
  <c r="I81" i="7"/>
  <c r="H81" i="7" s="1"/>
  <c r="I82" i="7"/>
  <c r="H82" i="7" s="1"/>
  <c r="G82" i="7" s="1"/>
  <c r="F82" i="7" s="1"/>
  <c r="E82" i="7" s="1"/>
  <c r="I83" i="7"/>
  <c r="H83" i="7" s="1"/>
  <c r="I84" i="7"/>
  <c r="H84" i="7" s="1"/>
  <c r="G84" i="7" s="1"/>
  <c r="F84" i="7" s="1"/>
  <c r="E84" i="7" s="1"/>
  <c r="I85" i="7"/>
  <c r="H85" i="7" s="1"/>
  <c r="I86" i="7"/>
  <c r="H86" i="7" s="1"/>
  <c r="G86" i="7" s="1"/>
  <c r="F86" i="7" s="1"/>
  <c r="E86" i="7" s="1"/>
  <c r="I87" i="7"/>
  <c r="H87" i="7" s="1"/>
  <c r="I88" i="7"/>
  <c r="H88" i="7" s="1"/>
  <c r="I89" i="7"/>
  <c r="H89" i="7" s="1"/>
  <c r="I90" i="7"/>
  <c r="H90" i="7" s="1"/>
  <c r="I91" i="7"/>
  <c r="H91" i="7" s="1"/>
  <c r="I92" i="7"/>
  <c r="H92" i="7" s="1"/>
  <c r="I93" i="7"/>
  <c r="H93" i="7" s="1"/>
  <c r="G93" i="7" s="1"/>
  <c r="F93" i="7" s="1"/>
  <c r="I94" i="7"/>
  <c r="H94" i="7" s="1"/>
  <c r="G94" i="7" s="1"/>
  <c r="F94" i="7" s="1"/>
  <c r="J95" i="7"/>
  <c r="K95" i="7"/>
  <c r="E149" i="7"/>
  <c r="E203" i="7"/>
  <c r="Z204" i="7"/>
  <c r="AA204" i="7"/>
  <c r="AB204" i="7"/>
  <c r="AC204" i="7"/>
  <c r="AD204" i="7"/>
  <c r="AE204" i="7"/>
  <c r="Z205" i="7"/>
  <c r="AA205" i="7"/>
  <c r="AB205" i="7"/>
  <c r="AC205" i="7"/>
  <c r="AD205" i="7"/>
  <c r="AE205" i="7"/>
  <c r="Z206" i="7"/>
  <c r="AA206" i="7"/>
  <c r="AB206" i="7"/>
  <c r="AC206" i="7"/>
  <c r="AD206" i="7"/>
  <c r="AE206" i="7"/>
  <c r="Z207" i="7"/>
  <c r="AA207" i="7"/>
  <c r="AB207" i="7"/>
  <c r="AC207" i="7"/>
  <c r="AD207" i="7"/>
  <c r="AE207" i="7"/>
  <c r="AF207" i="7"/>
  <c r="Z208" i="7"/>
  <c r="AA208" i="7"/>
  <c r="AB208" i="7"/>
  <c r="AC208" i="7"/>
  <c r="AD208" i="7"/>
  <c r="AE208" i="7"/>
  <c r="Z209" i="7"/>
  <c r="AA209" i="7"/>
  <c r="AB209" i="7"/>
  <c r="AC209" i="7"/>
  <c r="AD209" i="7"/>
  <c r="AE209" i="7"/>
  <c r="Z210" i="7"/>
  <c r="AA210" i="7"/>
  <c r="AB210" i="7"/>
  <c r="AC210" i="7"/>
  <c r="AD210" i="7"/>
  <c r="AE210" i="7"/>
  <c r="Z211" i="7"/>
  <c r="AA211" i="7"/>
  <c r="AB211" i="7"/>
  <c r="AC211" i="7"/>
  <c r="AD211" i="7"/>
  <c r="AE211" i="7"/>
  <c r="Z212" i="7"/>
  <c r="AA212" i="7"/>
  <c r="AB212" i="7"/>
  <c r="AC212" i="7"/>
  <c r="AD212" i="7"/>
  <c r="AE212" i="7"/>
  <c r="Z213" i="7"/>
  <c r="AA213" i="7"/>
  <c r="AB213" i="7"/>
  <c r="AC213" i="7"/>
  <c r="AD213" i="7"/>
  <c r="AE213" i="7"/>
  <c r="Z214" i="7"/>
  <c r="AA214" i="7"/>
  <c r="AB214" i="7"/>
  <c r="AC214" i="7"/>
  <c r="Z215" i="7"/>
  <c r="AA215" i="7"/>
  <c r="AB215" i="7"/>
  <c r="AC215" i="7"/>
  <c r="AD215" i="7"/>
  <c r="AE215" i="7"/>
  <c r="Z216" i="7"/>
  <c r="AA216" i="7"/>
  <c r="AB216" i="7"/>
  <c r="AC216" i="7"/>
  <c r="AD216" i="7"/>
  <c r="AE216" i="7"/>
  <c r="Z217" i="7"/>
  <c r="AA217" i="7"/>
  <c r="AB217" i="7"/>
  <c r="AC217" i="7"/>
  <c r="AD217" i="7"/>
  <c r="AE217" i="7"/>
  <c r="Z218" i="7"/>
  <c r="AA218" i="7"/>
  <c r="AB218" i="7"/>
  <c r="AC218" i="7"/>
  <c r="AD218" i="7"/>
  <c r="AE218" i="7"/>
  <c r="Z219" i="7"/>
  <c r="AA219" i="7"/>
  <c r="AB219" i="7"/>
  <c r="AC219" i="7"/>
  <c r="AD219" i="7"/>
  <c r="AE219" i="7"/>
  <c r="Z220" i="7"/>
  <c r="AA220" i="7"/>
  <c r="AB220" i="7"/>
  <c r="AC220" i="7"/>
  <c r="AD220" i="7"/>
  <c r="AE220" i="7"/>
  <c r="Z221" i="7"/>
  <c r="AA221" i="7"/>
  <c r="AB221" i="7"/>
  <c r="AC221" i="7"/>
  <c r="AD221" i="7"/>
  <c r="AE221" i="7"/>
  <c r="Z222" i="7"/>
  <c r="AA222" i="7"/>
  <c r="AB222" i="7"/>
  <c r="AC222" i="7"/>
  <c r="AD222" i="7"/>
  <c r="AE222" i="7"/>
  <c r="Z223" i="7"/>
  <c r="AA223" i="7"/>
  <c r="AB223" i="7"/>
  <c r="AC223" i="7"/>
  <c r="AD223" i="7"/>
  <c r="AE223" i="7"/>
  <c r="Z224" i="7"/>
  <c r="AA224" i="7"/>
  <c r="AB224" i="7"/>
  <c r="AC224" i="7"/>
  <c r="AD224" i="7"/>
  <c r="AE224" i="7"/>
  <c r="Z225" i="7"/>
  <c r="AA225" i="7"/>
  <c r="AB225" i="7"/>
  <c r="AC225" i="7"/>
  <c r="AD225" i="7"/>
  <c r="AE225" i="7"/>
  <c r="Z226" i="7"/>
  <c r="AA226" i="7"/>
  <c r="AB226" i="7"/>
  <c r="AC226" i="7"/>
  <c r="AD226" i="7"/>
  <c r="AE226" i="7"/>
  <c r="Z227" i="7"/>
  <c r="AA227" i="7"/>
  <c r="AB227" i="7"/>
  <c r="AC227" i="7"/>
  <c r="AD227" i="7"/>
  <c r="AE227" i="7"/>
  <c r="AF227" i="7"/>
  <c r="Z228" i="7"/>
  <c r="AA228" i="7"/>
  <c r="AB228" i="7"/>
  <c r="AC228" i="7"/>
  <c r="AD228" i="7"/>
  <c r="AE228" i="7"/>
  <c r="Z229" i="7"/>
  <c r="AA229" i="7"/>
  <c r="AB229" i="7"/>
  <c r="AC229" i="7"/>
  <c r="AD229" i="7"/>
  <c r="AE229" i="7"/>
  <c r="E230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E257" i="7"/>
  <c r="J284" i="7"/>
  <c r="E284" i="7"/>
  <c r="F284" i="7"/>
  <c r="G284" i="7"/>
  <c r="H284" i="7"/>
  <c r="I284" i="7"/>
  <c r="E311" i="7"/>
  <c r="F311" i="7"/>
  <c r="G311" i="7"/>
  <c r="H311" i="7"/>
  <c r="I311" i="7"/>
  <c r="E338" i="7"/>
  <c r="F338" i="7"/>
  <c r="G338" i="7"/>
  <c r="H338" i="7"/>
  <c r="I338" i="7"/>
  <c r="J338" i="7"/>
  <c r="K338" i="7"/>
  <c r="E365" i="7"/>
  <c r="F365" i="7"/>
  <c r="G365" i="7"/>
  <c r="H365" i="7"/>
  <c r="I365" i="7"/>
  <c r="J365" i="7"/>
  <c r="K365" i="7"/>
  <c r="E392" i="7"/>
  <c r="F392" i="7"/>
  <c r="G392" i="7"/>
  <c r="H392" i="7"/>
  <c r="I392" i="7"/>
  <c r="J392" i="7"/>
  <c r="K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E419" i="7"/>
  <c r="E500" i="7"/>
  <c r="E582" i="7"/>
  <c r="F582" i="7" s="1"/>
  <c r="G582" i="7" s="1"/>
  <c r="E583" i="7"/>
  <c r="F583" i="7" s="1"/>
  <c r="G583" i="7" s="1"/>
  <c r="H583" i="7" s="1"/>
  <c r="I583" i="7" s="1"/>
  <c r="J583" i="7" s="1"/>
  <c r="K583" i="7" s="1"/>
  <c r="E584" i="7"/>
  <c r="F584" i="7" s="1"/>
  <c r="G584" i="7" s="1"/>
  <c r="H584" i="7" s="1"/>
  <c r="I584" i="7" s="1"/>
  <c r="J584" i="7" s="1"/>
  <c r="K584" i="7" s="1"/>
  <c r="E585" i="7"/>
  <c r="F585" i="7" s="1"/>
  <c r="G585" i="7" s="1"/>
  <c r="H585" i="7" s="1"/>
  <c r="I585" i="7" s="1"/>
  <c r="J585" i="7" s="1"/>
  <c r="K585" i="7" s="1"/>
  <c r="E586" i="7"/>
  <c r="F586" i="7" s="1"/>
  <c r="G586" i="7" s="1"/>
  <c r="H586" i="7" s="1"/>
  <c r="I586" i="7" s="1"/>
  <c r="J586" i="7" s="1"/>
  <c r="K586" i="7" s="1"/>
  <c r="E587" i="7"/>
  <c r="F587" i="7" s="1"/>
  <c r="G587" i="7" s="1"/>
  <c r="H587" i="7" s="1"/>
  <c r="I587" i="7" s="1"/>
  <c r="J587" i="7" s="1"/>
  <c r="K587" i="7" s="1"/>
  <c r="E588" i="7"/>
  <c r="F588" i="7" s="1"/>
  <c r="G588" i="7" s="1"/>
  <c r="H588" i="7" s="1"/>
  <c r="I588" i="7" s="1"/>
  <c r="J588" i="7" s="1"/>
  <c r="K588" i="7" s="1"/>
  <c r="E589" i="7"/>
  <c r="F589" i="7" s="1"/>
  <c r="G589" i="7" s="1"/>
  <c r="H589" i="7" s="1"/>
  <c r="I589" i="7" s="1"/>
  <c r="J589" i="7" s="1"/>
  <c r="K589" i="7" s="1"/>
  <c r="E590" i="7"/>
  <c r="F590" i="7" s="1"/>
  <c r="G590" i="7" s="1"/>
  <c r="H590" i="7" s="1"/>
  <c r="I590" i="7" s="1"/>
  <c r="J590" i="7" s="1"/>
  <c r="K590" i="7" s="1"/>
  <c r="E591" i="7"/>
  <c r="F591" i="7" s="1"/>
  <c r="G591" i="7" s="1"/>
  <c r="H591" i="7" s="1"/>
  <c r="I591" i="7" s="1"/>
  <c r="J591" i="7" s="1"/>
  <c r="K591" i="7" s="1"/>
  <c r="E592" i="7"/>
  <c r="F592" i="7" s="1"/>
  <c r="G592" i="7" s="1"/>
  <c r="H592" i="7" s="1"/>
  <c r="I592" i="7" s="1"/>
  <c r="J592" i="7" s="1"/>
  <c r="K592" i="7" s="1"/>
  <c r="E593" i="7"/>
  <c r="F593" i="7" s="1"/>
  <c r="G593" i="7" s="1"/>
  <c r="H593" i="7" s="1"/>
  <c r="I593" i="7" s="1"/>
  <c r="J593" i="7" s="1"/>
  <c r="K593" i="7" s="1"/>
  <c r="E594" i="7"/>
  <c r="F594" i="7" s="1"/>
  <c r="G594" i="7" s="1"/>
  <c r="H594" i="7" s="1"/>
  <c r="I594" i="7" s="1"/>
  <c r="J594" i="7" s="1"/>
  <c r="K594" i="7" s="1"/>
  <c r="E595" i="7"/>
  <c r="F595" i="7" s="1"/>
  <c r="G595" i="7" s="1"/>
  <c r="H595" i="7" s="1"/>
  <c r="I595" i="7" s="1"/>
  <c r="J595" i="7" s="1"/>
  <c r="K595" i="7" s="1"/>
  <c r="E596" i="7"/>
  <c r="F596" i="7" s="1"/>
  <c r="G596" i="7" s="1"/>
  <c r="H596" i="7" s="1"/>
  <c r="I596" i="7" s="1"/>
  <c r="J596" i="7" s="1"/>
  <c r="K596" i="7" s="1"/>
  <c r="E597" i="7"/>
  <c r="F597" i="7" s="1"/>
  <c r="G597" i="7" s="1"/>
  <c r="H597" i="7" s="1"/>
  <c r="I597" i="7" s="1"/>
  <c r="J597" i="7" s="1"/>
  <c r="K597" i="7" s="1"/>
  <c r="E598" i="7"/>
  <c r="F598" i="7" s="1"/>
  <c r="G598" i="7" s="1"/>
  <c r="H598" i="7" s="1"/>
  <c r="I598" i="7" s="1"/>
  <c r="J598" i="7" s="1"/>
  <c r="K598" i="7" s="1"/>
  <c r="E599" i="7"/>
  <c r="F599" i="7" s="1"/>
  <c r="G599" i="7" s="1"/>
  <c r="H599" i="7" s="1"/>
  <c r="I599" i="7" s="1"/>
  <c r="J599" i="7" s="1"/>
  <c r="K599" i="7" s="1"/>
  <c r="E600" i="7"/>
  <c r="F600" i="7" s="1"/>
  <c r="G600" i="7" s="1"/>
  <c r="H600" i="7" s="1"/>
  <c r="I600" i="7" s="1"/>
  <c r="J600" i="7" s="1"/>
  <c r="K600" i="7" s="1"/>
  <c r="E601" i="7"/>
  <c r="F601" i="7" s="1"/>
  <c r="G601" i="7" s="1"/>
  <c r="H601" i="7" s="1"/>
  <c r="I601" i="7" s="1"/>
  <c r="J601" i="7" s="1"/>
  <c r="K601" i="7" s="1"/>
  <c r="E602" i="7"/>
  <c r="F602" i="7" s="1"/>
  <c r="G602" i="7" s="1"/>
  <c r="H602" i="7" s="1"/>
  <c r="I602" i="7" s="1"/>
  <c r="J602" i="7" s="1"/>
  <c r="K602" i="7" s="1"/>
  <c r="E603" i="7"/>
  <c r="F603" i="7" s="1"/>
  <c r="G603" i="7" s="1"/>
  <c r="H603" i="7" s="1"/>
  <c r="I603" i="7" s="1"/>
  <c r="J603" i="7" s="1"/>
  <c r="K603" i="7" s="1"/>
  <c r="E604" i="7"/>
  <c r="F604" i="7" s="1"/>
  <c r="G604" i="7" s="1"/>
  <c r="H604" i="7" s="1"/>
  <c r="I604" i="7" s="1"/>
  <c r="J604" i="7" s="1"/>
  <c r="K604" i="7" s="1"/>
  <c r="E605" i="7"/>
  <c r="F605" i="7" s="1"/>
  <c r="G605" i="7" s="1"/>
  <c r="H605" i="7" s="1"/>
  <c r="I605" i="7" s="1"/>
  <c r="J605" i="7" s="1"/>
  <c r="K605" i="7" s="1"/>
  <c r="E606" i="7"/>
  <c r="F606" i="7" s="1"/>
  <c r="G606" i="7" s="1"/>
  <c r="H606" i="7" s="1"/>
  <c r="I606" i="7" s="1"/>
  <c r="J606" i="7" s="1"/>
  <c r="K606" i="7" s="1"/>
  <c r="E607" i="7"/>
  <c r="F607" i="7" s="1"/>
  <c r="G607" i="7" s="1"/>
  <c r="H607" i="7" s="1"/>
  <c r="I607" i="7" s="1"/>
  <c r="J607" i="7" s="1"/>
  <c r="K607" i="7" s="1"/>
  <c r="E609" i="7"/>
  <c r="F609" i="7" s="1"/>
  <c r="E610" i="7"/>
  <c r="F610" i="7" s="1"/>
  <c r="G610" i="7" s="1"/>
  <c r="H610" i="7" s="1"/>
  <c r="E611" i="7"/>
  <c r="F611" i="7" s="1"/>
  <c r="E612" i="7"/>
  <c r="F612" i="7" s="1"/>
  <c r="G612" i="7" s="1"/>
  <c r="H612" i="7" s="1"/>
  <c r="I612" i="7" s="1"/>
  <c r="J612" i="7" s="1"/>
  <c r="K612" i="7" s="1"/>
  <c r="E613" i="7"/>
  <c r="Z613" i="7" s="1"/>
  <c r="E614" i="7"/>
  <c r="F614" i="7" s="1"/>
  <c r="G614" i="7" s="1"/>
  <c r="H614" i="7" s="1"/>
  <c r="I614" i="7" s="1"/>
  <c r="J614" i="7" s="1"/>
  <c r="K614" i="7" s="1"/>
  <c r="E615" i="7"/>
  <c r="Z615" i="7" s="1"/>
  <c r="E616" i="7"/>
  <c r="F616" i="7" s="1"/>
  <c r="E617" i="7"/>
  <c r="Z617" i="7" s="1"/>
  <c r="E618" i="7"/>
  <c r="F618" i="7" s="1"/>
  <c r="G618" i="7" s="1"/>
  <c r="H618" i="7" s="1"/>
  <c r="I618" i="7" s="1"/>
  <c r="J618" i="7" s="1"/>
  <c r="K618" i="7" s="1"/>
  <c r="E619" i="7"/>
  <c r="Z619" i="7" s="1"/>
  <c r="E620" i="7"/>
  <c r="F620" i="7" s="1"/>
  <c r="E621" i="7"/>
  <c r="Z621" i="7" s="1"/>
  <c r="E622" i="7"/>
  <c r="F622" i="7" s="1"/>
  <c r="G622" i="7" s="1"/>
  <c r="H622" i="7" s="1"/>
  <c r="E623" i="7"/>
  <c r="F623" i="7" s="1"/>
  <c r="E624" i="7"/>
  <c r="F624" i="7" s="1"/>
  <c r="E625" i="7"/>
  <c r="Z625" i="7" s="1"/>
  <c r="E626" i="7"/>
  <c r="F626" i="7" s="1"/>
  <c r="G626" i="7" s="1"/>
  <c r="H626" i="7" s="1"/>
  <c r="I626" i="7" s="1"/>
  <c r="J626" i="7" s="1"/>
  <c r="K626" i="7" s="1"/>
  <c r="E627" i="7"/>
  <c r="Z627" i="7" s="1"/>
  <c r="E628" i="7"/>
  <c r="F628" i="7" s="1"/>
  <c r="E629" i="7"/>
  <c r="Z629" i="7" s="1"/>
  <c r="E630" i="7"/>
  <c r="F630" i="7" s="1"/>
  <c r="G630" i="7" s="1"/>
  <c r="H630" i="7" s="1"/>
  <c r="I630" i="7" s="1"/>
  <c r="J630" i="7" s="1"/>
  <c r="K630" i="7" s="1"/>
  <c r="E631" i="7"/>
  <c r="F631" i="7" s="1"/>
  <c r="E632" i="7"/>
  <c r="F632" i="7" s="1"/>
  <c r="E633" i="7"/>
  <c r="Z633" i="7" s="1"/>
  <c r="E634" i="7"/>
  <c r="F634" i="7" s="1"/>
  <c r="G634" i="7" s="1"/>
  <c r="H634" i="7" s="1"/>
  <c r="I634" i="7" s="1"/>
  <c r="J634" i="7" s="1"/>
  <c r="K634" i="7" s="1"/>
  <c r="J662" i="7"/>
  <c r="K662" i="7"/>
  <c r="AF663" i="7"/>
  <c r="AF664" i="7"/>
  <c r="AF665" i="7"/>
  <c r="AF666" i="7"/>
  <c r="AF667" i="7"/>
  <c r="AF668" i="7"/>
  <c r="AF669" i="7"/>
  <c r="AF670" i="7"/>
  <c r="AF671" i="7"/>
  <c r="AF672" i="7"/>
  <c r="AF673" i="7"/>
  <c r="AF674" i="7"/>
  <c r="AF675" i="7"/>
  <c r="AF676" i="7"/>
  <c r="AF677" i="7"/>
  <c r="AF678" i="7"/>
  <c r="AF679" i="7"/>
  <c r="AF680" i="7"/>
  <c r="AF681" i="7"/>
  <c r="AF682" i="7"/>
  <c r="AF683" i="7"/>
  <c r="AF684" i="7"/>
  <c r="AF685" i="7"/>
  <c r="AF686" i="7"/>
  <c r="AF687" i="7"/>
  <c r="AF688" i="7"/>
  <c r="J689" i="7"/>
  <c r="K689" i="7"/>
  <c r="AF690" i="7"/>
  <c r="AF691" i="7"/>
  <c r="AF692" i="7"/>
  <c r="AF693" i="7"/>
  <c r="AF694" i="7"/>
  <c r="AF695" i="7"/>
  <c r="AF696" i="7"/>
  <c r="AF697" i="7"/>
  <c r="AF698" i="7"/>
  <c r="AF699" i="7"/>
  <c r="AF700" i="7"/>
  <c r="AF701" i="7"/>
  <c r="AF702" i="7"/>
  <c r="AF703" i="7"/>
  <c r="AF704" i="7"/>
  <c r="AF705" i="7"/>
  <c r="AF706" i="7"/>
  <c r="AF707" i="7"/>
  <c r="AF708" i="7"/>
  <c r="AF709" i="7"/>
  <c r="AF710" i="7"/>
  <c r="AF711" i="7"/>
  <c r="AF712" i="7"/>
  <c r="AF713" i="7"/>
  <c r="AF714" i="7"/>
  <c r="AF715" i="7"/>
  <c r="J716" i="7"/>
  <c r="K716" i="7"/>
  <c r="AE717" i="7"/>
  <c r="AD718" i="7"/>
  <c r="AE718" i="7"/>
  <c r="AD719" i="7"/>
  <c r="AE719" i="7"/>
  <c r="AD720" i="7"/>
  <c r="AE720" i="7"/>
  <c r="AF720" i="7"/>
  <c r="AD721" i="7"/>
  <c r="AE721" i="7"/>
  <c r="AB722" i="7"/>
  <c r="AC722" i="7"/>
  <c r="AE722" i="7"/>
  <c r="AC723" i="7"/>
  <c r="AE723" i="7"/>
  <c r="AD724" i="7"/>
  <c r="AE724" i="7"/>
  <c r="AE725" i="7"/>
  <c r="Z726" i="7"/>
  <c r="AB726" i="7"/>
  <c r="AD726" i="7"/>
  <c r="AE726" i="7"/>
  <c r="AC727" i="7"/>
  <c r="AC728" i="7"/>
  <c r="AE728" i="7"/>
  <c r="AE729" i="7"/>
  <c r="AD730" i="7"/>
  <c r="AE730" i="7"/>
  <c r="AC731" i="7"/>
  <c r="AD731" i="7"/>
  <c r="AE731" i="7"/>
  <c r="AD732" i="7"/>
  <c r="AE732" i="7"/>
  <c r="AE733" i="7"/>
  <c r="AD734" i="7"/>
  <c r="AE734" i="7"/>
  <c r="AD735" i="7"/>
  <c r="AE735" i="7"/>
  <c r="AD736" i="7"/>
  <c r="AE736" i="7"/>
  <c r="AE737" i="7"/>
  <c r="AB738" i="7"/>
  <c r="AC738" i="7"/>
  <c r="AD738" i="7"/>
  <c r="AE738" i="7"/>
  <c r="AC739" i="7"/>
  <c r="AD739" i="7"/>
  <c r="AE739" i="7"/>
  <c r="AD740" i="7"/>
  <c r="AE740" i="7"/>
  <c r="AF740" i="7"/>
  <c r="AE741" i="7"/>
  <c r="Z742" i="7"/>
  <c r="AB742" i="7"/>
  <c r="AC742" i="7"/>
  <c r="AD742" i="7"/>
  <c r="AE742" i="7"/>
  <c r="J743" i="7"/>
  <c r="K743" i="7"/>
  <c r="I745" i="7"/>
  <c r="I746" i="7"/>
  <c r="I747" i="7"/>
  <c r="I749" i="7"/>
  <c r="I751" i="7"/>
  <c r="I752" i="7"/>
  <c r="I753" i="7"/>
  <c r="I755" i="7"/>
  <c r="I756" i="7"/>
  <c r="I757" i="7"/>
  <c r="I759" i="7"/>
  <c r="I760" i="7"/>
  <c r="I761" i="7"/>
  <c r="I762" i="7"/>
  <c r="I764" i="7"/>
  <c r="I765" i="7"/>
  <c r="I766" i="7"/>
  <c r="I768" i="7"/>
  <c r="I769" i="7"/>
  <c r="E797" i="7"/>
  <c r="F797" i="7"/>
  <c r="G797" i="7"/>
  <c r="H797" i="7"/>
  <c r="I797" i="7"/>
  <c r="J797" i="7"/>
  <c r="K797" i="7"/>
  <c r="Z623" i="7" l="1"/>
  <c r="Z614" i="7"/>
  <c r="Z622" i="7"/>
  <c r="F615" i="7"/>
  <c r="AA615" i="7" s="1"/>
  <c r="AB622" i="7"/>
  <c r="I622" i="7"/>
  <c r="J622" i="7" s="1"/>
  <c r="K622" i="7" s="1"/>
  <c r="AC622" i="7"/>
  <c r="F627" i="7"/>
  <c r="AA627" i="7" s="1"/>
  <c r="F617" i="7"/>
  <c r="G617" i="7" s="1"/>
  <c r="H617" i="7" s="1"/>
  <c r="I617" i="7" s="1"/>
  <c r="J617" i="7" s="1"/>
  <c r="K617" i="7" s="1"/>
  <c r="AB626" i="7"/>
  <c r="I95" i="7"/>
  <c r="V752" i="7"/>
  <c r="H752" i="7" s="1"/>
  <c r="V745" i="7"/>
  <c r="H745" i="7" s="1"/>
  <c r="AC66" i="7"/>
  <c r="O66" i="7" s="1"/>
  <c r="AC53" i="7"/>
  <c r="O53" i="7" s="1"/>
  <c r="Z610" i="7"/>
  <c r="AB614" i="7"/>
  <c r="AC62" i="7"/>
  <c r="O62" i="7" s="1"/>
  <c r="AC49" i="7"/>
  <c r="O49" i="7" s="1"/>
  <c r="AC18" i="7"/>
  <c r="O18" i="7" s="1"/>
  <c r="AC58" i="7"/>
  <c r="O58" i="7" s="1"/>
  <c r="AC45" i="7"/>
  <c r="O45" i="7" s="1"/>
  <c r="V754" i="7"/>
  <c r="I754" i="7"/>
  <c r="V759" i="7"/>
  <c r="H759" i="7" s="1"/>
  <c r="Z634" i="7"/>
  <c r="Z631" i="7"/>
  <c r="AB630" i="7"/>
  <c r="Z626" i="7"/>
  <c r="AA622" i="7"/>
  <c r="F621" i="7"/>
  <c r="AA621" i="7" s="1"/>
  <c r="F619" i="7"/>
  <c r="AA619" i="7" s="1"/>
  <c r="AB618" i="7"/>
  <c r="AA614" i="7"/>
  <c r="F613" i="7"/>
  <c r="AA613" i="7" s="1"/>
  <c r="Z611" i="7"/>
  <c r="AC65" i="7"/>
  <c r="AC61" i="7"/>
  <c r="AC57" i="7"/>
  <c r="AC52" i="7"/>
  <c r="AC48" i="7"/>
  <c r="AC44" i="7"/>
  <c r="AC40" i="7"/>
  <c r="O40" i="7" s="1"/>
  <c r="P40" i="7"/>
  <c r="AC32" i="7"/>
  <c r="O32" i="7" s="1"/>
  <c r="P32" i="7"/>
  <c r="AC31" i="7"/>
  <c r="O31" i="7" s="1"/>
  <c r="AC30" i="7"/>
  <c r="AC29" i="7"/>
  <c r="P29" i="7"/>
  <c r="AC26" i="7"/>
  <c r="O26" i="7" s="1"/>
  <c r="AC16" i="7"/>
  <c r="O16" i="7" s="1"/>
  <c r="V748" i="7"/>
  <c r="H748" i="7" s="1"/>
  <c r="I748" i="7"/>
  <c r="V767" i="7"/>
  <c r="H767" i="7" s="1"/>
  <c r="I767" i="7"/>
  <c r="V763" i="7"/>
  <c r="H763" i="7" s="1"/>
  <c r="I763" i="7"/>
  <c r="V760" i="7"/>
  <c r="H760" i="7" s="1"/>
  <c r="V744" i="7"/>
  <c r="I744" i="7"/>
  <c r="AA630" i="7"/>
  <c r="AA618" i="7"/>
  <c r="AC67" i="7"/>
  <c r="AC63" i="7"/>
  <c r="AC59" i="7"/>
  <c r="AC55" i="7"/>
  <c r="AC54" i="7"/>
  <c r="AC50" i="7"/>
  <c r="AC46" i="7"/>
  <c r="AC42" i="7"/>
  <c r="AC34" i="7"/>
  <c r="O34" i="7" s="1"/>
  <c r="AC24" i="7"/>
  <c r="O24" i="7" s="1"/>
  <c r="P24" i="7"/>
  <c r="AC23" i="7"/>
  <c r="O23" i="7" s="1"/>
  <c r="AC22" i="7"/>
  <c r="AC20" i="7"/>
  <c r="O20" i="7" s="1"/>
  <c r="N14" i="7"/>
  <c r="O10" i="7"/>
  <c r="V758" i="7"/>
  <c r="I758" i="7"/>
  <c r="AC33" i="7"/>
  <c r="P33" i="7"/>
  <c r="V753" i="7"/>
  <c r="V750" i="7"/>
  <c r="I750" i="7"/>
  <c r="AA634" i="7"/>
  <c r="Z630" i="7"/>
  <c r="AA626" i="7"/>
  <c r="Z618" i="7"/>
  <c r="H582" i="7"/>
  <c r="G608" i="7"/>
  <c r="P68" i="7"/>
  <c r="AC64" i="7"/>
  <c r="AC60" i="7"/>
  <c r="AC56" i="7"/>
  <c r="AC51" i="7"/>
  <c r="AC47" i="7"/>
  <c r="AC43" i="7"/>
  <c r="AC38" i="7"/>
  <c r="O38" i="7" s="1"/>
  <c r="AC37" i="7"/>
  <c r="AC36" i="7"/>
  <c r="O36" i="7" s="1"/>
  <c r="P36" i="7"/>
  <c r="AC25" i="7"/>
  <c r="P25" i="7"/>
  <c r="AA611" i="7"/>
  <c r="G611" i="7"/>
  <c r="H611" i="7" s="1"/>
  <c r="I611" i="7" s="1"/>
  <c r="J611" i="7" s="1"/>
  <c r="K611" i="7" s="1"/>
  <c r="AA628" i="7"/>
  <c r="G628" i="7"/>
  <c r="H628" i="7" s="1"/>
  <c r="I628" i="7" s="1"/>
  <c r="J628" i="7" s="1"/>
  <c r="K628" i="7" s="1"/>
  <c r="AA631" i="7"/>
  <c r="G631" i="7"/>
  <c r="H631" i="7" s="1"/>
  <c r="I631" i="7" s="1"/>
  <c r="J631" i="7" s="1"/>
  <c r="K631" i="7" s="1"/>
  <c r="AA620" i="7"/>
  <c r="G620" i="7"/>
  <c r="H620" i="7" s="1"/>
  <c r="I620" i="7" s="1"/>
  <c r="J620" i="7" s="1"/>
  <c r="K620" i="7" s="1"/>
  <c r="AA632" i="7"/>
  <c r="G632" i="7"/>
  <c r="H632" i="7" s="1"/>
  <c r="I632" i="7" s="1"/>
  <c r="J632" i="7" s="1"/>
  <c r="K632" i="7" s="1"/>
  <c r="AA624" i="7"/>
  <c r="G624" i="7"/>
  <c r="H624" i="7" s="1"/>
  <c r="I624" i="7" s="1"/>
  <c r="J624" i="7" s="1"/>
  <c r="K624" i="7" s="1"/>
  <c r="AA616" i="7"/>
  <c r="G616" i="7"/>
  <c r="H616" i="7" s="1"/>
  <c r="I616" i="7" s="1"/>
  <c r="J616" i="7" s="1"/>
  <c r="K616" i="7" s="1"/>
  <c r="G609" i="7"/>
  <c r="AB610" i="7"/>
  <c r="AB634" i="7"/>
  <c r="Z632" i="7"/>
  <c r="Z628" i="7"/>
  <c r="G627" i="7"/>
  <c r="H627" i="7" s="1"/>
  <c r="I627" i="7" s="1"/>
  <c r="J627" i="7" s="1"/>
  <c r="K627" i="7" s="1"/>
  <c r="Z624" i="7"/>
  <c r="AA623" i="7"/>
  <c r="G623" i="7"/>
  <c r="H623" i="7" s="1"/>
  <c r="I623" i="7" s="1"/>
  <c r="J623" i="7" s="1"/>
  <c r="K623" i="7" s="1"/>
  <c r="Z620" i="7"/>
  <c r="Z616" i="7"/>
  <c r="G615" i="7"/>
  <c r="H615" i="7" s="1"/>
  <c r="I615" i="7" s="1"/>
  <c r="J615" i="7" s="1"/>
  <c r="K615" i="7" s="1"/>
  <c r="I610" i="7"/>
  <c r="J610" i="7" s="1"/>
  <c r="K610" i="7" s="1"/>
  <c r="AA610" i="7"/>
  <c r="F633" i="7"/>
  <c r="AA633" i="7" s="1"/>
  <c r="F629" i="7"/>
  <c r="F625" i="7"/>
  <c r="AA625" i="7" s="1"/>
  <c r="F257" i="7"/>
  <c r="R716" i="7"/>
  <c r="R714" i="7" s="1"/>
  <c r="O230" i="7"/>
  <c r="O229" i="7" s="1"/>
  <c r="N230" i="7"/>
  <c r="N214" i="7" s="1"/>
  <c r="R689" i="7"/>
  <c r="R688" i="7" s="1"/>
  <c r="AC720" i="7"/>
  <c r="AB730" i="7"/>
  <c r="AC730" i="7"/>
  <c r="AC724" i="7"/>
  <c r="V768" i="7"/>
  <c r="H768" i="7" s="1"/>
  <c r="V766" i="7"/>
  <c r="H766" i="7" s="1"/>
  <c r="V757" i="7"/>
  <c r="H757" i="7" s="1"/>
  <c r="V751" i="7"/>
  <c r="H751" i="7" s="1"/>
  <c r="V764" i="7"/>
  <c r="H764" i="7" s="1"/>
  <c r="V762" i="7"/>
  <c r="V761" i="7"/>
  <c r="H761" i="7" s="1"/>
  <c r="V756" i="7"/>
  <c r="H756" i="7" s="1"/>
  <c r="V755" i="7"/>
  <c r="H755" i="7" s="1"/>
  <c r="V749" i="7"/>
  <c r="V747" i="7"/>
  <c r="H747" i="7" s="1"/>
  <c r="AD737" i="7"/>
  <c r="AC735" i="7"/>
  <c r="AC732" i="7"/>
  <c r="AC726" i="7"/>
  <c r="AC718" i="7"/>
  <c r="AC734" i="7"/>
  <c r="AD729" i="7"/>
  <c r="AD728" i="7"/>
  <c r="AD723" i="7"/>
  <c r="AD722" i="7"/>
  <c r="AC719" i="7"/>
  <c r="AD717" i="7"/>
  <c r="I689" i="7"/>
  <c r="K311" i="7"/>
  <c r="K284" i="7"/>
  <c r="M230" i="7"/>
  <c r="M205" i="7" s="1"/>
  <c r="L230" i="7"/>
  <c r="L208" i="7" s="1"/>
  <c r="AC28" i="7"/>
  <c r="O28" i="7" s="1"/>
  <c r="V746" i="7"/>
  <c r="H746" i="7" s="1"/>
  <c r="AC733" i="7"/>
  <c r="AB720" i="7"/>
  <c r="V769" i="7"/>
  <c r="H769" i="7" s="1"/>
  <c r="V765" i="7"/>
  <c r="H765" i="7" s="1"/>
  <c r="U752" i="7"/>
  <c r="G752" i="7" s="1"/>
  <c r="AD733" i="7"/>
  <c r="AB732" i="7"/>
  <c r="AC729" i="7"/>
  <c r="F608" i="7"/>
  <c r="AC741" i="7"/>
  <c r="AB728" i="7"/>
  <c r="AC725" i="7"/>
  <c r="AA742" i="7"/>
  <c r="AD741" i="7"/>
  <c r="AC737" i="7"/>
  <c r="AA726" i="7"/>
  <c r="AD725" i="7"/>
  <c r="AB724" i="7"/>
  <c r="AC721" i="7"/>
  <c r="AC717" i="7"/>
  <c r="H743" i="7"/>
  <c r="I743" i="7"/>
  <c r="I716" i="7"/>
  <c r="I662" i="7"/>
  <c r="AA609" i="7"/>
  <c r="E608" i="7"/>
  <c r="Z609" i="7"/>
  <c r="E635" i="7"/>
  <c r="E446" i="7"/>
  <c r="F419" i="7"/>
  <c r="J311" i="7"/>
  <c r="G92" i="7"/>
  <c r="G91" i="7"/>
  <c r="G90" i="7"/>
  <c r="G89" i="7"/>
  <c r="E69" i="7"/>
  <c r="E93" i="7"/>
  <c r="E94" i="7"/>
  <c r="G88" i="7"/>
  <c r="H95" i="7"/>
  <c r="AB38" i="7"/>
  <c r="N38" i="7" s="1"/>
  <c r="AC35" i="7"/>
  <c r="O35" i="7" s="1"/>
  <c r="P41" i="7"/>
  <c r="G87" i="7"/>
  <c r="G85" i="7"/>
  <c r="G83" i="7"/>
  <c r="G81" i="7"/>
  <c r="G79" i="7"/>
  <c r="G77" i="7"/>
  <c r="G75" i="7"/>
  <c r="G73" i="7"/>
  <c r="G71" i="7"/>
  <c r="AC39" i="7"/>
  <c r="O39" i="7" s="1"/>
  <c r="AC27" i="7"/>
  <c r="O27" i="7" s="1"/>
  <c r="AB18" i="7"/>
  <c r="N18" i="7" s="1"/>
  <c r="AC17" i="7"/>
  <c r="O17" i="7" s="1"/>
  <c r="AC10" i="7"/>
  <c r="AB14" i="7"/>
  <c r="U14" i="7"/>
  <c r="V10" i="7"/>
  <c r="AC21" i="7"/>
  <c r="O21" i="7" s="1"/>
  <c r="AC19" i="7"/>
  <c r="O19" i="7" s="1"/>
  <c r="AC15" i="7"/>
  <c r="O15" i="7" s="1"/>
  <c r="H10" i="7"/>
  <c r="G14" i="7"/>
  <c r="T14" i="7"/>
  <c r="F14" i="7"/>
  <c r="G613" i="7" l="1"/>
  <c r="H613" i="7" s="1"/>
  <c r="I613" i="7" s="1"/>
  <c r="J613" i="7" s="1"/>
  <c r="K613" i="7" s="1"/>
  <c r="U763" i="7"/>
  <c r="G763" i="7" s="1"/>
  <c r="AB32" i="7"/>
  <c r="N32" i="7" s="1"/>
  <c r="AA617" i="7"/>
  <c r="U745" i="7"/>
  <c r="G745" i="7" s="1"/>
  <c r="U748" i="7"/>
  <c r="T748" i="7" s="1"/>
  <c r="AB58" i="7"/>
  <c r="N58" i="7" s="1"/>
  <c r="U759" i="7"/>
  <c r="G759" i="7" s="1"/>
  <c r="AB45" i="7"/>
  <c r="N45" i="7" s="1"/>
  <c r="AB20" i="7"/>
  <c r="N20" i="7" s="1"/>
  <c r="AB24" i="7"/>
  <c r="N24" i="7" s="1"/>
  <c r="AB62" i="7"/>
  <c r="AB66" i="7"/>
  <c r="G619" i="7"/>
  <c r="H619" i="7" s="1"/>
  <c r="I619" i="7" s="1"/>
  <c r="J619" i="7" s="1"/>
  <c r="K619" i="7" s="1"/>
  <c r="U756" i="7"/>
  <c r="G756" i="7" s="1"/>
  <c r="AB23" i="7"/>
  <c r="N23" i="7" s="1"/>
  <c r="G621" i="7"/>
  <c r="H621" i="7" s="1"/>
  <c r="I621" i="7" s="1"/>
  <c r="J621" i="7" s="1"/>
  <c r="K621" i="7" s="1"/>
  <c r="AB40" i="7"/>
  <c r="N40" i="7" s="1"/>
  <c r="AB613" i="7"/>
  <c r="AB31" i="7"/>
  <c r="N31" i="7" s="1"/>
  <c r="AB26" i="7"/>
  <c r="N26" i="7" s="1"/>
  <c r="AB49" i="7"/>
  <c r="N49" i="7" s="1"/>
  <c r="U760" i="7"/>
  <c r="G760" i="7" s="1"/>
  <c r="U767" i="7"/>
  <c r="G767" i="7" s="1"/>
  <c r="U764" i="7"/>
  <c r="G764" i="7" s="1"/>
  <c r="AB53" i="7"/>
  <c r="AB36" i="7"/>
  <c r="N36" i="7" s="1"/>
  <c r="AB16" i="7"/>
  <c r="N16" i="7" s="1"/>
  <c r="AB25" i="7"/>
  <c r="O25" i="7"/>
  <c r="O56" i="7"/>
  <c r="AB56" i="7"/>
  <c r="U753" i="7"/>
  <c r="H753" i="7"/>
  <c r="U758" i="7"/>
  <c r="H758" i="7"/>
  <c r="O22" i="7"/>
  <c r="AB22" i="7"/>
  <c r="O55" i="7"/>
  <c r="AB55" i="7"/>
  <c r="O63" i="7"/>
  <c r="AB63" i="7"/>
  <c r="O44" i="7"/>
  <c r="AB44" i="7"/>
  <c r="O61" i="7"/>
  <c r="AB61" i="7"/>
  <c r="AB34" i="7"/>
  <c r="N34" i="7" s="1"/>
  <c r="F635" i="7"/>
  <c r="T759" i="7"/>
  <c r="F759" i="7" s="1"/>
  <c r="U768" i="7"/>
  <c r="G768" i="7" s="1"/>
  <c r="AB617" i="7"/>
  <c r="O43" i="7"/>
  <c r="AB43" i="7"/>
  <c r="O60" i="7"/>
  <c r="AB60" i="7"/>
  <c r="I582" i="7"/>
  <c r="H608" i="7"/>
  <c r="O14" i="7"/>
  <c r="P10" i="7"/>
  <c r="O42" i="7"/>
  <c r="AB42" i="7"/>
  <c r="O68" i="7"/>
  <c r="O50" i="7"/>
  <c r="AB50" i="7"/>
  <c r="I770" i="7"/>
  <c r="O29" i="7"/>
  <c r="AB29" i="7"/>
  <c r="O48" i="7"/>
  <c r="AB48" i="7"/>
  <c r="O65" i="7"/>
  <c r="AB65" i="7"/>
  <c r="U749" i="7"/>
  <c r="H749" i="7"/>
  <c r="U762" i="7"/>
  <c r="H762" i="7"/>
  <c r="O47" i="7"/>
  <c r="AB47" i="7"/>
  <c r="O64" i="7"/>
  <c r="AB64" i="7"/>
  <c r="AB33" i="7"/>
  <c r="O33" i="7"/>
  <c r="O59" i="7"/>
  <c r="AB59" i="7"/>
  <c r="O67" i="7"/>
  <c r="AB67" i="7"/>
  <c r="H744" i="7"/>
  <c r="U744" i="7"/>
  <c r="O30" i="7"/>
  <c r="AB30" i="7"/>
  <c r="O52" i="7"/>
  <c r="AB52" i="7"/>
  <c r="O37" i="7"/>
  <c r="AB37" i="7"/>
  <c r="O51" i="7"/>
  <c r="AB51" i="7"/>
  <c r="U750" i="7"/>
  <c r="H750" i="7"/>
  <c r="O46" i="7"/>
  <c r="AB46" i="7"/>
  <c r="O54" i="7"/>
  <c r="AB54" i="7"/>
  <c r="O57" i="7"/>
  <c r="AB57" i="7"/>
  <c r="U754" i="7"/>
  <c r="H754" i="7"/>
  <c r="M217" i="7"/>
  <c r="M227" i="7"/>
  <c r="L220" i="7"/>
  <c r="G629" i="7"/>
  <c r="H629" i="7" s="1"/>
  <c r="I629" i="7" s="1"/>
  <c r="J629" i="7" s="1"/>
  <c r="K629" i="7" s="1"/>
  <c r="H609" i="7"/>
  <c r="AC609" i="7" s="1"/>
  <c r="G633" i="7"/>
  <c r="H633" i="7" s="1"/>
  <c r="I633" i="7" s="1"/>
  <c r="J633" i="7" s="1"/>
  <c r="K633" i="7" s="1"/>
  <c r="AB609" i="7"/>
  <c r="AA629" i="7"/>
  <c r="G625" i="7"/>
  <c r="H625" i="7" s="1"/>
  <c r="I625" i="7" s="1"/>
  <c r="J625" i="7" s="1"/>
  <c r="K625" i="7" s="1"/>
  <c r="R708" i="7"/>
  <c r="O223" i="7"/>
  <c r="R696" i="7"/>
  <c r="R702" i="7"/>
  <c r="R699" i="7"/>
  <c r="R701" i="7"/>
  <c r="L227" i="7"/>
  <c r="M209" i="7"/>
  <c r="M219" i="7"/>
  <c r="M229" i="7"/>
  <c r="N205" i="7"/>
  <c r="O225" i="7"/>
  <c r="O209" i="7"/>
  <c r="M211" i="7"/>
  <c r="M221" i="7"/>
  <c r="O212" i="7"/>
  <c r="R675" i="7"/>
  <c r="O205" i="7"/>
  <c r="O218" i="7"/>
  <c r="M213" i="7"/>
  <c r="M225" i="7"/>
  <c r="O215" i="7"/>
  <c r="R692" i="7"/>
  <c r="N218" i="7"/>
  <c r="R712" i="7"/>
  <c r="O220" i="7"/>
  <c r="N207" i="7"/>
  <c r="N220" i="7"/>
  <c r="O208" i="7"/>
  <c r="O217" i="7"/>
  <c r="O227" i="7"/>
  <c r="N209" i="7"/>
  <c r="O211" i="7"/>
  <c r="O222" i="7"/>
  <c r="L219" i="7"/>
  <c r="L212" i="7"/>
  <c r="O210" i="7"/>
  <c r="O219" i="7"/>
  <c r="N229" i="7"/>
  <c r="R706" i="7"/>
  <c r="N211" i="7"/>
  <c r="R694" i="7"/>
  <c r="R713" i="7"/>
  <c r="O213" i="7"/>
  <c r="R691" i="7"/>
  <c r="M207" i="7"/>
  <c r="M215" i="7"/>
  <c r="M223" i="7"/>
  <c r="L211" i="7"/>
  <c r="L228" i="7"/>
  <c r="O214" i="7"/>
  <c r="O221" i="7"/>
  <c r="R704" i="7"/>
  <c r="O207" i="7"/>
  <c r="R697" i="7"/>
  <c r="O216" i="7"/>
  <c r="O224" i="7"/>
  <c r="R707" i="7"/>
  <c r="O226" i="7"/>
  <c r="R709" i="7"/>
  <c r="M208" i="7"/>
  <c r="R676" i="7"/>
  <c r="N213" i="7"/>
  <c r="N222" i="7"/>
  <c r="N206" i="7"/>
  <c r="R703" i="7"/>
  <c r="R711" i="7"/>
  <c r="R667" i="7"/>
  <c r="R681" i="7"/>
  <c r="N216" i="7"/>
  <c r="N224" i="7"/>
  <c r="R705" i="7"/>
  <c r="R715" i="7"/>
  <c r="R668" i="7"/>
  <c r="R686" i="7"/>
  <c r="N226" i="7"/>
  <c r="N204" i="7"/>
  <c r="L209" i="7"/>
  <c r="L217" i="7"/>
  <c r="L225" i="7"/>
  <c r="L204" i="7"/>
  <c r="L222" i="7"/>
  <c r="L214" i="7"/>
  <c r="L206" i="7"/>
  <c r="R674" i="7"/>
  <c r="R671" i="7"/>
  <c r="R684" i="7"/>
  <c r="O204" i="7"/>
  <c r="N215" i="7"/>
  <c r="N219" i="7"/>
  <c r="N223" i="7"/>
  <c r="N227" i="7"/>
  <c r="R669" i="7"/>
  <c r="R687" i="7"/>
  <c r="R695" i="7"/>
  <c r="R710" i="7"/>
  <c r="R665" i="7"/>
  <c r="R679" i="7"/>
  <c r="R672" i="7"/>
  <c r="N208" i="7"/>
  <c r="N212" i="7"/>
  <c r="R670" i="7"/>
  <c r="R690" i="7"/>
  <c r="R698" i="7"/>
  <c r="L205" i="7"/>
  <c r="L213" i="7"/>
  <c r="L221" i="7"/>
  <c r="L229" i="7"/>
  <c r="L226" i="7"/>
  <c r="L218" i="7"/>
  <c r="L210" i="7"/>
  <c r="M220" i="7"/>
  <c r="R666" i="7"/>
  <c r="R680" i="7"/>
  <c r="N228" i="7"/>
  <c r="R678" i="7"/>
  <c r="N217" i="7"/>
  <c r="N221" i="7"/>
  <c r="N225" i="7"/>
  <c r="O228" i="7"/>
  <c r="R677" i="7"/>
  <c r="R700" i="7"/>
  <c r="L207" i="7"/>
  <c r="L215" i="7"/>
  <c r="L223" i="7"/>
  <c r="L224" i="7"/>
  <c r="L216" i="7"/>
  <c r="M204" i="7"/>
  <c r="M218" i="7"/>
  <c r="R663" i="7"/>
  <c r="R673" i="7"/>
  <c r="R685" i="7"/>
  <c r="R664" i="7"/>
  <c r="R683" i="7"/>
  <c r="O206" i="7"/>
  <c r="N210" i="7"/>
  <c r="R682" i="7"/>
  <c r="R693" i="7"/>
  <c r="M212" i="7"/>
  <c r="M224" i="7"/>
  <c r="M206" i="7"/>
  <c r="M222" i="7"/>
  <c r="AB727" i="7"/>
  <c r="U757" i="7"/>
  <c r="G757" i="7" s="1"/>
  <c r="M216" i="7"/>
  <c r="M228" i="7"/>
  <c r="M210" i="7"/>
  <c r="M226" i="7"/>
  <c r="U747" i="7"/>
  <c r="G747" i="7" s="1"/>
  <c r="U755" i="7"/>
  <c r="G755" i="7" s="1"/>
  <c r="AC736" i="7"/>
  <c r="M214" i="7"/>
  <c r="AB734" i="7"/>
  <c r="AB718" i="7"/>
  <c r="AB735" i="7"/>
  <c r="AC740" i="7"/>
  <c r="U766" i="7"/>
  <c r="G766" i="7" s="1"/>
  <c r="AB28" i="7"/>
  <c r="N28" i="7" s="1"/>
  <c r="AB719" i="7"/>
  <c r="U761" i="7"/>
  <c r="G761" i="7" s="1"/>
  <c r="U751" i="7"/>
  <c r="G751" i="7" s="1"/>
  <c r="I10" i="7"/>
  <c r="H14" i="7"/>
  <c r="AB19" i="7"/>
  <c r="N19" i="7" s="1"/>
  <c r="F77" i="7"/>
  <c r="F85" i="7"/>
  <c r="AB35" i="7"/>
  <c r="N35" i="7" s="1"/>
  <c r="F446" i="7"/>
  <c r="AB616" i="7"/>
  <c r="AB620" i="7"/>
  <c r="AB624" i="7"/>
  <c r="AB628" i="7"/>
  <c r="AB632" i="7"/>
  <c r="AB717" i="7"/>
  <c r="G743" i="7"/>
  <c r="AB729" i="7"/>
  <c r="Z732" i="7"/>
  <c r="AA732" i="7"/>
  <c r="T745" i="7"/>
  <c r="F745" i="7" s="1"/>
  <c r="T752" i="7"/>
  <c r="F752" i="7" s="1"/>
  <c r="AB21" i="7"/>
  <c r="N21" i="7" s="1"/>
  <c r="AC14" i="7"/>
  <c r="AD10" i="7"/>
  <c r="AA18" i="7"/>
  <c r="M18" i="7" s="1"/>
  <c r="AB39" i="7"/>
  <c r="N39" i="7" s="1"/>
  <c r="F75" i="7"/>
  <c r="F83" i="7"/>
  <c r="AA40" i="7"/>
  <c r="M40" i="7" s="1"/>
  <c r="F90" i="7"/>
  <c r="F92" i="7"/>
  <c r="AE613" i="7"/>
  <c r="AC613" i="7"/>
  <c r="AE617" i="7"/>
  <c r="AC617" i="7"/>
  <c r="AC621" i="7"/>
  <c r="AE629" i="7"/>
  <c r="AC629" i="7"/>
  <c r="AE633" i="7"/>
  <c r="G662" i="7"/>
  <c r="H689" i="7"/>
  <c r="AB723" i="7"/>
  <c r="Z730" i="7"/>
  <c r="AA730" i="7"/>
  <c r="AB725" i="7"/>
  <c r="U769" i="7"/>
  <c r="G769" i="7" s="1"/>
  <c r="T763" i="7"/>
  <c r="F763" i="7" s="1"/>
  <c r="AB15" i="7"/>
  <c r="N15" i="7" s="1"/>
  <c r="O41" i="7"/>
  <c r="V14" i="7"/>
  <c r="W10" i="7"/>
  <c r="AB17" i="7"/>
  <c r="N17" i="7" s="1"/>
  <c r="AA20" i="7"/>
  <c r="M20" i="7" s="1"/>
  <c r="AA26" i="7"/>
  <c r="M26" i="7" s="1"/>
  <c r="F73" i="7"/>
  <c r="AA32" i="7"/>
  <c r="M32" i="7" s="1"/>
  <c r="AE610" i="7"/>
  <c r="AC610" i="7"/>
  <c r="AE614" i="7"/>
  <c r="AC614" i="7"/>
  <c r="AE618" i="7"/>
  <c r="AC618" i="7"/>
  <c r="AE622" i="7"/>
  <c r="AE626" i="7"/>
  <c r="AC626" i="7"/>
  <c r="AE630" i="7"/>
  <c r="AC630" i="7"/>
  <c r="AE634" i="7"/>
  <c r="AC634" i="7"/>
  <c r="AB721" i="7"/>
  <c r="Z724" i="7"/>
  <c r="AA724" i="7"/>
  <c r="AB739" i="7"/>
  <c r="AB741" i="7"/>
  <c r="Z722" i="7"/>
  <c r="AA722" i="7"/>
  <c r="T764" i="7"/>
  <c r="F764" i="7" s="1"/>
  <c r="AB733" i="7"/>
  <c r="U746" i="7"/>
  <c r="G746" i="7" s="1"/>
  <c r="F81" i="7"/>
  <c r="F88" i="7"/>
  <c r="AB27" i="7"/>
  <c r="N27" i="7" s="1"/>
  <c r="G95" i="7"/>
  <c r="F71" i="7"/>
  <c r="F79" i="7"/>
  <c r="F87" i="7"/>
  <c r="AA38" i="7"/>
  <c r="M38" i="7" s="1"/>
  <c r="F89" i="7"/>
  <c r="F91" i="7"/>
  <c r="AB611" i="7"/>
  <c r="AB615" i="7"/>
  <c r="AB619" i="7"/>
  <c r="AB623" i="7"/>
  <c r="AB627" i="7"/>
  <c r="AB631" i="7"/>
  <c r="AB737" i="7"/>
  <c r="Z728" i="7"/>
  <c r="AA728" i="7"/>
  <c r="H662" i="7"/>
  <c r="AB731" i="7"/>
  <c r="Z738" i="7"/>
  <c r="AA738" i="7"/>
  <c r="U765" i="7"/>
  <c r="G765" i="7" s="1"/>
  <c r="H716" i="7"/>
  <c r="Z720" i="7"/>
  <c r="AA720" i="7"/>
  <c r="T767" i="7"/>
  <c r="F767" i="7" s="1"/>
  <c r="AA24" i="7" l="1"/>
  <c r="M24" i="7" s="1"/>
  <c r="AA58" i="7"/>
  <c r="G748" i="7"/>
  <c r="AA31" i="7"/>
  <c r="M31" i="7" s="1"/>
  <c r="AA45" i="7"/>
  <c r="Z45" i="7" s="1"/>
  <c r="L45" i="7" s="1"/>
  <c r="T760" i="7"/>
  <c r="F760" i="7" s="1"/>
  <c r="AA36" i="7"/>
  <c r="M36" i="7" s="1"/>
  <c r="AA23" i="7"/>
  <c r="M23" i="7" s="1"/>
  <c r="M45" i="7"/>
  <c r="T756" i="7"/>
  <c r="F756" i="7" s="1"/>
  <c r="N66" i="7"/>
  <c r="AA66" i="7"/>
  <c r="N62" i="7"/>
  <c r="AA62" i="7"/>
  <c r="AA16" i="7"/>
  <c r="M16" i="7" s="1"/>
  <c r="AE621" i="7"/>
  <c r="AB621" i="7"/>
  <c r="S759" i="7"/>
  <c r="E759" i="7" s="1"/>
  <c r="AC633" i="7"/>
  <c r="AC625" i="7"/>
  <c r="AA49" i="7"/>
  <c r="N53" i="7"/>
  <c r="AA53" i="7"/>
  <c r="H770" i="7"/>
  <c r="N33" i="7"/>
  <c r="AA33" i="7"/>
  <c r="AE625" i="7"/>
  <c r="N54" i="7"/>
  <c r="AA54" i="7"/>
  <c r="N37" i="7"/>
  <c r="AA37" i="7"/>
  <c r="N30" i="7"/>
  <c r="AA30" i="7"/>
  <c r="N67" i="7"/>
  <c r="AA67" i="7"/>
  <c r="N47" i="7"/>
  <c r="AA47" i="7"/>
  <c r="N48" i="7"/>
  <c r="AA48" i="7"/>
  <c r="N42" i="7"/>
  <c r="N68" i="7"/>
  <c r="AA42" i="7"/>
  <c r="N43" i="7"/>
  <c r="AA43" i="7"/>
  <c r="F748" i="7"/>
  <c r="S748" i="7"/>
  <c r="E748" i="7" s="1"/>
  <c r="N44" i="7"/>
  <c r="AA44" i="7"/>
  <c r="N55" i="7"/>
  <c r="AA55" i="7"/>
  <c r="N56" i="7"/>
  <c r="AA56" i="7"/>
  <c r="G754" i="7"/>
  <c r="T754" i="7"/>
  <c r="N50" i="7"/>
  <c r="AA50" i="7"/>
  <c r="J582" i="7"/>
  <c r="I608" i="7"/>
  <c r="T768" i="7"/>
  <c r="F768" i="7" s="1"/>
  <c r="N57" i="7"/>
  <c r="AA57" i="7"/>
  <c r="N46" i="7"/>
  <c r="AA46" i="7"/>
  <c r="N51" i="7"/>
  <c r="AA51" i="7"/>
  <c r="N52" i="7"/>
  <c r="AA52" i="7"/>
  <c r="G744" i="7"/>
  <c r="T744" i="7"/>
  <c r="S744" i="7" s="1"/>
  <c r="N59" i="7"/>
  <c r="AA59" i="7"/>
  <c r="N64" i="7"/>
  <c r="AA64" i="7"/>
  <c r="N65" i="7"/>
  <c r="AA65" i="7"/>
  <c r="N29" i="7"/>
  <c r="AA29" i="7"/>
  <c r="P14" i="7"/>
  <c r="Q10" i="7"/>
  <c r="N60" i="7"/>
  <c r="AA60" i="7"/>
  <c r="N61" i="7"/>
  <c r="AA61" i="7"/>
  <c r="N63" i="7"/>
  <c r="AA63" i="7"/>
  <c r="N22" i="7"/>
  <c r="AA22" i="7"/>
  <c r="G750" i="7"/>
  <c r="T750" i="7"/>
  <c r="G749" i="7"/>
  <c r="T749" i="7"/>
  <c r="G758" i="7"/>
  <c r="T758" i="7"/>
  <c r="AA34" i="7"/>
  <c r="M34" i="7" s="1"/>
  <c r="G762" i="7"/>
  <c r="T762" i="7"/>
  <c r="T753" i="7"/>
  <c r="G753" i="7"/>
  <c r="N25" i="7"/>
  <c r="AA25" i="7"/>
  <c r="G635" i="7"/>
  <c r="I609" i="7"/>
  <c r="AD609" i="7" s="1"/>
  <c r="H635" i="7"/>
  <c r="AB625" i="7"/>
  <c r="AB633" i="7"/>
  <c r="AB629" i="7"/>
  <c r="G716" i="7"/>
  <c r="O743" i="7"/>
  <c r="O739" i="7" s="1"/>
  <c r="AA28" i="7"/>
  <c r="M28" i="7" s="1"/>
  <c r="T751" i="7"/>
  <c r="F751" i="7" s="1"/>
  <c r="AB740" i="7"/>
  <c r="AB736" i="7"/>
  <c r="T747" i="7"/>
  <c r="F747" i="7" s="1"/>
  <c r="T757" i="7"/>
  <c r="F757" i="7" s="1"/>
  <c r="T761" i="7"/>
  <c r="F761" i="7" s="1"/>
  <c r="Z718" i="7"/>
  <c r="AA718" i="7"/>
  <c r="AA719" i="7"/>
  <c r="Z719" i="7"/>
  <c r="T755" i="7"/>
  <c r="F755" i="7" s="1"/>
  <c r="T766" i="7"/>
  <c r="F766" i="7" s="1"/>
  <c r="AA735" i="7"/>
  <c r="Z735" i="7"/>
  <c r="Z734" i="7"/>
  <c r="AA734" i="7"/>
  <c r="AA727" i="7"/>
  <c r="Z727" i="7"/>
  <c r="AE627" i="7"/>
  <c r="AC627" i="7"/>
  <c r="AE619" i="7"/>
  <c r="AC619" i="7"/>
  <c r="AE611" i="7"/>
  <c r="AC611" i="7"/>
  <c r="E79" i="7"/>
  <c r="AA27" i="7"/>
  <c r="M27" i="7" s="1"/>
  <c r="E88" i="7"/>
  <c r="AD630" i="7"/>
  <c r="AD614" i="7"/>
  <c r="E73" i="7"/>
  <c r="Z20" i="7"/>
  <c r="L20" i="7" s="1"/>
  <c r="AA15" i="7"/>
  <c r="M15" i="7" s="1"/>
  <c r="N41" i="7"/>
  <c r="AD625" i="7"/>
  <c r="E92" i="7"/>
  <c r="Z40" i="7"/>
  <c r="L40" i="7" s="1"/>
  <c r="E75" i="7"/>
  <c r="Z24" i="7"/>
  <c r="L24" i="7" s="1"/>
  <c r="AD14" i="7"/>
  <c r="AE10" i="7"/>
  <c r="AA21" i="7"/>
  <c r="M21" i="7" s="1"/>
  <c r="F743" i="7"/>
  <c r="AA717" i="7"/>
  <c r="AA731" i="7"/>
  <c r="Z731" i="7"/>
  <c r="E89" i="7"/>
  <c r="Z38" i="7"/>
  <c r="L38" i="7" s="1"/>
  <c r="E81" i="7"/>
  <c r="S764" i="7"/>
  <c r="E764" i="7" s="1"/>
  <c r="AA741" i="7"/>
  <c r="Z741" i="7"/>
  <c r="AD634" i="7"/>
  <c r="AD618" i="7"/>
  <c r="S763" i="7"/>
  <c r="E763" i="7" s="1"/>
  <c r="T769" i="7"/>
  <c r="F769" i="7" s="1"/>
  <c r="AD629" i="7"/>
  <c r="AD613" i="7"/>
  <c r="AA729" i="7"/>
  <c r="Z729" i="7"/>
  <c r="AE628" i="7"/>
  <c r="AC628" i="7"/>
  <c r="AE620" i="7"/>
  <c r="AC620" i="7"/>
  <c r="AE612" i="7"/>
  <c r="E85" i="7"/>
  <c r="J10" i="7"/>
  <c r="I14" i="7"/>
  <c r="S767" i="7"/>
  <c r="E767" i="7" s="1"/>
  <c r="AE631" i="7"/>
  <c r="AC631" i="7"/>
  <c r="AE623" i="7"/>
  <c r="AC623" i="7"/>
  <c r="AE615" i="7"/>
  <c r="AC615" i="7"/>
  <c r="E87" i="7"/>
  <c r="E71" i="7"/>
  <c r="F95" i="7"/>
  <c r="AD622" i="7"/>
  <c r="Z32" i="7"/>
  <c r="L32" i="7" s="1"/>
  <c r="Z26" i="7"/>
  <c r="L26" i="7" s="1"/>
  <c r="AA17" i="7"/>
  <c r="M17" i="7" s="1"/>
  <c r="X10" i="7"/>
  <c r="W14" i="7"/>
  <c r="AA725" i="7"/>
  <c r="Z725" i="7"/>
  <c r="AD633" i="7"/>
  <c r="AD617" i="7"/>
  <c r="E90" i="7"/>
  <c r="E83" i="7"/>
  <c r="Z18" i="7"/>
  <c r="L18" i="7" s="1"/>
  <c r="S760" i="7"/>
  <c r="E760" i="7" s="1"/>
  <c r="S752" i="7"/>
  <c r="E752" i="7" s="1"/>
  <c r="AA19" i="7"/>
  <c r="M19" i="7" s="1"/>
  <c r="T765" i="7"/>
  <c r="F765" i="7" s="1"/>
  <c r="AA737" i="7"/>
  <c r="Z737" i="7"/>
  <c r="E91" i="7"/>
  <c r="Z31" i="7"/>
  <c r="L31" i="7" s="1"/>
  <c r="T746" i="7"/>
  <c r="F746" i="7" s="1"/>
  <c r="AA733" i="7"/>
  <c r="Z733" i="7"/>
  <c r="AA739" i="7"/>
  <c r="Z739" i="7"/>
  <c r="AA721" i="7"/>
  <c r="Z721" i="7"/>
  <c r="AD626" i="7"/>
  <c r="AD610" i="7"/>
  <c r="AA723" i="7"/>
  <c r="Z723" i="7"/>
  <c r="G689" i="7"/>
  <c r="F662" i="7"/>
  <c r="AD621" i="7"/>
  <c r="AA39" i="7"/>
  <c r="M39" i="7" s="1"/>
  <c r="S745" i="7"/>
  <c r="E745" i="7" s="1"/>
  <c r="AE632" i="7"/>
  <c r="AC632" i="7"/>
  <c r="AE624" i="7"/>
  <c r="AC624" i="7"/>
  <c r="AE616" i="7"/>
  <c r="AC616" i="7"/>
  <c r="G446" i="7"/>
  <c r="AA35" i="7"/>
  <c r="M35" i="7" s="1"/>
  <c r="E77" i="7"/>
  <c r="M58" i="7" l="1"/>
  <c r="Z58" i="7"/>
  <c r="L58" i="7" s="1"/>
  <c r="Z23" i="7"/>
  <c r="L23" i="7" s="1"/>
  <c r="Z36" i="7"/>
  <c r="L36" i="7" s="1"/>
  <c r="Z16" i="7"/>
  <c r="L16" i="7" s="1"/>
  <c r="S756" i="7"/>
  <c r="E756" i="7" s="1"/>
  <c r="Z62" i="7"/>
  <c r="L62" i="7" s="1"/>
  <c r="M62" i="7"/>
  <c r="M66" i="7"/>
  <c r="Z66" i="7"/>
  <c r="L66" i="7" s="1"/>
  <c r="Z34" i="7"/>
  <c r="L34" i="7" s="1"/>
  <c r="Z49" i="7"/>
  <c r="L49" i="7" s="1"/>
  <c r="M49" i="7"/>
  <c r="Z53" i="7"/>
  <c r="L53" i="7" s="1"/>
  <c r="M53" i="7"/>
  <c r="M22" i="7"/>
  <c r="Z22" i="7"/>
  <c r="L22" i="7" s="1"/>
  <c r="M61" i="7"/>
  <c r="Z61" i="7"/>
  <c r="L61" i="7" s="1"/>
  <c r="M65" i="7"/>
  <c r="Z65" i="7"/>
  <c r="L65" i="7" s="1"/>
  <c r="M52" i="7"/>
  <c r="Z52" i="7"/>
  <c r="L52" i="7" s="1"/>
  <c r="Z48" i="7"/>
  <c r="L48" i="7" s="1"/>
  <c r="M48" i="7"/>
  <c r="M67" i="7"/>
  <c r="Z67" i="7"/>
  <c r="L67" i="7" s="1"/>
  <c r="M37" i="7"/>
  <c r="Z37" i="7"/>
  <c r="L37" i="7" s="1"/>
  <c r="M25" i="7"/>
  <c r="Z25" i="7"/>
  <c r="L25" i="7" s="1"/>
  <c r="F762" i="7"/>
  <c r="S762" i="7"/>
  <c r="E762" i="7" s="1"/>
  <c r="G770" i="7"/>
  <c r="Z50" i="7"/>
  <c r="L50" i="7" s="1"/>
  <c r="M50" i="7"/>
  <c r="M56" i="7"/>
  <c r="Z56" i="7"/>
  <c r="L56" i="7" s="1"/>
  <c r="Z44" i="7"/>
  <c r="L44" i="7" s="1"/>
  <c r="M44" i="7"/>
  <c r="Z43" i="7"/>
  <c r="L43" i="7" s="1"/>
  <c r="M43" i="7"/>
  <c r="S768" i="7"/>
  <c r="E768" i="7" s="1"/>
  <c r="F754" i="7"/>
  <c r="S754" i="7"/>
  <c r="E754" i="7" s="1"/>
  <c r="Z55" i="7"/>
  <c r="L55" i="7" s="1"/>
  <c r="M55" i="7"/>
  <c r="Z42" i="7"/>
  <c r="M42" i="7"/>
  <c r="M33" i="7"/>
  <c r="Z33" i="7"/>
  <c r="L33" i="7" s="1"/>
  <c r="F749" i="7"/>
  <c r="S749" i="7"/>
  <c r="E749" i="7" s="1"/>
  <c r="Q14" i="7"/>
  <c r="R10" i="7"/>
  <c r="R14" i="7" s="1"/>
  <c r="M59" i="7"/>
  <c r="Z59" i="7"/>
  <c r="L59" i="7" s="1"/>
  <c r="Z46" i="7"/>
  <c r="L46" i="7" s="1"/>
  <c r="M46" i="7"/>
  <c r="F753" i="7"/>
  <c r="S753" i="7"/>
  <c r="E753" i="7" s="1"/>
  <c r="F758" i="7"/>
  <c r="S758" i="7"/>
  <c r="E758" i="7" s="1"/>
  <c r="F750" i="7"/>
  <c r="S750" i="7"/>
  <c r="E750" i="7" s="1"/>
  <c r="M63" i="7"/>
  <c r="Z63" i="7"/>
  <c r="L63" i="7" s="1"/>
  <c r="Z60" i="7"/>
  <c r="L60" i="7" s="1"/>
  <c r="M60" i="7"/>
  <c r="Z29" i="7"/>
  <c r="L29" i="7" s="1"/>
  <c r="M29" i="7"/>
  <c r="Z64" i="7"/>
  <c r="L64" i="7" s="1"/>
  <c r="M64" i="7"/>
  <c r="F744" i="7"/>
  <c r="E744" i="7"/>
  <c r="M51" i="7"/>
  <c r="Z51" i="7"/>
  <c r="L51" i="7" s="1"/>
  <c r="Z57" i="7"/>
  <c r="L57" i="7" s="1"/>
  <c r="M57" i="7"/>
  <c r="J608" i="7"/>
  <c r="K582" i="7"/>
  <c r="K608" i="7" s="1"/>
  <c r="Z47" i="7"/>
  <c r="L47" i="7" s="1"/>
  <c r="M47" i="7"/>
  <c r="M30" i="7"/>
  <c r="Z30" i="7"/>
  <c r="L30" i="7" s="1"/>
  <c r="M54" i="7"/>
  <c r="Z54" i="7"/>
  <c r="L54" i="7" s="1"/>
  <c r="J609" i="7"/>
  <c r="I635" i="7"/>
  <c r="F716" i="7"/>
  <c r="O726" i="7"/>
  <c r="O734" i="7"/>
  <c r="O742" i="7"/>
  <c r="O717" i="7"/>
  <c r="O735" i="7"/>
  <c r="O738" i="7"/>
  <c r="O718" i="7"/>
  <c r="O730" i="7"/>
  <c r="O737" i="7"/>
  <c r="O725" i="7"/>
  <c r="O728" i="7"/>
  <c r="O723" i="7"/>
  <c r="O736" i="7"/>
  <c r="O720" i="7"/>
  <c r="O721" i="7"/>
  <c r="O732" i="7"/>
  <c r="O719" i="7"/>
  <c r="O722" i="7"/>
  <c r="O731" i="7"/>
  <c r="O740" i="7"/>
  <c r="O724" i="7"/>
  <c r="O733" i="7"/>
  <c r="O729" i="7"/>
  <c r="O741" i="7"/>
  <c r="O727" i="7"/>
  <c r="N743" i="7"/>
  <c r="S761" i="7"/>
  <c r="E761" i="7" s="1"/>
  <c r="S747" i="7"/>
  <c r="E747" i="7" s="1"/>
  <c r="AA740" i="7"/>
  <c r="Z740" i="7"/>
  <c r="Z28" i="7"/>
  <c r="L28" i="7" s="1"/>
  <c r="S766" i="7"/>
  <c r="E766" i="7" s="1"/>
  <c r="AA736" i="7"/>
  <c r="Z736" i="7"/>
  <c r="S751" i="7"/>
  <c r="E751" i="7" s="1"/>
  <c r="S755" i="7"/>
  <c r="E755" i="7" s="1"/>
  <c r="S757" i="7"/>
  <c r="E757" i="7" s="1"/>
  <c r="AD624" i="7"/>
  <c r="Z39" i="7"/>
  <c r="L39" i="7" s="1"/>
  <c r="Z19" i="7"/>
  <c r="L19" i="7" s="1"/>
  <c r="AD631" i="7"/>
  <c r="AD620" i="7"/>
  <c r="M41" i="7"/>
  <c r="Z15" i="7"/>
  <c r="AD616" i="7"/>
  <c r="Y10" i="7"/>
  <c r="X14" i="7"/>
  <c r="AD623" i="7"/>
  <c r="AF612" i="7"/>
  <c r="AD612" i="7"/>
  <c r="Z27" i="7"/>
  <c r="L27" i="7" s="1"/>
  <c r="AD627" i="7"/>
  <c r="J446" i="7"/>
  <c r="H446" i="7"/>
  <c r="S746" i="7"/>
  <c r="E746" i="7" s="1"/>
  <c r="AD615" i="7"/>
  <c r="K10" i="7"/>
  <c r="K14" i="7" s="1"/>
  <c r="J14" i="7"/>
  <c r="S769" i="7"/>
  <c r="E769" i="7" s="1"/>
  <c r="Z21" i="7"/>
  <c r="L21" i="7" s="1"/>
  <c r="AD619" i="7"/>
  <c r="Z35" i="7"/>
  <c r="L35" i="7" s="1"/>
  <c r="AD632" i="7"/>
  <c r="E662" i="7"/>
  <c r="F689" i="7"/>
  <c r="S765" i="7"/>
  <c r="E765" i="7" s="1"/>
  <c r="Z17" i="7"/>
  <c r="L17" i="7" s="1"/>
  <c r="E95" i="7"/>
  <c r="AD628" i="7"/>
  <c r="E743" i="7"/>
  <c r="Z717" i="7"/>
  <c r="AE14" i="7"/>
  <c r="AF10" i="7"/>
  <c r="AF14" i="7" s="1"/>
  <c r="AF611" i="7"/>
  <c r="AD611" i="7"/>
  <c r="F770" i="7" l="1"/>
  <c r="L42" i="7"/>
  <c r="J635" i="7"/>
  <c r="K609" i="7"/>
  <c r="K635" i="7" s="1"/>
  <c r="AE609" i="7"/>
  <c r="Q635" i="7" s="1"/>
  <c r="Q619" i="7" s="1"/>
  <c r="M743" i="7"/>
  <c r="M723" i="7" s="1"/>
  <c r="N722" i="7"/>
  <c r="N726" i="7"/>
  <c r="N742" i="7"/>
  <c r="N738" i="7"/>
  <c r="N728" i="7"/>
  <c r="N720" i="7"/>
  <c r="N732" i="7"/>
  <c r="N730" i="7"/>
  <c r="N724" i="7"/>
  <c r="N741" i="7"/>
  <c r="N734" i="7"/>
  <c r="N731" i="7"/>
  <c r="N735" i="7"/>
  <c r="N717" i="7"/>
  <c r="N739" i="7"/>
  <c r="N718" i="7"/>
  <c r="N721" i="7"/>
  <c r="N723" i="7"/>
  <c r="N737" i="7"/>
  <c r="N719" i="7"/>
  <c r="N729" i="7"/>
  <c r="N725" i="7"/>
  <c r="N727" i="7"/>
  <c r="N733" i="7"/>
  <c r="N740" i="7"/>
  <c r="N736" i="7"/>
  <c r="P635" i="7"/>
  <c r="P615" i="7" s="1"/>
  <c r="E770" i="7"/>
  <c r="L743" i="7"/>
  <c r="E689" i="7"/>
  <c r="L15" i="7"/>
  <c r="L41" i="7"/>
  <c r="E716" i="7"/>
  <c r="Y14" i="7"/>
  <c r="I446" i="7"/>
  <c r="K446" i="7"/>
  <c r="Q633" i="7" l="1"/>
  <c r="Q610" i="7"/>
  <c r="M726" i="7"/>
  <c r="M735" i="7"/>
  <c r="M740" i="7"/>
  <c r="M733" i="7"/>
  <c r="M730" i="7"/>
  <c r="M739" i="7"/>
  <c r="M720" i="7"/>
  <c r="M718" i="7"/>
  <c r="M737" i="7"/>
  <c r="M731" i="7"/>
  <c r="M722" i="7"/>
  <c r="M741" i="7"/>
  <c r="M728" i="7"/>
  <c r="M732" i="7"/>
  <c r="M734" i="7"/>
  <c r="M742" i="7"/>
  <c r="M729" i="7"/>
  <c r="M717" i="7"/>
  <c r="M719" i="7"/>
  <c r="M721" i="7"/>
  <c r="M725" i="7"/>
  <c r="M736" i="7"/>
  <c r="M738" i="7"/>
  <c r="M724" i="7"/>
  <c r="M727" i="7"/>
  <c r="Q632" i="7"/>
  <c r="Q620" i="7"/>
  <c r="Q634" i="7"/>
  <c r="Q615" i="7"/>
  <c r="Q617" i="7"/>
  <c r="Q616" i="7"/>
  <c r="Q631" i="7"/>
  <c r="Q621" i="7"/>
  <c r="Q629" i="7"/>
  <c r="Q618" i="7"/>
  <c r="Q628" i="7"/>
  <c r="Q623" i="7"/>
  <c r="Q622" i="7"/>
  <c r="Q625" i="7"/>
  <c r="Q626" i="7"/>
  <c r="Q624" i="7"/>
  <c r="Q611" i="7"/>
  <c r="Q613" i="7"/>
  <c r="Q614" i="7"/>
  <c r="Q630" i="7"/>
  <c r="Q612" i="7"/>
  <c r="Q609" i="7"/>
  <c r="Q627" i="7"/>
  <c r="P632" i="7"/>
  <c r="P620" i="7"/>
  <c r="P611" i="7"/>
  <c r="P619" i="7"/>
  <c r="P612" i="7"/>
  <c r="P631" i="7"/>
  <c r="P616" i="7"/>
  <c r="P624" i="7"/>
  <c r="P633" i="7"/>
  <c r="P621" i="7"/>
  <c r="P629" i="7"/>
  <c r="P618" i="7"/>
  <c r="P610" i="7"/>
  <c r="P626" i="7"/>
  <c r="P625" i="7"/>
  <c r="P634" i="7"/>
  <c r="P613" i="7"/>
  <c r="P609" i="7"/>
  <c r="P630" i="7"/>
  <c r="P622" i="7"/>
  <c r="P617" i="7"/>
  <c r="P614" i="7"/>
  <c r="P627" i="7"/>
  <c r="P623" i="7"/>
  <c r="P628" i="7"/>
  <c r="L742" i="7"/>
  <c r="L734" i="7"/>
  <c r="L726" i="7"/>
  <c r="L718" i="7"/>
  <c r="L727" i="7"/>
  <c r="L735" i="7"/>
  <c r="L719" i="7"/>
  <c r="L740" i="7"/>
  <c r="L722" i="7"/>
  <c r="L724" i="7"/>
  <c r="L736" i="7"/>
  <c r="L720" i="7"/>
  <c r="L730" i="7"/>
  <c r="L728" i="7"/>
  <c r="L738" i="7"/>
  <c r="L732" i="7"/>
  <c r="L725" i="7"/>
  <c r="L731" i="7"/>
  <c r="L723" i="7"/>
  <c r="L741" i="7"/>
  <c r="L733" i="7"/>
  <c r="L737" i="7"/>
  <c r="L739" i="7"/>
  <c r="L729" i="7"/>
  <c r="L721" i="7"/>
  <c r="L717" i="7"/>
  <c r="E824" i="7" l="1"/>
  <c r="I906" i="7"/>
  <c r="I907" i="7"/>
  <c r="H907" i="7" s="1"/>
  <c r="G907" i="7" s="1"/>
  <c r="F907" i="7" s="1"/>
  <c r="E907" i="7" s="1"/>
  <c r="I908" i="7"/>
  <c r="H908" i="7" s="1"/>
  <c r="G908" i="7" s="1"/>
  <c r="F908" i="7" s="1"/>
  <c r="E908" i="7" s="1"/>
  <c r="AB908" i="7"/>
  <c r="N908" i="7" s="1"/>
  <c r="I909" i="7"/>
  <c r="H909" i="7" s="1"/>
  <c r="G909" i="7" s="1"/>
  <c r="F909" i="7" s="1"/>
  <c r="E909" i="7" s="1"/>
  <c r="I910" i="7"/>
  <c r="H910" i="7" s="1"/>
  <c r="G910" i="7" s="1"/>
  <c r="F910" i="7" s="1"/>
  <c r="E910" i="7" s="1"/>
  <c r="I911" i="7"/>
  <c r="H911" i="7" s="1"/>
  <c r="G911" i="7" s="1"/>
  <c r="F911" i="7" s="1"/>
  <c r="E911" i="7" s="1"/>
  <c r="I912" i="7"/>
  <c r="H912" i="7" s="1"/>
  <c r="G912" i="7" s="1"/>
  <c r="F912" i="7" s="1"/>
  <c r="E912" i="7" s="1"/>
  <c r="I913" i="7"/>
  <c r="H913" i="7" s="1"/>
  <c r="G913" i="7" s="1"/>
  <c r="F913" i="7" s="1"/>
  <c r="E913" i="7" s="1"/>
  <c r="I914" i="7"/>
  <c r="H914" i="7" s="1"/>
  <c r="G914" i="7" s="1"/>
  <c r="F914" i="7" s="1"/>
  <c r="E914" i="7" s="1"/>
  <c r="I915" i="7"/>
  <c r="H915" i="7" s="1"/>
  <c r="G915" i="7" s="1"/>
  <c r="F915" i="7" s="1"/>
  <c r="E915" i="7" s="1"/>
  <c r="I916" i="7"/>
  <c r="H916" i="7" s="1"/>
  <c r="G916" i="7" s="1"/>
  <c r="F916" i="7" s="1"/>
  <c r="E916" i="7" s="1"/>
  <c r="AB916" i="7"/>
  <c r="N916" i="7" s="1"/>
  <c r="I917" i="7"/>
  <c r="H917" i="7" s="1"/>
  <c r="G917" i="7" s="1"/>
  <c r="F917" i="7" s="1"/>
  <c r="E917" i="7" s="1"/>
  <c r="I918" i="7"/>
  <c r="H918" i="7" s="1"/>
  <c r="G918" i="7" s="1"/>
  <c r="F918" i="7" s="1"/>
  <c r="E918" i="7" s="1"/>
  <c r="I919" i="7"/>
  <c r="H919" i="7" s="1"/>
  <c r="G919" i="7" s="1"/>
  <c r="F919" i="7" s="1"/>
  <c r="E919" i="7" s="1"/>
  <c r="I920" i="7"/>
  <c r="H920" i="7" s="1"/>
  <c r="G920" i="7" s="1"/>
  <c r="F920" i="7" s="1"/>
  <c r="E920" i="7" s="1"/>
  <c r="I921" i="7"/>
  <c r="H921" i="7" s="1"/>
  <c r="G921" i="7" s="1"/>
  <c r="F921" i="7" s="1"/>
  <c r="E921" i="7" s="1"/>
  <c r="I922" i="7"/>
  <c r="H922" i="7" s="1"/>
  <c r="G922" i="7" s="1"/>
  <c r="F922" i="7" s="1"/>
  <c r="E922" i="7" s="1"/>
  <c r="H923" i="7"/>
  <c r="G923" i="7" s="1"/>
  <c r="F923" i="7" s="1"/>
  <c r="E923" i="7" s="1"/>
  <c r="I924" i="7"/>
  <c r="H924" i="7" s="1"/>
  <c r="G924" i="7" s="1"/>
  <c r="F924" i="7" s="1"/>
  <c r="E924" i="7" s="1"/>
  <c r="AB924" i="7"/>
  <c r="N924" i="7" s="1"/>
  <c r="I925" i="7"/>
  <c r="H925" i="7" s="1"/>
  <c r="G925" i="7" s="1"/>
  <c r="F925" i="7" s="1"/>
  <c r="E925" i="7" s="1"/>
  <c r="I926" i="7"/>
  <c r="H926" i="7" s="1"/>
  <c r="G926" i="7" s="1"/>
  <c r="F926" i="7" s="1"/>
  <c r="E926" i="7" s="1"/>
  <c r="I927" i="7"/>
  <c r="H927" i="7" s="1"/>
  <c r="G927" i="7" s="1"/>
  <c r="F927" i="7" s="1"/>
  <c r="E927" i="7" s="1"/>
  <c r="I928" i="7"/>
  <c r="H928" i="7" s="1"/>
  <c r="G928" i="7" s="1"/>
  <c r="F928" i="7" s="1"/>
  <c r="E928" i="7" s="1"/>
  <c r="I929" i="7"/>
  <c r="H929" i="7" s="1"/>
  <c r="G929" i="7" s="1"/>
  <c r="F929" i="7" s="1"/>
  <c r="E929" i="7" s="1"/>
  <c r="I930" i="7"/>
  <c r="H930" i="7" s="1"/>
  <c r="G930" i="7" s="1"/>
  <c r="F930" i="7" s="1"/>
  <c r="E930" i="7" s="1"/>
  <c r="I931" i="7"/>
  <c r="H931" i="7" s="1"/>
  <c r="G931" i="7" s="1"/>
  <c r="F931" i="7" s="1"/>
  <c r="E931" i="7" s="1"/>
  <c r="J932" i="7"/>
  <c r="K932" i="7"/>
  <c r="AF932" i="7"/>
  <c r="R932" i="7" s="1"/>
  <c r="I933" i="7"/>
  <c r="I934" i="7"/>
  <c r="H934" i="7" s="1"/>
  <c r="G934" i="7" s="1"/>
  <c r="F934" i="7" s="1"/>
  <c r="E934" i="7" s="1"/>
  <c r="I935" i="7"/>
  <c r="H935" i="7" s="1"/>
  <c r="G935" i="7" s="1"/>
  <c r="F935" i="7" s="1"/>
  <c r="E935" i="7" s="1"/>
  <c r="I936" i="7"/>
  <c r="H936" i="7" s="1"/>
  <c r="G936" i="7" s="1"/>
  <c r="F936" i="7" s="1"/>
  <c r="E936" i="7" s="1"/>
  <c r="AB936" i="7"/>
  <c r="N936" i="7" s="1"/>
  <c r="I937" i="7"/>
  <c r="H937" i="7" s="1"/>
  <c r="G937" i="7" s="1"/>
  <c r="F937" i="7" s="1"/>
  <c r="E937" i="7" s="1"/>
  <c r="I938" i="7"/>
  <c r="H938" i="7" s="1"/>
  <c r="G938" i="7" s="1"/>
  <c r="F938" i="7" s="1"/>
  <c r="E938" i="7" s="1"/>
  <c r="I939" i="7"/>
  <c r="H939" i="7" s="1"/>
  <c r="G939" i="7" s="1"/>
  <c r="F939" i="7" s="1"/>
  <c r="E939" i="7" s="1"/>
  <c r="I940" i="7"/>
  <c r="H940" i="7" s="1"/>
  <c r="G940" i="7" s="1"/>
  <c r="F940" i="7" s="1"/>
  <c r="E940" i="7" s="1"/>
  <c r="I941" i="7"/>
  <c r="H941" i="7" s="1"/>
  <c r="G941" i="7" s="1"/>
  <c r="F941" i="7" s="1"/>
  <c r="E941" i="7" s="1"/>
  <c r="I942" i="7"/>
  <c r="H942" i="7" s="1"/>
  <c r="G942" i="7" s="1"/>
  <c r="F942" i="7" s="1"/>
  <c r="E942" i="7" s="1"/>
  <c r="I943" i="7"/>
  <c r="H943" i="7" s="1"/>
  <c r="G943" i="7" s="1"/>
  <c r="F943" i="7" s="1"/>
  <c r="E943" i="7" s="1"/>
  <c r="I944" i="7"/>
  <c r="H944" i="7" s="1"/>
  <c r="G944" i="7" s="1"/>
  <c r="F944" i="7" s="1"/>
  <c r="E944" i="7" s="1"/>
  <c r="AB944" i="7"/>
  <c r="N944" i="7" s="1"/>
  <c r="I945" i="7"/>
  <c r="H945" i="7" s="1"/>
  <c r="G945" i="7" s="1"/>
  <c r="F945" i="7" s="1"/>
  <c r="E945" i="7" s="1"/>
  <c r="I946" i="7"/>
  <c r="H946" i="7" s="1"/>
  <c r="G946" i="7" s="1"/>
  <c r="F946" i="7" s="1"/>
  <c r="E946" i="7" s="1"/>
  <c r="I947" i="7"/>
  <c r="H947" i="7" s="1"/>
  <c r="G947" i="7" s="1"/>
  <c r="F947" i="7" s="1"/>
  <c r="E947" i="7" s="1"/>
  <c r="I948" i="7"/>
  <c r="H948" i="7" s="1"/>
  <c r="G948" i="7" s="1"/>
  <c r="F948" i="7" s="1"/>
  <c r="E948" i="7" s="1"/>
  <c r="I949" i="7"/>
  <c r="H949" i="7" s="1"/>
  <c r="G949" i="7" s="1"/>
  <c r="F949" i="7" s="1"/>
  <c r="E949" i="7" s="1"/>
  <c r="I950" i="7"/>
  <c r="H950" i="7" s="1"/>
  <c r="G950" i="7" s="1"/>
  <c r="F950" i="7" s="1"/>
  <c r="E950" i="7" s="1"/>
  <c r="I951" i="7"/>
  <c r="H951" i="7" s="1"/>
  <c r="G951" i="7" s="1"/>
  <c r="F951" i="7" s="1"/>
  <c r="E951" i="7" s="1"/>
  <c r="I952" i="7"/>
  <c r="H952" i="7" s="1"/>
  <c r="G952" i="7" s="1"/>
  <c r="F952" i="7" s="1"/>
  <c r="E952" i="7" s="1"/>
  <c r="AB952" i="7"/>
  <c r="N952" i="7" s="1"/>
  <c r="I953" i="7"/>
  <c r="H953" i="7" s="1"/>
  <c r="G953" i="7" s="1"/>
  <c r="F953" i="7" s="1"/>
  <c r="E953" i="7" s="1"/>
  <c r="I954" i="7"/>
  <c r="H954" i="7" s="1"/>
  <c r="G954" i="7" s="1"/>
  <c r="F954" i="7" s="1"/>
  <c r="E954" i="7" s="1"/>
  <c r="I955" i="7"/>
  <c r="H955" i="7" s="1"/>
  <c r="G955" i="7" s="1"/>
  <c r="F955" i="7" s="1"/>
  <c r="E955" i="7" s="1"/>
  <c r="I956" i="7"/>
  <c r="H956" i="7" s="1"/>
  <c r="G956" i="7" s="1"/>
  <c r="F956" i="7" s="1"/>
  <c r="E956" i="7" s="1"/>
  <c r="I957" i="7"/>
  <c r="H957" i="7" s="1"/>
  <c r="G957" i="7" s="1"/>
  <c r="F957" i="7" s="1"/>
  <c r="E957" i="7" s="1"/>
  <c r="I958" i="7"/>
  <c r="H958" i="7" s="1"/>
  <c r="G958" i="7" s="1"/>
  <c r="F958" i="7" s="1"/>
  <c r="E958" i="7" s="1"/>
  <c r="J959" i="7"/>
  <c r="K959" i="7"/>
  <c r="AF959" i="7"/>
  <c r="R959" i="7" s="1"/>
  <c r="E986" i="7"/>
  <c r="F986" i="7"/>
  <c r="G986" i="7"/>
  <c r="H986" i="7"/>
  <c r="I986" i="7"/>
  <c r="J986" i="7"/>
  <c r="K986" i="7"/>
  <c r="L986" i="7"/>
  <c r="M986" i="7"/>
  <c r="N986" i="7"/>
  <c r="L987" i="7"/>
  <c r="M987" i="7"/>
  <c r="L988" i="7"/>
  <c r="M988" i="7"/>
  <c r="L989" i="7"/>
  <c r="M989" i="7"/>
  <c r="L990" i="7"/>
  <c r="M990" i="7"/>
  <c r="L991" i="7"/>
  <c r="M991" i="7"/>
  <c r="L992" i="7"/>
  <c r="M992" i="7"/>
  <c r="L993" i="7"/>
  <c r="M993" i="7"/>
  <c r="L994" i="7"/>
  <c r="M994" i="7"/>
  <c r="L995" i="7"/>
  <c r="M995" i="7"/>
  <c r="L996" i="7"/>
  <c r="M996" i="7"/>
  <c r="L997" i="7"/>
  <c r="M997" i="7"/>
  <c r="L998" i="7"/>
  <c r="M998" i="7"/>
  <c r="L999" i="7"/>
  <c r="M999" i="7"/>
  <c r="L1000" i="7"/>
  <c r="M1000" i="7"/>
  <c r="L1001" i="7"/>
  <c r="M1001" i="7"/>
  <c r="L1002" i="7"/>
  <c r="M1002" i="7"/>
  <c r="L1003" i="7"/>
  <c r="M1003" i="7"/>
  <c r="L1004" i="7"/>
  <c r="M1004" i="7"/>
  <c r="L1005" i="7"/>
  <c r="M1005" i="7"/>
  <c r="L1006" i="7"/>
  <c r="M1006" i="7"/>
  <c r="L1007" i="7"/>
  <c r="M1007" i="7"/>
  <c r="L1008" i="7"/>
  <c r="M1008" i="7"/>
  <c r="L1009" i="7"/>
  <c r="M1009" i="7"/>
  <c r="L1010" i="7"/>
  <c r="M1010" i="7"/>
  <c r="L1011" i="7"/>
  <c r="M1011" i="7"/>
  <c r="L1012" i="7"/>
  <c r="M1012" i="7"/>
  <c r="E1013" i="7"/>
  <c r="F1013" i="7"/>
  <c r="G1013" i="7"/>
  <c r="H1013" i="7"/>
  <c r="I1013" i="7"/>
  <c r="J1013" i="7"/>
  <c r="L1013" i="7"/>
  <c r="M1013" i="7"/>
  <c r="N1013" i="7"/>
  <c r="O1013" i="7"/>
  <c r="P1013" i="7"/>
  <c r="Q1013" i="7"/>
  <c r="E1040" i="7"/>
  <c r="F1040" i="7"/>
  <c r="G1040" i="7"/>
  <c r="H1040" i="7"/>
  <c r="I1040" i="7"/>
  <c r="J1040" i="7"/>
  <c r="K1040" i="7"/>
  <c r="E1067" i="7"/>
  <c r="F1067" i="7"/>
  <c r="G1067" i="7"/>
  <c r="H1067" i="7"/>
  <c r="I1067" i="7"/>
  <c r="J1067" i="7"/>
  <c r="K1067" i="7"/>
  <c r="E1094" i="7"/>
  <c r="F1094" i="7"/>
  <c r="G1094" i="7"/>
  <c r="H1094" i="7"/>
  <c r="I1094" i="7"/>
  <c r="J1094" i="7"/>
  <c r="K1094" i="7"/>
  <c r="E1121" i="7"/>
  <c r="F1121" i="7"/>
  <c r="G1121" i="7"/>
  <c r="H1121" i="7"/>
  <c r="I1121" i="7"/>
  <c r="J1121" i="7"/>
  <c r="K1121" i="7"/>
  <c r="E1148" i="7"/>
  <c r="F1148" i="7"/>
  <c r="G1148" i="7"/>
  <c r="H1148" i="7"/>
  <c r="I1148" i="7"/>
  <c r="J1148" i="7"/>
  <c r="K1148" i="7"/>
  <c r="E1175" i="7"/>
  <c r="F1175" i="7"/>
  <c r="G1175" i="7"/>
  <c r="H1175" i="7"/>
  <c r="I1175" i="7"/>
  <c r="J1175" i="7"/>
  <c r="K1175" i="7"/>
  <c r="E1202" i="7"/>
  <c r="F1202" i="7"/>
  <c r="G1202" i="7"/>
  <c r="H1202" i="7"/>
  <c r="I1202" i="7"/>
  <c r="J1202" i="7"/>
  <c r="K1202" i="7"/>
  <c r="E1229" i="7"/>
  <c r="F1229" i="7"/>
  <c r="G1229" i="7"/>
  <c r="H1229" i="7"/>
  <c r="I1229" i="7"/>
  <c r="J1229" i="7"/>
  <c r="K1229" i="7"/>
  <c r="E1256" i="7"/>
  <c r="F1256" i="7"/>
  <c r="G1256" i="7"/>
  <c r="H1256" i="7"/>
  <c r="I1256" i="7"/>
  <c r="J1256" i="7"/>
  <c r="K1256" i="7"/>
  <c r="E34" i="1"/>
  <c r="I57" i="9" s="1"/>
  <c r="AH16" i="7"/>
  <c r="AH17" i="7" s="1"/>
  <c r="AB956" i="7" l="1"/>
  <c r="N956" i="7" s="1"/>
  <c r="AB948" i="7"/>
  <c r="N948" i="7" s="1"/>
  <c r="AB940" i="7"/>
  <c r="N940" i="7" s="1"/>
  <c r="AB928" i="7"/>
  <c r="N928" i="7" s="1"/>
  <c r="AB920" i="7"/>
  <c r="N920" i="7" s="1"/>
  <c r="AB912" i="7"/>
  <c r="N912" i="7" s="1"/>
  <c r="I932" i="7"/>
  <c r="I959" i="7"/>
  <c r="H906" i="7"/>
  <c r="H932" i="7" s="1"/>
  <c r="AB951" i="7"/>
  <c r="N951" i="7" s="1"/>
  <c r="AB943" i="7"/>
  <c r="N943" i="7" s="1"/>
  <c r="AB935" i="7"/>
  <c r="N935" i="7" s="1"/>
  <c r="AB931" i="7"/>
  <c r="N931" i="7" s="1"/>
  <c r="AB923" i="7"/>
  <c r="N923" i="7" s="1"/>
  <c r="AB915" i="7"/>
  <c r="N915" i="7" s="1"/>
  <c r="AB907" i="7"/>
  <c r="N907" i="7" s="1"/>
  <c r="AB955" i="7"/>
  <c r="N955" i="7" s="1"/>
  <c r="AA952" i="7"/>
  <c r="M952" i="7" s="1"/>
  <c r="AB947" i="7"/>
  <c r="N947" i="7" s="1"/>
  <c r="AA944" i="7"/>
  <c r="M944" i="7" s="1"/>
  <c r="AB939" i="7"/>
  <c r="N939" i="7" s="1"/>
  <c r="AA936" i="7"/>
  <c r="M936" i="7" s="1"/>
  <c r="AB927" i="7"/>
  <c r="N927" i="7" s="1"/>
  <c r="AA924" i="7"/>
  <c r="M924" i="7" s="1"/>
  <c r="AB919" i="7"/>
  <c r="N919" i="7" s="1"/>
  <c r="AA916" i="7"/>
  <c r="M916" i="7" s="1"/>
  <c r="AB911" i="7"/>
  <c r="N911" i="7" s="1"/>
  <c r="AA908" i="7"/>
  <c r="M908" i="7" s="1"/>
  <c r="AB958" i="7"/>
  <c r="N958" i="7" s="1"/>
  <c r="AB954" i="7"/>
  <c r="N954" i="7" s="1"/>
  <c r="AB950" i="7"/>
  <c r="N950" i="7" s="1"/>
  <c r="AB946" i="7"/>
  <c r="N946" i="7" s="1"/>
  <c r="AB942" i="7"/>
  <c r="N942" i="7" s="1"/>
  <c r="AB938" i="7"/>
  <c r="N938" i="7" s="1"/>
  <c r="AB934" i="7"/>
  <c r="N934" i="7" s="1"/>
  <c r="H933" i="7"/>
  <c r="AB930" i="7"/>
  <c r="N930" i="7" s="1"/>
  <c r="AB926" i="7"/>
  <c r="N926" i="7" s="1"/>
  <c r="AB922" i="7"/>
  <c r="N922" i="7" s="1"/>
  <c r="AB918" i="7"/>
  <c r="N918" i="7" s="1"/>
  <c r="AB914" i="7"/>
  <c r="N914" i="7" s="1"/>
  <c r="AB910" i="7"/>
  <c r="N910" i="7" s="1"/>
  <c r="AB906" i="7"/>
  <c r="N906" i="7" s="1"/>
  <c r="AH18" i="7"/>
  <c r="AI17" i="7"/>
  <c r="I64" i="3"/>
  <c r="I61" i="3"/>
  <c r="L52" i="3"/>
  <c r="M52" i="3" s="1"/>
  <c r="L51" i="3"/>
  <c r="M51" i="3" s="1"/>
  <c r="L50" i="3"/>
  <c r="M50" i="3" s="1"/>
  <c r="I49" i="3"/>
  <c r="L49" i="3" s="1"/>
  <c r="M49" i="3" s="1"/>
  <c r="I44" i="3"/>
  <c r="L44" i="3" s="1"/>
  <c r="M44" i="3" s="1"/>
  <c r="I43" i="3"/>
  <c r="L43" i="3" s="1"/>
  <c r="M43" i="3" s="1"/>
  <c r="L42" i="3"/>
  <c r="M42" i="3" s="1"/>
  <c r="I31" i="3"/>
  <c r="G906" i="7" l="1"/>
  <c r="AA956" i="7"/>
  <c r="M956" i="7" s="1"/>
  <c r="AA912" i="7"/>
  <c r="M912" i="7" s="1"/>
  <c r="AA928" i="7"/>
  <c r="AA940" i="7"/>
  <c r="M940" i="7" s="1"/>
  <c r="AA920" i="7"/>
  <c r="AA948" i="7"/>
  <c r="M948" i="7" s="1"/>
  <c r="Z908" i="7"/>
  <c r="L908" i="7" s="1"/>
  <c r="Z916" i="7"/>
  <c r="L916" i="7" s="1"/>
  <c r="Z924" i="7"/>
  <c r="L924" i="7" s="1"/>
  <c r="Z936" i="7"/>
  <c r="L936" i="7" s="1"/>
  <c r="Z952" i="7"/>
  <c r="L952" i="7" s="1"/>
  <c r="H959" i="7"/>
  <c r="G933" i="7"/>
  <c r="AA911" i="7"/>
  <c r="M911" i="7" s="1"/>
  <c r="AA955" i="7"/>
  <c r="M955" i="7" s="1"/>
  <c r="AA935" i="7"/>
  <c r="M935" i="7" s="1"/>
  <c r="AA943" i="7"/>
  <c r="M943" i="7" s="1"/>
  <c r="AA951" i="7"/>
  <c r="M951" i="7" s="1"/>
  <c r="G932" i="7"/>
  <c r="F906" i="7"/>
  <c r="AB909" i="7"/>
  <c r="N909" i="7" s="1"/>
  <c r="AB913" i="7"/>
  <c r="N913" i="7" s="1"/>
  <c r="AB917" i="7"/>
  <c r="N917" i="7" s="1"/>
  <c r="AB921" i="7"/>
  <c r="N921" i="7" s="1"/>
  <c r="AB925" i="7"/>
  <c r="N925" i="7" s="1"/>
  <c r="AB929" i="7"/>
  <c r="N929" i="7" s="1"/>
  <c r="AB933" i="7"/>
  <c r="N933" i="7" s="1"/>
  <c r="AB937" i="7"/>
  <c r="N937" i="7" s="1"/>
  <c r="AB941" i="7"/>
  <c r="N941" i="7" s="1"/>
  <c r="AB945" i="7"/>
  <c r="N945" i="7" s="1"/>
  <c r="AB949" i="7"/>
  <c r="N949" i="7" s="1"/>
  <c r="AB953" i="7"/>
  <c r="N953" i="7" s="1"/>
  <c r="AB957" i="7"/>
  <c r="N957" i="7" s="1"/>
  <c r="AA919" i="7"/>
  <c r="M919" i="7" s="1"/>
  <c r="AA927" i="7"/>
  <c r="M927" i="7" s="1"/>
  <c r="AA939" i="7"/>
  <c r="M939" i="7" s="1"/>
  <c r="AA947" i="7"/>
  <c r="M947" i="7" s="1"/>
  <c r="AA915" i="7"/>
  <c r="M915" i="7" s="1"/>
  <c r="AA923" i="7"/>
  <c r="M923" i="7" s="1"/>
  <c r="Z956" i="7"/>
  <c r="L956" i="7" s="1"/>
  <c r="AA906" i="7"/>
  <c r="M906" i="7" s="1"/>
  <c r="AA910" i="7"/>
  <c r="M910" i="7" s="1"/>
  <c r="AA914" i="7"/>
  <c r="M914" i="7" s="1"/>
  <c r="AA918" i="7"/>
  <c r="M918" i="7" s="1"/>
  <c r="AA922" i="7"/>
  <c r="M922" i="7" s="1"/>
  <c r="AA926" i="7"/>
  <c r="M926" i="7" s="1"/>
  <c r="AA930" i="7"/>
  <c r="M930" i="7" s="1"/>
  <c r="AA934" i="7"/>
  <c r="M934" i="7" s="1"/>
  <c r="AA938" i="7"/>
  <c r="M938" i="7" s="1"/>
  <c r="AA942" i="7"/>
  <c r="M942" i="7" s="1"/>
  <c r="AA946" i="7"/>
  <c r="M946" i="7" s="1"/>
  <c r="AA950" i="7"/>
  <c r="M950" i="7" s="1"/>
  <c r="AA954" i="7"/>
  <c r="M954" i="7" s="1"/>
  <c r="AA958" i="7"/>
  <c r="M958" i="7" s="1"/>
  <c r="Z944" i="7"/>
  <c r="L944" i="7" s="1"/>
  <c r="AA907" i="7"/>
  <c r="M907" i="7" s="1"/>
  <c r="AA931" i="7"/>
  <c r="M931" i="7" s="1"/>
  <c r="B17" i="7"/>
  <c r="A17" i="7"/>
  <c r="AH19" i="7"/>
  <c r="AI18" i="7"/>
  <c r="O32" i="3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Z948" i="7" l="1"/>
  <c r="L948" i="7" s="1"/>
  <c r="Z912" i="7"/>
  <c r="L912" i="7" s="1"/>
  <c r="Z940" i="7"/>
  <c r="L940" i="7" s="1"/>
  <c r="Z920" i="7"/>
  <c r="L920" i="7" s="1"/>
  <c r="M920" i="7"/>
  <c r="Z928" i="7"/>
  <c r="L928" i="7" s="1"/>
  <c r="M928" i="7"/>
  <c r="Z907" i="7"/>
  <c r="L907" i="7" s="1"/>
  <c r="Z910" i="7"/>
  <c r="L910" i="7" s="1"/>
  <c r="AA957" i="7"/>
  <c r="M957" i="7" s="1"/>
  <c r="AA941" i="7"/>
  <c r="M941" i="7" s="1"/>
  <c r="AA909" i="7"/>
  <c r="M909" i="7" s="1"/>
  <c r="Z951" i="7"/>
  <c r="L951" i="7" s="1"/>
  <c r="Z935" i="7"/>
  <c r="L935" i="7" s="1"/>
  <c r="Z955" i="7"/>
  <c r="L955" i="7" s="1"/>
  <c r="F933" i="7"/>
  <c r="G959" i="7"/>
  <c r="Z931" i="7"/>
  <c r="L931" i="7" s="1"/>
  <c r="Z958" i="7"/>
  <c r="L958" i="7" s="1"/>
  <c r="Z950" i="7"/>
  <c r="L950" i="7" s="1"/>
  <c r="Z942" i="7"/>
  <c r="L942" i="7" s="1"/>
  <c r="Z934" i="7"/>
  <c r="L934" i="7" s="1"/>
  <c r="Z926" i="7"/>
  <c r="L926" i="7" s="1"/>
  <c r="Z918" i="7"/>
  <c r="L918" i="7" s="1"/>
  <c r="Z923" i="7"/>
  <c r="L923" i="7" s="1"/>
  <c r="Z939" i="7"/>
  <c r="L939" i="7" s="1"/>
  <c r="Z919" i="7"/>
  <c r="L919" i="7" s="1"/>
  <c r="AA933" i="7"/>
  <c r="AB959" i="7"/>
  <c r="N959" i="7" s="1"/>
  <c r="AA925" i="7"/>
  <c r="M925" i="7" s="1"/>
  <c r="AA917" i="7"/>
  <c r="M917" i="7" s="1"/>
  <c r="Z946" i="7"/>
  <c r="L946" i="7" s="1"/>
  <c r="Z922" i="7"/>
  <c r="L922" i="7" s="1"/>
  <c r="Z914" i="7"/>
  <c r="L914" i="7" s="1"/>
  <c r="AB932" i="7"/>
  <c r="N932" i="7" s="1"/>
  <c r="AA953" i="7"/>
  <c r="M953" i="7" s="1"/>
  <c r="AA945" i="7"/>
  <c r="M945" i="7" s="1"/>
  <c r="AA937" i="7"/>
  <c r="M937" i="7" s="1"/>
  <c r="AA913" i="7"/>
  <c r="M913" i="7" s="1"/>
  <c r="E906" i="7"/>
  <c r="E932" i="7" s="1"/>
  <c r="F932" i="7"/>
  <c r="Z943" i="7"/>
  <c r="L943" i="7" s="1"/>
  <c r="Z911" i="7"/>
  <c r="L911" i="7" s="1"/>
  <c r="Z954" i="7"/>
  <c r="L954" i="7" s="1"/>
  <c r="Z938" i="7"/>
  <c r="L938" i="7" s="1"/>
  <c r="Z930" i="7"/>
  <c r="L930" i="7" s="1"/>
  <c r="Z906" i="7"/>
  <c r="L906" i="7" s="1"/>
  <c r="Z915" i="7"/>
  <c r="L915" i="7" s="1"/>
  <c r="Z947" i="7"/>
  <c r="L947" i="7" s="1"/>
  <c r="Z927" i="7"/>
  <c r="L927" i="7" s="1"/>
  <c r="AA949" i="7"/>
  <c r="M949" i="7" s="1"/>
  <c r="AA929" i="7"/>
  <c r="M929" i="7" s="1"/>
  <c r="AA921" i="7"/>
  <c r="M921" i="7" s="1"/>
  <c r="B18" i="7"/>
  <c r="A18" i="7"/>
  <c r="AH20" i="7"/>
  <c r="AI19" i="7"/>
  <c r="M933" i="7" l="1"/>
  <c r="AA959" i="7"/>
  <c r="M959" i="7" s="1"/>
  <c r="Z913" i="7"/>
  <c r="L913" i="7" s="1"/>
  <c r="Z945" i="7"/>
  <c r="L945" i="7" s="1"/>
  <c r="Z933" i="7"/>
  <c r="L933" i="7" s="1"/>
  <c r="Z921" i="7"/>
  <c r="L921" i="7" s="1"/>
  <c r="Z949" i="7"/>
  <c r="L949" i="7" s="1"/>
  <c r="Z925" i="7"/>
  <c r="L925" i="7" s="1"/>
  <c r="F959" i="7"/>
  <c r="E933" i="7"/>
  <c r="E959" i="7" s="1"/>
  <c r="Z941" i="7"/>
  <c r="L941" i="7" s="1"/>
  <c r="Z929" i="7"/>
  <c r="L929" i="7" s="1"/>
  <c r="AA932" i="7"/>
  <c r="M932" i="7" s="1"/>
  <c r="Z937" i="7"/>
  <c r="L937" i="7" s="1"/>
  <c r="Z953" i="7"/>
  <c r="L953" i="7" s="1"/>
  <c r="Z917" i="7"/>
  <c r="L917" i="7" s="1"/>
  <c r="Z909" i="7"/>
  <c r="L909" i="7" s="1"/>
  <c r="Z957" i="7"/>
  <c r="L957" i="7" s="1"/>
  <c r="B19" i="7"/>
  <c r="A19" i="7"/>
  <c r="AI20" i="7"/>
  <c r="AH21" i="7"/>
  <c r="Z932" i="7" l="1"/>
  <c r="L932" i="7" s="1"/>
  <c r="Z959" i="7"/>
  <c r="L959" i="7" s="1"/>
  <c r="B20" i="7"/>
  <c r="A20" i="7"/>
  <c r="AI21" i="7"/>
  <c r="AH22" i="7"/>
  <c r="AH23" i="7" l="1"/>
  <c r="AI22" i="7"/>
  <c r="B21" i="7"/>
  <c r="A21" i="7"/>
  <c r="B22" i="7" l="1"/>
  <c r="A22" i="7"/>
  <c r="AH24" i="7"/>
  <c r="AI23" i="7"/>
  <c r="B23" i="7" l="1"/>
  <c r="A23" i="7"/>
  <c r="AH25" i="7"/>
  <c r="AI24" i="7"/>
  <c r="B24" i="7" l="1"/>
  <c r="A24" i="7"/>
  <c r="AH26" i="7"/>
  <c r="AI25" i="7"/>
  <c r="B25" i="7" l="1"/>
  <c r="A25" i="7"/>
  <c r="AH27" i="7"/>
  <c r="AI26" i="7"/>
  <c r="B26" i="7" l="1"/>
  <c r="A26" i="7"/>
  <c r="AI27" i="7"/>
  <c r="AH28" i="7"/>
  <c r="AI28" i="7" l="1"/>
  <c r="AH29" i="7"/>
  <c r="B27" i="7"/>
  <c r="A27" i="7"/>
  <c r="AH30" i="7" l="1"/>
  <c r="AI29" i="7"/>
  <c r="B28" i="7"/>
  <c r="A28" i="7"/>
  <c r="B29" i="7" l="1"/>
  <c r="A29" i="7"/>
  <c r="AH31" i="7"/>
  <c r="AI30" i="7"/>
  <c r="B30" i="7" l="1"/>
  <c r="A30" i="7"/>
  <c r="AH32" i="7"/>
  <c r="AI31" i="7"/>
  <c r="A31" i="7" l="1"/>
  <c r="B31" i="7"/>
  <c r="AI32" i="7"/>
  <c r="AH33" i="7"/>
  <c r="E72" i="3"/>
  <c r="E68" i="3"/>
  <c r="E65" i="3"/>
  <c r="E62" i="3"/>
  <c r="E56" i="3"/>
  <c r="E54" i="3"/>
  <c r="E50" i="3"/>
  <c r="E51" i="3" s="1"/>
  <c r="E52" i="3" s="1"/>
  <c r="E48" i="3"/>
  <c r="E46" i="3"/>
  <c r="E43" i="3"/>
  <c r="E44" i="3" s="1"/>
  <c r="E41" i="3"/>
  <c r="C38" i="3"/>
  <c r="C39" i="3"/>
  <c r="C40" i="3"/>
  <c r="C41" i="3"/>
  <c r="C42" i="3"/>
  <c r="C43" i="3"/>
  <c r="C44" i="3"/>
  <c r="C45" i="3"/>
  <c r="I45" i="3" s="1"/>
  <c r="C54" i="3"/>
  <c r="C55" i="3"/>
  <c r="I55" i="3" s="1"/>
  <c r="C56" i="3"/>
  <c r="C57" i="3"/>
  <c r="C58" i="3"/>
  <c r="C59" i="3"/>
  <c r="C68" i="3"/>
  <c r="C69" i="3"/>
  <c r="C70" i="3"/>
  <c r="C71" i="3"/>
  <c r="I71" i="3" s="1"/>
  <c r="C72" i="3"/>
  <c r="C73" i="3"/>
  <c r="C74" i="3"/>
  <c r="C75" i="3"/>
  <c r="A14" i="7"/>
  <c r="B14" i="7"/>
  <c r="C14" i="7"/>
  <c r="D14" i="7"/>
  <c r="AG14" i="7"/>
  <c r="AH14" i="7"/>
  <c r="AI14" i="7"/>
  <c r="I54" i="3" l="1"/>
  <c r="AH34" i="7"/>
  <c r="AI33" i="7"/>
  <c r="A32" i="7"/>
  <c r="B32" i="7"/>
  <c r="E69" i="3"/>
  <c r="I68" i="3"/>
  <c r="E57" i="3"/>
  <c r="E58" i="3" s="1"/>
  <c r="I58" i="3" s="1"/>
  <c r="I56" i="3"/>
  <c r="E73" i="3"/>
  <c r="I72" i="3"/>
  <c r="E63" i="3"/>
  <c r="E66" i="3"/>
  <c r="E60" i="3"/>
  <c r="A33" i="7" l="1"/>
  <c r="B33" i="7"/>
  <c r="AH35" i="7"/>
  <c r="AI34" i="7"/>
  <c r="E74" i="3"/>
  <c r="I73" i="3"/>
  <c r="E70" i="3"/>
  <c r="I70" i="3" s="1"/>
  <c r="I69" i="3"/>
  <c r="I57" i="3"/>
  <c r="B34" i="7" l="1"/>
  <c r="A34" i="7"/>
  <c r="AI35" i="7"/>
  <c r="AH36" i="7"/>
  <c r="E75" i="3"/>
  <c r="I74" i="3"/>
  <c r="AI36" i="7" l="1"/>
  <c r="AH37" i="7"/>
  <c r="A35" i="7"/>
  <c r="B35" i="7"/>
  <c r="E76" i="3"/>
  <c r="I75" i="3"/>
  <c r="AI37" i="7" l="1"/>
  <c r="AH38" i="7"/>
  <c r="B36" i="7"/>
  <c r="A36" i="7"/>
  <c r="AH39" i="7" l="1"/>
  <c r="AI38" i="7"/>
  <c r="A37" i="7"/>
  <c r="B37" i="7"/>
  <c r="B38" i="7" l="1"/>
  <c r="A38" i="7"/>
  <c r="AI39" i="7"/>
  <c r="AH40" i="7"/>
  <c r="AI40" i="7" l="1"/>
  <c r="AH41" i="7"/>
  <c r="A39" i="7"/>
  <c r="B39" i="7"/>
  <c r="AH42" i="7" l="1"/>
  <c r="AI41" i="7"/>
  <c r="A40" i="7"/>
  <c r="B40" i="7"/>
  <c r="A41" i="7" l="1"/>
  <c r="B41" i="7"/>
  <c r="AH43" i="7"/>
  <c r="AI42" i="7"/>
  <c r="B42" i="7" l="1"/>
  <c r="AH44" i="7"/>
  <c r="AI43" i="7"/>
  <c r="B43" i="7" l="1"/>
  <c r="AI44" i="7"/>
  <c r="AH45" i="7"/>
  <c r="AH46" i="7" l="1"/>
  <c r="AI45" i="7"/>
  <c r="B44" i="7"/>
  <c r="B45" i="7" l="1"/>
  <c r="AH47" i="7"/>
  <c r="AI46" i="7"/>
  <c r="AI47" i="7" l="1"/>
  <c r="AH48" i="7"/>
  <c r="B46" i="7"/>
  <c r="AI48" i="7" l="1"/>
  <c r="AH49" i="7"/>
  <c r="B47" i="7"/>
  <c r="AH50" i="7" l="1"/>
  <c r="AI49" i="7"/>
  <c r="B48" i="7"/>
  <c r="B49" i="7" l="1"/>
  <c r="AH51" i="7"/>
  <c r="AI50" i="7"/>
  <c r="B50" i="7" l="1"/>
  <c r="AI51" i="7"/>
  <c r="AH52" i="7"/>
  <c r="AI52" i="7" l="1"/>
  <c r="AH53" i="7"/>
  <c r="B51" i="7"/>
  <c r="AI53" i="7" l="1"/>
  <c r="AH54" i="7"/>
  <c r="B52" i="7"/>
  <c r="AH55" i="7" l="1"/>
  <c r="AI54" i="7"/>
  <c r="B53" i="7"/>
  <c r="B54" i="7" l="1"/>
  <c r="AI55" i="7"/>
  <c r="AH56" i="7"/>
  <c r="AI56" i="7" l="1"/>
  <c r="AH57" i="7"/>
  <c r="B55" i="7"/>
  <c r="K2533" i="10"/>
  <c r="J877" i="7" s="1"/>
  <c r="K2532" i="10"/>
  <c r="J876" i="7" s="1"/>
  <c r="K2531" i="10"/>
  <c r="J875" i="7" s="1"/>
  <c r="K2530" i="10"/>
  <c r="J874" i="7" s="1"/>
  <c r="K2529" i="10"/>
  <c r="J873" i="7" s="1"/>
  <c r="K2528" i="10"/>
  <c r="J872" i="7" s="1"/>
  <c r="K2527" i="10"/>
  <c r="J871" i="7" s="1"/>
  <c r="K2526" i="10"/>
  <c r="J870" i="7" s="1"/>
  <c r="K2525" i="10"/>
  <c r="J869" i="7" s="1"/>
  <c r="K2524" i="10"/>
  <c r="J868" i="7" s="1"/>
  <c r="K2523" i="10"/>
  <c r="J867" i="7" s="1"/>
  <c r="K2522" i="10"/>
  <c r="J866" i="7" s="1"/>
  <c r="K2521" i="10"/>
  <c r="J865" i="7" s="1"/>
  <c r="K2520" i="10"/>
  <c r="J864" i="7" s="1"/>
  <c r="K2519" i="10"/>
  <c r="J863" i="7" s="1"/>
  <c r="K2518" i="10"/>
  <c r="J862" i="7" s="1"/>
  <c r="K2517" i="10"/>
  <c r="J861" i="7" s="1"/>
  <c r="K2516" i="10"/>
  <c r="J860" i="7" s="1"/>
  <c r="K2515" i="10"/>
  <c r="J859" i="7" s="1"/>
  <c r="K2514" i="10"/>
  <c r="J858" i="7" s="1"/>
  <c r="K2513" i="10"/>
  <c r="J857" i="7" s="1"/>
  <c r="K2512" i="10"/>
  <c r="J856" i="7" s="1"/>
  <c r="K2511" i="10"/>
  <c r="J855" i="7" s="1"/>
  <c r="K2510" i="10"/>
  <c r="J854" i="7" s="1"/>
  <c r="K2509" i="10"/>
  <c r="J853" i="7" s="1"/>
  <c r="K2508" i="10"/>
  <c r="J852" i="7" s="1"/>
  <c r="K1361" i="10"/>
  <c r="J904" i="7" s="1"/>
  <c r="K1360" i="10"/>
  <c r="J903" i="7" s="1"/>
  <c r="K1359" i="10"/>
  <c r="J902" i="7" s="1"/>
  <c r="K1358" i="10"/>
  <c r="J901" i="7" s="1"/>
  <c r="K1357" i="10"/>
  <c r="J900" i="7" s="1"/>
  <c r="K1356" i="10"/>
  <c r="J899" i="7" s="1"/>
  <c r="K1355" i="10"/>
  <c r="J898" i="7" s="1"/>
  <c r="K1354" i="10"/>
  <c r="J897" i="7" s="1"/>
  <c r="K1353" i="10"/>
  <c r="J896" i="7" s="1"/>
  <c r="K1352" i="10"/>
  <c r="J895" i="7" s="1"/>
  <c r="K1351" i="10"/>
  <c r="J894" i="7" s="1"/>
  <c r="K1350" i="10"/>
  <c r="J893" i="7" s="1"/>
  <c r="K1349" i="10"/>
  <c r="J892" i="7" s="1"/>
  <c r="K1348" i="10"/>
  <c r="J891" i="7" s="1"/>
  <c r="K1347" i="10"/>
  <c r="J890" i="7" s="1"/>
  <c r="K1346" i="10"/>
  <c r="J889" i="7" s="1"/>
  <c r="K1345" i="10"/>
  <c r="J888" i="7" s="1"/>
  <c r="K1344" i="10"/>
  <c r="J887" i="7" s="1"/>
  <c r="K1343" i="10"/>
  <c r="J886" i="7" s="1"/>
  <c r="K1342" i="10"/>
  <c r="J885" i="7" s="1"/>
  <c r="K1341" i="10"/>
  <c r="J884" i="7" s="1"/>
  <c r="K1340" i="10"/>
  <c r="J883" i="7" s="1"/>
  <c r="K1339" i="10"/>
  <c r="J882" i="7" s="1"/>
  <c r="K1338" i="10"/>
  <c r="J881" i="7" s="1"/>
  <c r="K1337" i="10"/>
  <c r="J880" i="7" s="1"/>
  <c r="K1336" i="10"/>
  <c r="J879" i="7" s="1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683" i="10"/>
  <c r="K682" i="10"/>
  <c r="K681" i="10"/>
  <c r="K680" i="10"/>
  <c r="K679" i="10"/>
  <c r="K678" i="10"/>
  <c r="K677" i="10"/>
  <c r="K676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1" i="10"/>
  <c r="K330" i="10"/>
  <c r="K329" i="10"/>
  <c r="K328" i="10"/>
  <c r="K327" i="10"/>
  <c r="K326" i="10"/>
  <c r="K325" i="10"/>
  <c r="K324" i="10"/>
  <c r="G16" i="9" s="1"/>
  <c r="K323" i="10"/>
  <c r="K322" i="10"/>
  <c r="K321" i="10"/>
  <c r="K319" i="10"/>
  <c r="K332" i="10"/>
  <c r="K320" i="10"/>
  <c r="G26" i="9" l="1"/>
  <c r="K675" i="10"/>
  <c r="AH58" i="7"/>
  <c r="AI57" i="7"/>
  <c r="B56" i="7"/>
  <c r="I332" i="10"/>
  <c r="B57" i="7" l="1"/>
  <c r="AH59" i="7"/>
  <c r="AI58" i="7"/>
  <c r="AI16" i="7"/>
  <c r="B51" i="1"/>
  <c r="C51" i="1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6" i="8"/>
  <c r="A536" i="8"/>
  <c r="B536" i="8"/>
  <c r="C536" i="8" s="1"/>
  <c r="D536" i="8" s="1"/>
  <c r="E536" i="8"/>
  <c r="G536" i="8"/>
  <c r="H536" i="8"/>
  <c r="A537" i="8"/>
  <c r="B537" i="8"/>
  <c r="C537" i="8" s="1"/>
  <c r="E537" i="8"/>
  <c r="G537" i="8"/>
  <c r="H537" i="8"/>
  <c r="A538" i="8"/>
  <c r="B538" i="8"/>
  <c r="C538" i="8" s="1"/>
  <c r="E538" i="8"/>
  <c r="G538" i="8"/>
  <c r="H538" i="8"/>
  <c r="A539" i="8"/>
  <c r="B539" i="8"/>
  <c r="C539" i="8" s="1"/>
  <c r="E539" i="8"/>
  <c r="G539" i="8"/>
  <c r="H539" i="8"/>
  <c r="D213" i="3"/>
  <c r="B58" i="7" l="1"/>
  <c r="AH60" i="7"/>
  <c r="AI59" i="7"/>
  <c r="B16" i="7"/>
  <c r="A16" i="7"/>
  <c r="AI15" i="7"/>
  <c r="D537" i="8"/>
  <c r="D538" i="8"/>
  <c r="D539" i="8"/>
  <c r="B59" i="7" l="1"/>
  <c r="AI60" i="7"/>
  <c r="AH61" i="7"/>
  <c r="AG17" i="7"/>
  <c r="AF631" i="7"/>
  <c r="AH62" i="7" l="1"/>
  <c r="AI61" i="7"/>
  <c r="B60" i="7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B61" i="7" l="1"/>
  <c r="AH63" i="7"/>
  <c r="AI62" i="7"/>
  <c r="D276" i="3"/>
  <c r="B62" i="7" l="1"/>
  <c r="AH64" i="7"/>
  <c r="AI63" i="7"/>
  <c r="C132" i="3"/>
  <c r="C133" i="3"/>
  <c r="C134" i="3"/>
  <c r="C135" i="3"/>
  <c r="C131" i="3"/>
  <c r="B63" i="7" l="1"/>
  <c r="AI64" i="7"/>
  <c r="AH65" i="7"/>
  <c r="J675" i="10"/>
  <c r="AH66" i="7" l="1"/>
  <c r="AI65" i="7"/>
  <c r="B64" i="7"/>
  <c r="B65" i="7" l="1"/>
  <c r="AH67" i="7"/>
  <c r="AI66" i="7"/>
  <c r="B66" i="7" l="1"/>
  <c r="AH68" i="7"/>
  <c r="AI67" i="7"/>
  <c r="B67" i="7" l="1"/>
  <c r="AI68" i="7"/>
  <c r="AH69" i="7"/>
  <c r="AI69" i="7" l="1"/>
  <c r="AH70" i="7"/>
  <c r="B68" i="7"/>
  <c r="AH71" i="7" l="1"/>
  <c r="AI70" i="7"/>
  <c r="B69" i="7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B59" i="1"/>
  <c r="C59" i="1" s="1"/>
  <c r="B60" i="1"/>
  <c r="C60" i="1" s="1"/>
  <c r="D237" i="3"/>
  <c r="D238" i="3"/>
  <c r="D239" i="3"/>
  <c r="D240" i="3"/>
  <c r="D241" i="3"/>
  <c r="D242" i="3"/>
  <c r="D243" i="3"/>
  <c r="D244" i="3"/>
  <c r="D245" i="3"/>
  <c r="D246" i="3"/>
  <c r="D247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4" i="3"/>
  <c r="D265" i="3"/>
  <c r="D266" i="3"/>
  <c r="D267" i="3"/>
  <c r="D268" i="3"/>
  <c r="D269" i="3"/>
  <c r="D270" i="3"/>
  <c r="D271" i="3"/>
  <c r="D272" i="3"/>
  <c r="D273" i="3"/>
  <c r="D274" i="3"/>
  <c r="D236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80" i="3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2" i="1"/>
  <c r="C52" i="1" s="1"/>
  <c r="B53" i="1"/>
  <c r="C53" i="1" s="1"/>
  <c r="B54" i="1"/>
  <c r="C54" i="1" s="1"/>
  <c r="B55" i="1"/>
  <c r="C55" i="1" s="1"/>
  <c r="B56" i="1"/>
  <c r="C56" i="1" s="1"/>
  <c r="B58" i="1"/>
  <c r="C58" i="1" s="1"/>
  <c r="C105" i="3"/>
  <c r="D157" i="3" s="1"/>
  <c r="C106" i="3"/>
  <c r="D158" i="3" s="1"/>
  <c r="C107" i="3"/>
  <c r="D159" i="3" s="1"/>
  <c r="C108" i="3"/>
  <c r="D160" i="3" s="1"/>
  <c r="C109" i="3"/>
  <c r="D161" i="3" s="1"/>
  <c r="I2507" i="10"/>
  <c r="H2507" i="10" s="1"/>
  <c r="G2507" i="10" s="1"/>
  <c r="F2507" i="10" s="1"/>
  <c r="I2506" i="10"/>
  <c r="H2506" i="10" s="1"/>
  <c r="G2506" i="10" s="1"/>
  <c r="F2506" i="10" s="1"/>
  <c r="I2505" i="10"/>
  <c r="H2505" i="10" s="1"/>
  <c r="G2505" i="10" s="1"/>
  <c r="F2505" i="10" s="1"/>
  <c r="I2504" i="10"/>
  <c r="H2504" i="10" s="1"/>
  <c r="G2504" i="10" s="1"/>
  <c r="F2504" i="10" s="1"/>
  <c r="I2503" i="10"/>
  <c r="H2503" i="10" s="1"/>
  <c r="G2503" i="10" s="1"/>
  <c r="F2503" i="10" s="1"/>
  <c r="I2502" i="10"/>
  <c r="H2502" i="10" s="1"/>
  <c r="G2502" i="10" s="1"/>
  <c r="F2502" i="10" s="1"/>
  <c r="I2501" i="10"/>
  <c r="H2501" i="10" s="1"/>
  <c r="G2501" i="10" s="1"/>
  <c r="F2501" i="10" s="1"/>
  <c r="I2500" i="10"/>
  <c r="H2500" i="10" s="1"/>
  <c r="G2500" i="10" s="1"/>
  <c r="F2500" i="10" s="1"/>
  <c r="I2499" i="10"/>
  <c r="H2499" i="10" s="1"/>
  <c r="G2499" i="10" s="1"/>
  <c r="F2499" i="10" s="1"/>
  <c r="I2498" i="10"/>
  <c r="H2498" i="10" s="1"/>
  <c r="G2498" i="10" s="1"/>
  <c r="F2498" i="10" s="1"/>
  <c r="I2497" i="10"/>
  <c r="H2497" i="10" s="1"/>
  <c r="G2497" i="10" s="1"/>
  <c r="F2497" i="10" s="1"/>
  <c r="I2496" i="10"/>
  <c r="H2496" i="10" s="1"/>
  <c r="G2496" i="10" s="1"/>
  <c r="F2496" i="10" s="1"/>
  <c r="I2495" i="10"/>
  <c r="H2495" i="10" s="1"/>
  <c r="G2495" i="10" s="1"/>
  <c r="F2495" i="10" s="1"/>
  <c r="I2494" i="10"/>
  <c r="H2494" i="10" s="1"/>
  <c r="G2494" i="10" s="1"/>
  <c r="F2494" i="10" s="1"/>
  <c r="I2493" i="10"/>
  <c r="H2493" i="10" s="1"/>
  <c r="G2493" i="10" s="1"/>
  <c r="F2493" i="10" s="1"/>
  <c r="I2492" i="10"/>
  <c r="H2492" i="10" s="1"/>
  <c r="G2492" i="10" s="1"/>
  <c r="F2492" i="10" s="1"/>
  <c r="I2491" i="10"/>
  <c r="H2491" i="10" s="1"/>
  <c r="G2491" i="10" s="1"/>
  <c r="F2491" i="10" s="1"/>
  <c r="I2490" i="10"/>
  <c r="H2490" i="10" s="1"/>
  <c r="G2490" i="10" s="1"/>
  <c r="F2490" i="10" s="1"/>
  <c r="I2489" i="10"/>
  <c r="H2489" i="10" s="1"/>
  <c r="G2489" i="10" s="1"/>
  <c r="F2489" i="10" s="1"/>
  <c r="I2488" i="10"/>
  <c r="H2488" i="10" s="1"/>
  <c r="G2488" i="10" s="1"/>
  <c r="F2488" i="10" s="1"/>
  <c r="I2487" i="10"/>
  <c r="H2487" i="10" s="1"/>
  <c r="G2487" i="10" s="1"/>
  <c r="F2487" i="10" s="1"/>
  <c r="I2486" i="10"/>
  <c r="H2486" i="10" s="1"/>
  <c r="G2486" i="10" s="1"/>
  <c r="F2486" i="10" s="1"/>
  <c r="I2485" i="10"/>
  <c r="H2485" i="10" s="1"/>
  <c r="G2485" i="10" s="1"/>
  <c r="F2485" i="10" s="1"/>
  <c r="I2484" i="10"/>
  <c r="H2484" i="10" s="1"/>
  <c r="G2484" i="10" s="1"/>
  <c r="F2484" i="10" s="1"/>
  <c r="I2483" i="10"/>
  <c r="H2483" i="10" s="1"/>
  <c r="G2483" i="10" s="1"/>
  <c r="F2483" i="10" s="1"/>
  <c r="I2482" i="10"/>
  <c r="H2482" i="10" s="1"/>
  <c r="G2482" i="10" s="1"/>
  <c r="F2482" i="10" s="1"/>
  <c r="I2403" i="10"/>
  <c r="H2403" i="10" s="1"/>
  <c r="G2403" i="10" s="1"/>
  <c r="F2403" i="10" s="1"/>
  <c r="I2402" i="10"/>
  <c r="H2402" i="10" s="1"/>
  <c r="G2402" i="10" s="1"/>
  <c r="F2402" i="10" s="1"/>
  <c r="I2401" i="10"/>
  <c r="H2401" i="10" s="1"/>
  <c r="G2401" i="10" s="1"/>
  <c r="F2401" i="10" s="1"/>
  <c r="I2400" i="10"/>
  <c r="H2400" i="10" s="1"/>
  <c r="G2400" i="10" s="1"/>
  <c r="F2400" i="10" s="1"/>
  <c r="I2399" i="10"/>
  <c r="H2399" i="10" s="1"/>
  <c r="G2399" i="10" s="1"/>
  <c r="F2399" i="10" s="1"/>
  <c r="I2398" i="10"/>
  <c r="H2398" i="10" s="1"/>
  <c r="G2398" i="10" s="1"/>
  <c r="F2398" i="10" s="1"/>
  <c r="I2397" i="10"/>
  <c r="H2397" i="10" s="1"/>
  <c r="G2397" i="10" s="1"/>
  <c r="F2397" i="10" s="1"/>
  <c r="I2396" i="10"/>
  <c r="H2396" i="10" s="1"/>
  <c r="G2396" i="10" s="1"/>
  <c r="F2396" i="10" s="1"/>
  <c r="I2395" i="10"/>
  <c r="H2395" i="10" s="1"/>
  <c r="G2395" i="10" s="1"/>
  <c r="F2395" i="10" s="1"/>
  <c r="I2394" i="10"/>
  <c r="H2394" i="10" s="1"/>
  <c r="G2394" i="10" s="1"/>
  <c r="F2394" i="10" s="1"/>
  <c r="I2393" i="10"/>
  <c r="H2393" i="10" s="1"/>
  <c r="G2393" i="10" s="1"/>
  <c r="F2393" i="10" s="1"/>
  <c r="I2392" i="10"/>
  <c r="H2392" i="10" s="1"/>
  <c r="G2392" i="10" s="1"/>
  <c r="F2392" i="10" s="1"/>
  <c r="I2391" i="10"/>
  <c r="H2391" i="10" s="1"/>
  <c r="G2391" i="10" s="1"/>
  <c r="F2391" i="10" s="1"/>
  <c r="I2390" i="10"/>
  <c r="H2390" i="10" s="1"/>
  <c r="G2390" i="10" s="1"/>
  <c r="F2390" i="10" s="1"/>
  <c r="I2389" i="10"/>
  <c r="H2389" i="10" s="1"/>
  <c r="G2389" i="10" s="1"/>
  <c r="F2389" i="10" s="1"/>
  <c r="I2388" i="10"/>
  <c r="H2388" i="10" s="1"/>
  <c r="G2388" i="10" s="1"/>
  <c r="F2388" i="10" s="1"/>
  <c r="I2387" i="10"/>
  <c r="H2387" i="10" s="1"/>
  <c r="G2387" i="10" s="1"/>
  <c r="F2387" i="10" s="1"/>
  <c r="I2386" i="10"/>
  <c r="H2386" i="10" s="1"/>
  <c r="G2386" i="10" s="1"/>
  <c r="F2386" i="10" s="1"/>
  <c r="I2385" i="10"/>
  <c r="H2385" i="10" s="1"/>
  <c r="G2385" i="10" s="1"/>
  <c r="F2385" i="10" s="1"/>
  <c r="I2384" i="10"/>
  <c r="H2384" i="10" s="1"/>
  <c r="G2384" i="10" s="1"/>
  <c r="F2384" i="10" s="1"/>
  <c r="I2383" i="10"/>
  <c r="H2383" i="10" s="1"/>
  <c r="G2383" i="10" s="1"/>
  <c r="F2383" i="10" s="1"/>
  <c r="I2382" i="10"/>
  <c r="H2382" i="10" s="1"/>
  <c r="G2382" i="10" s="1"/>
  <c r="F2382" i="10" s="1"/>
  <c r="I2381" i="10"/>
  <c r="H2381" i="10" s="1"/>
  <c r="G2381" i="10" s="1"/>
  <c r="F2381" i="10" s="1"/>
  <c r="I2380" i="10"/>
  <c r="H2380" i="10" s="1"/>
  <c r="G2380" i="10" s="1"/>
  <c r="F2380" i="10" s="1"/>
  <c r="I2379" i="10"/>
  <c r="H2379" i="10" s="1"/>
  <c r="G2379" i="10" s="1"/>
  <c r="F2379" i="10" s="1"/>
  <c r="I2378" i="10"/>
  <c r="H2378" i="10" s="1"/>
  <c r="G2378" i="10" s="1"/>
  <c r="F2378" i="10" s="1"/>
  <c r="I2429" i="10"/>
  <c r="H2429" i="10" s="1"/>
  <c r="G2429" i="10" s="1"/>
  <c r="F2429" i="10" s="1"/>
  <c r="I2428" i="10"/>
  <c r="H2428" i="10" s="1"/>
  <c r="G2428" i="10" s="1"/>
  <c r="F2428" i="10" s="1"/>
  <c r="I2427" i="10"/>
  <c r="H2427" i="10" s="1"/>
  <c r="G2427" i="10" s="1"/>
  <c r="F2427" i="10" s="1"/>
  <c r="I2426" i="10"/>
  <c r="H2426" i="10" s="1"/>
  <c r="G2426" i="10" s="1"/>
  <c r="F2426" i="10" s="1"/>
  <c r="I2425" i="10"/>
  <c r="H2425" i="10" s="1"/>
  <c r="G2425" i="10" s="1"/>
  <c r="F2425" i="10" s="1"/>
  <c r="I2424" i="10"/>
  <c r="H2424" i="10" s="1"/>
  <c r="G2424" i="10" s="1"/>
  <c r="F2424" i="10" s="1"/>
  <c r="I2423" i="10"/>
  <c r="H2423" i="10" s="1"/>
  <c r="G2423" i="10" s="1"/>
  <c r="F2423" i="10" s="1"/>
  <c r="I2422" i="10"/>
  <c r="H2422" i="10" s="1"/>
  <c r="G2422" i="10" s="1"/>
  <c r="F2422" i="10" s="1"/>
  <c r="I2421" i="10"/>
  <c r="H2421" i="10" s="1"/>
  <c r="G2421" i="10" s="1"/>
  <c r="F2421" i="10" s="1"/>
  <c r="I2420" i="10"/>
  <c r="H2420" i="10" s="1"/>
  <c r="G2420" i="10" s="1"/>
  <c r="F2420" i="10" s="1"/>
  <c r="I2419" i="10"/>
  <c r="H2419" i="10" s="1"/>
  <c r="G2419" i="10" s="1"/>
  <c r="F2419" i="10" s="1"/>
  <c r="I2418" i="10"/>
  <c r="H2418" i="10" s="1"/>
  <c r="G2418" i="10" s="1"/>
  <c r="F2418" i="10" s="1"/>
  <c r="I2417" i="10"/>
  <c r="H2417" i="10" s="1"/>
  <c r="G2417" i="10" s="1"/>
  <c r="F2417" i="10" s="1"/>
  <c r="I2416" i="10"/>
  <c r="H2416" i="10" s="1"/>
  <c r="G2416" i="10" s="1"/>
  <c r="F2416" i="10" s="1"/>
  <c r="I2415" i="10"/>
  <c r="H2415" i="10" s="1"/>
  <c r="G2415" i="10" s="1"/>
  <c r="F2415" i="10" s="1"/>
  <c r="I2414" i="10"/>
  <c r="H2414" i="10" s="1"/>
  <c r="G2414" i="10" s="1"/>
  <c r="F2414" i="10" s="1"/>
  <c r="I2413" i="10"/>
  <c r="H2413" i="10" s="1"/>
  <c r="G2413" i="10" s="1"/>
  <c r="F2413" i="10" s="1"/>
  <c r="I2412" i="10"/>
  <c r="H2412" i="10" s="1"/>
  <c r="G2412" i="10" s="1"/>
  <c r="F2412" i="10" s="1"/>
  <c r="I2411" i="10"/>
  <c r="H2411" i="10" s="1"/>
  <c r="G2411" i="10" s="1"/>
  <c r="F2411" i="10" s="1"/>
  <c r="I2410" i="10"/>
  <c r="H2410" i="10" s="1"/>
  <c r="G2410" i="10" s="1"/>
  <c r="F2410" i="10" s="1"/>
  <c r="I2409" i="10"/>
  <c r="H2409" i="10" s="1"/>
  <c r="G2409" i="10" s="1"/>
  <c r="F2409" i="10" s="1"/>
  <c r="I2408" i="10"/>
  <c r="H2408" i="10" s="1"/>
  <c r="G2408" i="10" s="1"/>
  <c r="F2408" i="10" s="1"/>
  <c r="I2407" i="10"/>
  <c r="H2407" i="10" s="1"/>
  <c r="G2407" i="10" s="1"/>
  <c r="F2407" i="10" s="1"/>
  <c r="I2406" i="10"/>
  <c r="H2406" i="10" s="1"/>
  <c r="G2406" i="10" s="1"/>
  <c r="F2406" i="10" s="1"/>
  <c r="I2405" i="10"/>
  <c r="H2405" i="10" s="1"/>
  <c r="G2405" i="10" s="1"/>
  <c r="F2405" i="10" s="1"/>
  <c r="I2404" i="10"/>
  <c r="H2404" i="10" s="1"/>
  <c r="G2404" i="10" s="1"/>
  <c r="F2404" i="10" s="1"/>
  <c r="I2351" i="10"/>
  <c r="H2351" i="10" s="1"/>
  <c r="G2351" i="10" s="1"/>
  <c r="F2351" i="10" s="1"/>
  <c r="I2350" i="10"/>
  <c r="H2350" i="10" s="1"/>
  <c r="G2350" i="10" s="1"/>
  <c r="F2350" i="10" s="1"/>
  <c r="I2349" i="10"/>
  <c r="H2349" i="10" s="1"/>
  <c r="G2349" i="10" s="1"/>
  <c r="F2349" i="10" s="1"/>
  <c r="I2348" i="10"/>
  <c r="H2348" i="10" s="1"/>
  <c r="G2348" i="10" s="1"/>
  <c r="F2348" i="10" s="1"/>
  <c r="I2347" i="10"/>
  <c r="H2347" i="10" s="1"/>
  <c r="G2347" i="10" s="1"/>
  <c r="F2347" i="10" s="1"/>
  <c r="I2346" i="10"/>
  <c r="H2346" i="10" s="1"/>
  <c r="G2346" i="10" s="1"/>
  <c r="F2346" i="10" s="1"/>
  <c r="I2345" i="10"/>
  <c r="H2345" i="10" s="1"/>
  <c r="G2345" i="10" s="1"/>
  <c r="F2345" i="10" s="1"/>
  <c r="I2344" i="10"/>
  <c r="H2344" i="10" s="1"/>
  <c r="G2344" i="10" s="1"/>
  <c r="F2344" i="10" s="1"/>
  <c r="I2343" i="10"/>
  <c r="H2343" i="10" s="1"/>
  <c r="G2343" i="10" s="1"/>
  <c r="F2343" i="10" s="1"/>
  <c r="I2342" i="10"/>
  <c r="H2342" i="10" s="1"/>
  <c r="G2342" i="10" s="1"/>
  <c r="F2342" i="10" s="1"/>
  <c r="I2341" i="10"/>
  <c r="H2341" i="10" s="1"/>
  <c r="G2341" i="10" s="1"/>
  <c r="F2341" i="10" s="1"/>
  <c r="I2340" i="10"/>
  <c r="H2340" i="10" s="1"/>
  <c r="G2340" i="10" s="1"/>
  <c r="F2340" i="10" s="1"/>
  <c r="I2339" i="10"/>
  <c r="H2339" i="10" s="1"/>
  <c r="G2339" i="10" s="1"/>
  <c r="F2339" i="10" s="1"/>
  <c r="I2338" i="10"/>
  <c r="H2338" i="10" s="1"/>
  <c r="G2338" i="10" s="1"/>
  <c r="F2338" i="10" s="1"/>
  <c r="I2337" i="10"/>
  <c r="H2337" i="10" s="1"/>
  <c r="G2337" i="10" s="1"/>
  <c r="F2337" i="10" s="1"/>
  <c r="I2336" i="10"/>
  <c r="H2336" i="10" s="1"/>
  <c r="G2336" i="10" s="1"/>
  <c r="F2336" i="10" s="1"/>
  <c r="I2335" i="10"/>
  <c r="H2335" i="10" s="1"/>
  <c r="G2335" i="10" s="1"/>
  <c r="F2335" i="10" s="1"/>
  <c r="I2334" i="10"/>
  <c r="H2334" i="10" s="1"/>
  <c r="G2334" i="10" s="1"/>
  <c r="F2334" i="10" s="1"/>
  <c r="I2333" i="10"/>
  <c r="H2333" i="10" s="1"/>
  <c r="G2333" i="10" s="1"/>
  <c r="F2333" i="10" s="1"/>
  <c r="I2332" i="10"/>
  <c r="H2332" i="10" s="1"/>
  <c r="G2332" i="10" s="1"/>
  <c r="F2332" i="10" s="1"/>
  <c r="I2331" i="10"/>
  <c r="H2331" i="10" s="1"/>
  <c r="G2331" i="10" s="1"/>
  <c r="F2331" i="10" s="1"/>
  <c r="I2330" i="10"/>
  <c r="H2330" i="10" s="1"/>
  <c r="G2330" i="10" s="1"/>
  <c r="F2330" i="10" s="1"/>
  <c r="I2329" i="10"/>
  <c r="H2329" i="10" s="1"/>
  <c r="G2329" i="10" s="1"/>
  <c r="F2329" i="10" s="1"/>
  <c r="I2328" i="10"/>
  <c r="H2328" i="10" s="1"/>
  <c r="G2328" i="10" s="1"/>
  <c r="F2328" i="10" s="1"/>
  <c r="I2327" i="10"/>
  <c r="H2327" i="10" s="1"/>
  <c r="G2327" i="10" s="1"/>
  <c r="F2327" i="10" s="1"/>
  <c r="I2326" i="10"/>
  <c r="H2326" i="10" s="1"/>
  <c r="G2326" i="10" s="1"/>
  <c r="F2326" i="10" s="1"/>
  <c r="I2377" i="10"/>
  <c r="H2377" i="10" s="1"/>
  <c r="G2377" i="10" s="1"/>
  <c r="F2377" i="10" s="1"/>
  <c r="I2376" i="10"/>
  <c r="H2376" i="10" s="1"/>
  <c r="G2376" i="10" s="1"/>
  <c r="F2376" i="10" s="1"/>
  <c r="I2375" i="10"/>
  <c r="H2375" i="10" s="1"/>
  <c r="G2375" i="10" s="1"/>
  <c r="F2375" i="10" s="1"/>
  <c r="I2374" i="10"/>
  <c r="H2374" i="10" s="1"/>
  <c r="G2374" i="10" s="1"/>
  <c r="F2374" i="10" s="1"/>
  <c r="I2373" i="10"/>
  <c r="H2373" i="10" s="1"/>
  <c r="G2373" i="10" s="1"/>
  <c r="F2373" i="10" s="1"/>
  <c r="I2372" i="10"/>
  <c r="H2372" i="10" s="1"/>
  <c r="G2372" i="10" s="1"/>
  <c r="F2372" i="10" s="1"/>
  <c r="I2371" i="10"/>
  <c r="H2371" i="10" s="1"/>
  <c r="G2371" i="10" s="1"/>
  <c r="F2371" i="10" s="1"/>
  <c r="I2370" i="10"/>
  <c r="H2370" i="10" s="1"/>
  <c r="G2370" i="10" s="1"/>
  <c r="F2370" i="10" s="1"/>
  <c r="I2369" i="10"/>
  <c r="H2369" i="10" s="1"/>
  <c r="G2369" i="10" s="1"/>
  <c r="F2369" i="10" s="1"/>
  <c r="I2368" i="10"/>
  <c r="H2368" i="10" s="1"/>
  <c r="G2368" i="10" s="1"/>
  <c r="F2368" i="10" s="1"/>
  <c r="I2367" i="10"/>
  <c r="H2367" i="10" s="1"/>
  <c r="G2367" i="10" s="1"/>
  <c r="F2367" i="10" s="1"/>
  <c r="I2366" i="10"/>
  <c r="H2366" i="10" s="1"/>
  <c r="G2366" i="10" s="1"/>
  <c r="F2366" i="10" s="1"/>
  <c r="I2365" i="10"/>
  <c r="H2365" i="10" s="1"/>
  <c r="G2365" i="10" s="1"/>
  <c r="F2365" i="10" s="1"/>
  <c r="I2364" i="10"/>
  <c r="H2364" i="10" s="1"/>
  <c r="G2364" i="10" s="1"/>
  <c r="F2364" i="10" s="1"/>
  <c r="I2363" i="10"/>
  <c r="H2363" i="10" s="1"/>
  <c r="G2363" i="10" s="1"/>
  <c r="F2363" i="10" s="1"/>
  <c r="I2362" i="10"/>
  <c r="H2362" i="10" s="1"/>
  <c r="G2362" i="10" s="1"/>
  <c r="F2362" i="10" s="1"/>
  <c r="I2361" i="10"/>
  <c r="H2361" i="10" s="1"/>
  <c r="G2361" i="10" s="1"/>
  <c r="F2361" i="10" s="1"/>
  <c r="I2360" i="10"/>
  <c r="H2360" i="10" s="1"/>
  <c r="G2360" i="10" s="1"/>
  <c r="F2360" i="10" s="1"/>
  <c r="I2359" i="10"/>
  <c r="H2359" i="10" s="1"/>
  <c r="G2359" i="10" s="1"/>
  <c r="F2359" i="10" s="1"/>
  <c r="I2358" i="10"/>
  <c r="H2358" i="10" s="1"/>
  <c r="G2358" i="10" s="1"/>
  <c r="F2358" i="10" s="1"/>
  <c r="I2357" i="10"/>
  <c r="H2357" i="10" s="1"/>
  <c r="G2357" i="10" s="1"/>
  <c r="F2357" i="10" s="1"/>
  <c r="I2356" i="10"/>
  <c r="H2356" i="10" s="1"/>
  <c r="G2356" i="10" s="1"/>
  <c r="F2356" i="10" s="1"/>
  <c r="I2355" i="10"/>
  <c r="H2355" i="10" s="1"/>
  <c r="G2355" i="10" s="1"/>
  <c r="F2355" i="10" s="1"/>
  <c r="I2354" i="10"/>
  <c r="H2354" i="10" s="1"/>
  <c r="G2354" i="10" s="1"/>
  <c r="F2354" i="10" s="1"/>
  <c r="I2353" i="10"/>
  <c r="H2353" i="10" s="1"/>
  <c r="G2353" i="10" s="1"/>
  <c r="F2353" i="10" s="1"/>
  <c r="I2352" i="10"/>
  <c r="H2352" i="10" s="1"/>
  <c r="G2352" i="10" s="1"/>
  <c r="F2352" i="10" s="1"/>
  <c r="I2325" i="10"/>
  <c r="H2325" i="10" s="1"/>
  <c r="G2325" i="10" s="1"/>
  <c r="F2325" i="10" s="1"/>
  <c r="I2324" i="10"/>
  <c r="H2324" i="10" s="1"/>
  <c r="G2324" i="10" s="1"/>
  <c r="F2324" i="10" s="1"/>
  <c r="I2323" i="10"/>
  <c r="H2323" i="10" s="1"/>
  <c r="G2323" i="10" s="1"/>
  <c r="F2323" i="10" s="1"/>
  <c r="I2322" i="10"/>
  <c r="H2322" i="10" s="1"/>
  <c r="G2322" i="10" s="1"/>
  <c r="F2322" i="10" s="1"/>
  <c r="I2321" i="10"/>
  <c r="H2321" i="10" s="1"/>
  <c r="G2321" i="10" s="1"/>
  <c r="F2321" i="10" s="1"/>
  <c r="I2320" i="10"/>
  <c r="H2320" i="10" s="1"/>
  <c r="G2320" i="10" s="1"/>
  <c r="F2320" i="10" s="1"/>
  <c r="I2319" i="10"/>
  <c r="H2319" i="10" s="1"/>
  <c r="G2319" i="10" s="1"/>
  <c r="F2319" i="10" s="1"/>
  <c r="I2318" i="10"/>
  <c r="H2318" i="10" s="1"/>
  <c r="G2318" i="10" s="1"/>
  <c r="F2318" i="10" s="1"/>
  <c r="I2317" i="10"/>
  <c r="H2317" i="10" s="1"/>
  <c r="G2317" i="10" s="1"/>
  <c r="F2317" i="10" s="1"/>
  <c r="I2316" i="10"/>
  <c r="H2316" i="10" s="1"/>
  <c r="G2316" i="10" s="1"/>
  <c r="F2316" i="10" s="1"/>
  <c r="I2315" i="10"/>
  <c r="H2315" i="10" s="1"/>
  <c r="G2315" i="10" s="1"/>
  <c r="F2315" i="10" s="1"/>
  <c r="I2314" i="10"/>
  <c r="H2314" i="10" s="1"/>
  <c r="G2314" i="10" s="1"/>
  <c r="F2314" i="10" s="1"/>
  <c r="I2313" i="10"/>
  <c r="H2313" i="10" s="1"/>
  <c r="G2313" i="10" s="1"/>
  <c r="F2313" i="10" s="1"/>
  <c r="I2312" i="10"/>
  <c r="H2312" i="10" s="1"/>
  <c r="G2312" i="10" s="1"/>
  <c r="F2312" i="10" s="1"/>
  <c r="I2311" i="10"/>
  <c r="H2311" i="10" s="1"/>
  <c r="G2311" i="10" s="1"/>
  <c r="F2311" i="10" s="1"/>
  <c r="I2310" i="10"/>
  <c r="H2310" i="10" s="1"/>
  <c r="G2310" i="10" s="1"/>
  <c r="F2310" i="10" s="1"/>
  <c r="I2309" i="10"/>
  <c r="H2309" i="10" s="1"/>
  <c r="G2309" i="10" s="1"/>
  <c r="F2309" i="10" s="1"/>
  <c r="I2308" i="10"/>
  <c r="H2308" i="10" s="1"/>
  <c r="G2308" i="10" s="1"/>
  <c r="F2308" i="10" s="1"/>
  <c r="I2307" i="10"/>
  <c r="H2307" i="10" s="1"/>
  <c r="G2307" i="10" s="1"/>
  <c r="F2307" i="10" s="1"/>
  <c r="I2306" i="10"/>
  <c r="H2306" i="10" s="1"/>
  <c r="G2306" i="10" s="1"/>
  <c r="F2306" i="10" s="1"/>
  <c r="I2305" i="10"/>
  <c r="H2305" i="10" s="1"/>
  <c r="G2305" i="10" s="1"/>
  <c r="F2305" i="10" s="1"/>
  <c r="I2304" i="10"/>
  <c r="H2304" i="10" s="1"/>
  <c r="G2304" i="10" s="1"/>
  <c r="F2304" i="10" s="1"/>
  <c r="I2303" i="10"/>
  <c r="H2303" i="10" s="1"/>
  <c r="G2303" i="10" s="1"/>
  <c r="F2303" i="10" s="1"/>
  <c r="I2302" i="10"/>
  <c r="H2302" i="10" s="1"/>
  <c r="G2302" i="10" s="1"/>
  <c r="F2302" i="10" s="1"/>
  <c r="I2301" i="10"/>
  <c r="H2301" i="10" s="1"/>
  <c r="G2301" i="10" s="1"/>
  <c r="F2301" i="10" s="1"/>
  <c r="I2300" i="10"/>
  <c r="H2300" i="10" s="1"/>
  <c r="G2300" i="10" s="1"/>
  <c r="F2300" i="10" s="1"/>
  <c r="I2299" i="10"/>
  <c r="H2299" i="10" s="1"/>
  <c r="G2299" i="10" s="1"/>
  <c r="F2299" i="10" s="1"/>
  <c r="I2298" i="10"/>
  <c r="H2298" i="10" s="1"/>
  <c r="G2298" i="10" s="1"/>
  <c r="F2298" i="10" s="1"/>
  <c r="I2297" i="10"/>
  <c r="H2297" i="10" s="1"/>
  <c r="G2297" i="10" s="1"/>
  <c r="F2297" i="10" s="1"/>
  <c r="I2296" i="10"/>
  <c r="H2296" i="10" s="1"/>
  <c r="G2296" i="10" s="1"/>
  <c r="F2296" i="10" s="1"/>
  <c r="I2295" i="10"/>
  <c r="H2295" i="10" s="1"/>
  <c r="G2295" i="10" s="1"/>
  <c r="F2295" i="10" s="1"/>
  <c r="I2294" i="10"/>
  <c r="H2294" i="10" s="1"/>
  <c r="G2294" i="10" s="1"/>
  <c r="F2294" i="10" s="1"/>
  <c r="I2293" i="10"/>
  <c r="H2293" i="10" s="1"/>
  <c r="G2293" i="10" s="1"/>
  <c r="F2293" i="10" s="1"/>
  <c r="I2292" i="10"/>
  <c r="H2292" i="10" s="1"/>
  <c r="G2292" i="10" s="1"/>
  <c r="F2292" i="10" s="1"/>
  <c r="I2291" i="10"/>
  <c r="H2291" i="10" s="1"/>
  <c r="G2291" i="10" s="1"/>
  <c r="F2291" i="10" s="1"/>
  <c r="I2290" i="10"/>
  <c r="H2290" i="10" s="1"/>
  <c r="G2290" i="10" s="1"/>
  <c r="F2290" i="10" s="1"/>
  <c r="I2289" i="10"/>
  <c r="H2289" i="10" s="1"/>
  <c r="G2289" i="10" s="1"/>
  <c r="F2289" i="10" s="1"/>
  <c r="I2288" i="10"/>
  <c r="H2288" i="10" s="1"/>
  <c r="G2288" i="10" s="1"/>
  <c r="F2288" i="10" s="1"/>
  <c r="I2287" i="10"/>
  <c r="H2287" i="10" s="1"/>
  <c r="G2287" i="10" s="1"/>
  <c r="F2287" i="10" s="1"/>
  <c r="I2286" i="10"/>
  <c r="H2286" i="10" s="1"/>
  <c r="G2286" i="10" s="1"/>
  <c r="F2286" i="10" s="1"/>
  <c r="I2285" i="10"/>
  <c r="H2285" i="10" s="1"/>
  <c r="G2285" i="10" s="1"/>
  <c r="F2285" i="10" s="1"/>
  <c r="I2284" i="10"/>
  <c r="H2284" i="10" s="1"/>
  <c r="G2284" i="10" s="1"/>
  <c r="F2284" i="10" s="1"/>
  <c r="I2283" i="10"/>
  <c r="H2283" i="10" s="1"/>
  <c r="G2283" i="10" s="1"/>
  <c r="F2283" i="10" s="1"/>
  <c r="I2282" i="10"/>
  <c r="H2282" i="10" s="1"/>
  <c r="G2282" i="10" s="1"/>
  <c r="F2282" i="10" s="1"/>
  <c r="I2281" i="10"/>
  <c r="H2281" i="10" s="1"/>
  <c r="G2281" i="10" s="1"/>
  <c r="F2281" i="10" s="1"/>
  <c r="I2280" i="10"/>
  <c r="H2280" i="10" s="1"/>
  <c r="G2280" i="10" s="1"/>
  <c r="F2280" i="10" s="1"/>
  <c r="I2279" i="10"/>
  <c r="H2279" i="10" s="1"/>
  <c r="G2279" i="10" s="1"/>
  <c r="F2279" i="10" s="1"/>
  <c r="I2278" i="10"/>
  <c r="H2278" i="10" s="1"/>
  <c r="G2278" i="10" s="1"/>
  <c r="F2278" i="10" s="1"/>
  <c r="I2277" i="10"/>
  <c r="H2277" i="10" s="1"/>
  <c r="G2277" i="10" s="1"/>
  <c r="F2277" i="10" s="1"/>
  <c r="I2276" i="10"/>
  <c r="H2276" i="10" s="1"/>
  <c r="G2276" i="10" s="1"/>
  <c r="F2276" i="10" s="1"/>
  <c r="I2275" i="10"/>
  <c r="H2275" i="10" s="1"/>
  <c r="G2275" i="10" s="1"/>
  <c r="F2275" i="10" s="1"/>
  <c r="I2274" i="10"/>
  <c r="H2274" i="10" s="1"/>
  <c r="G2274" i="10" s="1"/>
  <c r="F2274" i="10" s="1"/>
  <c r="I2273" i="10"/>
  <c r="H2273" i="10" s="1"/>
  <c r="G2273" i="10" s="1"/>
  <c r="F2273" i="10" s="1"/>
  <c r="I2272" i="10"/>
  <c r="H2272" i="10" s="1"/>
  <c r="G2272" i="10" s="1"/>
  <c r="F2272" i="10" s="1"/>
  <c r="I2271" i="10"/>
  <c r="H2271" i="10" s="1"/>
  <c r="G2271" i="10" s="1"/>
  <c r="F2271" i="10" s="1"/>
  <c r="I2270" i="10"/>
  <c r="H2270" i="10" s="1"/>
  <c r="G2270" i="10" s="1"/>
  <c r="F2270" i="10" s="1"/>
  <c r="I2269" i="10"/>
  <c r="H2269" i="10" s="1"/>
  <c r="G2269" i="10" s="1"/>
  <c r="F2269" i="10" s="1"/>
  <c r="I2268" i="10"/>
  <c r="H2268" i="10" s="1"/>
  <c r="G2268" i="10" s="1"/>
  <c r="F2268" i="10" s="1"/>
  <c r="I2267" i="10"/>
  <c r="H2267" i="10" s="1"/>
  <c r="G2267" i="10" s="1"/>
  <c r="F2267" i="10" s="1"/>
  <c r="I2266" i="10"/>
  <c r="H2266" i="10" s="1"/>
  <c r="G2266" i="10" s="1"/>
  <c r="F2266" i="10" s="1"/>
  <c r="I2265" i="10"/>
  <c r="H2265" i="10" s="1"/>
  <c r="G2265" i="10" s="1"/>
  <c r="F2265" i="10" s="1"/>
  <c r="I2264" i="10"/>
  <c r="H2264" i="10" s="1"/>
  <c r="G2264" i="10" s="1"/>
  <c r="F2264" i="10" s="1"/>
  <c r="I2263" i="10"/>
  <c r="H2263" i="10" s="1"/>
  <c r="G2263" i="10" s="1"/>
  <c r="F2263" i="10" s="1"/>
  <c r="I2262" i="10"/>
  <c r="H2262" i="10" s="1"/>
  <c r="G2262" i="10" s="1"/>
  <c r="F2262" i="10" s="1"/>
  <c r="I2261" i="10"/>
  <c r="H2261" i="10" s="1"/>
  <c r="G2261" i="10" s="1"/>
  <c r="F2261" i="10" s="1"/>
  <c r="I2260" i="10"/>
  <c r="H2260" i="10" s="1"/>
  <c r="G2260" i="10" s="1"/>
  <c r="F2260" i="10" s="1"/>
  <c r="I2259" i="10"/>
  <c r="H2259" i="10" s="1"/>
  <c r="G2259" i="10" s="1"/>
  <c r="F2259" i="10" s="1"/>
  <c r="I2258" i="10"/>
  <c r="H2258" i="10" s="1"/>
  <c r="G2258" i="10" s="1"/>
  <c r="F2258" i="10" s="1"/>
  <c r="I2257" i="10"/>
  <c r="H2257" i="10" s="1"/>
  <c r="G2257" i="10" s="1"/>
  <c r="F2257" i="10" s="1"/>
  <c r="I2256" i="10"/>
  <c r="H2256" i="10" s="1"/>
  <c r="G2256" i="10" s="1"/>
  <c r="F2256" i="10" s="1"/>
  <c r="I2255" i="10"/>
  <c r="H2255" i="10" s="1"/>
  <c r="G2255" i="10" s="1"/>
  <c r="F2255" i="10" s="1"/>
  <c r="I2254" i="10"/>
  <c r="H2254" i="10" s="1"/>
  <c r="G2254" i="10" s="1"/>
  <c r="F2254" i="10" s="1"/>
  <c r="I2253" i="10"/>
  <c r="H2253" i="10" s="1"/>
  <c r="G2253" i="10" s="1"/>
  <c r="F2253" i="10" s="1"/>
  <c r="I2252" i="10"/>
  <c r="H2252" i="10" s="1"/>
  <c r="G2252" i="10" s="1"/>
  <c r="F2252" i="10" s="1"/>
  <c r="I2251" i="10"/>
  <c r="H2251" i="10" s="1"/>
  <c r="G2251" i="10" s="1"/>
  <c r="F2251" i="10" s="1"/>
  <c r="I2250" i="10"/>
  <c r="H2250" i="10" s="1"/>
  <c r="G2250" i="10" s="1"/>
  <c r="F2250" i="10" s="1"/>
  <c r="I2249" i="10"/>
  <c r="H2249" i="10" s="1"/>
  <c r="G2249" i="10" s="1"/>
  <c r="F2249" i="10" s="1"/>
  <c r="I2248" i="10"/>
  <c r="H2248" i="10" s="1"/>
  <c r="G2248" i="10" s="1"/>
  <c r="F2248" i="10" s="1"/>
  <c r="I2247" i="10"/>
  <c r="H2247" i="10" s="1"/>
  <c r="G2247" i="10" s="1"/>
  <c r="F2247" i="10" s="1"/>
  <c r="I2246" i="10"/>
  <c r="H2246" i="10" s="1"/>
  <c r="G2246" i="10" s="1"/>
  <c r="F2246" i="10" s="1"/>
  <c r="I2245" i="10"/>
  <c r="H2245" i="10" s="1"/>
  <c r="G2245" i="10" s="1"/>
  <c r="F2245" i="10" s="1"/>
  <c r="I2244" i="10"/>
  <c r="H2244" i="10" s="1"/>
  <c r="G2244" i="10" s="1"/>
  <c r="F2244" i="10" s="1"/>
  <c r="I2243" i="10"/>
  <c r="H2243" i="10" s="1"/>
  <c r="G2243" i="10" s="1"/>
  <c r="F2243" i="10" s="1"/>
  <c r="I2242" i="10"/>
  <c r="H2242" i="10" s="1"/>
  <c r="G2242" i="10" s="1"/>
  <c r="F2242" i="10" s="1"/>
  <c r="I2241" i="10"/>
  <c r="H2241" i="10" s="1"/>
  <c r="G2241" i="10" s="1"/>
  <c r="F2241" i="10" s="1"/>
  <c r="I2240" i="10"/>
  <c r="H2240" i="10" s="1"/>
  <c r="G2240" i="10" s="1"/>
  <c r="F2240" i="10" s="1"/>
  <c r="I2239" i="10"/>
  <c r="H2239" i="10" s="1"/>
  <c r="G2239" i="10" s="1"/>
  <c r="F2239" i="10" s="1"/>
  <c r="I2238" i="10"/>
  <c r="H2238" i="10" s="1"/>
  <c r="G2238" i="10" s="1"/>
  <c r="F2238" i="10" s="1"/>
  <c r="I2237" i="10"/>
  <c r="H2237" i="10" s="1"/>
  <c r="G2237" i="10" s="1"/>
  <c r="F2237" i="10" s="1"/>
  <c r="I2236" i="10"/>
  <c r="H2236" i="10" s="1"/>
  <c r="G2236" i="10" s="1"/>
  <c r="F2236" i="10" s="1"/>
  <c r="I2235" i="10"/>
  <c r="H2235" i="10" s="1"/>
  <c r="G2235" i="10" s="1"/>
  <c r="F2235" i="10" s="1"/>
  <c r="I2234" i="10"/>
  <c r="H2234" i="10" s="1"/>
  <c r="G2234" i="10" s="1"/>
  <c r="F2234" i="10" s="1"/>
  <c r="I2233" i="10"/>
  <c r="H2233" i="10" s="1"/>
  <c r="G2233" i="10" s="1"/>
  <c r="F2233" i="10" s="1"/>
  <c r="I2232" i="10"/>
  <c r="H2232" i="10" s="1"/>
  <c r="G2232" i="10" s="1"/>
  <c r="F2232" i="10" s="1"/>
  <c r="I2231" i="10"/>
  <c r="H2231" i="10" s="1"/>
  <c r="G2231" i="10" s="1"/>
  <c r="F2231" i="10" s="1"/>
  <c r="I2230" i="10"/>
  <c r="H2230" i="10" s="1"/>
  <c r="G2230" i="10" s="1"/>
  <c r="F2230" i="10" s="1"/>
  <c r="I2229" i="10"/>
  <c r="H2229" i="10" s="1"/>
  <c r="G2229" i="10" s="1"/>
  <c r="F2229" i="10" s="1"/>
  <c r="I2228" i="10"/>
  <c r="H2228" i="10" s="1"/>
  <c r="G2228" i="10" s="1"/>
  <c r="F2228" i="10" s="1"/>
  <c r="I2227" i="10"/>
  <c r="H2227" i="10" s="1"/>
  <c r="G2227" i="10" s="1"/>
  <c r="F2227" i="10" s="1"/>
  <c r="I2226" i="10"/>
  <c r="H2226" i="10" s="1"/>
  <c r="G2226" i="10" s="1"/>
  <c r="F2226" i="10" s="1"/>
  <c r="I2225" i="10"/>
  <c r="H2225" i="10" s="1"/>
  <c r="G2225" i="10" s="1"/>
  <c r="F2225" i="10" s="1"/>
  <c r="I2224" i="10"/>
  <c r="I2223" i="10"/>
  <c r="H2223" i="10" s="1"/>
  <c r="G2223" i="10" s="1"/>
  <c r="F2223" i="10" s="1"/>
  <c r="I2222" i="10"/>
  <c r="H2222" i="10" s="1"/>
  <c r="G2222" i="10" s="1"/>
  <c r="F2222" i="10" s="1"/>
  <c r="I2221" i="10"/>
  <c r="H2221" i="10" s="1"/>
  <c r="G2221" i="10" s="1"/>
  <c r="F2221" i="10" s="1"/>
  <c r="I2220" i="10"/>
  <c r="H2220" i="10" s="1"/>
  <c r="G2220" i="10" s="1"/>
  <c r="F2220" i="10" s="1"/>
  <c r="I2219" i="10"/>
  <c r="H2219" i="10" s="1"/>
  <c r="G2219" i="10" s="1"/>
  <c r="F2219" i="10" s="1"/>
  <c r="I2218" i="10"/>
  <c r="H2218" i="10" s="1"/>
  <c r="G2218" i="10" s="1"/>
  <c r="F2218" i="10" s="1"/>
  <c r="I2217" i="10"/>
  <c r="H2217" i="10" s="1"/>
  <c r="G2217" i="10" s="1"/>
  <c r="F2217" i="10" s="1"/>
  <c r="I2216" i="10"/>
  <c r="H2216" i="10" s="1"/>
  <c r="G2216" i="10" s="1"/>
  <c r="F2216" i="10" s="1"/>
  <c r="I2215" i="10"/>
  <c r="H2215" i="10" s="1"/>
  <c r="G2215" i="10" s="1"/>
  <c r="F2215" i="10" s="1"/>
  <c r="I2214" i="10"/>
  <c r="H2214" i="10" s="1"/>
  <c r="G2214" i="10" s="1"/>
  <c r="F2214" i="10" s="1"/>
  <c r="I2213" i="10"/>
  <c r="H2213" i="10" s="1"/>
  <c r="G2213" i="10" s="1"/>
  <c r="F2213" i="10" s="1"/>
  <c r="I2212" i="10"/>
  <c r="H2212" i="10" s="1"/>
  <c r="G2212" i="10" s="1"/>
  <c r="F2212" i="10" s="1"/>
  <c r="I2211" i="10"/>
  <c r="H2211" i="10" s="1"/>
  <c r="G2211" i="10" s="1"/>
  <c r="F2211" i="10" s="1"/>
  <c r="I2210" i="10"/>
  <c r="H2210" i="10" s="1"/>
  <c r="G2210" i="10" s="1"/>
  <c r="F2210" i="10" s="1"/>
  <c r="I2209" i="10"/>
  <c r="H2209" i="10" s="1"/>
  <c r="G2209" i="10" s="1"/>
  <c r="F2209" i="10" s="1"/>
  <c r="I2208" i="10"/>
  <c r="I2207" i="10"/>
  <c r="H2207" i="10" s="1"/>
  <c r="G2207" i="10" s="1"/>
  <c r="F2207" i="10" s="1"/>
  <c r="I2206" i="10"/>
  <c r="H2206" i="10" s="1"/>
  <c r="G2206" i="10" s="1"/>
  <c r="F2206" i="10" s="1"/>
  <c r="I2205" i="10"/>
  <c r="H2205" i="10" s="1"/>
  <c r="G2205" i="10" s="1"/>
  <c r="F2205" i="10" s="1"/>
  <c r="I2204" i="10"/>
  <c r="H2204" i="10" s="1"/>
  <c r="G2204" i="10" s="1"/>
  <c r="F2204" i="10" s="1"/>
  <c r="I2203" i="10"/>
  <c r="H2203" i="10" s="1"/>
  <c r="G2203" i="10" s="1"/>
  <c r="F2203" i="10" s="1"/>
  <c r="I2202" i="10"/>
  <c r="H2202" i="10" s="1"/>
  <c r="G2202" i="10" s="1"/>
  <c r="F2202" i="10" s="1"/>
  <c r="I2201" i="10"/>
  <c r="H2201" i="10" s="1"/>
  <c r="G2201" i="10" s="1"/>
  <c r="F2201" i="10" s="1"/>
  <c r="I2200" i="10"/>
  <c r="H2200" i="10" s="1"/>
  <c r="G2200" i="10" s="1"/>
  <c r="F2200" i="10" s="1"/>
  <c r="I2199" i="10"/>
  <c r="H2199" i="10" s="1"/>
  <c r="G2199" i="10" s="1"/>
  <c r="F2199" i="10" s="1"/>
  <c r="I2198" i="10"/>
  <c r="H2198" i="10" s="1"/>
  <c r="G2198" i="10" s="1"/>
  <c r="F2198" i="10" s="1"/>
  <c r="I2197" i="10"/>
  <c r="H2197" i="10" s="1"/>
  <c r="G2197" i="10" s="1"/>
  <c r="F2197" i="10" s="1"/>
  <c r="I2196" i="10"/>
  <c r="H2196" i="10" s="1"/>
  <c r="G2196" i="10" s="1"/>
  <c r="F2196" i="10" s="1"/>
  <c r="I2195" i="10"/>
  <c r="H2195" i="10" s="1"/>
  <c r="G2195" i="10" s="1"/>
  <c r="F2195" i="10" s="1"/>
  <c r="I2194" i="10"/>
  <c r="H2194" i="10" s="1"/>
  <c r="G2194" i="10" s="1"/>
  <c r="F2194" i="10" s="1"/>
  <c r="I2193" i="10"/>
  <c r="H2193" i="10" s="1"/>
  <c r="G2193" i="10" s="1"/>
  <c r="F2193" i="10" s="1"/>
  <c r="I2192" i="10"/>
  <c r="H2192" i="10" s="1"/>
  <c r="G2192" i="10" s="1"/>
  <c r="F2192" i="10" s="1"/>
  <c r="I2191" i="10"/>
  <c r="H2191" i="10" s="1"/>
  <c r="G2191" i="10" s="1"/>
  <c r="F2191" i="10" s="1"/>
  <c r="I2190" i="10"/>
  <c r="H2190" i="10" s="1"/>
  <c r="G2190" i="10" s="1"/>
  <c r="F2190" i="10" s="1"/>
  <c r="I2189" i="10"/>
  <c r="H2189" i="10" s="1"/>
  <c r="G2189" i="10" s="1"/>
  <c r="F2189" i="10" s="1"/>
  <c r="I2188" i="10"/>
  <c r="H2188" i="10" s="1"/>
  <c r="G2188" i="10" s="1"/>
  <c r="F2188" i="10" s="1"/>
  <c r="I2187" i="10"/>
  <c r="H2187" i="10" s="1"/>
  <c r="G2187" i="10" s="1"/>
  <c r="F2187" i="10" s="1"/>
  <c r="I2186" i="10"/>
  <c r="H2186" i="10" s="1"/>
  <c r="G2186" i="10" s="1"/>
  <c r="F2186" i="10" s="1"/>
  <c r="I2185" i="10"/>
  <c r="H2185" i="10" s="1"/>
  <c r="G2185" i="10" s="1"/>
  <c r="F2185" i="10" s="1"/>
  <c r="I2184" i="10"/>
  <c r="H2184" i="10" s="1"/>
  <c r="G2184" i="10" s="1"/>
  <c r="F2184" i="10" s="1"/>
  <c r="I2183" i="10"/>
  <c r="H2183" i="10" s="1"/>
  <c r="G2183" i="10" s="1"/>
  <c r="F2183" i="10" s="1"/>
  <c r="I2182" i="10"/>
  <c r="H2182" i="10" s="1"/>
  <c r="G2182" i="10" s="1"/>
  <c r="F2182" i="10" s="1"/>
  <c r="I2181" i="10"/>
  <c r="H2181" i="10" s="1"/>
  <c r="G2181" i="10" s="1"/>
  <c r="F2181" i="10" s="1"/>
  <c r="I2180" i="10"/>
  <c r="H2180" i="10" s="1"/>
  <c r="G2180" i="10" s="1"/>
  <c r="F2180" i="10" s="1"/>
  <c r="I2179" i="10"/>
  <c r="H2179" i="10" s="1"/>
  <c r="G2179" i="10" s="1"/>
  <c r="F2179" i="10" s="1"/>
  <c r="I2178" i="10"/>
  <c r="H2178" i="10" s="1"/>
  <c r="G2178" i="10" s="1"/>
  <c r="F2178" i="10" s="1"/>
  <c r="I2177" i="10"/>
  <c r="H2177" i="10" s="1"/>
  <c r="G2177" i="10" s="1"/>
  <c r="F2177" i="10" s="1"/>
  <c r="I2176" i="10"/>
  <c r="H2176" i="10" s="1"/>
  <c r="G2176" i="10" s="1"/>
  <c r="F2176" i="10" s="1"/>
  <c r="I2175" i="10"/>
  <c r="H2175" i="10" s="1"/>
  <c r="G2175" i="10" s="1"/>
  <c r="F2175" i="10" s="1"/>
  <c r="I2174" i="10"/>
  <c r="H2174" i="10" s="1"/>
  <c r="G2174" i="10" s="1"/>
  <c r="F2174" i="10" s="1"/>
  <c r="I2173" i="10"/>
  <c r="H2173" i="10" s="1"/>
  <c r="G2173" i="10" s="1"/>
  <c r="F2173" i="10" s="1"/>
  <c r="I2172" i="10"/>
  <c r="H2172" i="10" s="1"/>
  <c r="G2172" i="10" s="1"/>
  <c r="F2172" i="10" s="1"/>
  <c r="I2171" i="10"/>
  <c r="H2171" i="10" s="1"/>
  <c r="G2171" i="10" s="1"/>
  <c r="F2171" i="10" s="1"/>
  <c r="I2170" i="10"/>
  <c r="H2170" i="10" s="1"/>
  <c r="G2170" i="10" s="1"/>
  <c r="F2170" i="10" s="1"/>
  <c r="I2169" i="10"/>
  <c r="H2169" i="10" s="1"/>
  <c r="G2169" i="10" s="1"/>
  <c r="F2169" i="10" s="1"/>
  <c r="I2168" i="10"/>
  <c r="H2168" i="10" s="1"/>
  <c r="G2168" i="10" s="1"/>
  <c r="F2168" i="10" s="1"/>
  <c r="I2167" i="10"/>
  <c r="H2167" i="10" s="1"/>
  <c r="G2167" i="10" s="1"/>
  <c r="F2167" i="10" s="1"/>
  <c r="I2166" i="10"/>
  <c r="H2166" i="10" s="1"/>
  <c r="G2166" i="10" s="1"/>
  <c r="F2166" i="10" s="1"/>
  <c r="I2165" i="10"/>
  <c r="H2165" i="10" s="1"/>
  <c r="G2165" i="10" s="1"/>
  <c r="F2165" i="10" s="1"/>
  <c r="I2164" i="10"/>
  <c r="H2164" i="10" s="1"/>
  <c r="G2164" i="10" s="1"/>
  <c r="F2164" i="10" s="1"/>
  <c r="I2163" i="10"/>
  <c r="H2163" i="10" s="1"/>
  <c r="G2163" i="10" s="1"/>
  <c r="F2163" i="10" s="1"/>
  <c r="I2162" i="10"/>
  <c r="H2162" i="10" s="1"/>
  <c r="G2162" i="10" s="1"/>
  <c r="F2162" i="10" s="1"/>
  <c r="I2161" i="10"/>
  <c r="H2161" i="10" s="1"/>
  <c r="G2161" i="10" s="1"/>
  <c r="F2161" i="10" s="1"/>
  <c r="I2160" i="10"/>
  <c r="H2160" i="10" s="1"/>
  <c r="G2160" i="10" s="1"/>
  <c r="F2160" i="10" s="1"/>
  <c r="I2159" i="10"/>
  <c r="H2159" i="10" s="1"/>
  <c r="G2159" i="10" s="1"/>
  <c r="F2159" i="10" s="1"/>
  <c r="I2158" i="10"/>
  <c r="H2158" i="10" s="1"/>
  <c r="G2158" i="10" s="1"/>
  <c r="F2158" i="10" s="1"/>
  <c r="I2157" i="10"/>
  <c r="H2157" i="10" s="1"/>
  <c r="G2157" i="10" s="1"/>
  <c r="F2157" i="10" s="1"/>
  <c r="I2156" i="10"/>
  <c r="H2156" i="10" s="1"/>
  <c r="G2156" i="10" s="1"/>
  <c r="F2156" i="10" s="1"/>
  <c r="I2155" i="10"/>
  <c r="H2155" i="10" s="1"/>
  <c r="G2155" i="10" s="1"/>
  <c r="F2155" i="10" s="1"/>
  <c r="I2154" i="10"/>
  <c r="H2154" i="10" s="1"/>
  <c r="G2154" i="10" s="1"/>
  <c r="F2154" i="10" s="1"/>
  <c r="I2153" i="10"/>
  <c r="H2153" i="10" s="1"/>
  <c r="G2153" i="10" s="1"/>
  <c r="F2153" i="10" s="1"/>
  <c r="I2152" i="10"/>
  <c r="H2152" i="10" s="1"/>
  <c r="G2152" i="10" s="1"/>
  <c r="F2152" i="10" s="1"/>
  <c r="I2151" i="10"/>
  <c r="H2151" i="10" s="1"/>
  <c r="G2151" i="10" s="1"/>
  <c r="F2151" i="10" s="1"/>
  <c r="I2150" i="10"/>
  <c r="H2150" i="10" s="1"/>
  <c r="G2150" i="10" s="1"/>
  <c r="F2150" i="10" s="1"/>
  <c r="I2149" i="10"/>
  <c r="H2149" i="10" s="1"/>
  <c r="G2149" i="10" s="1"/>
  <c r="F2149" i="10" s="1"/>
  <c r="I2148" i="10"/>
  <c r="H2148" i="10" s="1"/>
  <c r="G2148" i="10" s="1"/>
  <c r="F2148" i="10" s="1"/>
  <c r="I2147" i="10"/>
  <c r="H2147" i="10" s="1"/>
  <c r="G2147" i="10" s="1"/>
  <c r="F2147" i="10" s="1"/>
  <c r="I2146" i="10"/>
  <c r="H2146" i="10" s="1"/>
  <c r="G2146" i="10" s="1"/>
  <c r="F2146" i="10" s="1"/>
  <c r="I2145" i="10"/>
  <c r="H2145" i="10" s="1"/>
  <c r="G2145" i="10" s="1"/>
  <c r="F2145" i="10" s="1"/>
  <c r="I2144" i="10"/>
  <c r="H2144" i="10" s="1"/>
  <c r="G2144" i="10" s="1"/>
  <c r="F2144" i="10" s="1"/>
  <c r="I2143" i="10"/>
  <c r="H2143" i="10" s="1"/>
  <c r="G2143" i="10" s="1"/>
  <c r="F2143" i="10" s="1"/>
  <c r="I2142" i="10"/>
  <c r="H2142" i="10" s="1"/>
  <c r="G2142" i="10" s="1"/>
  <c r="F2142" i="10" s="1"/>
  <c r="I2141" i="10"/>
  <c r="H2141" i="10" s="1"/>
  <c r="G2141" i="10" s="1"/>
  <c r="F2141" i="10" s="1"/>
  <c r="I2140" i="10"/>
  <c r="H2140" i="10" s="1"/>
  <c r="G2140" i="10" s="1"/>
  <c r="F2140" i="10" s="1"/>
  <c r="I2139" i="10"/>
  <c r="H2139" i="10" s="1"/>
  <c r="G2139" i="10" s="1"/>
  <c r="F2139" i="10" s="1"/>
  <c r="I2138" i="10"/>
  <c r="H2138" i="10" s="1"/>
  <c r="G2138" i="10" s="1"/>
  <c r="F2138" i="10" s="1"/>
  <c r="I2137" i="10"/>
  <c r="H2137" i="10" s="1"/>
  <c r="G2137" i="10" s="1"/>
  <c r="F2137" i="10" s="1"/>
  <c r="I2136" i="10"/>
  <c r="H2136" i="10" s="1"/>
  <c r="G2136" i="10" s="1"/>
  <c r="F2136" i="10" s="1"/>
  <c r="I2135" i="10"/>
  <c r="H2135" i="10" s="1"/>
  <c r="G2135" i="10" s="1"/>
  <c r="F2135" i="10" s="1"/>
  <c r="I2134" i="10"/>
  <c r="H2134" i="10" s="1"/>
  <c r="G2134" i="10" s="1"/>
  <c r="F2134" i="10" s="1"/>
  <c r="I2133" i="10"/>
  <c r="H2133" i="10" s="1"/>
  <c r="G2133" i="10" s="1"/>
  <c r="F2133" i="10" s="1"/>
  <c r="I2132" i="10"/>
  <c r="I2131" i="10"/>
  <c r="H2131" i="10" s="1"/>
  <c r="G2131" i="10" s="1"/>
  <c r="F2131" i="10" s="1"/>
  <c r="I2130" i="10"/>
  <c r="H2130" i="10" s="1"/>
  <c r="G2130" i="10" s="1"/>
  <c r="F2130" i="10" s="1"/>
  <c r="I2129" i="10"/>
  <c r="H2129" i="10" s="1"/>
  <c r="G2129" i="10" s="1"/>
  <c r="F2129" i="10" s="1"/>
  <c r="I2128" i="10"/>
  <c r="H2128" i="10" s="1"/>
  <c r="G2128" i="10" s="1"/>
  <c r="F2128" i="10" s="1"/>
  <c r="I2127" i="10"/>
  <c r="H2127" i="10" s="1"/>
  <c r="G2127" i="10" s="1"/>
  <c r="F2127" i="10" s="1"/>
  <c r="I2126" i="10"/>
  <c r="H2126" i="10" s="1"/>
  <c r="G2126" i="10" s="1"/>
  <c r="F2126" i="10" s="1"/>
  <c r="I2125" i="10"/>
  <c r="H2125" i="10" s="1"/>
  <c r="G2125" i="10" s="1"/>
  <c r="F2125" i="10" s="1"/>
  <c r="I2124" i="10"/>
  <c r="H2124" i="10" s="1"/>
  <c r="G2124" i="10" s="1"/>
  <c r="F2124" i="10" s="1"/>
  <c r="I2123" i="10"/>
  <c r="H2123" i="10" s="1"/>
  <c r="G2123" i="10" s="1"/>
  <c r="F2123" i="10" s="1"/>
  <c r="I2122" i="10"/>
  <c r="H2122" i="10" s="1"/>
  <c r="G2122" i="10" s="1"/>
  <c r="F2122" i="10" s="1"/>
  <c r="I2121" i="10"/>
  <c r="H2121" i="10" s="1"/>
  <c r="G2121" i="10" s="1"/>
  <c r="F2121" i="10" s="1"/>
  <c r="I2120" i="10"/>
  <c r="H2120" i="10" s="1"/>
  <c r="G2120" i="10" s="1"/>
  <c r="F2120" i="10" s="1"/>
  <c r="I2119" i="10"/>
  <c r="H2119" i="10" s="1"/>
  <c r="G2119" i="10" s="1"/>
  <c r="F2119" i="10" s="1"/>
  <c r="I2118" i="10"/>
  <c r="H2118" i="10" s="1"/>
  <c r="G2118" i="10" s="1"/>
  <c r="F2118" i="10" s="1"/>
  <c r="I2117" i="10"/>
  <c r="H2117" i="10" s="1"/>
  <c r="G2117" i="10" s="1"/>
  <c r="F2117" i="10" s="1"/>
  <c r="I2116" i="10"/>
  <c r="H2116" i="10" s="1"/>
  <c r="G2116" i="10" s="1"/>
  <c r="F2116" i="10" s="1"/>
  <c r="I2115" i="10"/>
  <c r="H2115" i="10" s="1"/>
  <c r="G2115" i="10" s="1"/>
  <c r="F2115" i="10" s="1"/>
  <c r="I2114" i="10"/>
  <c r="H2114" i="10" s="1"/>
  <c r="G2114" i="10" s="1"/>
  <c r="F2114" i="10" s="1"/>
  <c r="I2113" i="10"/>
  <c r="H2113" i="10" s="1"/>
  <c r="G2113" i="10" s="1"/>
  <c r="F2113" i="10" s="1"/>
  <c r="I2112" i="10"/>
  <c r="H2112" i="10" s="1"/>
  <c r="G2112" i="10" s="1"/>
  <c r="F2112" i="10" s="1"/>
  <c r="I2111" i="10"/>
  <c r="H2111" i="10" s="1"/>
  <c r="G2111" i="10" s="1"/>
  <c r="F2111" i="10" s="1"/>
  <c r="I2110" i="10"/>
  <c r="H2110" i="10" s="1"/>
  <c r="G2110" i="10" s="1"/>
  <c r="F2110" i="10" s="1"/>
  <c r="I2109" i="10"/>
  <c r="H2109" i="10" s="1"/>
  <c r="G2109" i="10" s="1"/>
  <c r="F2109" i="10" s="1"/>
  <c r="I2108" i="10"/>
  <c r="I2107" i="10"/>
  <c r="H2107" i="10" s="1"/>
  <c r="G2107" i="10" s="1"/>
  <c r="F2107" i="10" s="1"/>
  <c r="I2106" i="10"/>
  <c r="H2106" i="10" s="1"/>
  <c r="G2106" i="10" s="1"/>
  <c r="F2106" i="10" s="1"/>
  <c r="I2105" i="10"/>
  <c r="H2105" i="10" s="1"/>
  <c r="G2105" i="10" s="1"/>
  <c r="F2105" i="10" s="1"/>
  <c r="I2104" i="10"/>
  <c r="H2104" i="10" s="1"/>
  <c r="G2104" i="10" s="1"/>
  <c r="F2104" i="10" s="1"/>
  <c r="I2103" i="10"/>
  <c r="H2103" i="10" s="1"/>
  <c r="G2103" i="10" s="1"/>
  <c r="F2103" i="10" s="1"/>
  <c r="I2102" i="10"/>
  <c r="H2102" i="10" s="1"/>
  <c r="G2102" i="10" s="1"/>
  <c r="F2102" i="10" s="1"/>
  <c r="I2101" i="10"/>
  <c r="H2101" i="10" s="1"/>
  <c r="G2101" i="10" s="1"/>
  <c r="F2101" i="10" s="1"/>
  <c r="I2100" i="10"/>
  <c r="H2100" i="10" s="1"/>
  <c r="G2100" i="10" s="1"/>
  <c r="F2100" i="10" s="1"/>
  <c r="I2099" i="10"/>
  <c r="H2099" i="10" s="1"/>
  <c r="G2099" i="10" s="1"/>
  <c r="F2099" i="10" s="1"/>
  <c r="I2098" i="10"/>
  <c r="H2098" i="10" s="1"/>
  <c r="G2098" i="10" s="1"/>
  <c r="F2098" i="10" s="1"/>
  <c r="I2097" i="10"/>
  <c r="H2097" i="10" s="1"/>
  <c r="G2097" i="10" s="1"/>
  <c r="F2097" i="10" s="1"/>
  <c r="I2096" i="10"/>
  <c r="H2096" i="10" s="1"/>
  <c r="G2096" i="10" s="1"/>
  <c r="F2096" i="10" s="1"/>
  <c r="I2095" i="10"/>
  <c r="H2095" i="10" s="1"/>
  <c r="G2095" i="10" s="1"/>
  <c r="F2095" i="10" s="1"/>
  <c r="I2094" i="10"/>
  <c r="H2094" i="10" s="1"/>
  <c r="G2094" i="10" s="1"/>
  <c r="F2094" i="10" s="1"/>
  <c r="I2093" i="10"/>
  <c r="H2093" i="10" s="1"/>
  <c r="G2093" i="10" s="1"/>
  <c r="F2093" i="10" s="1"/>
  <c r="I2092" i="10"/>
  <c r="H2092" i="10" s="1"/>
  <c r="G2092" i="10" s="1"/>
  <c r="F2092" i="10" s="1"/>
  <c r="I2091" i="10"/>
  <c r="H2091" i="10" s="1"/>
  <c r="G2091" i="10" s="1"/>
  <c r="F2091" i="10" s="1"/>
  <c r="I2090" i="10"/>
  <c r="H2090" i="10" s="1"/>
  <c r="G2090" i="10" s="1"/>
  <c r="F2090" i="10" s="1"/>
  <c r="I2089" i="10"/>
  <c r="H2089" i="10" s="1"/>
  <c r="G2089" i="10" s="1"/>
  <c r="F2089" i="10" s="1"/>
  <c r="I2088" i="10"/>
  <c r="H2088" i="10" s="1"/>
  <c r="G2088" i="10" s="1"/>
  <c r="F2088" i="10" s="1"/>
  <c r="I2087" i="10"/>
  <c r="H2087" i="10" s="1"/>
  <c r="G2087" i="10" s="1"/>
  <c r="F2087" i="10" s="1"/>
  <c r="I2086" i="10"/>
  <c r="H2086" i="10" s="1"/>
  <c r="G2086" i="10" s="1"/>
  <c r="F2086" i="10" s="1"/>
  <c r="I2085" i="10"/>
  <c r="H2085" i="10" s="1"/>
  <c r="G2085" i="10" s="1"/>
  <c r="F2085" i="10" s="1"/>
  <c r="I2084" i="10"/>
  <c r="H2084" i="10" s="1"/>
  <c r="G2084" i="10" s="1"/>
  <c r="F2084" i="10" s="1"/>
  <c r="I2083" i="10"/>
  <c r="H2083" i="10" s="1"/>
  <c r="G2083" i="10" s="1"/>
  <c r="F2083" i="10" s="1"/>
  <c r="I2082" i="10"/>
  <c r="H2082" i="10" s="1"/>
  <c r="G2082" i="10" s="1"/>
  <c r="F2082" i="10" s="1"/>
  <c r="I2081" i="10"/>
  <c r="H2081" i="10" s="1"/>
  <c r="G2081" i="10" s="1"/>
  <c r="F2081" i="10" s="1"/>
  <c r="I2080" i="10"/>
  <c r="H2080" i="10" s="1"/>
  <c r="G2080" i="10" s="1"/>
  <c r="F2080" i="10" s="1"/>
  <c r="I2079" i="10"/>
  <c r="H2079" i="10" s="1"/>
  <c r="G2079" i="10" s="1"/>
  <c r="F2079" i="10" s="1"/>
  <c r="I2078" i="10"/>
  <c r="H2078" i="10" s="1"/>
  <c r="G2078" i="10" s="1"/>
  <c r="F2078" i="10" s="1"/>
  <c r="I2077" i="10"/>
  <c r="H2077" i="10" s="1"/>
  <c r="G2077" i="10" s="1"/>
  <c r="F2077" i="10" s="1"/>
  <c r="I2076" i="10"/>
  <c r="H2076" i="10" s="1"/>
  <c r="G2076" i="10" s="1"/>
  <c r="F2076" i="10" s="1"/>
  <c r="I2075" i="10"/>
  <c r="H2075" i="10" s="1"/>
  <c r="G2075" i="10" s="1"/>
  <c r="F2075" i="10" s="1"/>
  <c r="I2074" i="10"/>
  <c r="H2074" i="10" s="1"/>
  <c r="G2074" i="10" s="1"/>
  <c r="F2074" i="10" s="1"/>
  <c r="I2073" i="10"/>
  <c r="H2073" i="10" s="1"/>
  <c r="G2073" i="10" s="1"/>
  <c r="F2073" i="10" s="1"/>
  <c r="I2072" i="10"/>
  <c r="H2072" i="10" s="1"/>
  <c r="G2072" i="10" s="1"/>
  <c r="F2072" i="10" s="1"/>
  <c r="I2071" i="10"/>
  <c r="H2071" i="10" s="1"/>
  <c r="G2071" i="10" s="1"/>
  <c r="F2071" i="10" s="1"/>
  <c r="I2070" i="10"/>
  <c r="H2070" i="10" s="1"/>
  <c r="G2070" i="10" s="1"/>
  <c r="F2070" i="10" s="1"/>
  <c r="I2069" i="10"/>
  <c r="H2069" i="10" s="1"/>
  <c r="G2069" i="10" s="1"/>
  <c r="F2069" i="10" s="1"/>
  <c r="I2068" i="10"/>
  <c r="H2068" i="10" s="1"/>
  <c r="G2068" i="10" s="1"/>
  <c r="F2068" i="10" s="1"/>
  <c r="I2067" i="10"/>
  <c r="H2067" i="10" s="1"/>
  <c r="G2067" i="10" s="1"/>
  <c r="F2067" i="10" s="1"/>
  <c r="I2066" i="10"/>
  <c r="H2066" i="10" s="1"/>
  <c r="G2066" i="10" s="1"/>
  <c r="F2066" i="10" s="1"/>
  <c r="I2065" i="10"/>
  <c r="H2065" i="10" s="1"/>
  <c r="G2065" i="10" s="1"/>
  <c r="F2065" i="10" s="1"/>
  <c r="I2064" i="10"/>
  <c r="H2064" i="10" s="1"/>
  <c r="G2064" i="10" s="1"/>
  <c r="F2064" i="10" s="1"/>
  <c r="I2063" i="10"/>
  <c r="H2063" i="10" s="1"/>
  <c r="G2063" i="10" s="1"/>
  <c r="F2063" i="10" s="1"/>
  <c r="I2062" i="10"/>
  <c r="H2062" i="10" s="1"/>
  <c r="G2062" i="10" s="1"/>
  <c r="F2062" i="10" s="1"/>
  <c r="I2061" i="10"/>
  <c r="H2061" i="10" s="1"/>
  <c r="G2061" i="10" s="1"/>
  <c r="F2061" i="10" s="1"/>
  <c r="I2060" i="10"/>
  <c r="H2060" i="10" s="1"/>
  <c r="G2060" i="10" s="1"/>
  <c r="F2060" i="10" s="1"/>
  <c r="I2059" i="10"/>
  <c r="H2059" i="10" s="1"/>
  <c r="G2059" i="10" s="1"/>
  <c r="F2059" i="10" s="1"/>
  <c r="I2058" i="10"/>
  <c r="H2058" i="10" s="1"/>
  <c r="G2058" i="10" s="1"/>
  <c r="F2058" i="10" s="1"/>
  <c r="I2057" i="10"/>
  <c r="H2057" i="10" s="1"/>
  <c r="G2057" i="10" s="1"/>
  <c r="F2057" i="10" s="1"/>
  <c r="I2056" i="10"/>
  <c r="H2056" i="10" s="1"/>
  <c r="G2056" i="10" s="1"/>
  <c r="F2056" i="10" s="1"/>
  <c r="I2055" i="10"/>
  <c r="H2055" i="10" s="1"/>
  <c r="G2055" i="10" s="1"/>
  <c r="F2055" i="10" s="1"/>
  <c r="I2054" i="10"/>
  <c r="H2054" i="10" s="1"/>
  <c r="G2054" i="10" s="1"/>
  <c r="F2054" i="10" s="1"/>
  <c r="I2053" i="10"/>
  <c r="H2053" i="10" s="1"/>
  <c r="G2053" i="10" s="1"/>
  <c r="F2053" i="10" s="1"/>
  <c r="I2052" i="10"/>
  <c r="H2052" i="10" s="1"/>
  <c r="G2052" i="10" s="1"/>
  <c r="F2052" i="10" s="1"/>
  <c r="I2051" i="10"/>
  <c r="H2051" i="10" s="1"/>
  <c r="G2051" i="10" s="1"/>
  <c r="F2051" i="10" s="1"/>
  <c r="I2050" i="10"/>
  <c r="H2050" i="10" s="1"/>
  <c r="G2050" i="10" s="1"/>
  <c r="F2050" i="10" s="1"/>
  <c r="I2049" i="10"/>
  <c r="H2049" i="10" s="1"/>
  <c r="G2049" i="10" s="1"/>
  <c r="F2049" i="10" s="1"/>
  <c r="I2048" i="10"/>
  <c r="H2048" i="10" s="1"/>
  <c r="G2048" i="10" s="1"/>
  <c r="F2048" i="10" s="1"/>
  <c r="I2047" i="10"/>
  <c r="H2047" i="10" s="1"/>
  <c r="G2047" i="10" s="1"/>
  <c r="F2047" i="10" s="1"/>
  <c r="I2046" i="10"/>
  <c r="H2046" i="10" s="1"/>
  <c r="G2046" i="10" s="1"/>
  <c r="F2046" i="10" s="1"/>
  <c r="I2045" i="10"/>
  <c r="H2045" i="10" s="1"/>
  <c r="G2045" i="10" s="1"/>
  <c r="F2045" i="10" s="1"/>
  <c r="I2044" i="10"/>
  <c r="H2044" i="10" s="1"/>
  <c r="G2044" i="10" s="1"/>
  <c r="F2044" i="10" s="1"/>
  <c r="I2043" i="10"/>
  <c r="H2043" i="10" s="1"/>
  <c r="G2043" i="10" s="1"/>
  <c r="F2043" i="10" s="1"/>
  <c r="I2042" i="10"/>
  <c r="H2042" i="10" s="1"/>
  <c r="G2042" i="10" s="1"/>
  <c r="F2042" i="10" s="1"/>
  <c r="I2041" i="10"/>
  <c r="H2041" i="10" s="1"/>
  <c r="G2041" i="10" s="1"/>
  <c r="F2041" i="10" s="1"/>
  <c r="I2040" i="10"/>
  <c r="H2040" i="10" s="1"/>
  <c r="G2040" i="10" s="1"/>
  <c r="F2040" i="10" s="1"/>
  <c r="I2039" i="10"/>
  <c r="H2039" i="10" s="1"/>
  <c r="G2039" i="10" s="1"/>
  <c r="F2039" i="10" s="1"/>
  <c r="I2038" i="10"/>
  <c r="H2038" i="10" s="1"/>
  <c r="G2038" i="10" s="1"/>
  <c r="F2038" i="10" s="1"/>
  <c r="I2037" i="10"/>
  <c r="H2037" i="10" s="1"/>
  <c r="G2037" i="10" s="1"/>
  <c r="F2037" i="10" s="1"/>
  <c r="I2036" i="10"/>
  <c r="H2036" i="10" s="1"/>
  <c r="G2036" i="10" s="1"/>
  <c r="F2036" i="10" s="1"/>
  <c r="I2035" i="10"/>
  <c r="H2035" i="10" s="1"/>
  <c r="G2035" i="10" s="1"/>
  <c r="F2035" i="10" s="1"/>
  <c r="I2034" i="10"/>
  <c r="H2034" i="10" s="1"/>
  <c r="G2034" i="10" s="1"/>
  <c r="F2034" i="10" s="1"/>
  <c r="I2033" i="10"/>
  <c r="H2033" i="10" s="1"/>
  <c r="G2033" i="10" s="1"/>
  <c r="F2033" i="10" s="1"/>
  <c r="I2032" i="10"/>
  <c r="H2032" i="10" s="1"/>
  <c r="G2032" i="10" s="1"/>
  <c r="F2032" i="10" s="1"/>
  <c r="I2031" i="10"/>
  <c r="H2031" i="10" s="1"/>
  <c r="G2031" i="10" s="1"/>
  <c r="F2031" i="10" s="1"/>
  <c r="I2030" i="10"/>
  <c r="H2030" i="10" s="1"/>
  <c r="G2030" i="10" s="1"/>
  <c r="F2030" i="10" s="1"/>
  <c r="I2029" i="10"/>
  <c r="H2029" i="10" s="1"/>
  <c r="G2029" i="10" s="1"/>
  <c r="F2029" i="10" s="1"/>
  <c r="I2028" i="10"/>
  <c r="H2028" i="10" s="1"/>
  <c r="G2028" i="10" s="1"/>
  <c r="F2028" i="10" s="1"/>
  <c r="I2027" i="10"/>
  <c r="H2027" i="10" s="1"/>
  <c r="G2027" i="10" s="1"/>
  <c r="F2027" i="10" s="1"/>
  <c r="I2026" i="10"/>
  <c r="H2026" i="10" s="1"/>
  <c r="G2026" i="10" s="1"/>
  <c r="F2026" i="10" s="1"/>
  <c r="I2025" i="10"/>
  <c r="H2025" i="10" s="1"/>
  <c r="G2025" i="10" s="1"/>
  <c r="F2025" i="10" s="1"/>
  <c r="I2024" i="10"/>
  <c r="H2024" i="10" s="1"/>
  <c r="G2024" i="10" s="1"/>
  <c r="F2024" i="10" s="1"/>
  <c r="I2023" i="10"/>
  <c r="H2023" i="10" s="1"/>
  <c r="G2023" i="10" s="1"/>
  <c r="F2023" i="10" s="1"/>
  <c r="I2022" i="10"/>
  <c r="H2022" i="10" s="1"/>
  <c r="G2022" i="10" s="1"/>
  <c r="F2022" i="10" s="1"/>
  <c r="I2021" i="10"/>
  <c r="H2021" i="10" s="1"/>
  <c r="G2021" i="10" s="1"/>
  <c r="F2021" i="10" s="1"/>
  <c r="I2020" i="10"/>
  <c r="H2020" i="10" s="1"/>
  <c r="G2020" i="10" s="1"/>
  <c r="F2020" i="10" s="1"/>
  <c r="I2019" i="10"/>
  <c r="H2019" i="10" s="1"/>
  <c r="G2019" i="10" s="1"/>
  <c r="F2019" i="10" s="1"/>
  <c r="I2018" i="10"/>
  <c r="H2018" i="10" s="1"/>
  <c r="G2018" i="10" s="1"/>
  <c r="F2018" i="10" s="1"/>
  <c r="I2017" i="10"/>
  <c r="H2017" i="10" s="1"/>
  <c r="G2017" i="10" s="1"/>
  <c r="F2017" i="10" s="1"/>
  <c r="I2016" i="10"/>
  <c r="H2016" i="10" s="1"/>
  <c r="G2016" i="10" s="1"/>
  <c r="F2016" i="10" s="1"/>
  <c r="I2015" i="10"/>
  <c r="H2015" i="10" s="1"/>
  <c r="G2015" i="10" s="1"/>
  <c r="F2015" i="10" s="1"/>
  <c r="I2014" i="10"/>
  <c r="H2014" i="10" s="1"/>
  <c r="G2014" i="10" s="1"/>
  <c r="F2014" i="10" s="1"/>
  <c r="I2013" i="10"/>
  <c r="H2013" i="10" s="1"/>
  <c r="G2013" i="10" s="1"/>
  <c r="F2013" i="10" s="1"/>
  <c r="I2012" i="10"/>
  <c r="H2012" i="10" s="1"/>
  <c r="G2012" i="10" s="1"/>
  <c r="F2012" i="10" s="1"/>
  <c r="I2011" i="10"/>
  <c r="H2011" i="10" s="1"/>
  <c r="G2011" i="10" s="1"/>
  <c r="F2011" i="10" s="1"/>
  <c r="I2010" i="10"/>
  <c r="H2010" i="10" s="1"/>
  <c r="G2010" i="10" s="1"/>
  <c r="F2010" i="10" s="1"/>
  <c r="I2009" i="10"/>
  <c r="H2009" i="10" s="1"/>
  <c r="G2009" i="10" s="1"/>
  <c r="F2009" i="10" s="1"/>
  <c r="I2008" i="10"/>
  <c r="H2008" i="10" s="1"/>
  <c r="G2008" i="10" s="1"/>
  <c r="F2008" i="10" s="1"/>
  <c r="I2007" i="10"/>
  <c r="H2007" i="10" s="1"/>
  <c r="G2007" i="10" s="1"/>
  <c r="F2007" i="10" s="1"/>
  <c r="I2006" i="10"/>
  <c r="H2006" i="10" s="1"/>
  <c r="G2006" i="10" s="1"/>
  <c r="F2006" i="10" s="1"/>
  <c r="I2005" i="10"/>
  <c r="H2005" i="10" s="1"/>
  <c r="G2005" i="10" s="1"/>
  <c r="F2005" i="10" s="1"/>
  <c r="I2004" i="10"/>
  <c r="H2004" i="10" s="1"/>
  <c r="G2004" i="10" s="1"/>
  <c r="F2004" i="10" s="1"/>
  <c r="I2003" i="10"/>
  <c r="H2003" i="10" s="1"/>
  <c r="G2003" i="10" s="1"/>
  <c r="F2003" i="10" s="1"/>
  <c r="I2002" i="10"/>
  <c r="H2002" i="10" s="1"/>
  <c r="G2002" i="10" s="1"/>
  <c r="F2002" i="10" s="1"/>
  <c r="I2001" i="10"/>
  <c r="H2001" i="10" s="1"/>
  <c r="G2001" i="10" s="1"/>
  <c r="F2001" i="10" s="1"/>
  <c r="I2000" i="10"/>
  <c r="H2000" i="10" s="1"/>
  <c r="G2000" i="10" s="1"/>
  <c r="F2000" i="10" s="1"/>
  <c r="I1999" i="10"/>
  <c r="H1999" i="10" s="1"/>
  <c r="G1999" i="10" s="1"/>
  <c r="F1999" i="10" s="1"/>
  <c r="I1998" i="10"/>
  <c r="H1998" i="10" s="1"/>
  <c r="G1998" i="10" s="1"/>
  <c r="F1998" i="10" s="1"/>
  <c r="I1997" i="10"/>
  <c r="H1997" i="10" s="1"/>
  <c r="G1997" i="10" s="1"/>
  <c r="F1997" i="10" s="1"/>
  <c r="I1996" i="10"/>
  <c r="H1996" i="10" s="1"/>
  <c r="G1996" i="10" s="1"/>
  <c r="F1996" i="10" s="1"/>
  <c r="I1995" i="10"/>
  <c r="H1995" i="10" s="1"/>
  <c r="G1995" i="10" s="1"/>
  <c r="F1995" i="10" s="1"/>
  <c r="I1994" i="10"/>
  <c r="H1994" i="10" s="1"/>
  <c r="G1994" i="10" s="1"/>
  <c r="F1994" i="10" s="1"/>
  <c r="I1993" i="10"/>
  <c r="H1993" i="10" s="1"/>
  <c r="G1993" i="10" s="1"/>
  <c r="F1993" i="10" s="1"/>
  <c r="I1992" i="10"/>
  <c r="H1992" i="10" s="1"/>
  <c r="G1992" i="10" s="1"/>
  <c r="F1992" i="10" s="1"/>
  <c r="I1991" i="10"/>
  <c r="H1991" i="10" s="1"/>
  <c r="G1991" i="10" s="1"/>
  <c r="F1991" i="10" s="1"/>
  <c r="I1990" i="10"/>
  <c r="H1990" i="10" s="1"/>
  <c r="G1990" i="10" s="1"/>
  <c r="F1990" i="10" s="1"/>
  <c r="I1989" i="10"/>
  <c r="H1989" i="10" s="1"/>
  <c r="G1989" i="10" s="1"/>
  <c r="F1989" i="10" s="1"/>
  <c r="I1988" i="10"/>
  <c r="H1988" i="10" s="1"/>
  <c r="G1988" i="10" s="1"/>
  <c r="F1988" i="10" s="1"/>
  <c r="I1987" i="10"/>
  <c r="H1987" i="10" s="1"/>
  <c r="G1987" i="10" s="1"/>
  <c r="F1987" i="10" s="1"/>
  <c r="I1986" i="10"/>
  <c r="H1986" i="10" s="1"/>
  <c r="G1986" i="10" s="1"/>
  <c r="F1986" i="10" s="1"/>
  <c r="I1985" i="10"/>
  <c r="H1985" i="10" s="1"/>
  <c r="G1985" i="10" s="1"/>
  <c r="F1985" i="10" s="1"/>
  <c r="I1984" i="10"/>
  <c r="H1984" i="10" s="1"/>
  <c r="G1984" i="10" s="1"/>
  <c r="F1984" i="10" s="1"/>
  <c r="I1983" i="10"/>
  <c r="H1983" i="10" s="1"/>
  <c r="G1983" i="10" s="1"/>
  <c r="F1983" i="10" s="1"/>
  <c r="I1982" i="10"/>
  <c r="H1982" i="10" s="1"/>
  <c r="G1982" i="10" s="1"/>
  <c r="F1982" i="10" s="1"/>
  <c r="I1981" i="10"/>
  <c r="H1981" i="10" s="1"/>
  <c r="G1981" i="10" s="1"/>
  <c r="F1981" i="10" s="1"/>
  <c r="I1980" i="10"/>
  <c r="H1980" i="10" s="1"/>
  <c r="G1980" i="10" s="1"/>
  <c r="F1980" i="10" s="1"/>
  <c r="I1979" i="10"/>
  <c r="H1979" i="10" s="1"/>
  <c r="G1979" i="10" s="1"/>
  <c r="F1979" i="10" s="1"/>
  <c r="I1978" i="10"/>
  <c r="H1978" i="10" s="1"/>
  <c r="G1978" i="10" s="1"/>
  <c r="F1978" i="10" s="1"/>
  <c r="I1977" i="10"/>
  <c r="H1977" i="10" s="1"/>
  <c r="G1977" i="10" s="1"/>
  <c r="F1977" i="10" s="1"/>
  <c r="I1976" i="10"/>
  <c r="H1976" i="10" s="1"/>
  <c r="G1976" i="10" s="1"/>
  <c r="F1976" i="10" s="1"/>
  <c r="I1975" i="10"/>
  <c r="H1975" i="10" s="1"/>
  <c r="G1975" i="10" s="1"/>
  <c r="F1975" i="10" s="1"/>
  <c r="I1974" i="10"/>
  <c r="H1974" i="10" s="1"/>
  <c r="G1974" i="10" s="1"/>
  <c r="F1974" i="10" s="1"/>
  <c r="I1973" i="10"/>
  <c r="H1973" i="10" s="1"/>
  <c r="G1973" i="10" s="1"/>
  <c r="F1973" i="10" s="1"/>
  <c r="I1972" i="10"/>
  <c r="H1972" i="10" s="1"/>
  <c r="G1972" i="10" s="1"/>
  <c r="F1972" i="10" s="1"/>
  <c r="I1971" i="10"/>
  <c r="H1971" i="10" s="1"/>
  <c r="G1971" i="10" s="1"/>
  <c r="F1971" i="10" s="1"/>
  <c r="I1970" i="10"/>
  <c r="H1970" i="10" s="1"/>
  <c r="G1970" i="10" s="1"/>
  <c r="F1970" i="10" s="1"/>
  <c r="I1969" i="10"/>
  <c r="H1969" i="10" s="1"/>
  <c r="G1969" i="10" s="1"/>
  <c r="F1969" i="10" s="1"/>
  <c r="I1968" i="10"/>
  <c r="H1968" i="10" s="1"/>
  <c r="G1968" i="10" s="1"/>
  <c r="F1968" i="10" s="1"/>
  <c r="I1967" i="10"/>
  <c r="H1967" i="10" s="1"/>
  <c r="G1967" i="10" s="1"/>
  <c r="F1967" i="10" s="1"/>
  <c r="I1966" i="10"/>
  <c r="H1966" i="10" s="1"/>
  <c r="G1966" i="10" s="1"/>
  <c r="F1966" i="10" s="1"/>
  <c r="I1965" i="10"/>
  <c r="H1965" i="10" s="1"/>
  <c r="G1965" i="10" s="1"/>
  <c r="F1965" i="10" s="1"/>
  <c r="I1964" i="10"/>
  <c r="H1964" i="10" s="1"/>
  <c r="G1964" i="10" s="1"/>
  <c r="F1964" i="10" s="1"/>
  <c r="I1963" i="10"/>
  <c r="H1963" i="10" s="1"/>
  <c r="G1963" i="10" s="1"/>
  <c r="F1963" i="10" s="1"/>
  <c r="I1962" i="10"/>
  <c r="H1962" i="10" s="1"/>
  <c r="G1962" i="10" s="1"/>
  <c r="F1962" i="10" s="1"/>
  <c r="I1961" i="10"/>
  <c r="H1961" i="10" s="1"/>
  <c r="G1961" i="10" s="1"/>
  <c r="F1961" i="10" s="1"/>
  <c r="I1960" i="10"/>
  <c r="H1960" i="10" s="1"/>
  <c r="G1960" i="10" s="1"/>
  <c r="F1960" i="10" s="1"/>
  <c r="I1959" i="10"/>
  <c r="H1959" i="10" s="1"/>
  <c r="G1959" i="10" s="1"/>
  <c r="F1959" i="10" s="1"/>
  <c r="I1958" i="10"/>
  <c r="H1958" i="10" s="1"/>
  <c r="G1958" i="10" s="1"/>
  <c r="F1958" i="10" s="1"/>
  <c r="I1957" i="10"/>
  <c r="H1957" i="10" s="1"/>
  <c r="G1957" i="10" s="1"/>
  <c r="F1957" i="10" s="1"/>
  <c r="I1956" i="10"/>
  <c r="H1956" i="10" s="1"/>
  <c r="G1956" i="10" s="1"/>
  <c r="F1956" i="10" s="1"/>
  <c r="I1955" i="10"/>
  <c r="H1955" i="10" s="1"/>
  <c r="G1955" i="10" s="1"/>
  <c r="F1955" i="10" s="1"/>
  <c r="I1954" i="10"/>
  <c r="H1954" i="10" s="1"/>
  <c r="G1954" i="10" s="1"/>
  <c r="F1954" i="10" s="1"/>
  <c r="I1953" i="10"/>
  <c r="H1953" i="10" s="1"/>
  <c r="G1953" i="10" s="1"/>
  <c r="F1953" i="10" s="1"/>
  <c r="I1952" i="10"/>
  <c r="H1952" i="10" s="1"/>
  <c r="G1952" i="10" s="1"/>
  <c r="F1952" i="10" s="1"/>
  <c r="I1951" i="10"/>
  <c r="H1951" i="10" s="1"/>
  <c r="G1951" i="10" s="1"/>
  <c r="F1951" i="10" s="1"/>
  <c r="I1950" i="10"/>
  <c r="H1950" i="10" s="1"/>
  <c r="G1950" i="10" s="1"/>
  <c r="F1950" i="10" s="1"/>
  <c r="I1949" i="10"/>
  <c r="H1949" i="10" s="1"/>
  <c r="G1949" i="10" s="1"/>
  <c r="F1949" i="10" s="1"/>
  <c r="I1948" i="10"/>
  <c r="H1948" i="10" s="1"/>
  <c r="G1948" i="10" s="1"/>
  <c r="F1948" i="10" s="1"/>
  <c r="I1947" i="10"/>
  <c r="H1947" i="10" s="1"/>
  <c r="G1947" i="10" s="1"/>
  <c r="F1947" i="10" s="1"/>
  <c r="I1946" i="10"/>
  <c r="H1946" i="10" s="1"/>
  <c r="G1946" i="10" s="1"/>
  <c r="F1946" i="10" s="1"/>
  <c r="I1945" i="10"/>
  <c r="H1945" i="10" s="1"/>
  <c r="G1945" i="10" s="1"/>
  <c r="F1945" i="10" s="1"/>
  <c r="I1944" i="10"/>
  <c r="H1944" i="10" s="1"/>
  <c r="G1944" i="10" s="1"/>
  <c r="F1944" i="10" s="1"/>
  <c r="I1943" i="10"/>
  <c r="H1943" i="10" s="1"/>
  <c r="G1943" i="10" s="1"/>
  <c r="F1943" i="10" s="1"/>
  <c r="I1942" i="10"/>
  <c r="H1942" i="10" s="1"/>
  <c r="G1942" i="10" s="1"/>
  <c r="F1942" i="10" s="1"/>
  <c r="I1941" i="10"/>
  <c r="H1941" i="10" s="1"/>
  <c r="G1941" i="10" s="1"/>
  <c r="F1941" i="10" s="1"/>
  <c r="I1940" i="10"/>
  <c r="H1940" i="10" s="1"/>
  <c r="G1940" i="10" s="1"/>
  <c r="F1940" i="10" s="1"/>
  <c r="I1939" i="10"/>
  <c r="H1939" i="10" s="1"/>
  <c r="G1939" i="10" s="1"/>
  <c r="F1939" i="10" s="1"/>
  <c r="I1938" i="10"/>
  <c r="H1938" i="10" s="1"/>
  <c r="G1938" i="10" s="1"/>
  <c r="F1938" i="10" s="1"/>
  <c r="I1937" i="10"/>
  <c r="H1937" i="10" s="1"/>
  <c r="G1937" i="10" s="1"/>
  <c r="F1937" i="10" s="1"/>
  <c r="I1936" i="10"/>
  <c r="I1935" i="10"/>
  <c r="H1935" i="10" s="1"/>
  <c r="G1935" i="10" s="1"/>
  <c r="F1935" i="10" s="1"/>
  <c r="I1934" i="10"/>
  <c r="H1934" i="10" s="1"/>
  <c r="G1934" i="10" s="1"/>
  <c r="F1934" i="10" s="1"/>
  <c r="I1933" i="10"/>
  <c r="H1933" i="10" s="1"/>
  <c r="G1933" i="10" s="1"/>
  <c r="F1933" i="10" s="1"/>
  <c r="I1932" i="10"/>
  <c r="H1932" i="10" s="1"/>
  <c r="G1932" i="10" s="1"/>
  <c r="F1932" i="10" s="1"/>
  <c r="I1931" i="10"/>
  <c r="H1931" i="10" s="1"/>
  <c r="G1931" i="10" s="1"/>
  <c r="F1931" i="10" s="1"/>
  <c r="I1930" i="10"/>
  <c r="H1930" i="10" s="1"/>
  <c r="G1930" i="10" s="1"/>
  <c r="F1930" i="10" s="1"/>
  <c r="I1929" i="10"/>
  <c r="H1929" i="10" s="1"/>
  <c r="G1929" i="10" s="1"/>
  <c r="F1929" i="10" s="1"/>
  <c r="I1928" i="10"/>
  <c r="H1928" i="10" s="1"/>
  <c r="G1928" i="10" s="1"/>
  <c r="F1928" i="10" s="1"/>
  <c r="I1927" i="10"/>
  <c r="H1927" i="10" s="1"/>
  <c r="G1927" i="10" s="1"/>
  <c r="F1927" i="10" s="1"/>
  <c r="I1926" i="10"/>
  <c r="H1926" i="10" s="1"/>
  <c r="G1926" i="10" s="1"/>
  <c r="F1926" i="10" s="1"/>
  <c r="I1925" i="10"/>
  <c r="H1925" i="10" s="1"/>
  <c r="G1925" i="10" s="1"/>
  <c r="F1925" i="10" s="1"/>
  <c r="I1924" i="10"/>
  <c r="H1924" i="10" s="1"/>
  <c r="G1924" i="10" s="1"/>
  <c r="F1924" i="10" s="1"/>
  <c r="I1923" i="10"/>
  <c r="H1923" i="10" s="1"/>
  <c r="G1923" i="10" s="1"/>
  <c r="F1923" i="10" s="1"/>
  <c r="I1922" i="10"/>
  <c r="H1922" i="10" s="1"/>
  <c r="G1922" i="10" s="1"/>
  <c r="F1922" i="10" s="1"/>
  <c r="I1921" i="10"/>
  <c r="H1921" i="10" s="1"/>
  <c r="G1921" i="10" s="1"/>
  <c r="F1921" i="10" s="1"/>
  <c r="I1920" i="10"/>
  <c r="I1919" i="10"/>
  <c r="H1919" i="10" s="1"/>
  <c r="G1919" i="10" s="1"/>
  <c r="F1919" i="10" s="1"/>
  <c r="I1918" i="10"/>
  <c r="H1918" i="10" s="1"/>
  <c r="G1918" i="10" s="1"/>
  <c r="F1918" i="10" s="1"/>
  <c r="I1917" i="10"/>
  <c r="H1917" i="10" s="1"/>
  <c r="G1917" i="10" s="1"/>
  <c r="F1917" i="10" s="1"/>
  <c r="I1916" i="10"/>
  <c r="H1916" i="10" s="1"/>
  <c r="G1916" i="10" s="1"/>
  <c r="F1916" i="10" s="1"/>
  <c r="I1915" i="10"/>
  <c r="H1915" i="10" s="1"/>
  <c r="G1915" i="10" s="1"/>
  <c r="F1915" i="10" s="1"/>
  <c r="I1914" i="10"/>
  <c r="I1913" i="10"/>
  <c r="H1913" i="10" s="1"/>
  <c r="G1913" i="10" s="1"/>
  <c r="F1913" i="10" s="1"/>
  <c r="I1912" i="10"/>
  <c r="H1912" i="10" s="1"/>
  <c r="G1912" i="10" s="1"/>
  <c r="F1912" i="10" s="1"/>
  <c r="I1911" i="10"/>
  <c r="H1911" i="10" s="1"/>
  <c r="G1911" i="10" s="1"/>
  <c r="F1911" i="10" s="1"/>
  <c r="I1910" i="10"/>
  <c r="H1910" i="10" s="1"/>
  <c r="G1910" i="10" s="1"/>
  <c r="F1910" i="10" s="1"/>
  <c r="I1753" i="10"/>
  <c r="H1753" i="10" s="1"/>
  <c r="G1753" i="10" s="1"/>
  <c r="F1753" i="10" s="1"/>
  <c r="I1752" i="10"/>
  <c r="H1752" i="10" s="1"/>
  <c r="G1752" i="10" s="1"/>
  <c r="F1752" i="10" s="1"/>
  <c r="I1751" i="10"/>
  <c r="H1751" i="10" s="1"/>
  <c r="G1751" i="10" s="1"/>
  <c r="F1751" i="10" s="1"/>
  <c r="I1750" i="10"/>
  <c r="H1750" i="10" s="1"/>
  <c r="G1750" i="10" s="1"/>
  <c r="F1750" i="10" s="1"/>
  <c r="I1749" i="10"/>
  <c r="H1749" i="10" s="1"/>
  <c r="G1749" i="10" s="1"/>
  <c r="F1749" i="10" s="1"/>
  <c r="I1748" i="10"/>
  <c r="H1748" i="10" s="1"/>
  <c r="G1748" i="10" s="1"/>
  <c r="F1748" i="10" s="1"/>
  <c r="I1747" i="10"/>
  <c r="H1747" i="10" s="1"/>
  <c r="G1747" i="10" s="1"/>
  <c r="F1747" i="10" s="1"/>
  <c r="I1746" i="10"/>
  <c r="H1746" i="10" s="1"/>
  <c r="G1746" i="10" s="1"/>
  <c r="F1746" i="10" s="1"/>
  <c r="I1745" i="10"/>
  <c r="H1745" i="10" s="1"/>
  <c r="G1745" i="10" s="1"/>
  <c r="F1745" i="10" s="1"/>
  <c r="I1744" i="10"/>
  <c r="H1744" i="10" s="1"/>
  <c r="G1744" i="10" s="1"/>
  <c r="F1744" i="10" s="1"/>
  <c r="I1743" i="10"/>
  <c r="H1743" i="10" s="1"/>
  <c r="G1743" i="10" s="1"/>
  <c r="F1743" i="10" s="1"/>
  <c r="I1742" i="10"/>
  <c r="H1742" i="10" s="1"/>
  <c r="G1742" i="10" s="1"/>
  <c r="F1742" i="10" s="1"/>
  <c r="I1741" i="10"/>
  <c r="H1741" i="10" s="1"/>
  <c r="G1741" i="10" s="1"/>
  <c r="F1741" i="10" s="1"/>
  <c r="I1740" i="10"/>
  <c r="H1740" i="10" s="1"/>
  <c r="G1740" i="10" s="1"/>
  <c r="F1740" i="10" s="1"/>
  <c r="I1739" i="10"/>
  <c r="H1739" i="10" s="1"/>
  <c r="G1739" i="10" s="1"/>
  <c r="F1739" i="10" s="1"/>
  <c r="I1738" i="10"/>
  <c r="H1738" i="10" s="1"/>
  <c r="G1738" i="10" s="1"/>
  <c r="F1738" i="10" s="1"/>
  <c r="I1737" i="10"/>
  <c r="H1737" i="10" s="1"/>
  <c r="G1737" i="10" s="1"/>
  <c r="F1737" i="10" s="1"/>
  <c r="I1736" i="10"/>
  <c r="H1736" i="10" s="1"/>
  <c r="G1736" i="10" s="1"/>
  <c r="F1736" i="10" s="1"/>
  <c r="I1735" i="10"/>
  <c r="H1735" i="10" s="1"/>
  <c r="G1735" i="10" s="1"/>
  <c r="F1735" i="10" s="1"/>
  <c r="I1734" i="10"/>
  <c r="I1732" i="10"/>
  <c r="H1732" i="10" s="1"/>
  <c r="G1732" i="10" s="1"/>
  <c r="F1732" i="10" s="1"/>
  <c r="I1731" i="10"/>
  <c r="H1731" i="10" s="1"/>
  <c r="G1731" i="10" s="1"/>
  <c r="F1731" i="10" s="1"/>
  <c r="I1730" i="10"/>
  <c r="H1730" i="10" s="1"/>
  <c r="G1730" i="10" s="1"/>
  <c r="F1730" i="10" s="1"/>
  <c r="I1729" i="10"/>
  <c r="H1729" i="10" s="1"/>
  <c r="G1729" i="10" s="1"/>
  <c r="F1729" i="10" s="1"/>
  <c r="I1728" i="10"/>
  <c r="H1728" i="10" s="1"/>
  <c r="G1728" i="10" s="1"/>
  <c r="F1728" i="10" s="1"/>
  <c r="I1727" i="10"/>
  <c r="H1727" i="10" s="1"/>
  <c r="G1727" i="10" s="1"/>
  <c r="F1727" i="10" s="1"/>
  <c r="I1726" i="10"/>
  <c r="H1726" i="10" s="1"/>
  <c r="G1726" i="10" s="1"/>
  <c r="F1726" i="10" s="1"/>
  <c r="I1725" i="10"/>
  <c r="H1725" i="10" s="1"/>
  <c r="G1725" i="10" s="1"/>
  <c r="F1725" i="10" s="1"/>
  <c r="I1724" i="10"/>
  <c r="H1724" i="10" s="1"/>
  <c r="G1724" i="10" s="1"/>
  <c r="F1724" i="10" s="1"/>
  <c r="I1723" i="10"/>
  <c r="H1723" i="10" s="1"/>
  <c r="G1723" i="10" s="1"/>
  <c r="F1723" i="10" s="1"/>
  <c r="I1722" i="10"/>
  <c r="H1722" i="10" s="1"/>
  <c r="G1722" i="10" s="1"/>
  <c r="F1722" i="10" s="1"/>
  <c r="I1721" i="10"/>
  <c r="H1721" i="10" s="1"/>
  <c r="G1721" i="10" s="1"/>
  <c r="F1721" i="10" s="1"/>
  <c r="I1720" i="10"/>
  <c r="H1720" i="10" s="1"/>
  <c r="G1720" i="10" s="1"/>
  <c r="F1720" i="10" s="1"/>
  <c r="I1719" i="10"/>
  <c r="H1719" i="10" s="1"/>
  <c r="G1719" i="10" s="1"/>
  <c r="F1719" i="10" s="1"/>
  <c r="I1718" i="10"/>
  <c r="H1718" i="10" s="1"/>
  <c r="G1718" i="10" s="1"/>
  <c r="F1718" i="10" s="1"/>
  <c r="I1717" i="10"/>
  <c r="H1717" i="10" s="1"/>
  <c r="G1717" i="10" s="1"/>
  <c r="F1717" i="10" s="1"/>
  <c r="I1716" i="10"/>
  <c r="H1716" i="10" s="1"/>
  <c r="G1716" i="10" s="1"/>
  <c r="F1716" i="10" s="1"/>
  <c r="I1715" i="10"/>
  <c r="H1715" i="10" s="1"/>
  <c r="G1715" i="10" s="1"/>
  <c r="F1715" i="10" s="1"/>
  <c r="I1714" i="10"/>
  <c r="H1714" i="10" s="1"/>
  <c r="G1714" i="10" s="1"/>
  <c r="F1714" i="10" s="1"/>
  <c r="I1713" i="10"/>
  <c r="H1713" i="10" s="1"/>
  <c r="G1713" i="10" s="1"/>
  <c r="F1713" i="10" s="1"/>
  <c r="I1712" i="10"/>
  <c r="H1712" i="10" s="1"/>
  <c r="G1712" i="10" s="1"/>
  <c r="F1712" i="10" s="1"/>
  <c r="I1711" i="10"/>
  <c r="H1711" i="10" s="1"/>
  <c r="G1711" i="10" s="1"/>
  <c r="F1711" i="10" s="1"/>
  <c r="I1710" i="10"/>
  <c r="H1710" i="10" s="1"/>
  <c r="G1710" i="10" s="1"/>
  <c r="F1710" i="10" s="1"/>
  <c r="I1709" i="10"/>
  <c r="H1709" i="10" s="1"/>
  <c r="G1709" i="10" s="1"/>
  <c r="F1709" i="10" s="1"/>
  <c r="I1708" i="10"/>
  <c r="H1708" i="10" s="1"/>
  <c r="G1708" i="10" s="1"/>
  <c r="F1708" i="10" s="1"/>
  <c r="I1707" i="10"/>
  <c r="H1707" i="10" s="1"/>
  <c r="G1707" i="10" s="1"/>
  <c r="F1707" i="10" s="1"/>
  <c r="I1706" i="10"/>
  <c r="H1706" i="10" s="1"/>
  <c r="G1706" i="10" s="1"/>
  <c r="F1706" i="10" s="1"/>
  <c r="I1705" i="10"/>
  <c r="H1705" i="10" s="1"/>
  <c r="G1705" i="10" s="1"/>
  <c r="F1705" i="10" s="1"/>
  <c r="I1704" i="10"/>
  <c r="H1704" i="10" s="1"/>
  <c r="G1704" i="10" s="1"/>
  <c r="F1704" i="10" s="1"/>
  <c r="I1703" i="10"/>
  <c r="H1703" i="10" s="1"/>
  <c r="G1703" i="10" s="1"/>
  <c r="F1703" i="10" s="1"/>
  <c r="I1702" i="10"/>
  <c r="H1702" i="10" s="1"/>
  <c r="G1702" i="10" s="1"/>
  <c r="F1702" i="10" s="1"/>
  <c r="I1701" i="10"/>
  <c r="H1701" i="10" s="1"/>
  <c r="G1701" i="10" s="1"/>
  <c r="F1701" i="10" s="1"/>
  <c r="I1700" i="10"/>
  <c r="H1700" i="10" s="1"/>
  <c r="G1700" i="10" s="1"/>
  <c r="F1700" i="10" s="1"/>
  <c r="I1699" i="10"/>
  <c r="H1699" i="10" s="1"/>
  <c r="G1699" i="10" s="1"/>
  <c r="F1699" i="10" s="1"/>
  <c r="I1698" i="10"/>
  <c r="H1698" i="10" s="1"/>
  <c r="G1698" i="10" s="1"/>
  <c r="F1698" i="10" s="1"/>
  <c r="I1697" i="10"/>
  <c r="H1697" i="10" s="1"/>
  <c r="G1697" i="10" s="1"/>
  <c r="F1697" i="10" s="1"/>
  <c r="I1696" i="10"/>
  <c r="I1695" i="10"/>
  <c r="H1695" i="10" s="1"/>
  <c r="G1695" i="10" s="1"/>
  <c r="F1695" i="10" s="1"/>
  <c r="I1694" i="10"/>
  <c r="H1694" i="10" s="1"/>
  <c r="G1694" i="10" s="1"/>
  <c r="F1694" i="10" s="1"/>
  <c r="I1693" i="10"/>
  <c r="H1693" i="10" s="1"/>
  <c r="G1693" i="10" s="1"/>
  <c r="F1693" i="10" s="1"/>
  <c r="I1692" i="10"/>
  <c r="H1692" i="10" s="1"/>
  <c r="G1692" i="10" s="1"/>
  <c r="F1692" i="10" s="1"/>
  <c r="I1691" i="10"/>
  <c r="H1691" i="10" s="1"/>
  <c r="G1691" i="10" s="1"/>
  <c r="F1691" i="10" s="1"/>
  <c r="I1690" i="10"/>
  <c r="H1690" i="10" s="1"/>
  <c r="G1690" i="10" s="1"/>
  <c r="F1690" i="10" s="1"/>
  <c r="I1689" i="10"/>
  <c r="H1689" i="10" s="1"/>
  <c r="G1689" i="10" s="1"/>
  <c r="F1689" i="10" s="1"/>
  <c r="I1688" i="10"/>
  <c r="H1688" i="10" s="1"/>
  <c r="G1688" i="10" s="1"/>
  <c r="F1688" i="10" s="1"/>
  <c r="I1687" i="10"/>
  <c r="H1687" i="10" s="1"/>
  <c r="G1687" i="10" s="1"/>
  <c r="F1687" i="10" s="1"/>
  <c r="I1686" i="10"/>
  <c r="H1686" i="10" s="1"/>
  <c r="G1686" i="10" s="1"/>
  <c r="F1686" i="10" s="1"/>
  <c r="I1685" i="10"/>
  <c r="H1685" i="10" s="1"/>
  <c r="G1685" i="10" s="1"/>
  <c r="F1685" i="10" s="1"/>
  <c r="I1684" i="10"/>
  <c r="H1684" i="10" s="1"/>
  <c r="G1684" i="10" s="1"/>
  <c r="F1684" i="10" s="1"/>
  <c r="I1683" i="10"/>
  <c r="H1683" i="10" s="1"/>
  <c r="G1683" i="10" s="1"/>
  <c r="F1683" i="10" s="1"/>
  <c r="I1682" i="10"/>
  <c r="H1682" i="10" s="1"/>
  <c r="G1682" i="10" s="1"/>
  <c r="F1682" i="10" s="1"/>
  <c r="I1681" i="10"/>
  <c r="H1681" i="10" s="1"/>
  <c r="G1681" i="10" s="1"/>
  <c r="F1681" i="10" s="1"/>
  <c r="I1680" i="10"/>
  <c r="H1680" i="10" s="1"/>
  <c r="G1680" i="10" s="1"/>
  <c r="F1680" i="10" s="1"/>
  <c r="I1679" i="10"/>
  <c r="H1679" i="10" s="1"/>
  <c r="G1679" i="10" s="1"/>
  <c r="F1679" i="10" s="1"/>
  <c r="I1678" i="10"/>
  <c r="H1678" i="10" s="1"/>
  <c r="G1678" i="10" s="1"/>
  <c r="F1678" i="10" s="1"/>
  <c r="I1677" i="10"/>
  <c r="H1677" i="10" s="1"/>
  <c r="G1677" i="10" s="1"/>
  <c r="F1677" i="10" s="1"/>
  <c r="I1676" i="10"/>
  <c r="H1676" i="10" s="1"/>
  <c r="G1676" i="10" s="1"/>
  <c r="F1676" i="10" s="1"/>
  <c r="I1675" i="10"/>
  <c r="H1675" i="10" s="1"/>
  <c r="G1675" i="10" s="1"/>
  <c r="F1675" i="10" s="1"/>
  <c r="I1674" i="10"/>
  <c r="H1674" i="10" s="1"/>
  <c r="G1674" i="10" s="1"/>
  <c r="F1674" i="10" s="1"/>
  <c r="I1673" i="10"/>
  <c r="H1673" i="10" s="1"/>
  <c r="G1673" i="10" s="1"/>
  <c r="F1673" i="10" s="1"/>
  <c r="I1672" i="10"/>
  <c r="H1672" i="10" s="1"/>
  <c r="G1672" i="10" s="1"/>
  <c r="F1672" i="10" s="1"/>
  <c r="I1671" i="10"/>
  <c r="H1671" i="10" s="1"/>
  <c r="G1671" i="10" s="1"/>
  <c r="F1671" i="10" s="1"/>
  <c r="I1670" i="10"/>
  <c r="H1670" i="10" s="1"/>
  <c r="G1670" i="10" s="1"/>
  <c r="F1670" i="10" s="1"/>
  <c r="I1669" i="10"/>
  <c r="H1669" i="10" s="1"/>
  <c r="G1669" i="10" s="1"/>
  <c r="F1669" i="10" s="1"/>
  <c r="I1668" i="10"/>
  <c r="H1668" i="10" s="1"/>
  <c r="G1668" i="10" s="1"/>
  <c r="F1668" i="10" s="1"/>
  <c r="I1667" i="10"/>
  <c r="H1667" i="10" s="1"/>
  <c r="G1667" i="10" s="1"/>
  <c r="F1667" i="10" s="1"/>
  <c r="I1666" i="10"/>
  <c r="H1666" i="10" s="1"/>
  <c r="G1666" i="10" s="1"/>
  <c r="F1666" i="10" s="1"/>
  <c r="I1665" i="10"/>
  <c r="H1665" i="10" s="1"/>
  <c r="G1665" i="10" s="1"/>
  <c r="F1665" i="10" s="1"/>
  <c r="I1664" i="10"/>
  <c r="H1664" i="10" s="1"/>
  <c r="G1664" i="10" s="1"/>
  <c r="F1664" i="10" s="1"/>
  <c r="I1663" i="10"/>
  <c r="H1663" i="10" s="1"/>
  <c r="G1663" i="10" s="1"/>
  <c r="F1663" i="10" s="1"/>
  <c r="I1662" i="10"/>
  <c r="H1662" i="10" s="1"/>
  <c r="G1662" i="10" s="1"/>
  <c r="F1662" i="10" s="1"/>
  <c r="I1661" i="10"/>
  <c r="H1661" i="10" s="1"/>
  <c r="G1661" i="10" s="1"/>
  <c r="F1661" i="10" s="1"/>
  <c r="I1660" i="10"/>
  <c r="H1660" i="10" s="1"/>
  <c r="G1660" i="10" s="1"/>
  <c r="F1660" i="10" s="1"/>
  <c r="I1659" i="10"/>
  <c r="H1659" i="10" s="1"/>
  <c r="G1659" i="10" s="1"/>
  <c r="F1659" i="10" s="1"/>
  <c r="I1658" i="10"/>
  <c r="H1658" i="10" s="1"/>
  <c r="G1658" i="10" s="1"/>
  <c r="F1658" i="10" s="1"/>
  <c r="I1657" i="10"/>
  <c r="H1657" i="10" s="1"/>
  <c r="G1657" i="10" s="1"/>
  <c r="F1657" i="10" s="1"/>
  <c r="I1656" i="10"/>
  <c r="H1656" i="10" s="1"/>
  <c r="G1656" i="10" s="1"/>
  <c r="F1656" i="10" s="1"/>
  <c r="I1655" i="10"/>
  <c r="H1655" i="10" s="1"/>
  <c r="G1655" i="10" s="1"/>
  <c r="F1655" i="10" s="1"/>
  <c r="I1654" i="10"/>
  <c r="H1654" i="10" s="1"/>
  <c r="G1654" i="10" s="1"/>
  <c r="F1654" i="10" s="1"/>
  <c r="I1653" i="10"/>
  <c r="H1653" i="10" s="1"/>
  <c r="G1653" i="10" s="1"/>
  <c r="F1653" i="10" s="1"/>
  <c r="I1652" i="10"/>
  <c r="H1652" i="10" s="1"/>
  <c r="G1652" i="10" s="1"/>
  <c r="F1652" i="10" s="1"/>
  <c r="I1651" i="10"/>
  <c r="H1651" i="10" s="1"/>
  <c r="G1651" i="10" s="1"/>
  <c r="F1651" i="10" s="1"/>
  <c r="I1650" i="10"/>
  <c r="H1650" i="10" s="1"/>
  <c r="G1650" i="10" s="1"/>
  <c r="F1650" i="10" s="1"/>
  <c r="I1649" i="10"/>
  <c r="H1649" i="10" s="1"/>
  <c r="G1649" i="10" s="1"/>
  <c r="F1649" i="10" s="1"/>
  <c r="I1648" i="10"/>
  <c r="H1648" i="10" s="1"/>
  <c r="G1648" i="10" s="1"/>
  <c r="F1648" i="10" s="1"/>
  <c r="I1647" i="10"/>
  <c r="H1647" i="10" s="1"/>
  <c r="G1647" i="10" s="1"/>
  <c r="F1647" i="10" s="1"/>
  <c r="I1646" i="10"/>
  <c r="H1646" i="10" s="1"/>
  <c r="G1646" i="10" s="1"/>
  <c r="F1646" i="10" s="1"/>
  <c r="I1645" i="10"/>
  <c r="H1645" i="10" s="1"/>
  <c r="G1645" i="10" s="1"/>
  <c r="F1645" i="10" s="1"/>
  <c r="I1644" i="10"/>
  <c r="H1644" i="10" s="1"/>
  <c r="G1644" i="10" s="1"/>
  <c r="F1644" i="10" s="1"/>
  <c r="I1643" i="10"/>
  <c r="H1643" i="10" s="1"/>
  <c r="G1643" i="10" s="1"/>
  <c r="F1643" i="10" s="1"/>
  <c r="I1642" i="10"/>
  <c r="H1642" i="10" s="1"/>
  <c r="G1642" i="10" s="1"/>
  <c r="F1642" i="10" s="1"/>
  <c r="I1641" i="10"/>
  <c r="H1641" i="10" s="1"/>
  <c r="G1641" i="10" s="1"/>
  <c r="F1641" i="10" s="1"/>
  <c r="I1640" i="10"/>
  <c r="H1640" i="10" s="1"/>
  <c r="G1640" i="10" s="1"/>
  <c r="F1640" i="10" s="1"/>
  <c r="I1639" i="10"/>
  <c r="H1639" i="10" s="1"/>
  <c r="G1639" i="10" s="1"/>
  <c r="F1639" i="10" s="1"/>
  <c r="I1638" i="10"/>
  <c r="H1638" i="10" s="1"/>
  <c r="G1638" i="10" s="1"/>
  <c r="F1638" i="10" s="1"/>
  <c r="I1637" i="10"/>
  <c r="H1637" i="10" s="1"/>
  <c r="G1637" i="10" s="1"/>
  <c r="F1637" i="10" s="1"/>
  <c r="I1636" i="10"/>
  <c r="H1636" i="10" s="1"/>
  <c r="G1636" i="10" s="1"/>
  <c r="F1636" i="10" s="1"/>
  <c r="I1635" i="10"/>
  <c r="H1635" i="10" s="1"/>
  <c r="G1635" i="10" s="1"/>
  <c r="F1635" i="10" s="1"/>
  <c r="I1634" i="10"/>
  <c r="H1634" i="10" s="1"/>
  <c r="I1633" i="10"/>
  <c r="H1633" i="10" s="1"/>
  <c r="G1633" i="10" s="1"/>
  <c r="F1633" i="10" s="1"/>
  <c r="I1632" i="10"/>
  <c r="I1631" i="10"/>
  <c r="H1631" i="10" s="1"/>
  <c r="G1631" i="10" s="1"/>
  <c r="F1631" i="10" s="1"/>
  <c r="I1630" i="10"/>
  <c r="H1630" i="10" s="1"/>
  <c r="G1630" i="10" s="1"/>
  <c r="F1630" i="10" s="1"/>
  <c r="I1629" i="10"/>
  <c r="H1629" i="10" s="1"/>
  <c r="G1629" i="10" s="1"/>
  <c r="F1629" i="10" s="1"/>
  <c r="I1628" i="10"/>
  <c r="H1628" i="10" s="1"/>
  <c r="G1628" i="10" s="1"/>
  <c r="F1628" i="10" s="1"/>
  <c r="I1627" i="10"/>
  <c r="H1627" i="10" s="1"/>
  <c r="G1627" i="10" s="1"/>
  <c r="F1627" i="10" s="1"/>
  <c r="I1626" i="10"/>
  <c r="H1626" i="10" s="1"/>
  <c r="G1626" i="10" s="1"/>
  <c r="F1626" i="10" s="1"/>
  <c r="I1625" i="10"/>
  <c r="H1625" i="10" s="1"/>
  <c r="G1625" i="10" s="1"/>
  <c r="F1625" i="10" s="1"/>
  <c r="I1624" i="10"/>
  <c r="H1624" i="10" s="1"/>
  <c r="G1624" i="10" s="1"/>
  <c r="F1624" i="10" s="1"/>
  <c r="I1623" i="10"/>
  <c r="H1623" i="10" s="1"/>
  <c r="G1623" i="10" s="1"/>
  <c r="F1623" i="10" s="1"/>
  <c r="I1622" i="10"/>
  <c r="I1621" i="10"/>
  <c r="H1621" i="10" s="1"/>
  <c r="G1621" i="10" s="1"/>
  <c r="F1621" i="10" s="1"/>
  <c r="I1620" i="10"/>
  <c r="I1619" i="10"/>
  <c r="H1619" i="10" s="1"/>
  <c r="G1619" i="10" s="1"/>
  <c r="F1619" i="10" s="1"/>
  <c r="I1618" i="10"/>
  <c r="H1618" i="10" s="1"/>
  <c r="G1618" i="10" s="1"/>
  <c r="F1618" i="10" s="1"/>
  <c r="I1617" i="10"/>
  <c r="H1617" i="10" s="1"/>
  <c r="G1617" i="10" s="1"/>
  <c r="F1617" i="10" s="1"/>
  <c r="I1616" i="10"/>
  <c r="I1615" i="10"/>
  <c r="H1615" i="10" s="1"/>
  <c r="G1615" i="10" s="1"/>
  <c r="F1615" i="10" s="1"/>
  <c r="I1614" i="10"/>
  <c r="H1614" i="10" s="1"/>
  <c r="G1614" i="10" s="1"/>
  <c r="F1614" i="10" s="1"/>
  <c r="I1613" i="10"/>
  <c r="H1613" i="10" s="1"/>
  <c r="G1613" i="10" s="1"/>
  <c r="F1613" i="10" s="1"/>
  <c r="I1612" i="10"/>
  <c r="H1612" i="10" s="1"/>
  <c r="G1612" i="10" s="1"/>
  <c r="F1612" i="10" s="1"/>
  <c r="I1611" i="10"/>
  <c r="H1611" i="10" s="1"/>
  <c r="G1611" i="10" s="1"/>
  <c r="F1611" i="10" s="1"/>
  <c r="I1610" i="10"/>
  <c r="H1610" i="10" s="1"/>
  <c r="G1610" i="10" s="1"/>
  <c r="F1610" i="10" s="1"/>
  <c r="I1609" i="10"/>
  <c r="H1609" i="10" s="1"/>
  <c r="G1609" i="10" s="1"/>
  <c r="F1609" i="10" s="1"/>
  <c r="I1608" i="10"/>
  <c r="H1608" i="10" s="1"/>
  <c r="G1608" i="10" s="1"/>
  <c r="F1608" i="10" s="1"/>
  <c r="I1607" i="10"/>
  <c r="H1607" i="10" s="1"/>
  <c r="G1607" i="10" s="1"/>
  <c r="F1607" i="10" s="1"/>
  <c r="I1606" i="10"/>
  <c r="H1606" i="10" s="1"/>
  <c r="G1606" i="10" s="1"/>
  <c r="F1606" i="10" s="1"/>
  <c r="I1605" i="10"/>
  <c r="H1605" i="10" s="1"/>
  <c r="G1605" i="10" s="1"/>
  <c r="F1605" i="10" s="1"/>
  <c r="I1604" i="10"/>
  <c r="H1604" i="10" s="1"/>
  <c r="G1604" i="10" s="1"/>
  <c r="F1604" i="10" s="1"/>
  <c r="I1603" i="10"/>
  <c r="H1603" i="10" s="1"/>
  <c r="G1603" i="10" s="1"/>
  <c r="F1603" i="10" s="1"/>
  <c r="I1602" i="10"/>
  <c r="H1602" i="10" s="1"/>
  <c r="G1602" i="10" s="1"/>
  <c r="F1602" i="10" s="1"/>
  <c r="I1601" i="10"/>
  <c r="H1601" i="10" s="1"/>
  <c r="G1601" i="10" s="1"/>
  <c r="F1601" i="10" s="1"/>
  <c r="I1600" i="10"/>
  <c r="H1600" i="10" s="1"/>
  <c r="G1600" i="10" s="1"/>
  <c r="F1600" i="10" s="1"/>
  <c r="I1599" i="10"/>
  <c r="H1599" i="10" s="1"/>
  <c r="G1599" i="10" s="1"/>
  <c r="F1599" i="10" s="1"/>
  <c r="I1598" i="10"/>
  <c r="H1598" i="10" s="1"/>
  <c r="G1598" i="10" s="1"/>
  <c r="F1598" i="10" s="1"/>
  <c r="I1597" i="10"/>
  <c r="H1597" i="10" s="1"/>
  <c r="G1597" i="10" s="1"/>
  <c r="F1597" i="10" s="1"/>
  <c r="I1596" i="10"/>
  <c r="H1596" i="10" s="1"/>
  <c r="G1596" i="10" s="1"/>
  <c r="F1596" i="10" s="1"/>
  <c r="I1595" i="10"/>
  <c r="H1595" i="10" s="1"/>
  <c r="G1595" i="10" s="1"/>
  <c r="F1595" i="10" s="1"/>
  <c r="I1594" i="10"/>
  <c r="H1594" i="10" s="1"/>
  <c r="G1594" i="10" s="1"/>
  <c r="F1594" i="10" s="1"/>
  <c r="I1593" i="10"/>
  <c r="H1593" i="10" s="1"/>
  <c r="G1593" i="10" s="1"/>
  <c r="F1593" i="10" s="1"/>
  <c r="I1592" i="10"/>
  <c r="H1592" i="10" s="1"/>
  <c r="G1592" i="10" s="1"/>
  <c r="F1592" i="10" s="1"/>
  <c r="I1591" i="10"/>
  <c r="H1591" i="10" s="1"/>
  <c r="G1591" i="10" s="1"/>
  <c r="F1591" i="10" s="1"/>
  <c r="I1590" i="10"/>
  <c r="H1590" i="10" s="1"/>
  <c r="G1590" i="10" s="1"/>
  <c r="F1590" i="10" s="1"/>
  <c r="I1589" i="10"/>
  <c r="H1589" i="10" s="1"/>
  <c r="G1589" i="10" s="1"/>
  <c r="F1589" i="10" s="1"/>
  <c r="I1588" i="10"/>
  <c r="H1588" i="10" s="1"/>
  <c r="G1588" i="10" s="1"/>
  <c r="F1588" i="10" s="1"/>
  <c r="I1587" i="10"/>
  <c r="H1587" i="10" s="1"/>
  <c r="G1587" i="10" s="1"/>
  <c r="F1587" i="10" s="1"/>
  <c r="I1586" i="10"/>
  <c r="H1586" i="10" s="1"/>
  <c r="G1586" i="10" s="1"/>
  <c r="F1586" i="10" s="1"/>
  <c r="I1585" i="10"/>
  <c r="H1585" i="10" s="1"/>
  <c r="G1585" i="10" s="1"/>
  <c r="F1585" i="10" s="1"/>
  <c r="I1584" i="10"/>
  <c r="H1584" i="10" s="1"/>
  <c r="G1584" i="10" s="1"/>
  <c r="F1584" i="10" s="1"/>
  <c r="I1583" i="10"/>
  <c r="H1583" i="10" s="1"/>
  <c r="G1583" i="10" s="1"/>
  <c r="F1583" i="10" s="1"/>
  <c r="I1582" i="10"/>
  <c r="H1582" i="10" s="1"/>
  <c r="G1582" i="10" s="1"/>
  <c r="F1582" i="10" s="1"/>
  <c r="I1581" i="10"/>
  <c r="H1581" i="10" s="1"/>
  <c r="G1581" i="10" s="1"/>
  <c r="F1581" i="10" s="1"/>
  <c r="I1580" i="10"/>
  <c r="H1580" i="10" s="1"/>
  <c r="G1580" i="10" s="1"/>
  <c r="F1580" i="10" s="1"/>
  <c r="I1579" i="10"/>
  <c r="H1579" i="10" s="1"/>
  <c r="G1579" i="10" s="1"/>
  <c r="F1579" i="10" s="1"/>
  <c r="I1578" i="10"/>
  <c r="H1578" i="10" s="1"/>
  <c r="G1578" i="10" s="1"/>
  <c r="F1578" i="10" s="1"/>
  <c r="I1577" i="10"/>
  <c r="H1577" i="10" s="1"/>
  <c r="G1577" i="10" s="1"/>
  <c r="F1577" i="10" s="1"/>
  <c r="I1576" i="10"/>
  <c r="H1576" i="10" s="1"/>
  <c r="I1575" i="10"/>
  <c r="H1575" i="10" s="1"/>
  <c r="G1575" i="10" s="1"/>
  <c r="F1575" i="10" s="1"/>
  <c r="I1574" i="10"/>
  <c r="H1574" i="10" s="1"/>
  <c r="G1574" i="10" s="1"/>
  <c r="F1574" i="10" s="1"/>
  <c r="I1573" i="10"/>
  <c r="H1573" i="10" s="1"/>
  <c r="G1573" i="10" s="1"/>
  <c r="F1573" i="10" s="1"/>
  <c r="I1572" i="10"/>
  <c r="H1572" i="10" s="1"/>
  <c r="I1571" i="10"/>
  <c r="H1571" i="10" s="1"/>
  <c r="G1571" i="10" s="1"/>
  <c r="F1571" i="10" s="1"/>
  <c r="I1570" i="10"/>
  <c r="H1570" i="10" s="1"/>
  <c r="G1570" i="10" s="1"/>
  <c r="F1570" i="10" s="1"/>
  <c r="I1569" i="10"/>
  <c r="H1569" i="10" s="1"/>
  <c r="G1569" i="10" s="1"/>
  <c r="F1569" i="10" s="1"/>
  <c r="I1568" i="10"/>
  <c r="H1568" i="10" s="1"/>
  <c r="I1567" i="10"/>
  <c r="H1567" i="10" s="1"/>
  <c r="G1567" i="10" s="1"/>
  <c r="F1567" i="10" s="1"/>
  <c r="I1566" i="10"/>
  <c r="H1566" i="10" s="1"/>
  <c r="G1566" i="10" s="1"/>
  <c r="F1566" i="10" s="1"/>
  <c r="I1565" i="10"/>
  <c r="H1565" i="10" s="1"/>
  <c r="G1565" i="10" s="1"/>
  <c r="F1565" i="10" s="1"/>
  <c r="I1564" i="10"/>
  <c r="H1564" i="10" s="1"/>
  <c r="I1563" i="10"/>
  <c r="H1563" i="10" s="1"/>
  <c r="G1563" i="10" s="1"/>
  <c r="F1563" i="10" s="1"/>
  <c r="I1562" i="10"/>
  <c r="H1562" i="10" s="1"/>
  <c r="I1561" i="10"/>
  <c r="H1561" i="10" s="1"/>
  <c r="G1561" i="10" s="1"/>
  <c r="F1561" i="10" s="1"/>
  <c r="I1560" i="10"/>
  <c r="H1560" i="10" s="1"/>
  <c r="I1559" i="10"/>
  <c r="H1559" i="10" s="1"/>
  <c r="G1559" i="10" s="1"/>
  <c r="F1559" i="10" s="1"/>
  <c r="I1558" i="10"/>
  <c r="H1558" i="10" s="1"/>
  <c r="I1557" i="10"/>
  <c r="H1557" i="10" s="1"/>
  <c r="G1557" i="10" s="1"/>
  <c r="F1557" i="10" s="1"/>
  <c r="I1556" i="10"/>
  <c r="H1556" i="10" s="1"/>
  <c r="G1556" i="10" s="1"/>
  <c r="F1556" i="10" s="1"/>
  <c r="I1555" i="10"/>
  <c r="H1555" i="10" s="1"/>
  <c r="G1555" i="10" s="1"/>
  <c r="F1555" i="10" s="1"/>
  <c r="I1554" i="10"/>
  <c r="H1554" i="10" s="1"/>
  <c r="G1554" i="10" s="1"/>
  <c r="F1554" i="10" s="1"/>
  <c r="I1553" i="10"/>
  <c r="H1553" i="10" s="1"/>
  <c r="G1553" i="10" s="1"/>
  <c r="F1553" i="10" s="1"/>
  <c r="I1552" i="10"/>
  <c r="H1552" i="10" s="1"/>
  <c r="G1552" i="10" s="1"/>
  <c r="F1552" i="10" s="1"/>
  <c r="I1551" i="10"/>
  <c r="H1551" i="10" s="1"/>
  <c r="G1551" i="10" s="1"/>
  <c r="F1551" i="10" s="1"/>
  <c r="I1550" i="10"/>
  <c r="H1550" i="10" s="1"/>
  <c r="G1550" i="10" s="1"/>
  <c r="F1550" i="10" s="1"/>
  <c r="I1549" i="10"/>
  <c r="H1549" i="10" s="1"/>
  <c r="G1549" i="10" s="1"/>
  <c r="F1549" i="10" s="1"/>
  <c r="I1548" i="10"/>
  <c r="H1548" i="10" s="1"/>
  <c r="G1548" i="10" s="1"/>
  <c r="F1548" i="10" s="1"/>
  <c r="I1547" i="10"/>
  <c r="H1547" i="10" s="1"/>
  <c r="G1547" i="10" s="1"/>
  <c r="F1547" i="10" s="1"/>
  <c r="I1546" i="10"/>
  <c r="H1546" i="10" s="1"/>
  <c r="G1546" i="10" s="1"/>
  <c r="F1546" i="10" s="1"/>
  <c r="I1545" i="10"/>
  <c r="H1545" i="10" s="1"/>
  <c r="G1545" i="10" s="1"/>
  <c r="F1545" i="10" s="1"/>
  <c r="I1544" i="10"/>
  <c r="H1544" i="10" s="1"/>
  <c r="G1544" i="10" s="1"/>
  <c r="F1544" i="10" s="1"/>
  <c r="I1543" i="10"/>
  <c r="H1543" i="10" s="1"/>
  <c r="G1543" i="10" s="1"/>
  <c r="F1543" i="10" s="1"/>
  <c r="I1542" i="10"/>
  <c r="H1542" i="10" s="1"/>
  <c r="G1542" i="10" s="1"/>
  <c r="F1542" i="10" s="1"/>
  <c r="I1541" i="10"/>
  <c r="H1541" i="10" s="1"/>
  <c r="G1541" i="10" s="1"/>
  <c r="F1541" i="10" s="1"/>
  <c r="I1540" i="10"/>
  <c r="H1540" i="10" s="1"/>
  <c r="G1540" i="10" s="1"/>
  <c r="F1540" i="10" s="1"/>
  <c r="I1539" i="10"/>
  <c r="H1539" i="10" s="1"/>
  <c r="G1539" i="10" s="1"/>
  <c r="F1539" i="10" s="1"/>
  <c r="I1538" i="10"/>
  <c r="H1538" i="10" s="1"/>
  <c r="G1538" i="10" s="1"/>
  <c r="F1538" i="10" s="1"/>
  <c r="I1537" i="10"/>
  <c r="H1537" i="10" s="1"/>
  <c r="G1537" i="10" s="1"/>
  <c r="F1537" i="10" s="1"/>
  <c r="I1536" i="10"/>
  <c r="H1536" i="10" s="1"/>
  <c r="G1536" i="10" s="1"/>
  <c r="F1536" i="10" s="1"/>
  <c r="I1535" i="10"/>
  <c r="H1535" i="10" s="1"/>
  <c r="G1535" i="10" s="1"/>
  <c r="F1535" i="10" s="1"/>
  <c r="I1534" i="10"/>
  <c r="H1534" i="10" s="1"/>
  <c r="G1534" i="10" s="1"/>
  <c r="F1534" i="10" s="1"/>
  <c r="I1533" i="10"/>
  <c r="H1533" i="10" s="1"/>
  <c r="G1533" i="10" s="1"/>
  <c r="F1533" i="10" s="1"/>
  <c r="I1532" i="10"/>
  <c r="H1532" i="10" s="1"/>
  <c r="G1532" i="10" s="1"/>
  <c r="F1532" i="10" s="1"/>
  <c r="I1531" i="10"/>
  <c r="H1531" i="10" s="1"/>
  <c r="G1531" i="10" s="1"/>
  <c r="F1531" i="10" s="1"/>
  <c r="I1530" i="10"/>
  <c r="H1530" i="10" s="1"/>
  <c r="G1530" i="10" s="1"/>
  <c r="F1530" i="10" s="1"/>
  <c r="I1529" i="10"/>
  <c r="H1529" i="10" s="1"/>
  <c r="G1529" i="10" s="1"/>
  <c r="F1529" i="10" s="1"/>
  <c r="I1528" i="10"/>
  <c r="H1528" i="10" s="1"/>
  <c r="G1528" i="10" s="1"/>
  <c r="F1528" i="10" s="1"/>
  <c r="I1527" i="10"/>
  <c r="H1527" i="10" s="1"/>
  <c r="G1527" i="10" s="1"/>
  <c r="F1527" i="10" s="1"/>
  <c r="I1526" i="10"/>
  <c r="H1526" i="10" s="1"/>
  <c r="G1526" i="10" s="1"/>
  <c r="F1526" i="10" s="1"/>
  <c r="I1525" i="10"/>
  <c r="H1525" i="10" s="1"/>
  <c r="G1525" i="10" s="1"/>
  <c r="F1525" i="10" s="1"/>
  <c r="I1524" i="10"/>
  <c r="H1524" i="10" s="1"/>
  <c r="G1524" i="10" s="1"/>
  <c r="F1524" i="10" s="1"/>
  <c r="I1523" i="10"/>
  <c r="H1523" i="10" s="1"/>
  <c r="G1523" i="10" s="1"/>
  <c r="F1523" i="10" s="1"/>
  <c r="I1522" i="10"/>
  <c r="H1522" i="10" s="1"/>
  <c r="G1522" i="10" s="1"/>
  <c r="F1522" i="10" s="1"/>
  <c r="I1521" i="10"/>
  <c r="H1521" i="10" s="1"/>
  <c r="G1521" i="10" s="1"/>
  <c r="F1521" i="10" s="1"/>
  <c r="I1520" i="10"/>
  <c r="H1520" i="10" s="1"/>
  <c r="G1520" i="10" s="1"/>
  <c r="F1520" i="10" s="1"/>
  <c r="I1519" i="10"/>
  <c r="I1518" i="10"/>
  <c r="H1518" i="10" s="1"/>
  <c r="G1518" i="10" s="1"/>
  <c r="F1518" i="10" s="1"/>
  <c r="I1517" i="10"/>
  <c r="H1517" i="10" s="1"/>
  <c r="G1517" i="10" s="1"/>
  <c r="F1517" i="10" s="1"/>
  <c r="I1516" i="10"/>
  <c r="H1516" i="10" s="1"/>
  <c r="G1516" i="10" s="1"/>
  <c r="F1516" i="10" s="1"/>
  <c r="I1515" i="10"/>
  <c r="I1514" i="10"/>
  <c r="H1514" i="10" s="1"/>
  <c r="G1514" i="10" s="1"/>
  <c r="F1514" i="10" s="1"/>
  <c r="I1513" i="10"/>
  <c r="H1513" i="10" s="1"/>
  <c r="G1513" i="10" s="1"/>
  <c r="F1513" i="10" s="1"/>
  <c r="I1512" i="10"/>
  <c r="H1512" i="10" s="1"/>
  <c r="G1512" i="10" s="1"/>
  <c r="F1512" i="10" s="1"/>
  <c r="I1511" i="10"/>
  <c r="I1510" i="10"/>
  <c r="H1510" i="10" s="1"/>
  <c r="G1510" i="10" s="1"/>
  <c r="F1510" i="10" s="1"/>
  <c r="I1509" i="10"/>
  <c r="H1509" i="10" s="1"/>
  <c r="G1509" i="10" s="1"/>
  <c r="F1509" i="10" s="1"/>
  <c r="I1508" i="10"/>
  <c r="H1508" i="10" s="1"/>
  <c r="G1508" i="10" s="1"/>
  <c r="F1508" i="10" s="1"/>
  <c r="I1507" i="10"/>
  <c r="I1506" i="10"/>
  <c r="H1506" i="10" s="1"/>
  <c r="G1506" i="10" s="1"/>
  <c r="F1506" i="10" s="1"/>
  <c r="I1505" i="10"/>
  <c r="H1505" i="10" s="1"/>
  <c r="G1505" i="10" s="1"/>
  <c r="F1505" i="10" s="1"/>
  <c r="I1504" i="10"/>
  <c r="H1504" i="10" s="1"/>
  <c r="G1504" i="10" s="1"/>
  <c r="F1504" i="10" s="1"/>
  <c r="I1503" i="10"/>
  <c r="I1502" i="10"/>
  <c r="H1502" i="10" s="1"/>
  <c r="G1502" i="10" s="1"/>
  <c r="F1502" i="10" s="1"/>
  <c r="I1501" i="10"/>
  <c r="H1501" i="10" s="1"/>
  <c r="G1501" i="10" s="1"/>
  <c r="F1501" i="10" s="1"/>
  <c r="I1500" i="10"/>
  <c r="H1500" i="10" s="1"/>
  <c r="G1500" i="10" s="1"/>
  <c r="F1500" i="10" s="1"/>
  <c r="I1499" i="10"/>
  <c r="I1498" i="10"/>
  <c r="H1498" i="10" s="1"/>
  <c r="G1498" i="10" s="1"/>
  <c r="F1498" i="10" s="1"/>
  <c r="I1497" i="10"/>
  <c r="H1497" i="10" s="1"/>
  <c r="G1497" i="10" s="1"/>
  <c r="F1497" i="10" s="1"/>
  <c r="I1496" i="10"/>
  <c r="H1496" i="10" s="1"/>
  <c r="G1496" i="10" s="1"/>
  <c r="F1496" i="10" s="1"/>
  <c r="I1495" i="10"/>
  <c r="I1494" i="10"/>
  <c r="H1494" i="10" s="1"/>
  <c r="G1494" i="10" s="1"/>
  <c r="F1494" i="10" s="1"/>
  <c r="I1493" i="10"/>
  <c r="H1493" i="10" s="1"/>
  <c r="G1493" i="10" s="1"/>
  <c r="F1493" i="10" s="1"/>
  <c r="I1492" i="10"/>
  <c r="H1492" i="10" s="1"/>
  <c r="G1492" i="10" s="1"/>
  <c r="F1492" i="10" s="1"/>
  <c r="I1491" i="10"/>
  <c r="I1490" i="10"/>
  <c r="H1490" i="10" s="1"/>
  <c r="G1490" i="10" s="1"/>
  <c r="F1490" i="10" s="1"/>
  <c r="I1489" i="10"/>
  <c r="H1489" i="10" s="1"/>
  <c r="G1489" i="10" s="1"/>
  <c r="F1489" i="10" s="1"/>
  <c r="I1488" i="10"/>
  <c r="H1488" i="10" s="1"/>
  <c r="G1488" i="10" s="1"/>
  <c r="F1488" i="10" s="1"/>
  <c r="I1487" i="10"/>
  <c r="I1486" i="10"/>
  <c r="H1486" i="10" s="1"/>
  <c r="G1486" i="10" s="1"/>
  <c r="F1486" i="10" s="1"/>
  <c r="I1485" i="10"/>
  <c r="H1485" i="10" s="1"/>
  <c r="G1485" i="10" s="1"/>
  <c r="F1485" i="10" s="1"/>
  <c r="I1484" i="10"/>
  <c r="H1484" i="10" s="1"/>
  <c r="G1484" i="10" s="1"/>
  <c r="F1484" i="10" s="1"/>
  <c r="I1483" i="10"/>
  <c r="I1482" i="10"/>
  <c r="H1482" i="10" s="1"/>
  <c r="G1482" i="10" s="1"/>
  <c r="F1482" i="10" s="1"/>
  <c r="I1481" i="10"/>
  <c r="I1480" i="10"/>
  <c r="H1480" i="10" s="1"/>
  <c r="G1480" i="10" s="1"/>
  <c r="F1480" i="10" s="1"/>
  <c r="I1479" i="10"/>
  <c r="I1478" i="10"/>
  <c r="H1478" i="10" s="1"/>
  <c r="G1478" i="10" s="1"/>
  <c r="F1478" i="10" s="1"/>
  <c r="I1477" i="10"/>
  <c r="H1477" i="10" s="1"/>
  <c r="G1477" i="10" s="1"/>
  <c r="F1477" i="10" s="1"/>
  <c r="I1476" i="10"/>
  <c r="H1476" i="10" s="1"/>
  <c r="G1476" i="10" s="1"/>
  <c r="F1476" i="10" s="1"/>
  <c r="I1475" i="10"/>
  <c r="I1474" i="10"/>
  <c r="H1474" i="10" s="1"/>
  <c r="G1474" i="10" s="1"/>
  <c r="F1474" i="10" s="1"/>
  <c r="I1473" i="10"/>
  <c r="H1473" i="10" s="1"/>
  <c r="G1473" i="10" s="1"/>
  <c r="F1473" i="10" s="1"/>
  <c r="I1472" i="10"/>
  <c r="H1472" i="10" s="1"/>
  <c r="G1472" i="10" s="1"/>
  <c r="F1472" i="10" s="1"/>
  <c r="I1471" i="10"/>
  <c r="I1470" i="10"/>
  <c r="H1470" i="10" s="1"/>
  <c r="G1470" i="10" s="1"/>
  <c r="F1470" i="10" s="1"/>
  <c r="I1469" i="10"/>
  <c r="H1469" i="10" s="1"/>
  <c r="G1469" i="10" s="1"/>
  <c r="F1469" i="10" s="1"/>
  <c r="I1468" i="10"/>
  <c r="H1468" i="10" s="1"/>
  <c r="G1468" i="10" s="1"/>
  <c r="F1468" i="10" s="1"/>
  <c r="J1414" i="10"/>
  <c r="J1413" i="10"/>
  <c r="J1412" i="10"/>
  <c r="J1411" i="10"/>
  <c r="J1410" i="10"/>
  <c r="J1409" i="10"/>
  <c r="J1408" i="10"/>
  <c r="J1407" i="10"/>
  <c r="J1406" i="10"/>
  <c r="J1405" i="10"/>
  <c r="J1404" i="10"/>
  <c r="J1403" i="10"/>
  <c r="J1402" i="10"/>
  <c r="J1401" i="10"/>
  <c r="J1400" i="10"/>
  <c r="J1399" i="10"/>
  <c r="J1398" i="10"/>
  <c r="J1397" i="10"/>
  <c r="J1396" i="10"/>
  <c r="J1395" i="10"/>
  <c r="J1394" i="10"/>
  <c r="J1393" i="10"/>
  <c r="J1392" i="10"/>
  <c r="J1391" i="10"/>
  <c r="J1390" i="10"/>
  <c r="J1389" i="10"/>
  <c r="J1388" i="10"/>
  <c r="J1387" i="10"/>
  <c r="J1386" i="10"/>
  <c r="J1385" i="10"/>
  <c r="J1384" i="10"/>
  <c r="J1383" i="10"/>
  <c r="J1382" i="10"/>
  <c r="J1381" i="10"/>
  <c r="J1380" i="10"/>
  <c r="J1379" i="10"/>
  <c r="J1378" i="10"/>
  <c r="J1377" i="10"/>
  <c r="J1376" i="10"/>
  <c r="J1375" i="10"/>
  <c r="J1374" i="10"/>
  <c r="J1373" i="10"/>
  <c r="J1372" i="10"/>
  <c r="J1371" i="10"/>
  <c r="J1370" i="10"/>
  <c r="J1369" i="10"/>
  <c r="J1368" i="10"/>
  <c r="J1367" i="10"/>
  <c r="J1366" i="10"/>
  <c r="J1365" i="10"/>
  <c r="J1364" i="10"/>
  <c r="J1363" i="10"/>
  <c r="AA612" i="7"/>
  <c r="AB612" i="7"/>
  <c r="AC612" i="7"/>
  <c r="Z612" i="7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7" i="10"/>
  <c r="L1361" i="10"/>
  <c r="K904" i="7" s="1"/>
  <c r="L1360" i="10"/>
  <c r="K903" i="7" s="1"/>
  <c r="L1359" i="10"/>
  <c r="K902" i="7" s="1"/>
  <c r="L1358" i="10"/>
  <c r="K901" i="7" s="1"/>
  <c r="L1357" i="10"/>
  <c r="K900" i="7" s="1"/>
  <c r="L1356" i="10"/>
  <c r="K899" i="7" s="1"/>
  <c r="L1355" i="10"/>
  <c r="K898" i="7" s="1"/>
  <c r="L1354" i="10"/>
  <c r="K897" i="7" s="1"/>
  <c r="L1353" i="10"/>
  <c r="K896" i="7" s="1"/>
  <c r="L1352" i="10"/>
  <c r="K895" i="7" s="1"/>
  <c r="L1351" i="10"/>
  <c r="K894" i="7" s="1"/>
  <c r="L1350" i="10"/>
  <c r="K893" i="7" s="1"/>
  <c r="L1349" i="10"/>
  <c r="K892" i="7" s="1"/>
  <c r="L1348" i="10"/>
  <c r="K891" i="7" s="1"/>
  <c r="L1347" i="10"/>
  <c r="K890" i="7" s="1"/>
  <c r="L1346" i="10"/>
  <c r="K889" i="7" s="1"/>
  <c r="L1345" i="10"/>
  <c r="K888" i="7" s="1"/>
  <c r="L1344" i="10"/>
  <c r="K887" i="7" s="1"/>
  <c r="L1343" i="10"/>
  <c r="K886" i="7" s="1"/>
  <c r="L1342" i="10"/>
  <c r="K885" i="7" s="1"/>
  <c r="L1341" i="10"/>
  <c r="K884" i="7" s="1"/>
  <c r="L1340" i="10"/>
  <c r="K883" i="7" s="1"/>
  <c r="L1339" i="10"/>
  <c r="K882" i="7" s="1"/>
  <c r="L1338" i="10"/>
  <c r="K881" i="7" s="1"/>
  <c r="L1337" i="10"/>
  <c r="K880" i="7" s="1"/>
  <c r="L1336" i="10"/>
  <c r="K879" i="7" s="1"/>
  <c r="D1363" i="10"/>
  <c r="D1364" i="10"/>
  <c r="D1365" i="10"/>
  <c r="D1366" i="10"/>
  <c r="D1367" i="10"/>
  <c r="D1368" i="10"/>
  <c r="D1369" i="10"/>
  <c r="D1370" i="10"/>
  <c r="D1371" i="10"/>
  <c r="D1372" i="10"/>
  <c r="D1373" i="10"/>
  <c r="D1374" i="10"/>
  <c r="D1375" i="10"/>
  <c r="D1376" i="10"/>
  <c r="D1377" i="10"/>
  <c r="D1378" i="10"/>
  <c r="D1379" i="10"/>
  <c r="D1380" i="10"/>
  <c r="D1381" i="10"/>
  <c r="D1382" i="10"/>
  <c r="D1383" i="10"/>
  <c r="D1384" i="10"/>
  <c r="D1385" i="10"/>
  <c r="D1386" i="10"/>
  <c r="D1387" i="10"/>
  <c r="D1388" i="10"/>
  <c r="AF609" i="7"/>
  <c r="AF610" i="7"/>
  <c r="AF613" i="7"/>
  <c r="AF614" i="7"/>
  <c r="AF615" i="7"/>
  <c r="AF616" i="7"/>
  <c r="AF617" i="7"/>
  <c r="AF618" i="7"/>
  <c r="AF619" i="7"/>
  <c r="AF620" i="7"/>
  <c r="AF621" i="7"/>
  <c r="AF622" i="7"/>
  <c r="AF623" i="7"/>
  <c r="AF624" i="7"/>
  <c r="AF625" i="7"/>
  <c r="AF626" i="7"/>
  <c r="AF627" i="7"/>
  <c r="AF628" i="7"/>
  <c r="AF629" i="7"/>
  <c r="AF630" i="7"/>
  <c r="AF632" i="7"/>
  <c r="AF633" i="7"/>
  <c r="AF634" i="7"/>
  <c r="C2593" i="10"/>
  <c r="D191" i="3"/>
  <c r="C2548" i="10"/>
  <c r="C2547" i="10"/>
  <c r="C2552" i="10"/>
  <c r="C2551" i="10"/>
  <c r="C2550" i="10"/>
  <c r="C2554" i="10"/>
  <c r="C2558" i="10"/>
  <c r="C2560" i="10"/>
  <c r="C2563" i="10"/>
  <c r="C2566" i="10"/>
  <c r="C2568" i="10"/>
  <c r="C2573" i="10"/>
  <c r="C2578" i="10"/>
  <c r="C2577" i="10"/>
  <c r="C2581" i="10"/>
  <c r="C2580" i="10"/>
  <c r="C2583" i="10"/>
  <c r="C2589" i="10"/>
  <c r="C2588" i="10"/>
  <c r="C2587" i="10"/>
  <c r="C2586" i="10"/>
  <c r="C2597" i="10"/>
  <c r="C2599" i="10"/>
  <c r="C2600" i="10"/>
  <c r="A2740" i="10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6" i="6"/>
  <c r="Z7" i="6"/>
  <c r="Z8" i="6"/>
  <c r="Z9" i="6"/>
  <c r="Z10" i="6"/>
  <c r="Z12" i="6"/>
  <c r="Z13" i="6"/>
  <c r="Z14" i="6"/>
  <c r="Z15" i="6"/>
  <c r="Z16" i="6"/>
  <c r="L2509" i="10"/>
  <c r="K853" i="7" s="1"/>
  <c r="L2510" i="10"/>
  <c r="K854" i="7" s="1"/>
  <c r="L2511" i="10"/>
  <c r="K855" i="7" s="1"/>
  <c r="L2512" i="10"/>
  <c r="K856" i="7" s="1"/>
  <c r="L2513" i="10"/>
  <c r="K857" i="7" s="1"/>
  <c r="L2514" i="10"/>
  <c r="K858" i="7" s="1"/>
  <c r="L2515" i="10"/>
  <c r="K859" i="7" s="1"/>
  <c r="L2516" i="10"/>
  <c r="K860" i="7" s="1"/>
  <c r="L2517" i="10"/>
  <c r="K861" i="7" s="1"/>
  <c r="L2518" i="10"/>
  <c r="K862" i="7" s="1"/>
  <c r="L2519" i="10"/>
  <c r="K863" i="7" s="1"/>
  <c r="L2520" i="10"/>
  <c r="K864" i="7" s="1"/>
  <c r="L2521" i="10"/>
  <c r="K865" i="7" s="1"/>
  <c r="L2522" i="10"/>
  <c r="K866" i="7" s="1"/>
  <c r="L2523" i="10"/>
  <c r="K867" i="7" s="1"/>
  <c r="L2524" i="10"/>
  <c r="K868" i="7" s="1"/>
  <c r="L2525" i="10"/>
  <c r="K869" i="7" s="1"/>
  <c r="L2526" i="10"/>
  <c r="K870" i="7" s="1"/>
  <c r="L2527" i="10"/>
  <c r="K871" i="7" s="1"/>
  <c r="L2528" i="10"/>
  <c r="K872" i="7" s="1"/>
  <c r="L2529" i="10"/>
  <c r="K873" i="7" s="1"/>
  <c r="L2530" i="10"/>
  <c r="K874" i="7" s="1"/>
  <c r="L2531" i="10"/>
  <c r="K875" i="7" s="1"/>
  <c r="L2532" i="10"/>
  <c r="K876" i="7" s="1"/>
  <c r="L2533" i="10"/>
  <c r="K877" i="7" s="1"/>
  <c r="L2508" i="10"/>
  <c r="K852" i="7" s="1"/>
  <c r="C48" i="3"/>
  <c r="I48" i="3" s="1"/>
  <c r="C65" i="3"/>
  <c r="I65" i="3" s="1"/>
  <c r="C66" i="3"/>
  <c r="I66" i="3" s="1"/>
  <c r="C67" i="3"/>
  <c r="I67" i="3" s="1"/>
  <c r="C76" i="3"/>
  <c r="I76" i="3" s="1"/>
  <c r="C62" i="3"/>
  <c r="I62" i="3" s="1"/>
  <c r="C63" i="3"/>
  <c r="I63" i="3" s="1"/>
  <c r="C32" i="3"/>
  <c r="C33" i="3"/>
  <c r="C34" i="3"/>
  <c r="I34" i="3" s="1"/>
  <c r="C35" i="3"/>
  <c r="C36" i="3"/>
  <c r="C37" i="3"/>
  <c r="C46" i="3"/>
  <c r="I46" i="3" s="1"/>
  <c r="C53" i="3"/>
  <c r="I53" i="3" s="1"/>
  <c r="C51" i="3"/>
  <c r="C49" i="3"/>
  <c r="C60" i="3"/>
  <c r="C52" i="3"/>
  <c r="C50" i="3"/>
  <c r="L319" i="10"/>
  <c r="L683" i="10"/>
  <c r="J683" i="10"/>
  <c r="I683" i="10"/>
  <c r="H683" i="10"/>
  <c r="G683" i="10"/>
  <c r="F683" i="10"/>
  <c r="L682" i="10"/>
  <c r="J682" i="10"/>
  <c r="I682" i="10"/>
  <c r="H682" i="10"/>
  <c r="G682" i="10"/>
  <c r="F682" i="10"/>
  <c r="L681" i="10"/>
  <c r="J681" i="10"/>
  <c r="I681" i="10"/>
  <c r="H681" i="10"/>
  <c r="G681" i="10"/>
  <c r="F681" i="10"/>
  <c r="L680" i="10"/>
  <c r="J680" i="10"/>
  <c r="I680" i="10"/>
  <c r="H680" i="10"/>
  <c r="G680" i="10"/>
  <c r="F680" i="10"/>
  <c r="L679" i="10"/>
  <c r="J679" i="10"/>
  <c r="I679" i="10"/>
  <c r="H679" i="10"/>
  <c r="G679" i="10"/>
  <c r="F679" i="10"/>
  <c r="L678" i="10"/>
  <c r="J678" i="10"/>
  <c r="I678" i="10"/>
  <c r="H678" i="10"/>
  <c r="G678" i="10"/>
  <c r="F678" i="10"/>
  <c r="L677" i="10"/>
  <c r="J677" i="10"/>
  <c r="I677" i="10"/>
  <c r="H677" i="10"/>
  <c r="G677" i="10"/>
  <c r="F677" i="10"/>
  <c r="L676" i="10"/>
  <c r="J676" i="10"/>
  <c r="I676" i="10"/>
  <c r="H676" i="10"/>
  <c r="G676" i="10"/>
  <c r="F676" i="10"/>
  <c r="L675" i="10"/>
  <c r="I675" i="10"/>
  <c r="H675" i="10"/>
  <c r="G675" i="10"/>
  <c r="F675" i="10"/>
  <c r="L674" i="10"/>
  <c r="J674" i="10"/>
  <c r="I674" i="10"/>
  <c r="H674" i="10"/>
  <c r="G674" i="10"/>
  <c r="F674" i="10"/>
  <c r="L673" i="10"/>
  <c r="J673" i="10"/>
  <c r="I673" i="10"/>
  <c r="H673" i="10"/>
  <c r="G673" i="10"/>
  <c r="F673" i="10"/>
  <c r="L672" i="10"/>
  <c r="J672" i="10"/>
  <c r="I672" i="10"/>
  <c r="H672" i="10"/>
  <c r="G672" i="10"/>
  <c r="F672" i="10"/>
  <c r="L671" i="10"/>
  <c r="J671" i="10"/>
  <c r="I671" i="10"/>
  <c r="H671" i="10"/>
  <c r="G671" i="10"/>
  <c r="F671" i="10"/>
  <c r="L670" i="10"/>
  <c r="J670" i="10"/>
  <c r="I670" i="10"/>
  <c r="H670" i="10"/>
  <c r="G670" i="10"/>
  <c r="F670" i="10"/>
  <c r="L669" i="10"/>
  <c r="J669" i="10"/>
  <c r="I669" i="10"/>
  <c r="H669" i="10"/>
  <c r="G669" i="10"/>
  <c r="F669" i="10"/>
  <c r="L668" i="10"/>
  <c r="J668" i="10"/>
  <c r="I668" i="10"/>
  <c r="H668" i="10"/>
  <c r="G668" i="10"/>
  <c r="F668" i="10"/>
  <c r="L667" i="10"/>
  <c r="J667" i="10"/>
  <c r="I667" i="10"/>
  <c r="H667" i="10"/>
  <c r="G667" i="10"/>
  <c r="F667" i="10"/>
  <c r="L666" i="10"/>
  <c r="J666" i="10"/>
  <c r="I666" i="10"/>
  <c r="H666" i="10"/>
  <c r="G666" i="10"/>
  <c r="F666" i="10"/>
  <c r="L665" i="10"/>
  <c r="J665" i="10"/>
  <c r="I665" i="10"/>
  <c r="H665" i="10"/>
  <c r="G665" i="10"/>
  <c r="F665" i="10"/>
  <c r="L664" i="10"/>
  <c r="J664" i="10"/>
  <c r="I664" i="10"/>
  <c r="H664" i="10"/>
  <c r="G664" i="10"/>
  <c r="F664" i="10"/>
  <c r="L663" i="10"/>
  <c r="H26" i="9" s="1"/>
  <c r="H27" i="9" s="1"/>
  <c r="J663" i="10"/>
  <c r="I663" i="10"/>
  <c r="H663" i="10"/>
  <c r="G663" i="10"/>
  <c r="F663" i="10"/>
  <c r="L662" i="10"/>
  <c r="J662" i="10"/>
  <c r="I662" i="10"/>
  <c r="H662" i="10"/>
  <c r="G662" i="10"/>
  <c r="F662" i="10"/>
  <c r="L661" i="10"/>
  <c r="J661" i="10"/>
  <c r="I661" i="10"/>
  <c r="H661" i="10"/>
  <c r="G661" i="10"/>
  <c r="F661" i="10"/>
  <c r="L660" i="10"/>
  <c r="J660" i="10"/>
  <c r="I660" i="10"/>
  <c r="H660" i="10"/>
  <c r="G660" i="10"/>
  <c r="F660" i="10"/>
  <c r="L659" i="10"/>
  <c r="J659" i="10"/>
  <c r="I659" i="10"/>
  <c r="H659" i="10"/>
  <c r="G659" i="10"/>
  <c r="F659" i="10"/>
  <c r="L658" i="10"/>
  <c r="J658" i="10"/>
  <c r="I658" i="10"/>
  <c r="H658" i="10"/>
  <c r="G658" i="10"/>
  <c r="F658" i="10"/>
  <c r="L344" i="10"/>
  <c r="J344" i="10"/>
  <c r="I344" i="10"/>
  <c r="H344" i="10"/>
  <c r="G344" i="10"/>
  <c r="F344" i="10"/>
  <c r="L343" i="10"/>
  <c r="J343" i="10"/>
  <c r="I343" i="10"/>
  <c r="H343" i="10"/>
  <c r="G343" i="10"/>
  <c r="F343" i="10"/>
  <c r="L342" i="10"/>
  <c r="J342" i="10"/>
  <c r="I342" i="10"/>
  <c r="H342" i="10"/>
  <c r="G342" i="10"/>
  <c r="F342" i="10"/>
  <c r="L341" i="10"/>
  <c r="J341" i="10"/>
  <c r="I341" i="10"/>
  <c r="H341" i="10"/>
  <c r="G341" i="10"/>
  <c r="F341" i="10"/>
  <c r="L340" i="10"/>
  <c r="J340" i="10"/>
  <c r="I340" i="10"/>
  <c r="H340" i="10"/>
  <c r="G340" i="10"/>
  <c r="F340" i="10"/>
  <c r="L339" i="10"/>
  <c r="J339" i="10"/>
  <c r="I339" i="10"/>
  <c r="H339" i="10"/>
  <c r="G339" i="10"/>
  <c r="F339" i="10"/>
  <c r="L338" i="10"/>
  <c r="J338" i="10"/>
  <c r="I338" i="10"/>
  <c r="H338" i="10"/>
  <c r="G338" i="10"/>
  <c r="F338" i="10"/>
  <c r="L337" i="10"/>
  <c r="J337" i="10"/>
  <c r="I337" i="10"/>
  <c r="H337" i="10"/>
  <c r="G337" i="10"/>
  <c r="F337" i="10"/>
  <c r="L336" i="10"/>
  <c r="J336" i="10"/>
  <c r="I336" i="10"/>
  <c r="H336" i="10"/>
  <c r="G336" i="10"/>
  <c r="F336" i="10"/>
  <c r="L335" i="10"/>
  <c r="J335" i="10"/>
  <c r="I335" i="10"/>
  <c r="H335" i="10"/>
  <c r="G335" i="10"/>
  <c r="F335" i="10"/>
  <c r="L334" i="10"/>
  <c r="J334" i="10"/>
  <c r="I334" i="10"/>
  <c r="H334" i="10"/>
  <c r="G334" i="10"/>
  <c r="F334" i="10"/>
  <c r="L333" i="10"/>
  <c r="J333" i="10"/>
  <c r="I333" i="10"/>
  <c r="H333" i="10"/>
  <c r="G333" i="10"/>
  <c r="F333" i="10"/>
  <c r="L332" i="10"/>
  <c r="J332" i="10"/>
  <c r="H332" i="10"/>
  <c r="G332" i="10"/>
  <c r="F332" i="10"/>
  <c r="L331" i="10"/>
  <c r="J331" i="10"/>
  <c r="I331" i="10"/>
  <c r="H331" i="10"/>
  <c r="G331" i="10"/>
  <c r="F331" i="10"/>
  <c r="L330" i="10"/>
  <c r="J330" i="10"/>
  <c r="I330" i="10"/>
  <c r="H330" i="10"/>
  <c r="G330" i="10"/>
  <c r="F330" i="10"/>
  <c r="L329" i="10"/>
  <c r="J329" i="10"/>
  <c r="I329" i="10"/>
  <c r="H329" i="10"/>
  <c r="G329" i="10"/>
  <c r="F329" i="10"/>
  <c r="L328" i="10"/>
  <c r="J328" i="10"/>
  <c r="I328" i="10"/>
  <c r="H328" i="10"/>
  <c r="G328" i="10"/>
  <c r="F328" i="10"/>
  <c r="L327" i="10"/>
  <c r="J327" i="10"/>
  <c r="I327" i="10"/>
  <c r="H327" i="10"/>
  <c r="G327" i="10"/>
  <c r="F327" i="10"/>
  <c r="L326" i="10"/>
  <c r="J326" i="10"/>
  <c r="I326" i="10"/>
  <c r="H326" i="10"/>
  <c r="G326" i="10"/>
  <c r="F326" i="10"/>
  <c r="L325" i="10"/>
  <c r="J325" i="10"/>
  <c r="I325" i="10"/>
  <c r="H325" i="10"/>
  <c r="G325" i="10"/>
  <c r="F325" i="10"/>
  <c r="L324" i="10"/>
  <c r="J324" i="10"/>
  <c r="F16" i="9" s="1"/>
  <c r="G17" i="9" s="1"/>
  <c r="I324" i="10"/>
  <c r="H324" i="10"/>
  <c r="D16" i="9" s="1"/>
  <c r="G324" i="10"/>
  <c r="F324" i="10"/>
  <c r="L323" i="10"/>
  <c r="J323" i="10"/>
  <c r="I323" i="10"/>
  <c r="H323" i="10"/>
  <c r="G323" i="10"/>
  <c r="F323" i="10"/>
  <c r="L322" i="10"/>
  <c r="J322" i="10"/>
  <c r="I322" i="10"/>
  <c r="H322" i="10"/>
  <c r="G322" i="10"/>
  <c r="F322" i="10"/>
  <c r="L321" i="10"/>
  <c r="J321" i="10"/>
  <c r="I321" i="10"/>
  <c r="H321" i="10"/>
  <c r="G321" i="10"/>
  <c r="F321" i="10"/>
  <c r="L320" i="10"/>
  <c r="J320" i="10"/>
  <c r="I320" i="10"/>
  <c r="H320" i="10"/>
  <c r="G320" i="10"/>
  <c r="F320" i="10"/>
  <c r="J319" i="10"/>
  <c r="I319" i="10"/>
  <c r="H319" i="10"/>
  <c r="G319" i="10"/>
  <c r="F319" i="10"/>
  <c r="D68" i="7"/>
  <c r="D95" i="7" s="1"/>
  <c r="D43" i="7"/>
  <c r="D70" i="7" s="1"/>
  <c r="D97" i="7" s="1"/>
  <c r="D124" i="7" s="1"/>
  <c r="D151" i="7" s="1"/>
  <c r="D178" i="7" s="1"/>
  <c r="D205" i="7" s="1"/>
  <c r="D44" i="7"/>
  <c r="D71" i="7" s="1"/>
  <c r="D98" i="7" s="1"/>
  <c r="D125" i="7" s="1"/>
  <c r="D152" i="7" s="1"/>
  <c r="D179" i="7" s="1"/>
  <c r="D206" i="7" s="1"/>
  <c r="D45" i="7"/>
  <c r="D72" i="7" s="1"/>
  <c r="D99" i="7" s="1"/>
  <c r="D126" i="7" s="1"/>
  <c r="D153" i="7" s="1"/>
  <c r="D180" i="7" s="1"/>
  <c r="D207" i="7" s="1"/>
  <c r="D46" i="7"/>
  <c r="D73" i="7" s="1"/>
  <c r="D100" i="7" s="1"/>
  <c r="D127" i="7" s="1"/>
  <c r="D154" i="7" s="1"/>
  <c r="D181" i="7" s="1"/>
  <c r="D208" i="7" s="1"/>
  <c r="D47" i="7"/>
  <c r="D74" i="7" s="1"/>
  <c r="D101" i="7" s="1"/>
  <c r="D128" i="7" s="1"/>
  <c r="D155" i="7" s="1"/>
  <c r="D182" i="7" s="1"/>
  <c r="D209" i="7" s="1"/>
  <c r="D48" i="7"/>
  <c r="D75" i="7" s="1"/>
  <c r="D102" i="7" s="1"/>
  <c r="D129" i="7" s="1"/>
  <c r="D156" i="7" s="1"/>
  <c r="D183" i="7" s="1"/>
  <c r="D210" i="7" s="1"/>
  <c r="D49" i="7"/>
  <c r="D76" i="7" s="1"/>
  <c r="D103" i="7" s="1"/>
  <c r="D130" i="7" s="1"/>
  <c r="D157" i="7" s="1"/>
  <c r="D184" i="7" s="1"/>
  <c r="D211" i="7" s="1"/>
  <c r="D50" i="7"/>
  <c r="D77" i="7" s="1"/>
  <c r="D104" i="7" s="1"/>
  <c r="D131" i="7" s="1"/>
  <c r="D158" i="7" s="1"/>
  <c r="D185" i="7" s="1"/>
  <c r="D212" i="7" s="1"/>
  <c r="D51" i="7"/>
  <c r="D78" i="7" s="1"/>
  <c r="D105" i="7" s="1"/>
  <c r="D132" i="7" s="1"/>
  <c r="D159" i="7" s="1"/>
  <c r="D186" i="7" s="1"/>
  <c r="D213" i="7" s="1"/>
  <c r="D52" i="7"/>
  <c r="D79" i="7" s="1"/>
  <c r="D106" i="7" s="1"/>
  <c r="D133" i="7" s="1"/>
  <c r="D160" i="7" s="1"/>
  <c r="D187" i="7" s="1"/>
  <c r="D214" i="7" s="1"/>
  <c r="D53" i="7"/>
  <c r="D80" i="7" s="1"/>
  <c r="D107" i="7" s="1"/>
  <c r="D134" i="7" s="1"/>
  <c r="D161" i="7" s="1"/>
  <c r="D188" i="7" s="1"/>
  <c r="D215" i="7" s="1"/>
  <c r="D54" i="7"/>
  <c r="D81" i="7" s="1"/>
  <c r="D108" i="7" s="1"/>
  <c r="D135" i="7" s="1"/>
  <c r="D162" i="7" s="1"/>
  <c r="D189" i="7" s="1"/>
  <c r="D216" i="7" s="1"/>
  <c r="D55" i="7"/>
  <c r="D82" i="7" s="1"/>
  <c r="D109" i="7" s="1"/>
  <c r="D136" i="7" s="1"/>
  <c r="D163" i="7" s="1"/>
  <c r="D190" i="7" s="1"/>
  <c r="D217" i="7" s="1"/>
  <c r="D56" i="7"/>
  <c r="D83" i="7" s="1"/>
  <c r="D110" i="7" s="1"/>
  <c r="D137" i="7" s="1"/>
  <c r="D164" i="7" s="1"/>
  <c r="D191" i="7" s="1"/>
  <c r="D218" i="7" s="1"/>
  <c r="D57" i="7"/>
  <c r="D84" i="7" s="1"/>
  <c r="D111" i="7" s="1"/>
  <c r="D138" i="7" s="1"/>
  <c r="D165" i="7" s="1"/>
  <c r="D192" i="7" s="1"/>
  <c r="D219" i="7" s="1"/>
  <c r="D58" i="7"/>
  <c r="D85" i="7" s="1"/>
  <c r="D112" i="7" s="1"/>
  <c r="D139" i="7" s="1"/>
  <c r="D166" i="7" s="1"/>
  <c r="D193" i="7" s="1"/>
  <c r="D220" i="7" s="1"/>
  <c r="D59" i="7"/>
  <c r="D86" i="7" s="1"/>
  <c r="D113" i="7" s="1"/>
  <c r="D140" i="7" s="1"/>
  <c r="D167" i="7" s="1"/>
  <c r="D194" i="7" s="1"/>
  <c r="D221" i="7" s="1"/>
  <c r="D60" i="7"/>
  <c r="D87" i="7" s="1"/>
  <c r="D114" i="7" s="1"/>
  <c r="D141" i="7" s="1"/>
  <c r="D168" i="7" s="1"/>
  <c r="D195" i="7" s="1"/>
  <c r="D222" i="7" s="1"/>
  <c r="D61" i="7"/>
  <c r="D88" i="7" s="1"/>
  <c r="D115" i="7" s="1"/>
  <c r="D142" i="7" s="1"/>
  <c r="D169" i="7" s="1"/>
  <c r="D196" i="7" s="1"/>
  <c r="D223" i="7" s="1"/>
  <c r="D62" i="7"/>
  <c r="D89" i="7" s="1"/>
  <c r="D116" i="7" s="1"/>
  <c r="D143" i="7" s="1"/>
  <c r="D170" i="7" s="1"/>
  <c r="D197" i="7" s="1"/>
  <c r="D224" i="7" s="1"/>
  <c r="D63" i="7"/>
  <c r="D90" i="7" s="1"/>
  <c r="D117" i="7" s="1"/>
  <c r="D144" i="7" s="1"/>
  <c r="D171" i="7" s="1"/>
  <c r="D198" i="7" s="1"/>
  <c r="D225" i="7" s="1"/>
  <c r="D64" i="7"/>
  <c r="D91" i="7" s="1"/>
  <c r="D118" i="7" s="1"/>
  <c r="D145" i="7" s="1"/>
  <c r="D172" i="7" s="1"/>
  <c r="D199" i="7" s="1"/>
  <c r="D226" i="7" s="1"/>
  <c r="D65" i="7"/>
  <c r="D92" i="7" s="1"/>
  <c r="D119" i="7" s="1"/>
  <c r="D146" i="7" s="1"/>
  <c r="D173" i="7" s="1"/>
  <c r="D200" i="7" s="1"/>
  <c r="D227" i="7" s="1"/>
  <c r="D66" i="7"/>
  <c r="D93" i="7" s="1"/>
  <c r="D120" i="7" s="1"/>
  <c r="D147" i="7" s="1"/>
  <c r="D174" i="7" s="1"/>
  <c r="D201" i="7" s="1"/>
  <c r="D228" i="7" s="1"/>
  <c r="D67" i="7"/>
  <c r="D94" i="7" s="1"/>
  <c r="D121" i="7" s="1"/>
  <c r="D148" i="7" s="1"/>
  <c r="D175" i="7" s="1"/>
  <c r="D202" i="7" s="1"/>
  <c r="D229" i="7" s="1"/>
  <c r="A15" i="7"/>
  <c r="AG15" i="7" s="1"/>
  <c r="L792" i="10"/>
  <c r="Y828" i="7" s="1"/>
  <c r="K828" i="7" s="1"/>
  <c r="L793" i="10"/>
  <c r="Y829" i="7" s="1"/>
  <c r="K829" i="7" s="1"/>
  <c r="L794" i="10"/>
  <c r="Y830" i="7" s="1"/>
  <c r="K830" i="7" s="1"/>
  <c r="L795" i="10"/>
  <c r="Y831" i="7" s="1"/>
  <c r="K831" i="7" s="1"/>
  <c r="L796" i="10"/>
  <c r="Y832" i="7" s="1"/>
  <c r="K832" i="7" s="1"/>
  <c r="L797" i="10"/>
  <c r="Y833" i="7" s="1"/>
  <c r="K833" i="7" s="1"/>
  <c r="L798" i="10"/>
  <c r="Y834" i="7" s="1"/>
  <c r="K834" i="7" s="1"/>
  <c r="L799" i="10"/>
  <c r="Y835" i="7" s="1"/>
  <c r="K835" i="7" s="1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606" i="10"/>
  <c r="D607" i="10"/>
  <c r="D608" i="10"/>
  <c r="D609" i="10"/>
  <c r="D610" i="10"/>
  <c r="D611" i="10"/>
  <c r="D612" i="10"/>
  <c r="D613" i="10"/>
  <c r="D614" i="10"/>
  <c r="D615" i="10"/>
  <c r="L641" i="10" s="1"/>
  <c r="D616" i="10"/>
  <c r="K642" i="10" s="1"/>
  <c r="J160" i="7" s="1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L814" i="10"/>
  <c r="Y850" i="7" s="1"/>
  <c r="K850" i="7" s="1"/>
  <c r="L813" i="10"/>
  <c r="Y849" i="7" s="1"/>
  <c r="K849" i="7" s="1"/>
  <c r="L812" i="10"/>
  <c r="Y848" i="7" s="1"/>
  <c r="K848" i="7" s="1"/>
  <c r="L811" i="10"/>
  <c r="Y847" i="7" s="1"/>
  <c r="K847" i="7" s="1"/>
  <c r="L810" i="10"/>
  <c r="Y846" i="7" s="1"/>
  <c r="K846" i="7" s="1"/>
  <c r="L809" i="10"/>
  <c r="Y845" i="7" s="1"/>
  <c r="K845" i="7" s="1"/>
  <c r="L808" i="10"/>
  <c r="Y844" i="7" s="1"/>
  <c r="K844" i="7" s="1"/>
  <c r="L807" i="10"/>
  <c r="Y843" i="7" s="1"/>
  <c r="K843" i="7" s="1"/>
  <c r="L806" i="10"/>
  <c r="Y842" i="7" s="1"/>
  <c r="K842" i="7" s="1"/>
  <c r="L805" i="10"/>
  <c r="Y841" i="7" s="1"/>
  <c r="K841" i="7" s="1"/>
  <c r="L804" i="10"/>
  <c r="Y840" i="7" s="1"/>
  <c r="K840" i="7" s="1"/>
  <c r="L803" i="10"/>
  <c r="Y839" i="7" s="1"/>
  <c r="K839" i="7" s="1"/>
  <c r="L802" i="10"/>
  <c r="Y838" i="7" s="1"/>
  <c r="K838" i="7" s="1"/>
  <c r="L801" i="10"/>
  <c r="Y837" i="7" s="1"/>
  <c r="K837" i="7" s="1"/>
  <c r="L800" i="10"/>
  <c r="Y836" i="7" s="1"/>
  <c r="K836" i="7" s="1"/>
  <c r="L791" i="10"/>
  <c r="Y827" i="7" s="1"/>
  <c r="K827" i="7" s="1"/>
  <c r="L790" i="10"/>
  <c r="Y826" i="7" s="1"/>
  <c r="K826" i="7" s="1"/>
  <c r="L789" i="10"/>
  <c r="Y825" i="7" s="1"/>
  <c r="K825" i="7" s="1"/>
  <c r="D8" i="10"/>
  <c r="D9" i="10"/>
  <c r="D7" i="10"/>
  <c r="J293" i="10" s="1"/>
  <c r="G5" i="10"/>
  <c r="H5" i="10" s="1"/>
  <c r="I5" i="10" s="1"/>
  <c r="J5" i="10" s="1"/>
  <c r="K5" i="10" s="1"/>
  <c r="L5" i="10" s="1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6" i="8"/>
  <c r="A6" i="8"/>
  <c r="B6" i="8"/>
  <c r="C6" i="8" s="1"/>
  <c r="E6" i="8"/>
  <c r="H6" i="8"/>
  <c r="A7" i="8"/>
  <c r="D7" i="8" s="1"/>
  <c r="B7" i="8"/>
  <c r="C7" i="8" s="1"/>
  <c r="H7" i="8"/>
  <c r="A8" i="8"/>
  <c r="B8" i="8"/>
  <c r="C8" i="8" s="1"/>
  <c r="H8" i="8"/>
  <c r="A9" i="8"/>
  <c r="D9" i="8" s="1"/>
  <c r="B9" i="8"/>
  <c r="C9" i="8" s="1"/>
  <c r="H9" i="8"/>
  <c r="A10" i="8"/>
  <c r="D10" i="8" s="1"/>
  <c r="B10" i="8"/>
  <c r="C10" i="8" s="1"/>
  <c r="H10" i="8"/>
  <c r="A11" i="8"/>
  <c r="D11" i="8" s="1"/>
  <c r="B11" i="8"/>
  <c r="C11" i="8" s="1"/>
  <c r="H11" i="8"/>
  <c r="A12" i="8"/>
  <c r="B12" i="8"/>
  <c r="C12" i="8" s="1"/>
  <c r="H12" i="8"/>
  <c r="A13" i="8"/>
  <c r="D13" i="8" s="1"/>
  <c r="B13" i="8"/>
  <c r="C13" i="8" s="1"/>
  <c r="H13" i="8"/>
  <c r="A14" i="8"/>
  <c r="D14" i="8" s="1"/>
  <c r="B14" i="8"/>
  <c r="C14" i="8" s="1"/>
  <c r="H14" i="8"/>
  <c r="A15" i="8"/>
  <c r="D15" i="8" s="1"/>
  <c r="B15" i="8"/>
  <c r="C15" i="8" s="1"/>
  <c r="H15" i="8"/>
  <c r="A16" i="8"/>
  <c r="B16" i="8"/>
  <c r="C16" i="8" s="1"/>
  <c r="H16" i="8"/>
  <c r="A17" i="8"/>
  <c r="D17" i="8" s="1"/>
  <c r="B17" i="8"/>
  <c r="C17" i="8" s="1"/>
  <c r="H17" i="8"/>
  <c r="A18" i="8"/>
  <c r="D18" i="8" s="1"/>
  <c r="B18" i="8"/>
  <c r="C18" i="8" s="1"/>
  <c r="H18" i="8"/>
  <c r="A19" i="8"/>
  <c r="D19" i="8" s="1"/>
  <c r="B19" i="8"/>
  <c r="C19" i="8" s="1"/>
  <c r="H19" i="8"/>
  <c r="A20" i="8"/>
  <c r="B20" i="8"/>
  <c r="C20" i="8" s="1"/>
  <c r="H20" i="8"/>
  <c r="A21" i="8"/>
  <c r="D21" i="8" s="1"/>
  <c r="B21" i="8"/>
  <c r="C21" i="8" s="1"/>
  <c r="H21" i="8"/>
  <c r="A22" i="8"/>
  <c r="D22" i="8" s="1"/>
  <c r="B22" i="8"/>
  <c r="C22" i="8" s="1"/>
  <c r="H22" i="8"/>
  <c r="A23" i="8"/>
  <c r="D23" i="8" s="1"/>
  <c r="B23" i="8"/>
  <c r="C23" i="8" s="1"/>
  <c r="H23" i="8"/>
  <c r="A24" i="8"/>
  <c r="B24" i="8"/>
  <c r="C24" i="8" s="1"/>
  <c r="H24" i="8"/>
  <c r="A25" i="8"/>
  <c r="B25" i="8"/>
  <c r="C25" i="8" s="1"/>
  <c r="H25" i="8"/>
  <c r="A26" i="8"/>
  <c r="D26" i="8" s="1"/>
  <c r="B26" i="8"/>
  <c r="C26" i="8" s="1"/>
  <c r="H26" i="8"/>
  <c r="A27" i="8"/>
  <c r="D27" i="8" s="1"/>
  <c r="B27" i="8"/>
  <c r="C27" i="8" s="1"/>
  <c r="H27" i="8"/>
  <c r="A28" i="8"/>
  <c r="B28" i="8"/>
  <c r="C28" i="8" s="1"/>
  <c r="H28" i="8"/>
  <c r="A29" i="8"/>
  <c r="D29" i="8" s="1"/>
  <c r="B29" i="8"/>
  <c r="C29" i="8" s="1"/>
  <c r="H29" i="8"/>
  <c r="A30" i="8"/>
  <c r="D30" i="8" s="1"/>
  <c r="B30" i="8"/>
  <c r="C30" i="8" s="1"/>
  <c r="H30" i="8"/>
  <c r="A31" i="8"/>
  <c r="D31" i="8" s="1"/>
  <c r="B31" i="8"/>
  <c r="C31" i="8" s="1"/>
  <c r="H31" i="8"/>
  <c r="A32" i="8"/>
  <c r="B32" i="8"/>
  <c r="C32" i="8" s="1"/>
  <c r="H32" i="8"/>
  <c r="A33" i="8"/>
  <c r="D33" i="8" s="1"/>
  <c r="B33" i="8"/>
  <c r="C33" i="8" s="1"/>
  <c r="H33" i="8"/>
  <c r="A34" i="8"/>
  <c r="D34" i="8" s="1"/>
  <c r="B34" i="8"/>
  <c r="C34" i="8" s="1"/>
  <c r="H34" i="8"/>
  <c r="A35" i="8"/>
  <c r="D35" i="8" s="1"/>
  <c r="B35" i="8"/>
  <c r="C35" i="8" s="1"/>
  <c r="H35" i="8"/>
  <c r="A36" i="8"/>
  <c r="B36" i="8"/>
  <c r="C36" i="8" s="1"/>
  <c r="H36" i="8"/>
  <c r="A37" i="8"/>
  <c r="D37" i="8" s="1"/>
  <c r="B37" i="8"/>
  <c r="C37" i="8" s="1"/>
  <c r="H37" i="8"/>
  <c r="A38" i="8"/>
  <c r="D38" i="8" s="1"/>
  <c r="B38" i="8"/>
  <c r="C38" i="8" s="1"/>
  <c r="H38" i="8"/>
  <c r="A39" i="8"/>
  <c r="D39" i="8" s="1"/>
  <c r="B39" i="8"/>
  <c r="C39" i="8" s="1"/>
  <c r="H39" i="8"/>
  <c r="A40" i="8"/>
  <c r="B40" i="8"/>
  <c r="C40" i="8" s="1"/>
  <c r="H40" i="8"/>
  <c r="A41" i="8"/>
  <c r="D41" i="8" s="1"/>
  <c r="B41" i="8"/>
  <c r="C41" i="8" s="1"/>
  <c r="H41" i="8"/>
  <c r="A42" i="8"/>
  <c r="B42" i="8"/>
  <c r="C42" i="8" s="1"/>
  <c r="H42" i="8"/>
  <c r="A43" i="8"/>
  <c r="D43" i="8" s="1"/>
  <c r="B43" i="8"/>
  <c r="C43" i="8" s="1"/>
  <c r="H43" i="8"/>
  <c r="A44" i="8"/>
  <c r="B44" i="8"/>
  <c r="C44" i="8" s="1"/>
  <c r="H44" i="8"/>
  <c r="A45" i="8"/>
  <c r="D45" i="8" s="1"/>
  <c r="B45" i="8"/>
  <c r="C45" i="8" s="1"/>
  <c r="H45" i="8"/>
  <c r="A46" i="8"/>
  <c r="B46" i="8"/>
  <c r="C46" i="8" s="1"/>
  <c r="H46" i="8"/>
  <c r="A47" i="8"/>
  <c r="B47" i="8"/>
  <c r="C47" i="8" s="1"/>
  <c r="H47" i="8"/>
  <c r="A48" i="8"/>
  <c r="B48" i="8"/>
  <c r="C48" i="8" s="1"/>
  <c r="H48" i="8"/>
  <c r="A49" i="8"/>
  <c r="B49" i="8"/>
  <c r="C49" i="8" s="1"/>
  <c r="H49" i="8"/>
  <c r="A50" i="8"/>
  <c r="D50" i="8" s="1"/>
  <c r="B50" i="8"/>
  <c r="C50" i="8" s="1"/>
  <c r="H50" i="8"/>
  <c r="A51" i="8"/>
  <c r="B51" i="8"/>
  <c r="C51" i="8" s="1"/>
  <c r="H51" i="8"/>
  <c r="A52" i="8"/>
  <c r="B52" i="8"/>
  <c r="C52" i="8" s="1"/>
  <c r="H52" i="8"/>
  <c r="A53" i="8"/>
  <c r="B53" i="8"/>
  <c r="C53" i="8" s="1"/>
  <c r="H53" i="8"/>
  <c r="A54" i="8"/>
  <c r="B54" i="8"/>
  <c r="C54" i="8" s="1"/>
  <c r="H54" i="8"/>
  <c r="A55" i="8"/>
  <c r="B55" i="8"/>
  <c r="C55" i="8" s="1"/>
  <c r="H55" i="8"/>
  <c r="A56" i="8"/>
  <c r="B56" i="8"/>
  <c r="C56" i="8" s="1"/>
  <c r="H56" i="8"/>
  <c r="A57" i="8"/>
  <c r="B57" i="8"/>
  <c r="C57" i="8" s="1"/>
  <c r="H57" i="8"/>
  <c r="A58" i="8"/>
  <c r="D58" i="8" s="1"/>
  <c r="B58" i="8"/>
  <c r="C58" i="8" s="1"/>
  <c r="H58" i="8"/>
  <c r="A59" i="8"/>
  <c r="D59" i="8" s="1"/>
  <c r="B59" i="8"/>
  <c r="C59" i="8" s="1"/>
  <c r="H59" i="8"/>
  <c r="A60" i="8"/>
  <c r="B60" i="8"/>
  <c r="C60" i="8" s="1"/>
  <c r="H60" i="8"/>
  <c r="A61" i="8"/>
  <c r="B61" i="8"/>
  <c r="C61" i="8" s="1"/>
  <c r="H61" i="8"/>
  <c r="A62" i="8"/>
  <c r="B62" i="8"/>
  <c r="C62" i="8" s="1"/>
  <c r="H62" i="8"/>
  <c r="A63" i="8"/>
  <c r="B63" i="8"/>
  <c r="C63" i="8" s="1"/>
  <c r="H63" i="8"/>
  <c r="A64" i="8"/>
  <c r="B64" i="8"/>
  <c r="C64" i="8" s="1"/>
  <c r="H64" i="8"/>
  <c r="A65" i="8"/>
  <c r="B65" i="8"/>
  <c r="C65" i="8" s="1"/>
  <c r="H65" i="8"/>
  <c r="A66" i="8"/>
  <c r="B66" i="8"/>
  <c r="C66" i="8" s="1"/>
  <c r="H66" i="8"/>
  <c r="A67" i="8"/>
  <c r="B67" i="8"/>
  <c r="C67" i="8" s="1"/>
  <c r="H67" i="8"/>
  <c r="A68" i="8"/>
  <c r="B68" i="8"/>
  <c r="C68" i="8" s="1"/>
  <c r="H68" i="8"/>
  <c r="A69" i="8"/>
  <c r="B69" i="8"/>
  <c r="C69" i="8" s="1"/>
  <c r="H69" i="8"/>
  <c r="A70" i="8"/>
  <c r="B70" i="8"/>
  <c r="C70" i="8" s="1"/>
  <c r="H70" i="8"/>
  <c r="A71" i="8"/>
  <c r="B71" i="8"/>
  <c r="C71" i="8" s="1"/>
  <c r="H71" i="8"/>
  <c r="A72" i="8"/>
  <c r="B72" i="8"/>
  <c r="C72" i="8" s="1"/>
  <c r="H72" i="8"/>
  <c r="A73" i="8"/>
  <c r="B73" i="8"/>
  <c r="C73" i="8" s="1"/>
  <c r="H73" i="8"/>
  <c r="A74" i="8"/>
  <c r="B74" i="8"/>
  <c r="C74" i="8" s="1"/>
  <c r="H74" i="8"/>
  <c r="A75" i="8"/>
  <c r="B75" i="8"/>
  <c r="C75" i="8" s="1"/>
  <c r="H75" i="8"/>
  <c r="A76" i="8"/>
  <c r="B76" i="8"/>
  <c r="C76" i="8" s="1"/>
  <c r="H76" i="8"/>
  <c r="A77" i="8"/>
  <c r="B77" i="8"/>
  <c r="C77" i="8" s="1"/>
  <c r="H77" i="8"/>
  <c r="A78" i="8"/>
  <c r="D78" i="8" s="1"/>
  <c r="B78" i="8"/>
  <c r="C78" i="8" s="1"/>
  <c r="H78" i="8"/>
  <c r="A79" i="8"/>
  <c r="B79" i="8"/>
  <c r="C79" i="8" s="1"/>
  <c r="H79" i="8"/>
  <c r="A80" i="8"/>
  <c r="B80" i="8"/>
  <c r="C80" i="8" s="1"/>
  <c r="H80" i="8"/>
  <c r="A81" i="8"/>
  <c r="D81" i="8" s="1"/>
  <c r="B81" i="8"/>
  <c r="C81" i="8" s="1"/>
  <c r="H81" i="8"/>
  <c r="A82" i="8"/>
  <c r="B82" i="8"/>
  <c r="C82" i="8" s="1"/>
  <c r="H82" i="8"/>
  <c r="A83" i="8"/>
  <c r="D83" i="8" s="1"/>
  <c r="B83" i="8"/>
  <c r="C83" i="8" s="1"/>
  <c r="H83" i="8"/>
  <c r="A84" i="8"/>
  <c r="B84" i="8"/>
  <c r="C84" i="8" s="1"/>
  <c r="H84" i="8"/>
  <c r="A85" i="8"/>
  <c r="B85" i="8"/>
  <c r="C85" i="8" s="1"/>
  <c r="H85" i="8"/>
  <c r="A86" i="8"/>
  <c r="B86" i="8"/>
  <c r="C86" i="8" s="1"/>
  <c r="H86" i="8"/>
  <c r="A87" i="8"/>
  <c r="B87" i="8"/>
  <c r="C87" i="8" s="1"/>
  <c r="H87" i="8"/>
  <c r="A88" i="8"/>
  <c r="B88" i="8"/>
  <c r="C88" i="8" s="1"/>
  <c r="H88" i="8"/>
  <c r="A89" i="8"/>
  <c r="B89" i="8"/>
  <c r="C89" i="8" s="1"/>
  <c r="H89" i="8"/>
  <c r="A90" i="8"/>
  <c r="B90" i="8"/>
  <c r="C90" i="8" s="1"/>
  <c r="H90" i="8"/>
  <c r="A91" i="8"/>
  <c r="B91" i="8"/>
  <c r="C91" i="8" s="1"/>
  <c r="H91" i="8"/>
  <c r="A92" i="8"/>
  <c r="B92" i="8"/>
  <c r="C92" i="8" s="1"/>
  <c r="H92" i="8"/>
  <c r="A93" i="8"/>
  <c r="B93" i="8"/>
  <c r="C93" i="8" s="1"/>
  <c r="H93" i="8"/>
  <c r="A94" i="8"/>
  <c r="B94" i="8"/>
  <c r="C94" i="8" s="1"/>
  <c r="H94" i="8"/>
  <c r="A95" i="8"/>
  <c r="D95" i="8" s="1"/>
  <c r="B95" i="8"/>
  <c r="C95" i="8" s="1"/>
  <c r="H95" i="8"/>
  <c r="A96" i="8"/>
  <c r="B96" i="8"/>
  <c r="C96" i="8" s="1"/>
  <c r="H96" i="8"/>
  <c r="A97" i="8"/>
  <c r="B97" i="8"/>
  <c r="C97" i="8" s="1"/>
  <c r="H97" i="8"/>
  <c r="A98" i="8"/>
  <c r="B98" i="8"/>
  <c r="C98" i="8" s="1"/>
  <c r="H98" i="8"/>
  <c r="A99" i="8"/>
  <c r="B99" i="8"/>
  <c r="C99" i="8" s="1"/>
  <c r="H99" i="8"/>
  <c r="A100" i="8"/>
  <c r="B100" i="8"/>
  <c r="C100" i="8" s="1"/>
  <c r="H100" i="8"/>
  <c r="A101" i="8"/>
  <c r="B101" i="8"/>
  <c r="C101" i="8" s="1"/>
  <c r="H101" i="8"/>
  <c r="A102" i="8"/>
  <c r="B102" i="8"/>
  <c r="C102" i="8" s="1"/>
  <c r="H102" i="8"/>
  <c r="A103" i="8"/>
  <c r="B103" i="8"/>
  <c r="C103" i="8" s="1"/>
  <c r="H103" i="8"/>
  <c r="A104" i="8"/>
  <c r="B104" i="8"/>
  <c r="C104" i="8" s="1"/>
  <c r="H104" i="8"/>
  <c r="A105" i="8"/>
  <c r="B105" i="8"/>
  <c r="C105" i="8" s="1"/>
  <c r="H105" i="8"/>
  <c r="A106" i="8"/>
  <c r="B106" i="8"/>
  <c r="C106" i="8" s="1"/>
  <c r="H106" i="8"/>
  <c r="A107" i="8"/>
  <c r="B107" i="8"/>
  <c r="C107" i="8" s="1"/>
  <c r="H107" i="8"/>
  <c r="A108" i="8"/>
  <c r="B108" i="8"/>
  <c r="C108" i="8" s="1"/>
  <c r="H108" i="8"/>
  <c r="A109" i="8"/>
  <c r="B109" i="8"/>
  <c r="C109" i="8" s="1"/>
  <c r="H109" i="8"/>
  <c r="A110" i="8"/>
  <c r="B110" i="8"/>
  <c r="C110" i="8" s="1"/>
  <c r="H110" i="8"/>
  <c r="A111" i="8"/>
  <c r="B111" i="8"/>
  <c r="C111" i="8" s="1"/>
  <c r="H111" i="8"/>
  <c r="A112" i="8"/>
  <c r="B112" i="8"/>
  <c r="C112" i="8" s="1"/>
  <c r="H112" i="8"/>
  <c r="A113" i="8"/>
  <c r="D113" i="8" s="1"/>
  <c r="B113" i="8"/>
  <c r="C113" i="8" s="1"/>
  <c r="H113" i="8"/>
  <c r="A114" i="8"/>
  <c r="B114" i="8"/>
  <c r="C114" i="8" s="1"/>
  <c r="H114" i="8"/>
  <c r="A115" i="8"/>
  <c r="B115" i="8"/>
  <c r="C115" i="8" s="1"/>
  <c r="H115" i="8"/>
  <c r="A116" i="8"/>
  <c r="B116" i="8"/>
  <c r="C116" i="8" s="1"/>
  <c r="H116" i="8"/>
  <c r="A117" i="8"/>
  <c r="D117" i="8" s="1"/>
  <c r="B117" i="8"/>
  <c r="C117" i="8" s="1"/>
  <c r="H117" i="8"/>
  <c r="A118" i="8"/>
  <c r="D118" i="8" s="1"/>
  <c r="B118" i="8"/>
  <c r="C118" i="8" s="1"/>
  <c r="H118" i="8"/>
  <c r="A119" i="8"/>
  <c r="D119" i="8" s="1"/>
  <c r="B119" i="8"/>
  <c r="C119" i="8" s="1"/>
  <c r="H119" i="8"/>
  <c r="A120" i="8"/>
  <c r="B120" i="8"/>
  <c r="C120" i="8" s="1"/>
  <c r="H120" i="8"/>
  <c r="A121" i="8"/>
  <c r="B121" i="8"/>
  <c r="C121" i="8" s="1"/>
  <c r="H121" i="8"/>
  <c r="A122" i="8"/>
  <c r="B122" i="8"/>
  <c r="C122" i="8" s="1"/>
  <c r="H122" i="8"/>
  <c r="A123" i="8"/>
  <c r="B123" i="8"/>
  <c r="C123" i="8" s="1"/>
  <c r="H123" i="8"/>
  <c r="A124" i="8"/>
  <c r="B124" i="8"/>
  <c r="C124" i="8" s="1"/>
  <c r="H124" i="8"/>
  <c r="A125" i="8"/>
  <c r="B125" i="8"/>
  <c r="C125" i="8" s="1"/>
  <c r="H125" i="8"/>
  <c r="A126" i="8"/>
  <c r="B126" i="8"/>
  <c r="C126" i="8" s="1"/>
  <c r="H126" i="8"/>
  <c r="A127" i="8"/>
  <c r="B127" i="8"/>
  <c r="C127" i="8" s="1"/>
  <c r="H127" i="8"/>
  <c r="A128" i="8"/>
  <c r="B128" i="8"/>
  <c r="C128" i="8" s="1"/>
  <c r="H128" i="8"/>
  <c r="A129" i="8"/>
  <c r="B129" i="8"/>
  <c r="C129" i="8" s="1"/>
  <c r="H129" i="8"/>
  <c r="A130" i="8"/>
  <c r="B130" i="8"/>
  <c r="C130" i="8" s="1"/>
  <c r="H130" i="8"/>
  <c r="A131" i="8"/>
  <c r="B131" i="8"/>
  <c r="C131" i="8" s="1"/>
  <c r="H131" i="8"/>
  <c r="A132" i="8"/>
  <c r="B132" i="8"/>
  <c r="C132" i="8" s="1"/>
  <c r="H132" i="8"/>
  <c r="A133" i="8"/>
  <c r="B133" i="8"/>
  <c r="C133" i="8" s="1"/>
  <c r="H133" i="8"/>
  <c r="A134" i="8"/>
  <c r="D134" i="8" s="1"/>
  <c r="B134" i="8"/>
  <c r="C134" i="8" s="1"/>
  <c r="H134" i="8"/>
  <c r="A135" i="8"/>
  <c r="B135" i="8"/>
  <c r="C135" i="8" s="1"/>
  <c r="H135" i="8"/>
  <c r="A136" i="8"/>
  <c r="B136" i="8"/>
  <c r="C136" i="8" s="1"/>
  <c r="H136" i="8"/>
  <c r="A137" i="8"/>
  <c r="B137" i="8"/>
  <c r="C137" i="8" s="1"/>
  <c r="H137" i="8"/>
  <c r="A138" i="8"/>
  <c r="B138" i="8"/>
  <c r="C138" i="8" s="1"/>
  <c r="H138" i="8"/>
  <c r="A139" i="8"/>
  <c r="B139" i="8"/>
  <c r="C139" i="8" s="1"/>
  <c r="H139" i="8"/>
  <c r="A140" i="8"/>
  <c r="B140" i="8"/>
  <c r="C140" i="8" s="1"/>
  <c r="H140" i="8"/>
  <c r="A141" i="8"/>
  <c r="B141" i="8"/>
  <c r="C141" i="8" s="1"/>
  <c r="H141" i="8"/>
  <c r="A142" i="8"/>
  <c r="B142" i="8"/>
  <c r="C142" i="8" s="1"/>
  <c r="H142" i="8"/>
  <c r="A143" i="8"/>
  <c r="B143" i="8"/>
  <c r="C143" i="8" s="1"/>
  <c r="H143" i="8"/>
  <c r="A144" i="8"/>
  <c r="B144" i="8"/>
  <c r="C144" i="8" s="1"/>
  <c r="H144" i="8"/>
  <c r="A145" i="8"/>
  <c r="D145" i="8" s="1"/>
  <c r="B145" i="8"/>
  <c r="C145" i="8" s="1"/>
  <c r="H145" i="8"/>
  <c r="A146" i="8"/>
  <c r="B146" i="8"/>
  <c r="C146" i="8" s="1"/>
  <c r="H146" i="8"/>
  <c r="A147" i="8"/>
  <c r="D147" i="8" s="1"/>
  <c r="B147" i="8"/>
  <c r="C147" i="8" s="1"/>
  <c r="H147" i="8"/>
  <c r="A148" i="8"/>
  <c r="B148" i="8"/>
  <c r="C148" i="8" s="1"/>
  <c r="H148" i="8"/>
  <c r="A149" i="8"/>
  <c r="B149" i="8"/>
  <c r="C149" i="8" s="1"/>
  <c r="H149" i="8"/>
  <c r="A150" i="8"/>
  <c r="B150" i="8"/>
  <c r="C150" i="8" s="1"/>
  <c r="H150" i="8"/>
  <c r="A151" i="8"/>
  <c r="D151" i="8" s="1"/>
  <c r="B151" i="8"/>
  <c r="C151" i="8" s="1"/>
  <c r="H151" i="8"/>
  <c r="A152" i="8"/>
  <c r="B152" i="8"/>
  <c r="C152" i="8" s="1"/>
  <c r="H152" i="8"/>
  <c r="A153" i="8"/>
  <c r="B153" i="8"/>
  <c r="C153" i="8" s="1"/>
  <c r="H153" i="8"/>
  <c r="A154" i="8"/>
  <c r="B154" i="8"/>
  <c r="C154" i="8" s="1"/>
  <c r="H154" i="8"/>
  <c r="A155" i="8"/>
  <c r="B155" i="8"/>
  <c r="C155" i="8" s="1"/>
  <c r="H155" i="8"/>
  <c r="A156" i="8"/>
  <c r="B156" i="8"/>
  <c r="C156" i="8" s="1"/>
  <c r="H156" i="8"/>
  <c r="A157" i="8"/>
  <c r="B157" i="8"/>
  <c r="C157" i="8" s="1"/>
  <c r="H157" i="8"/>
  <c r="A158" i="8"/>
  <c r="B158" i="8"/>
  <c r="C158" i="8" s="1"/>
  <c r="H158" i="8"/>
  <c r="A159" i="8"/>
  <c r="B159" i="8"/>
  <c r="C159" i="8" s="1"/>
  <c r="H159" i="8"/>
  <c r="A160" i="8"/>
  <c r="B160" i="8"/>
  <c r="C160" i="8" s="1"/>
  <c r="H160" i="8"/>
  <c r="A161" i="8"/>
  <c r="B161" i="8"/>
  <c r="C161" i="8" s="1"/>
  <c r="H161" i="8"/>
  <c r="A162" i="8"/>
  <c r="B162" i="8"/>
  <c r="C162" i="8" s="1"/>
  <c r="H162" i="8"/>
  <c r="A163" i="8"/>
  <c r="B163" i="8"/>
  <c r="C163" i="8" s="1"/>
  <c r="H163" i="8"/>
  <c r="A164" i="8"/>
  <c r="B164" i="8"/>
  <c r="C164" i="8" s="1"/>
  <c r="H164" i="8"/>
  <c r="A165" i="8"/>
  <c r="B165" i="8"/>
  <c r="C165" i="8" s="1"/>
  <c r="H165" i="8"/>
  <c r="A166" i="8"/>
  <c r="B166" i="8"/>
  <c r="C166" i="8" s="1"/>
  <c r="H166" i="8"/>
  <c r="A167" i="8"/>
  <c r="B167" i="8"/>
  <c r="C167" i="8" s="1"/>
  <c r="H167" i="8"/>
  <c r="A168" i="8"/>
  <c r="B168" i="8"/>
  <c r="C168" i="8" s="1"/>
  <c r="H168" i="8"/>
  <c r="A169" i="8"/>
  <c r="B169" i="8"/>
  <c r="C169" i="8" s="1"/>
  <c r="H169" i="8"/>
  <c r="A170" i="8"/>
  <c r="B170" i="8"/>
  <c r="C170" i="8" s="1"/>
  <c r="H170" i="8"/>
  <c r="A171" i="8"/>
  <c r="B171" i="8"/>
  <c r="C171" i="8" s="1"/>
  <c r="H171" i="8"/>
  <c r="A172" i="8"/>
  <c r="B172" i="8"/>
  <c r="C172" i="8" s="1"/>
  <c r="H172" i="8"/>
  <c r="A173" i="8"/>
  <c r="B173" i="8"/>
  <c r="C173" i="8" s="1"/>
  <c r="H173" i="8"/>
  <c r="A174" i="8"/>
  <c r="B174" i="8"/>
  <c r="C174" i="8" s="1"/>
  <c r="H174" i="8"/>
  <c r="A175" i="8"/>
  <c r="B175" i="8"/>
  <c r="C175" i="8" s="1"/>
  <c r="H175" i="8"/>
  <c r="A176" i="8"/>
  <c r="B176" i="8"/>
  <c r="C176" i="8" s="1"/>
  <c r="H176" i="8"/>
  <c r="A177" i="8"/>
  <c r="B177" i="8"/>
  <c r="C177" i="8" s="1"/>
  <c r="H177" i="8"/>
  <c r="A178" i="8"/>
  <c r="D178" i="8" s="1"/>
  <c r="B178" i="8"/>
  <c r="C178" i="8" s="1"/>
  <c r="H178" i="8"/>
  <c r="A179" i="8"/>
  <c r="B179" i="8"/>
  <c r="C179" i="8" s="1"/>
  <c r="H179" i="8"/>
  <c r="A180" i="8"/>
  <c r="B180" i="8"/>
  <c r="C180" i="8" s="1"/>
  <c r="H180" i="8"/>
  <c r="A181" i="8"/>
  <c r="B181" i="8"/>
  <c r="C181" i="8" s="1"/>
  <c r="H181" i="8"/>
  <c r="A182" i="8"/>
  <c r="B182" i="8"/>
  <c r="C182" i="8" s="1"/>
  <c r="H182" i="8"/>
  <c r="A183" i="8"/>
  <c r="B183" i="8"/>
  <c r="C183" i="8" s="1"/>
  <c r="H183" i="8"/>
  <c r="A184" i="8"/>
  <c r="B184" i="8"/>
  <c r="C184" i="8" s="1"/>
  <c r="H184" i="8"/>
  <c r="A185" i="8"/>
  <c r="B185" i="8"/>
  <c r="C185" i="8" s="1"/>
  <c r="H185" i="8"/>
  <c r="A186" i="8"/>
  <c r="B186" i="8"/>
  <c r="C186" i="8" s="1"/>
  <c r="H186" i="8"/>
  <c r="A187" i="8"/>
  <c r="B187" i="8"/>
  <c r="C187" i="8" s="1"/>
  <c r="H187" i="8"/>
  <c r="A188" i="8"/>
  <c r="B188" i="8"/>
  <c r="C188" i="8" s="1"/>
  <c r="H188" i="8"/>
  <c r="A189" i="8"/>
  <c r="B189" i="8"/>
  <c r="C189" i="8" s="1"/>
  <c r="H189" i="8"/>
  <c r="A190" i="8"/>
  <c r="B190" i="8"/>
  <c r="C190" i="8" s="1"/>
  <c r="H190" i="8"/>
  <c r="A191" i="8"/>
  <c r="B191" i="8"/>
  <c r="C191" i="8" s="1"/>
  <c r="H191" i="8"/>
  <c r="A192" i="8"/>
  <c r="B192" i="8"/>
  <c r="C192" i="8" s="1"/>
  <c r="H192" i="8"/>
  <c r="A193" i="8"/>
  <c r="B193" i="8"/>
  <c r="C193" i="8" s="1"/>
  <c r="H193" i="8"/>
  <c r="A194" i="8"/>
  <c r="B194" i="8"/>
  <c r="C194" i="8" s="1"/>
  <c r="H194" i="8"/>
  <c r="A195" i="8"/>
  <c r="D195" i="8" s="1"/>
  <c r="B195" i="8"/>
  <c r="C195" i="8" s="1"/>
  <c r="H195" i="8"/>
  <c r="A196" i="8"/>
  <c r="B196" i="8"/>
  <c r="C196" i="8" s="1"/>
  <c r="H196" i="8"/>
  <c r="A197" i="8"/>
  <c r="B197" i="8"/>
  <c r="C197" i="8" s="1"/>
  <c r="H197" i="8"/>
  <c r="A198" i="8"/>
  <c r="B198" i="8"/>
  <c r="C198" i="8" s="1"/>
  <c r="H198" i="8"/>
  <c r="A199" i="8"/>
  <c r="B199" i="8"/>
  <c r="C199" i="8" s="1"/>
  <c r="H199" i="8"/>
  <c r="A200" i="8"/>
  <c r="B200" i="8"/>
  <c r="C200" i="8" s="1"/>
  <c r="H200" i="8"/>
  <c r="A201" i="8"/>
  <c r="D201" i="8" s="1"/>
  <c r="B201" i="8"/>
  <c r="C201" i="8" s="1"/>
  <c r="H201" i="8"/>
  <c r="A202" i="8"/>
  <c r="D202" i="8" s="1"/>
  <c r="B202" i="8"/>
  <c r="C202" i="8" s="1"/>
  <c r="H202" i="8"/>
  <c r="A203" i="8"/>
  <c r="D203" i="8" s="1"/>
  <c r="B203" i="8"/>
  <c r="C203" i="8" s="1"/>
  <c r="H203" i="8"/>
  <c r="A204" i="8"/>
  <c r="B204" i="8"/>
  <c r="C204" i="8" s="1"/>
  <c r="H204" i="8"/>
  <c r="A205" i="8"/>
  <c r="B205" i="8"/>
  <c r="C205" i="8" s="1"/>
  <c r="H205" i="8"/>
  <c r="A206" i="8"/>
  <c r="B206" i="8"/>
  <c r="C206" i="8" s="1"/>
  <c r="H206" i="8"/>
  <c r="A207" i="8"/>
  <c r="B207" i="8"/>
  <c r="C207" i="8" s="1"/>
  <c r="H207" i="8"/>
  <c r="A208" i="8"/>
  <c r="B208" i="8"/>
  <c r="C208" i="8" s="1"/>
  <c r="H208" i="8"/>
  <c r="A209" i="8"/>
  <c r="B209" i="8"/>
  <c r="C209" i="8" s="1"/>
  <c r="H209" i="8"/>
  <c r="A210" i="8"/>
  <c r="B210" i="8"/>
  <c r="C210" i="8" s="1"/>
  <c r="H210" i="8"/>
  <c r="A211" i="8"/>
  <c r="B211" i="8"/>
  <c r="C211" i="8" s="1"/>
  <c r="H211" i="8"/>
  <c r="A212" i="8"/>
  <c r="B212" i="8"/>
  <c r="C212" i="8" s="1"/>
  <c r="H212" i="8"/>
  <c r="A213" i="8"/>
  <c r="B213" i="8"/>
  <c r="C213" i="8" s="1"/>
  <c r="H213" i="8"/>
  <c r="A214" i="8"/>
  <c r="B214" i="8"/>
  <c r="C214" i="8" s="1"/>
  <c r="H214" i="8"/>
  <c r="A215" i="8"/>
  <c r="B215" i="8"/>
  <c r="C215" i="8" s="1"/>
  <c r="H215" i="8"/>
  <c r="A216" i="8"/>
  <c r="B216" i="8"/>
  <c r="C216" i="8" s="1"/>
  <c r="H216" i="8"/>
  <c r="A217" i="8"/>
  <c r="B217" i="8"/>
  <c r="C217" i="8" s="1"/>
  <c r="H217" i="8"/>
  <c r="A218" i="8"/>
  <c r="B218" i="8"/>
  <c r="C218" i="8" s="1"/>
  <c r="H218" i="8"/>
  <c r="A219" i="8"/>
  <c r="B219" i="8"/>
  <c r="C219" i="8" s="1"/>
  <c r="H219" i="8"/>
  <c r="A220" i="8"/>
  <c r="B220" i="8"/>
  <c r="C220" i="8" s="1"/>
  <c r="H220" i="8"/>
  <c r="A221" i="8"/>
  <c r="B221" i="8"/>
  <c r="C221" i="8" s="1"/>
  <c r="H221" i="8"/>
  <c r="A222" i="8"/>
  <c r="B222" i="8"/>
  <c r="C222" i="8" s="1"/>
  <c r="H222" i="8"/>
  <c r="A223" i="8"/>
  <c r="B223" i="8"/>
  <c r="C223" i="8" s="1"/>
  <c r="H223" i="8"/>
  <c r="A224" i="8"/>
  <c r="B224" i="8"/>
  <c r="C224" i="8" s="1"/>
  <c r="H224" i="8"/>
  <c r="A225" i="8"/>
  <c r="B225" i="8"/>
  <c r="C225" i="8" s="1"/>
  <c r="H225" i="8"/>
  <c r="A226" i="8"/>
  <c r="B226" i="8"/>
  <c r="C226" i="8" s="1"/>
  <c r="H226" i="8"/>
  <c r="A227" i="8"/>
  <c r="B227" i="8"/>
  <c r="C227" i="8" s="1"/>
  <c r="H227" i="8"/>
  <c r="A228" i="8"/>
  <c r="B228" i="8"/>
  <c r="C228" i="8" s="1"/>
  <c r="H228" i="8"/>
  <c r="A229" i="8"/>
  <c r="B229" i="8"/>
  <c r="C229" i="8" s="1"/>
  <c r="H229" i="8"/>
  <c r="A230" i="8"/>
  <c r="B230" i="8"/>
  <c r="C230" i="8" s="1"/>
  <c r="H230" i="8"/>
  <c r="A231" i="8"/>
  <c r="B231" i="8"/>
  <c r="C231" i="8" s="1"/>
  <c r="H231" i="8"/>
  <c r="A232" i="8"/>
  <c r="B232" i="8"/>
  <c r="C232" i="8" s="1"/>
  <c r="H232" i="8"/>
  <c r="A233" i="8"/>
  <c r="B233" i="8"/>
  <c r="C233" i="8" s="1"/>
  <c r="H233" i="8"/>
  <c r="A234" i="8"/>
  <c r="B234" i="8"/>
  <c r="C234" i="8" s="1"/>
  <c r="H234" i="8"/>
  <c r="A235" i="8"/>
  <c r="B235" i="8"/>
  <c r="C235" i="8" s="1"/>
  <c r="H235" i="8"/>
  <c r="A236" i="8"/>
  <c r="B236" i="8"/>
  <c r="C236" i="8" s="1"/>
  <c r="H236" i="8"/>
  <c r="A237" i="8"/>
  <c r="B237" i="8"/>
  <c r="C237" i="8" s="1"/>
  <c r="H237" i="8"/>
  <c r="A238" i="8"/>
  <c r="B238" i="8"/>
  <c r="C238" i="8" s="1"/>
  <c r="H238" i="8"/>
  <c r="A239" i="8"/>
  <c r="B239" i="8"/>
  <c r="C239" i="8" s="1"/>
  <c r="H239" i="8"/>
  <c r="A240" i="8"/>
  <c r="B240" i="8"/>
  <c r="C240" i="8" s="1"/>
  <c r="H240" i="8"/>
  <c r="A241" i="8"/>
  <c r="B241" i="8"/>
  <c r="C241" i="8" s="1"/>
  <c r="H241" i="8"/>
  <c r="A242" i="8"/>
  <c r="D242" i="8" s="1"/>
  <c r="B242" i="8"/>
  <c r="C242" i="8" s="1"/>
  <c r="H242" i="8"/>
  <c r="A243" i="8"/>
  <c r="B243" i="8"/>
  <c r="C243" i="8" s="1"/>
  <c r="H243" i="8"/>
  <c r="A244" i="8"/>
  <c r="B244" i="8"/>
  <c r="C244" i="8" s="1"/>
  <c r="H244" i="8"/>
  <c r="A245" i="8"/>
  <c r="B245" i="8"/>
  <c r="C245" i="8" s="1"/>
  <c r="H245" i="8"/>
  <c r="A246" i="8"/>
  <c r="B246" i="8"/>
  <c r="C246" i="8" s="1"/>
  <c r="H246" i="8"/>
  <c r="A247" i="8"/>
  <c r="B247" i="8"/>
  <c r="C247" i="8" s="1"/>
  <c r="H247" i="8"/>
  <c r="A248" i="8"/>
  <c r="B248" i="8"/>
  <c r="C248" i="8" s="1"/>
  <c r="H248" i="8"/>
  <c r="A249" i="8"/>
  <c r="B249" i="8"/>
  <c r="C249" i="8" s="1"/>
  <c r="H249" i="8"/>
  <c r="A250" i="8"/>
  <c r="B250" i="8"/>
  <c r="C250" i="8" s="1"/>
  <c r="H250" i="8"/>
  <c r="A251" i="8"/>
  <c r="B251" i="8"/>
  <c r="C251" i="8" s="1"/>
  <c r="H251" i="8"/>
  <c r="A252" i="8"/>
  <c r="B252" i="8"/>
  <c r="C252" i="8" s="1"/>
  <c r="H252" i="8"/>
  <c r="A253" i="8"/>
  <c r="B253" i="8"/>
  <c r="C253" i="8" s="1"/>
  <c r="H253" i="8"/>
  <c r="A254" i="8"/>
  <c r="B254" i="8"/>
  <c r="C254" i="8" s="1"/>
  <c r="H254" i="8"/>
  <c r="A255" i="8"/>
  <c r="B255" i="8"/>
  <c r="C255" i="8" s="1"/>
  <c r="H255" i="8"/>
  <c r="A256" i="8"/>
  <c r="B256" i="8"/>
  <c r="C256" i="8" s="1"/>
  <c r="H256" i="8"/>
  <c r="A257" i="8"/>
  <c r="B257" i="8"/>
  <c r="C257" i="8" s="1"/>
  <c r="H257" i="8"/>
  <c r="A258" i="8"/>
  <c r="B258" i="8"/>
  <c r="C258" i="8" s="1"/>
  <c r="H258" i="8"/>
  <c r="A259" i="8"/>
  <c r="B259" i="8"/>
  <c r="C259" i="8" s="1"/>
  <c r="H259" i="8"/>
  <c r="A260" i="8"/>
  <c r="B260" i="8"/>
  <c r="C260" i="8" s="1"/>
  <c r="H260" i="8"/>
  <c r="A261" i="8"/>
  <c r="B261" i="8"/>
  <c r="C261" i="8" s="1"/>
  <c r="H261" i="8"/>
  <c r="A262" i="8"/>
  <c r="B262" i="8"/>
  <c r="C262" i="8" s="1"/>
  <c r="H262" i="8"/>
  <c r="A263" i="8"/>
  <c r="B263" i="8"/>
  <c r="C263" i="8" s="1"/>
  <c r="H263" i="8"/>
  <c r="A264" i="8"/>
  <c r="B264" i="8"/>
  <c r="C264" i="8" s="1"/>
  <c r="H264" i="8"/>
  <c r="A265" i="8"/>
  <c r="B265" i="8"/>
  <c r="C265" i="8" s="1"/>
  <c r="H265" i="8"/>
  <c r="A266" i="8"/>
  <c r="B266" i="8"/>
  <c r="C266" i="8" s="1"/>
  <c r="H266" i="8"/>
  <c r="A267" i="8"/>
  <c r="B267" i="8"/>
  <c r="C267" i="8" s="1"/>
  <c r="H267" i="8"/>
  <c r="A268" i="8"/>
  <c r="B268" i="8"/>
  <c r="C268" i="8" s="1"/>
  <c r="H268" i="8"/>
  <c r="A269" i="8"/>
  <c r="B269" i="8"/>
  <c r="C269" i="8" s="1"/>
  <c r="H269" i="8"/>
  <c r="A270" i="8"/>
  <c r="B270" i="8"/>
  <c r="C270" i="8" s="1"/>
  <c r="H270" i="8"/>
  <c r="A271" i="8"/>
  <c r="B271" i="8"/>
  <c r="C271" i="8" s="1"/>
  <c r="H271" i="8"/>
  <c r="A272" i="8"/>
  <c r="B272" i="8"/>
  <c r="C272" i="8" s="1"/>
  <c r="H272" i="8"/>
  <c r="A273" i="8"/>
  <c r="B273" i="8"/>
  <c r="C273" i="8" s="1"/>
  <c r="H273" i="8"/>
  <c r="A274" i="8"/>
  <c r="B274" i="8"/>
  <c r="C274" i="8" s="1"/>
  <c r="H274" i="8"/>
  <c r="A275" i="8"/>
  <c r="B275" i="8"/>
  <c r="C275" i="8" s="1"/>
  <c r="H275" i="8"/>
  <c r="A276" i="8"/>
  <c r="B276" i="8"/>
  <c r="C276" i="8" s="1"/>
  <c r="H276" i="8"/>
  <c r="A277" i="8"/>
  <c r="B277" i="8"/>
  <c r="C277" i="8" s="1"/>
  <c r="H277" i="8"/>
  <c r="A278" i="8"/>
  <c r="B278" i="8"/>
  <c r="C278" i="8" s="1"/>
  <c r="H278" i="8"/>
  <c r="A279" i="8"/>
  <c r="B279" i="8"/>
  <c r="C279" i="8" s="1"/>
  <c r="H279" i="8"/>
  <c r="A280" i="8"/>
  <c r="B280" i="8"/>
  <c r="C280" i="8" s="1"/>
  <c r="H280" i="8"/>
  <c r="A281" i="8"/>
  <c r="B281" i="8"/>
  <c r="C281" i="8" s="1"/>
  <c r="H281" i="8"/>
  <c r="A282" i="8"/>
  <c r="B282" i="8"/>
  <c r="C282" i="8" s="1"/>
  <c r="H282" i="8"/>
  <c r="A283" i="8"/>
  <c r="B283" i="8"/>
  <c r="C283" i="8" s="1"/>
  <c r="H283" i="8"/>
  <c r="A284" i="8"/>
  <c r="B284" i="8"/>
  <c r="C284" i="8" s="1"/>
  <c r="H284" i="8"/>
  <c r="A285" i="8"/>
  <c r="B285" i="8"/>
  <c r="C285" i="8" s="1"/>
  <c r="H285" i="8"/>
  <c r="A286" i="8"/>
  <c r="B286" i="8"/>
  <c r="C286" i="8" s="1"/>
  <c r="H286" i="8"/>
  <c r="A287" i="8"/>
  <c r="B287" i="8"/>
  <c r="C287" i="8" s="1"/>
  <c r="H287" i="8"/>
  <c r="A288" i="8"/>
  <c r="B288" i="8"/>
  <c r="C288" i="8" s="1"/>
  <c r="H288" i="8"/>
  <c r="A289" i="8"/>
  <c r="B289" i="8"/>
  <c r="C289" i="8" s="1"/>
  <c r="H289" i="8"/>
  <c r="A290" i="8"/>
  <c r="B290" i="8"/>
  <c r="C290" i="8" s="1"/>
  <c r="H290" i="8"/>
  <c r="A291" i="8"/>
  <c r="B291" i="8"/>
  <c r="C291" i="8" s="1"/>
  <c r="H291" i="8"/>
  <c r="A292" i="8"/>
  <c r="B292" i="8"/>
  <c r="C292" i="8" s="1"/>
  <c r="H292" i="8"/>
  <c r="A293" i="8"/>
  <c r="B293" i="8"/>
  <c r="C293" i="8" s="1"/>
  <c r="H293" i="8"/>
  <c r="A294" i="8"/>
  <c r="D294" i="8" s="1"/>
  <c r="B294" i="8"/>
  <c r="C294" i="8" s="1"/>
  <c r="H294" i="8"/>
  <c r="A295" i="8"/>
  <c r="D295" i="8" s="1"/>
  <c r="B295" i="8"/>
  <c r="C295" i="8" s="1"/>
  <c r="H295" i="8"/>
  <c r="A296" i="8"/>
  <c r="B296" i="8"/>
  <c r="C296" i="8" s="1"/>
  <c r="H296" i="8"/>
  <c r="A297" i="8"/>
  <c r="D297" i="8" s="1"/>
  <c r="B297" i="8"/>
  <c r="C297" i="8" s="1"/>
  <c r="H297" i="8"/>
  <c r="A298" i="8"/>
  <c r="D298" i="8" s="1"/>
  <c r="B298" i="8"/>
  <c r="C298" i="8" s="1"/>
  <c r="H298" i="8"/>
  <c r="A299" i="8"/>
  <c r="B299" i="8"/>
  <c r="C299" i="8" s="1"/>
  <c r="H299" i="8"/>
  <c r="A300" i="8"/>
  <c r="B300" i="8"/>
  <c r="C300" i="8" s="1"/>
  <c r="H300" i="8"/>
  <c r="A301" i="8"/>
  <c r="B301" i="8"/>
  <c r="C301" i="8" s="1"/>
  <c r="H301" i="8"/>
  <c r="A302" i="8"/>
  <c r="B302" i="8"/>
  <c r="C302" i="8" s="1"/>
  <c r="H302" i="8"/>
  <c r="A303" i="8"/>
  <c r="B303" i="8"/>
  <c r="C303" i="8" s="1"/>
  <c r="H303" i="8"/>
  <c r="A304" i="8"/>
  <c r="B304" i="8"/>
  <c r="C304" i="8" s="1"/>
  <c r="H304" i="8"/>
  <c r="A305" i="8"/>
  <c r="D305" i="8" s="1"/>
  <c r="B305" i="8"/>
  <c r="C305" i="8" s="1"/>
  <c r="H305" i="8"/>
  <c r="A306" i="8"/>
  <c r="B306" i="8"/>
  <c r="C306" i="8" s="1"/>
  <c r="H306" i="8"/>
  <c r="A307" i="8"/>
  <c r="B307" i="8"/>
  <c r="C307" i="8" s="1"/>
  <c r="H307" i="8"/>
  <c r="A308" i="8"/>
  <c r="B308" i="8"/>
  <c r="C308" i="8" s="1"/>
  <c r="H308" i="8"/>
  <c r="A309" i="8"/>
  <c r="B309" i="8"/>
  <c r="C309" i="8" s="1"/>
  <c r="H309" i="8"/>
  <c r="A310" i="8"/>
  <c r="B310" i="8"/>
  <c r="C310" i="8" s="1"/>
  <c r="H310" i="8"/>
  <c r="A311" i="8"/>
  <c r="B311" i="8"/>
  <c r="C311" i="8" s="1"/>
  <c r="H311" i="8"/>
  <c r="A312" i="8"/>
  <c r="B312" i="8"/>
  <c r="C312" i="8" s="1"/>
  <c r="H312" i="8"/>
  <c r="A313" i="8"/>
  <c r="B313" i="8"/>
  <c r="C313" i="8" s="1"/>
  <c r="H313" i="8"/>
  <c r="A314" i="8"/>
  <c r="B314" i="8"/>
  <c r="C314" i="8" s="1"/>
  <c r="H314" i="8"/>
  <c r="A315" i="8"/>
  <c r="B315" i="8"/>
  <c r="C315" i="8" s="1"/>
  <c r="H315" i="8"/>
  <c r="A316" i="8"/>
  <c r="B316" i="8"/>
  <c r="C316" i="8" s="1"/>
  <c r="H316" i="8"/>
  <c r="A317" i="8"/>
  <c r="B317" i="8"/>
  <c r="C317" i="8" s="1"/>
  <c r="H317" i="8"/>
  <c r="A318" i="8"/>
  <c r="B318" i="8"/>
  <c r="C318" i="8" s="1"/>
  <c r="H318" i="8"/>
  <c r="A319" i="8"/>
  <c r="D319" i="8" s="1"/>
  <c r="B319" i="8"/>
  <c r="C319" i="8" s="1"/>
  <c r="H319" i="8"/>
  <c r="A320" i="8"/>
  <c r="B320" i="8"/>
  <c r="C320" i="8" s="1"/>
  <c r="H320" i="8"/>
  <c r="A321" i="8"/>
  <c r="B321" i="8"/>
  <c r="C321" i="8" s="1"/>
  <c r="H321" i="8"/>
  <c r="A322" i="8"/>
  <c r="B322" i="8"/>
  <c r="C322" i="8" s="1"/>
  <c r="H322" i="8"/>
  <c r="A323" i="8"/>
  <c r="B323" i="8"/>
  <c r="C323" i="8" s="1"/>
  <c r="H323" i="8"/>
  <c r="A324" i="8"/>
  <c r="B324" i="8"/>
  <c r="C324" i="8" s="1"/>
  <c r="H324" i="8"/>
  <c r="A325" i="8"/>
  <c r="B325" i="8"/>
  <c r="C325" i="8" s="1"/>
  <c r="H325" i="8"/>
  <c r="A326" i="8"/>
  <c r="B326" i="8"/>
  <c r="C326" i="8" s="1"/>
  <c r="H326" i="8"/>
  <c r="A327" i="8"/>
  <c r="B327" i="8"/>
  <c r="C327" i="8" s="1"/>
  <c r="H327" i="8"/>
  <c r="A328" i="8"/>
  <c r="B328" i="8"/>
  <c r="C328" i="8" s="1"/>
  <c r="H328" i="8"/>
  <c r="A329" i="8"/>
  <c r="B329" i="8"/>
  <c r="C329" i="8" s="1"/>
  <c r="H329" i="8"/>
  <c r="A330" i="8"/>
  <c r="B330" i="8"/>
  <c r="C330" i="8" s="1"/>
  <c r="H330" i="8"/>
  <c r="A331" i="8"/>
  <c r="B331" i="8"/>
  <c r="C331" i="8" s="1"/>
  <c r="H331" i="8"/>
  <c r="A332" i="8"/>
  <c r="B332" i="8"/>
  <c r="C332" i="8" s="1"/>
  <c r="H332" i="8"/>
  <c r="A333" i="8"/>
  <c r="B333" i="8"/>
  <c r="C333" i="8" s="1"/>
  <c r="H333" i="8"/>
  <c r="A334" i="8"/>
  <c r="B334" i="8"/>
  <c r="C334" i="8" s="1"/>
  <c r="H334" i="8"/>
  <c r="A335" i="8"/>
  <c r="B335" i="8"/>
  <c r="C335" i="8" s="1"/>
  <c r="H335" i="8"/>
  <c r="A336" i="8"/>
  <c r="B336" i="8"/>
  <c r="C336" i="8" s="1"/>
  <c r="H336" i="8"/>
  <c r="A337" i="8"/>
  <c r="B337" i="8"/>
  <c r="C337" i="8" s="1"/>
  <c r="H337" i="8"/>
  <c r="A338" i="8"/>
  <c r="B338" i="8"/>
  <c r="C338" i="8" s="1"/>
  <c r="H338" i="8"/>
  <c r="A339" i="8"/>
  <c r="D339" i="8" s="1"/>
  <c r="B339" i="8"/>
  <c r="C339" i="8" s="1"/>
  <c r="H339" i="8"/>
  <c r="A340" i="8"/>
  <c r="B340" i="8"/>
  <c r="C340" i="8" s="1"/>
  <c r="H340" i="8"/>
  <c r="A341" i="8"/>
  <c r="B341" i="8"/>
  <c r="C341" i="8" s="1"/>
  <c r="H341" i="8"/>
  <c r="A342" i="8"/>
  <c r="B342" i="8"/>
  <c r="C342" i="8" s="1"/>
  <c r="H342" i="8"/>
  <c r="A343" i="8"/>
  <c r="B343" i="8"/>
  <c r="C343" i="8" s="1"/>
  <c r="H343" i="8"/>
  <c r="A344" i="8"/>
  <c r="B344" i="8"/>
  <c r="C344" i="8" s="1"/>
  <c r="H344" i="8"/>
  <c r="A345" i="8"/>
  <c r="B345" i="8"/>
  <c r="C345" i="8" s="1"/>
  <c r="H345" i="8"/>
  <c r="A346" i="8"/>
  <c r="B346" i="8"/>
  <c r="C346" i="8" s="1"/>
  <c r="H346" i="8"/>
  <c r="A347" i="8"/>
  <c r="B347" i="8"/>
  <c r="C347" i="8" s="1"/>
  <c r="H347" i="8"/>
  <c r="A348" i="8"/>
  <c r="B348" i="8"/>
  <c r="C348" i="8" s="1"/>
  <c r="H348" i="8"/>
  <c r="A349" i="8"/>
  <c r="B349" i="8"/>
  <c r="C349" i="8" s="1"/>
  <c r="H349" i="8"/>
  <c r="A350" i="8"/>
  <c r="B350" i="8"/>
  <c r="C350" i="8" s="1"/>
  <c r="H350" i="8"/>
  <c r="A351" i="8"/>
  <c r="B351" i="8"/>
  <c r="C351" i="8" s="1"/>
  <c r="H351" i="8"/>
  <c r="A352" i="8"/>
  <c r="B352" i="8"/>
  <c r="C352" i="8" s="1"/>
  <c r="H352" i="8"/>
  <c r="A353" i="8"/>
  <c r="B353" i="8"/>
  <c r="C353" i="8" s="1"/>
  <c r="H353" i="8"/>
  <c r="A354" i="8"/>
  <c r="B354" i="8"/>
  <c r="C354" i="8" s="1"/>
  <c r="H354" i="8"/>
  <c r="A355" i="8"/>
  <c r="B355" i="8"/>
  <c r="C355" i="8" s="1"/>
  <c r="H355" i="8"/>
  <c r="A356" i="8"/>
  <c r="B356" i="8"/>
  <c r="C356" i="8" s="1"/>
  <c r="H356" i="8"/>
  <c r="A357" i="8"/>
  <c r="B357" i="8"/>
  <c r="C357" i="8" s="1"/>
  <c r="H357" i="8"/>
  <c r="A358" i="8"/>
  <c r="B358" i="8"/>
  <c r="C358" i="8" s="1"/>
  <c r="H358" i="8"/>
  <c r="A359" i="8"/>
  <c r="B359" i="8"/>
  <c r="C359" i="8" s="1"/>
  <c r="H359" i="8"/>
  <c r="A360" i="8"/>
  <c r="B360" i="8"/>
  <c r="C360" i="8" s="1"/>
  <c r="H360" i="8"/>
  <c r="A361" i="8"/>
  <c r="B361" i="8"/>
  <c r="C361" i="8" s="1"/>
  <c r="H361" i="8"/>
  <c r="A362" i="8"/>
  <c r="B362" i="8"/>
  <c r="C362" i="8" s="1"/>
  <c r="H362" i="8"/>
  <c r="A363" i="8"/>
  <c r="B363" i="8"/>
  <c r="C363" i="8" s="1"/>
  <c r="H363" i="8"/>
  <c r="A364" i="8"/>
  <c r="B364" i="8"/>
  <c r="C364" i="8" s="1"/>
  <c r="H364" i="8"/>
  <c r="A365" i="8"/>
  <c r="B365" i="8"/>
  <c r="C365" i="8" s="1"/>
  <c r="H365" i="8"/>
  <c r="A366" i="8"/>
  <c r="B366" i="8"/>
  <c r="C366" i="8" s="1"/>
  <c r="H366" i="8"/>
  <c r="A367" i="8"/>
  <c r="B367" i="8"/>
  <c r="C367" i="8" s="1"/>
  <c r="H367" i="8"/>
  <c r="A368" i="8"/>
  <c r="B368" i="8"/>
  <c r="C368" i="8" s="1"/>
  <c r="H368" i="8"/>
  <c r="A369" i="8"/>
  <c r="D369" i="8" s="1"/>
  <c r="B369" i="8"/>
  <c r="C369" i="8" s="1"/>
  <c r="H369" i="8"/>
  <c r="A370" i="8"/>
  <c r="B370" i="8"/>
  <c r="C370" i="8" s="1"/>
  <c r="H370" i="8"/>
  <c r="A371" i="8"/>
  <c r="B371" i="8"/>
  <c r="C371" i="8" s="1"/>
  <c r="H371" i="8"/>
  <c r="A372" i="8"/>
  <c r="B372" i="8"/>
  <c r="C372" i="8" s="1"/>
  <c r="H372" i="8"/>
  <c r="A373" i="8"/>
  <c r="D373" i="8" s="1"/>
  <c r="B373" i="8"/>
  <c r="C373" i="8" s="1"/>
  <c r="H373" i="8"/>
  <c r="A374" i="8"/>
  <c r="D374" i="8" s="1"/>
  <c r="B374" i="8"/>
  <c r="C374" i="8" s="1"/>
  <c r="H374" i="8"/>
  <c r="A375" i="8"/>
  <c r="B375" i="8"/>
  <c r="C375" i="8" s="1"/>
  <c r="H375" i="8"/>
  <c r="A376" i="8"/>
  <c r="B376" i="8"/>
  <c r="C376" i="8" s="1"/>
  <c r="H376" i="8"/>
  <c r="A377" i="8"/>
  <c r="B377" i="8"/>
  <c r="C377" i="8" s="1"/>
  <c r="H377" i="8"/>
  <c r="A378" i="8"/>
  <c r="D378" i="8" s="1"/>
  <c r="B378" i="8"/>
  <c r="C378" i="8" s="1"/>
  <c r="H378" i="8"/>
  <c r="A379" i="8"/>
  <c r="B379" i="8"/>
  <c r="C379" i="8" s="1"/>
  <c r="H379" i="8"/>
  <c r="A380" i="8"/>
  <c r="B380" i="8"/>
  <c r="C380" i="8" s="1"/>
  <c r="H380" i="8"/>
  <c r="A381" i="8"/>
  <c r="D381" i="8" s="1"/>
  <c r="B381" i="8"/>
  <c r="C381" i="8" s="1"/>
  <c r="H381" i="8"/>
  <c r="A382" i="8"/>
  <c r="D382" i="8" s="1"/>
  <c r="B382" i="8"/>
  <c r="C382" i="8" s="1"/>
  <c r="H382" i="8"/>
  <c r="A383" i="8"/>
  <c r="B383" i="8"/>
  <c r="C383" i="8" s="1"/>
  <c r="H383" i="8"/>
  <c r="A384" i="8"/>
  <c r="B384" i="8"/>
  <c r="C384" i="8" s="1"/>
  <c r="H384" i="8"/>
  <c r="A385" i="8"/>
  <c r="B385" i="8"/>
  <c r="C385" i="8" s="1"/>
  <c r="H385" i="8"/>
  <c r="A386" i="8"/>
  <c r="B386" i="8"/>
  <c r="C386" i="8" s="1"/>
  <c r="H386" i="8"/>
  <c r="A387" i="8"/>
  <c r="B387" i="8"/>
  <c r="C387" i="8" s="1"/>
  <c r="H387" i="8"/>
  <c r="A388" i="8"/>
  <c r="B388" i="8"/>
  <c r="C388" i="8" s="1"/>
  <c r="H388" i="8"/>
  <c r="A389" i="8"/>
  <c r="B389" i="8"/>
  <c r="C389" i="8" s="1"/>
  <c r="H389" i="8"/>
  <c r="A390" i="8"/>
  <c r="B390" i="8"/>
  <c r="C390" i="8" s="1"/>
  <c r="H390" i="8"/>
  <c r="A391" i="8"/>
  <c r="B391" i="8"/>
  <c r="C391" i="8" s="1"/>
  <c r="H391" i="8"/>
  <c r="A392" i="8"/>
  <c r="B392" i="8"/>
  <c r="C392" i="8" s="1"/>
  <c r="H392" i="8"/>
  <c r="A393" i="8"/>
  <c r="B393" i="8"/>
  <c r="C393" i="8" s="1"/>
  <c r="H393" i="8"/>
  <c r="A394" i="8"/>
  <c r="B394" i="8"/>
  <c r="C394" i="8" s="1"/>
  <c r="H394" i="8"/>
  <c r="A395" i="8"/>
  <c r="B395" i="8"/>
  <c r="C395" i="8" s="1"/>
  <c r="H395" i="8"/>
  <c r="A396" i="8"/>
  <c r="B396" i="8"/>
  <c r="C396" i="8" s="1"/>
  <c r="H396" i="8"/>
  <c r="A397" i="8"/>
  <c r="B397" i="8"/>
  <c r="C397" i="8" s="1"/>
  <c r="H397" i="8"/>
  <c r="A398" i="8"/>
  <c r="B398" i="8"/>
  <c r="C398" i="8" s="1"/>
  <c r="H398" i="8"/>
  <c r="A399" i="8"/>
  <c r="B399" i="8"/>
  <c r="C399" i="8" s="1"/>
  <c r="H399" i="8"/>
  <c r="A400" i="8"/>
  <c r="B400" i="8"/>
  <c r="C400" i="8" s="1"/>
  <c r="H400" i="8"/>
  <c r="A401" i="8"/>
  <c r="B401" i="8"/>
  <c r="C401" i="8" s="1"/>
  <c r="H401" i="8"/>
  <c r="A402" i="8"/>
  <c r="B402" i="8"/>
  <c r="C402" i="8" s="1"/>
  <c r="H402" i="8"/>
  <c r="A403" i="8"/>
  <c r="B403" i="8"/>
  <c r="C403" i="8" s="1"/>
  <c r="H403" i="8"/>
  <c r="A404" i="8"/>
  <c r="B404" i="8"/>
  <c r="C404" i="8" s="1"/>
  <c r="H404" i="8"/>
  <c r="A405" i="8"/>
  <c r="D405" i="8" s="1"/>
  <c r="B405" i="8"/>
  <c r="C405" i="8" s="1"/>
  <c r="H405" i="8"/>
  <c r="A406" i="8"/>
  <c r="D406" i="8" s="1"/>
  <c r="B406" i="8"/>
  <c r="C406" i="8" s="1"/>
  <c r="H406" i="8"/>
  <c r="A407" i="8"/>
  <c r="D407" i="8" s="1"/>
  <c r="B407" i="8"/>
  <c r="C407" i="8" s="1"/>
  <c r="H407" i="8"/>
  <c r="A408" i="8"/>
  <c r="B408" i="8"/>
  <c r="C408" i="8" s="1"/>
  <c r="H408" i="8"/>
  <c r="A409" i="8"/>
  <c r="D409" i="8" s="1"/>
  <c r="B409" i="8"/>
  <c r="C409" i="8" s="1"/>
  <c r="H409" i="8"/>
  <c r="A410" i="8"/>
  <c r="D410" i="8" s="1"/>
  <c r="B410" i="8"/>
  <c r="C410" i="8" s="1"/>
  <c r="H410" i="8"/>
  <c r="A411" i="8"/>
  <c r="B411" i="8"/>
  <c r="C411" i="8" s="1"/>
  <c r="H411" i="8"/>
  <c r="A412" i="8"/>
  <c r="B412" i="8"/>
  <c r="C412" i="8" s="1"/>
  <c r="H412" i="8"/>
  <c r="A413" i="8"/>
  <c r="B413" i="8"/>
  <c r="C413" i="8" s="1"/>
  <c r="H413" i="8"/>
  <c r="A414" i="8"/>
  <c r="D414" i="8" s="1"/>
  <c r="B414" i="8"/>
  <c r="C414" i="8" s="1"/>
  <c r="H414" i="8"/>
  <c r="A415" i="8"/>
  <c r="D415" i="8" s="1"/>
  <c r="B415" i="8"/>
  <c r="C415" i="8" s="1"/>
  <c r="H415" i="8"/>
  <c r="A416" i="8"/>
  <c r="B416" i="8"/>
  <c r="C416" i="8" s="1"/>
  <c r="H416" i="8"/>
  <c r="A417" i="8"/>
  <c r="D417" i="8" s="1"/>
  <c r="B417" i="8"/>
  <c r="C417" i="8" s="1"/>
  <c r="H417" i="8"/>
  <c r="A418" i="8"/>
  <c r="D418" i="8" s="1"/>
  <c r="B418" i="8"/>
  <c r="C418" i="8" s="1"/>
  <c r="H418" i="8"/>
  <c r="A419" i="8"/>
  <c r="B419" i="8"/>
  <c r="C419" i="8" s="1"/>
  <c r="H419" i="8"/>
  <c r="A420" i="8"/>
  <c r="B420" i="8"/>
  <c r="C420" i="8" s="1"/>
  <c r="H420" i="8"/>
  <c r="A421" i="8"/>
  <c r="B421" i="8"/>
  <c r="C421" i="8" s="1"/>
  <c r="H421" i="8"/>
  <c r="A422" i="8"/>
  <c r="B422" i="8"/>
  <c r="C422" i="8" s="1"/>
  <c r="H422" i="8"/>
  <c r="A423" i="8"/>
  <c r="B423" i="8"/>
  <c r="C423" i="8" s="1"/>
  <c r="H423" i="8"/>
  <c r="A424" i="8"/>
  <c r="B424" i="8"/>
  <c r="C424" i="8" s="1"/>
  <c r="H424" i="8"/>
  <c r="A425" i="8"/>
  <c r="B425" i="8"/>
  <c r="C425" i="8" s="1"/>
  <c r="H425" i="8"/>
  <c r="A426" i="8"/>
  <c r="B426" i="8"/>
  <c r="C426" i="8" s="1"/>
  <c r="H426" i="8"/>
  <c r="A427" i="8"/>
  <c r="B427" i="8"/>
  <c r="C427" i="8" s="1"/>
  <c r="H427" i="8"/>
  <c r="A428" i="8"/>
  <c r="B428" i="8"/>
  <c r="C428" i="8" s="1"/>
  <c r="H428" i="8"/>
  <c r="A429" i="8"/>
  <c r="B429" i="8"/>
  <c r="C429" i="8" s="1"/>
  <c r="H429" i="8"/>
  <c r="A430" i="8"/>
  <c r="B430" i="8"/>
  <c r="C430" i="8" s="1"/>
  <c r="H430" i="8"/>
  <c r="A431" i="8"/>
  <c r="B431" i="8"/>
  <c r="C431" i="8" s="1"/>
  <c r="H431" i="8"/>
  <c r="A432" i="8"/>
  <c r="B432" i="8"/>
  <c r="C432" i="8" s="1"/>
  <c r="H432" i="8"/>
  <c r="A433" i="8"/>
  <c r="B433" i="8"/>
  <c r="C433" i="8" s="1"/>
  <c r="H433" i="8"/>
  <c r="A434" i="8"/>
  <c r="B434" i="8"/>
  <c r="C434" i="8" s="1"/>
  <c r="H434" i="8"/>
  <c r="A435" i="8"/>
  <c r="B435" i="8"/>
  <c r="C435" i="8" s="1"/>
  <c r="H435" i="8"/>
  <c r="A436" i="8"/>
  <c r="B436" i="8"/>
  <c r="C436" i="8" s="1"/>
  <c r="H436" i="8"/>
  <c r="A437" i="8"/>
  <c r="B437" i="8"/>
  <c r="C437" i="8" s="1"/>
  <c r="H437" i="8"/>
  <c r="A438" i="8"/>
  <c r="B438" i="8"/>
  <c r="C438" i="8" s="1"/>
  <c r="H438" i="8"/>
  <c r="A439" i="8"/>
  <c r="B439" i="8"/>
  <c r="C439" i="8" s="1"/>
  <c r="H439" i="8"/>
  <c r="A440" i="8"/>
  <c r="B440" i="8"/>
  <c r="C440" i="8" s="1"/>
  <c r="H440" i="8"/>
  <c r="A441" i="8"/>
  <c r="D441" i="8" s="1"/>
  <c r="B441" i="8"/>
  <c r="C441" i="8" s="1"/>
  <c r="H441" i="8"/>
  <c r="A442" i="8"/>
  <c r="B442" i="8"/>
  <c r="C442" i="8" s="1"/>
  <c r="H442" i="8"/>
  <c r="A443" i="8"/>
  <c r="B443" i="8"/>
  <c r="C443" i="8" s="1"/>
  <c r="H443" i="8"/>
  <c r="A444" i="8"/>
  <c r="B444" i="8"/>
  <c r="C444" i="8" s="1"/>
  <c r="H444" i="8"/>
  <c r="A445" i="8"/>
  <c r="B445" i="8"/>
  <c r="C445" i="8" s="1"/>
  <c r="H445" i="8"/>
  <c r="A446" i="8"/>
  <c r="B446" i="8"/>
  <c r="C446" i="8" s="1"/>
  <c r="H446" i="8"/>
  <c r="A447" i="8"/>
  <c r="B447" i="8"/>
  <c r="C447" i="8" s="1"/>
  <c r="H447" i="8"/>
  <c r="A448" i="8"/>
  <c r="B448" i="8"/>
  <c r="C448" i="8" s="1"/>
  <c r="H448" i="8"/>
  <c r="A449" i="8"/>
  <c r="B449" i="8"/>
  <c r="C449" i="8" s="1"/>
  <c r="H449" i="8"/>
  <c r="A450" i="8"/>
  <c r="B450" i="8"/>
  <c r="C450" i="8" s="1"/>
  <c r="H450" i="8"/>
  <c r="A451" i="8"/>
  <c r="D451" i="8" s="1"/>
  <c r="B451" i="8"/>
  <c r="C451" i="8" s="1"/>
  <c r="H451" i="8"/>
  <c r="A452" i="8"/>
  <c r="B452" i="8"/>
  <c r="C452" i="8" s="1"/>
  <c r="H452" i="8"/>
  <c r="A453" i="8"/>
  <c r="B453" i="8"/>
  <c r="C453" i="8" s="1"/>
  <c r="H453" i="8"/>
  <c r="A454" i="8"/>
  <c r="D454" i="8" s="1"/>
  <c r="B454" i="8"/>
  <c r="C454" i="8" s="1"/>
  <c r="H454" i="8"/>
  <c r="A455" i="8"/>
  <c r="B455" i="8"/>
  <c r="C455" i="8" s="1"/>
  <c r="H455" i="8"/>
  <c r="A456" i="8"/>
  <c r="B456" i="8"/>
  <c r="C456" i="8" s="1"/>
  <c r="H456" i="8"/>
  <c r="A457" i="8"/>
  <c r="B457" i="8"/>
  <c r="C457" i="8" s="1"/>
  <c r="H457" i="8"/>
  <c r="A458" i="8"/>
  <c r="B458" i="8"/>
  <c r="C458" i="8" s="1"/>
  <c r="H458" i="8"/>
  <c r="A459" i="8"/>
  <c r="B459" i="8"/>
  <c r="C459" i="8" s="1"/>
  <c r="H459" i="8"/>
  <c r="A460" i="8"/>
  <c r="B460" i="8"/>
  <c r="C460" i="8" s="1"/>
  <c r="H460" i="8"/>
  <c r="A461" i="8"/>
  <c r="B461" i="8"/>
  <c r="C461" i="8" s="1"/>
  <c r="H461" i="8"/>
  <c r="A462" i="8"/>
  <c r="B462" i="8"/>
  <c r="C462" i="8" s="1"/>
  <c r="H462" i="8"/>
  <c r="A463" i="8"/>
  <c r="D463" i="8" s="1"/>
  <c r="B463" i="8"/>
  <c r="C463" i="8" s="1"/>
  <c r="H463" i="8"/>
  <c r="A464" i="8"/>
  <c r="B464" i="8"/>
  <c r="C464" i="8" s="1"/>
  <c r="H464" i="8"/>
  <c r="A465" i="8"/>
  <c r="B465" i="8"/>
  <c r="C465" i="8" s="1"/>
  <c r="H465" i="8"/>
  <c r="A466" i="8"/>
  <c r="B466" i="8"/>
  <c r="C466" i="8" s="1"/>
  <c r="H466" i="8"/>
  <c r="A467" i="8"/>
  <c r="B467" i="8"/>
  <c r="C467" i="8" s="1"/>
  <c r="H467" i="8"/>
  <c r="A468" i="8"/>
  <c r="B468" i="8"/>
  <c r="C468" i="8" s="1"/>
  <c r="H468" i="8"/>
  <c r="A469" i="8"/>
  <c r="B469" i="8"/>
  <c r="C469" i="8" s="1"/>
  <c r="H469" i="8"/>
  <c r="A470" i="8"/>
  <c r="B470" i="8"/>
  <c r="C470" i="8" s="1"/>
  <c r="H470" i="8"/>
  <c r="A471" i="8"/>
  <c r="B471" i="8"/>
  <c r="C471" i="8" s="1"/>
  <c r="H471" i="8"/>
  <c r="A472" i="8"/>
  <c r="B472" i="8"/>
  <c r="C472" i="8" s="1"/>
  <c r="H472" i="8"/>
  <c r="A473" i="8"/>
  <c r="B473" i="8"/>
  <c r="C473" i="8" s="1"/>
  <c r="H473" i="8"/>
  <c r="A474" i="8"/>
  <c r="B474" i="8"/>
  <c r="C474" i="8" s="1"/>
  <c r="H474" i="8"/>
  <c r="A475" i="8"/>
  <c r="D475" i="8" s="1"/>
  <c r="B475" i="8"/>
  <c r="C475" i="8" s="1"/>
  <c r="H475" i="8"/>
  <c r="A476" i="8"/>
  <c r="B476" i="8"/>
  <c r="C476" i="8" s="1"/>
  <c r="H476" i="8"/>
  <c r="A477" i="8"/>
  <c r="B477" i="8"/>
  <c r="C477" i="8" s="1"/>
  <c r="H477" i="8"/>
  <c r="A478" i="8"/>
  <c r="B478" i="8"/>
  <c r="C478" i="8" s="1"/>
  <c r="H478" i="8"/>
  <c r="A479" i="8"/>
  <c r="B479" i="8"/>
  <c r="C479" i="8" s="1"/>
  <c r="H479" i="8"/>
  <c r="A480" i="8"/>
  <c r="B480" i="8"/>
  <c r="C480" i="8" s="1"/>
  <c r="H480" i="8"/>
  <c r="A481" i="8"/>
  <c r="D481" i="8" s="1"/>
  <c r="B481" i="8"/>
  <c r="C481" i="8" s="1"/>
  <c r="H481" i="8"/>
  <c r="A482" i="8"/>
  <c r="B482" i="8"/>
  <c r="C482" i="8" s="1"/>
  <c r="H482" i="8"/>
  <c r="A483" i="8"/>
  <c r="B483" i="8"/>
  <c r="C483" i="8" s="1"/>
  <c r="H483" i="8"/>
  <c r="A484" i="8"/>
  <c r="B484" i="8"/>
  <c r="C484" i="8" s="1"/>
  <c r="H484" i="8"/>
  <c r="A485" i="8"/>
  <c r="D485" i="8" s="1"/>
  <c r="B485" i="8"/>
  <c r="C485" i="8" s="1"/>
  <c r="H485" i="8"/>
  <c r="A486" i="8"/>
  <c r="B486" i="8"/>
  <c r="C486" i="8" s="1"/>
  <c r="H486" i="8"/>
  <c r="A487" i="8"/>
  <c r="B487" i="8"/>
  <c r="C487" i="8" s="1"/>
  <c r="H487" i="8"/>
  <c r="A488" i="8"/>
  <c r="B488" i="8"/>
  <c r="C488" i="8" s="1"/>
  <c r="H488" i="8"/>
  <c r="A489" i="8"/>
  <c r="B489" i="8"/>
  <c r="C489" i="8" s="1"/>
  <c r="H489" i="8"/>
  <c r="A490" i="8"/>
  <c r="D490" i="8" s="1"/>
  <c r="B490" i="8"/>
  <c r="C490" i="8" s="1"/>
  <c r="H490" i="8"/>
  <c r="A491" i="8"/>
  <c r="B491" i="8"/>
  <c r="C491" i="8" s="1"/>
  <c r="H491" i="8"/>
  <c r="A492" i="8"/>
  <c r="B492" i="8"/>
  <c r="C492" i="8" s="1"/>
  <c r="H492" i="8"/>
  <c r="A493" i="8"/>
  <c r="B493" i="8"/>
  <c r="C493" i="8" s="1"/>
  <c r="H493" i="8"/>
  <c r="A494" i="8"/>
  <c r="B494" i="8"/>
  <c r="C494" i="8" s="1"/>
  <c r="H494" i="8"/>
  <c r="A495" i="8"/>
  <c r="D495" i="8" s="1"/>
  <c r="B495" i="8"/>
  <c r="C495" i="8" s="1"/>
  <c r="H495" i="8"/>
  <c r="A496" i="8"/>
  <c r="B496" i="8"/>
  <c r="C496" i="8" s="1"/>
  <c r="H496" i="8"/>
  <c r="A497" i="8"/>
  <c r="B497" i="8"/>
  <c r="C497" i="8" s="1"/>
  <c r="H497" i="8"/>
  <c r="A498" i="8"/>
  <c r="B498" i="8"/>
  <c r="C498" i="8" s="1"/>
  <c r="H498" i="8"/>
  <c r="A499" i="8"/>
  <c r="D499" i="8" s="1"/>
  <c r="B499" i="8"/>
  <c r="C499" i="8" s="1"/>
  <c r="H499" i="8"/>
  <c r="A500" i="8"/>
  <c r="B500" i="8"/>
  <c r="C500" i="8" s="1"/>
  <c r="H500" i="8"/>
  <c r="A501" i="8"/>
  <c r="B501" i="8"/>
  <c r="C501" i="8" s="1"/>
  <c r="H501" i="8"/>
  <c r="A502" i="8"/>
  <c r="B502" i="8"/>
  <c r="C502" i="8" s="1"/>
  <c r="H502" i="8"/>
  <c r="A503" i="8"/>
  <c r="D503" i="8" s="1"/>
  <c r="B503" i="8"/>
  <c r="C503" i="8" s="1"/>
  <c r="H503" i="8"/>
  <c r="A504" i="8"/>
  <c r="B504" i="8"/>
  <c r="C504" i="8" s="1"/>
  <c r="H504" i="8"/>
  <c r="A505" i="8"/>
  <c r="B505" i="8"/>
  <c r="C505" i="8" s="1"/>
  <c r="H505" i="8"/>
  <c r="A506" i="8"/>
  <c r="B506" i="8"/>
  <c r="C506" i="8" s="1"/>
  <c r="H506" i="8"/>
  <c r="A507" i="8"/>
  <c r="D507" i="8" s="1"/>
  <c r="B507" i="8"/>
  <c r="C507" i="8" s="1"/>
  <c r="H507" i="8"/>
  <c r="A508" i="8"/>
  <c r="B508" i="8"/>
  <c r="C508" i="8" s="1"/>
  <c r="H508" i="8"/>
  <c r="A509" i="8"/>
  <c r="B509" i="8"/>
  <c r="C509" i="8" s="1"/>
  <c r="H509" i="8"/>
  <c r="A510" i="8"/>
  <c r="B510" i="8"/>
  <c r="C510" i="8" s="1"/>
  <c r="H510" i="8"/>
  <c r="A511" i="8"/>
  <c r="B511" i="8"/>
  <c r="C511" i="8" s="1"/>
  <c r="H511" i="8"/>
  <c r="A512" i="8"/>
  <c r="B512" i="8"/>
  <c r="C512" i="8" s="1"/>
  <c r="H512" i="8"/>
  <c r="A513" i="8"/>
  <c r="B513" i="8"/>
  <c r="C513" i="8" s="1"/>
  <c r="H513" i="8"/>
  <c r="A514" i="8"/>
  <c r="B514" i="8"/>
  <c r="C514" i="8" s="1"/>
  <c r="H514" i="8"/>
  <c r="A515" i="8"/>
  <c r="B515" i="8"/>
  <c r="C515" i="8" s="1"/>
  <c r="H515" i="8"/>
  <c r="A516" i="8"/>
  <c r="B516" i="8"/>
  <c r="C516" i="8" s="1"/>
  <c r="H516" i="8"/>
  <c r="A517" i="8"/>
  <c r="D517" i="8" s="1"/>
  <c r="B517" i="8"/>
  <c r="C517" i="8" s="1"/>
  <c r="H517" i="8"/>
  <c r="A518" i="8"/>
  <c r="B518" i="8"/>
  <c r="C518" i="8" s="1"/>
  <c r="H518" i="8"/>
  <c r="A519" i="8"/>
  <c r="B519" i="8"/>
  <c r="C519" i="8" s="1"/>
  <c r="H519" i="8"/>
  <c r="A520" i="8"/>
  <c r="B520" i="8"/>
  <c r="C520" i="8" s="1"/>
  <c r="H520" i="8"/>
  <c r="A521" i="8"/>
  <c r="B521" i="8"/>
  <c r="C521" i="8" s="1"/>
  <c r="H521" i="8"/>
  <c r="A522" i="8"/>
  <c r="B522" i="8"/>
  <c r="C522" i="8" s="1"/>
  <c r="H522" i="8"/>
  <c r="A523" i="8"/>
  <c r="B523" i="8"/>
  <c r="C523" i="8" s="1"/>
  <c r="H523" i="8"/>
  <c r="A524" i="8"/>
  <c r="B524" i="8"/>
  <c r="C524" i="8" s="1"/>
  <c r="H524" i="8"/>
  <c r="A525" i="8"/>
  <c r="B525" i="8"/>
  <c r="C525" i="8" s="1"/>
  <c r="H525" i="8"/>
  <c r="A526" i="8"/>
  <c r="B526" i="8"/>
  <c r="C526" i="8" s="1"/>
  <c r="H526" i="8"/>
  <c r="A527" i="8"/>
  <c r="B527" i="8"/>
  <c r="C527" i="8" s="1"/>
  <c r="H527" i="8"/>
  <c r="A528" i="8"/>
  <c r="B528" i="8"/>
  <c r="C528" i="8" s="1"/>
  <c r="H528" i="8"/>
  <c r="A529" i="8"/>
  <c r="D529" i="8" s="1"/>
  <c r="B529" i="8"/>
  <c r="C529" i="8" s="1"/>
  <c r="H529" i="8"/>
  <c r="A530" i="8"/>
  <c r="B530" i="8"/>
  <c r="C530" i="8" s="1"/>
  <c r="H530" i="8"/>
  <c r="A531" i="8"/>
  <c r="B531" i="8"/>
  <c r="C531" i="8" s="1"/>
  <c r="H531" i="8"/>
  <c r="A532" i="8"/>
  <c r="B532" i="8"/>
  <c r="C532" i="8" s="1"/>
  <c r="H532" i="8"/>
  <c r="A533" i="8"/>
  <c r="B533" i="8"/>
  <c r="C533" i="8" s="1"/>
  <c r="H533" i="8"/>
  <c r="A534" i="8"/>
  <c r="B534" i="8"/>
  <c r="C534" i="8" s="1"/>
  <c r="H534" i="8"/>
  <c r="A535" i="8"/>
  <c r="B535" i="8"/>
  <c r="C535" i="8" s="1"/>
  <c r="H535" i="8"/>
  <c r="A540" i="8"/>
  <c r="B540" i="8"/>
  <c r="C540" i="8" s="1"/>
  <c r="H540" i="8"/>
  <c r="A541" i="8"/>
  <c r="B541" i="8"/>
  <c r="C541" i="8" s="1"/>
  <c r="H541" i="8"/>
  <c r="A542" i="8"/>
  <c r="D542" i="8" s="1"/>
  <c r="B542" i="8"/>
  <c r="C542" i="8" s="1"/>
  <c r="H542" i="8"/>
  <c r="A543" i="8"/>
  <c r="B543" i="8"/>
  <c r="C543" i="8" s="1"/>
  <c r="H543" i="8"/>
  <c r="A544" i="8"/>
  <c r="B544" i="8"/>
  <c r="C544" i="8" s="1"/>
  <c r="H544" i="8"/>
  <c r="A545" i="8"/>
  <c r="B545" i="8"/>
  <c r="C545" i="8" s="1"/>
  <c r="H545" i="8"/>
  <c r="A546" i="8"/>
  <c r="B546" i="8"/>
  <c r="C546" i="8" s="1"/>
  <c r="H546" i="8"/>
  <c r="A547" i="8"/>
  <c r="B547" i="8"/>
  <c r="C547" i="8" s="1"/>
  <c r="H547" i="8"/>
  <c r="A548" i="8"/>
  <c r="B548" i="8"/>
  <c r="C548" i="8" s="1"/>
  <c r="H548" i="8"/>
  <c r="A549" i="8"/>
  <c r="B549" i="8"/>
  <c r="C549" i="8" s="1"/>
  <c r="H549" i="8"/>
  <c r="A550" i="8"/>
  <c r="B550" i="8"/>
  <c r="C550" i="8" s="1"/>
  <c r="H550" i="8"/>
  <c r="A551" i="8"/>
  <c r="B551" i="8"/>
  <c r="C551" i="8" s="1"/>
  <c r="H551" i="8"/>
  <c r="A552" i="8"/>
  <c r="B552" i="8"/>
  <c r="C552" i="8" s="1"/>
  <c r="H552" i="8"/>
  <c r="A553" i="8"/>
  <c r="B553" i="8"/>
  <c r="C553" i="8" s="1"/>
  <c r="H553" i="8"/>
  <c r="A554" i="8"/>
  <c r="B554" i="8"/>
  <c r="C554" i="8" s="1"/>
  <c r="H554" i="8"/>
  <c r="A555" i="8"/>
  <c r="B555" i="8"/>
  <c r="C555" i="8" s="1"/>
  <c r="H555" i="8"/>
  <c r="A556" i="8"/>
  <c r="B556" i="8"/>
  <c r="C556" i="8" s="1"/>
  <c r="H556" i="8"/>
  <c r="A557" i="8"/>
  <c r="B557" i="8"/>
  <c r="C557" i="8" s="1"/>
  <c r="H557" i="8"/>
  <c r="A558" i="8"/>
  <c r="B558" i="8"/>
  <c r="C558" i="8" s="1"/>
  <c r="H558" i="8"/>
  <c r="A559" i="8"/>
  <c r="D559" i="8" s="1"/>
  <c r="B559" i="8"/>
  <c r="C559" i="8" s="1"/>
  <c r="H559" i="8"/>
  <c r="A560" i="8"/>
  <c r="B560" i="8"/>
  <c r="C560" i="8" s="1"/>
  <c r="H560" i="8"/>
  <c r="A561" i="8"/>
  <c r="B561" i="8"/>
  <c r="C561" i="8" s="1"/>
  <c r="H561" i="8"/>
  <c r="A562" i="8"/>
  <c r="B562" i="8"/>
  <c r="C562" i="8" s="1"/>
  <c r="H562" i="8"/>
  <c r="A563" i="8"/>
  <c r="B563" i="8"/>
  <c r="C563" i="8" s="1"/>
  <c r="H563" i="8"/>
  <c r="A564" i="8"/>
  <c r="B564" i="8"/>
  <c r="C564" i="8" s="1"/>
  <c r="H564" i="8"/>
  <c r="A565" i="8"/>
  <c r="B565" i="8"/>
  <c r="C565" i="8" s="1"/>
  <c r="H565" i="8"/>
  <c r="A566" i="8"/>
  <c r="B566" i="8"/>
  <c r="C566" i="8" s="1"/>
  <c r="H566" i="8"/>
  <c r="A567" i="8"/>
  <c r="D567" i="8" s="1"/>
  <c r="B567" i="8"/>
  <c r="C567" i="8" s="1"/>
  <c r="H567" i="8"/>
  <c r="A568" i="8"/>
  <c r="B568" i="8"/>
  <c r="C568" i="8" s="1"/>
  <c r="H568" i="8"/>
  <c r="A569" i="8"/>
  <c r="B569" i="8"/>
  <c r="C569" i="8" s="1"/>
  <c r="H569" i="8"/>
  <c r="A570" i="8"/>
  <c r="B570" i="8"/>
  <c r="C570" i="8" s="1"/>
  <c r="H570" i="8"/>
  <c r="A571" i="8"/>
  <c r="B571" i="8"/>
  <c r="C571" i="8" s="1"/>
  <c r="H571" i="8"/>
  <c r="A572" i="8"/>
  <c r="B572" i="8"/>
  <c r="C572" i="8" s="1"/>
  <c r="H572" i="8"/>
  <c r="A573" i="8"/>
  <c r="D573" i="8" s="1"/>
  <c r="B573" i="8"/>
  <c r="C573" i="8" s="1"/>
  <c r="H573" i="8"/>
  <c r="A574" i="8"/>
  <c r="D574" i="8" s="1"/>
  <c r="B574" i="8"/>
  <c r="C574" i="8" s="1"/>
  <c r="H574" i="8"/>
  <c r="A575" i="8"/>
  <c r="B575" i="8"/>
  <c r="C575" i="8" s="1"/>
  <c r="H575" i="8"/>
  <c r="A576" i="8"/>
  <c r="B576" i="8"/>
  <c r="C576" i="8" s="1"/>
  <c r="H576" i="8"/>
  <c r="A577" i="8"/>
  <c r="D577" i="8" s="1"/>
  <c r="B577" i="8"/>
  <c r="C577" i="8" s="1"/>
  <c r="H577" i="8"/>
  <c r="A578" i="8"/>
  <c r="B578" i="8"/>
  <c r="C578" i="8" s="1"/>
  <c r="H578" i="8"/>
  <c r="A579" i="8"/>
  <c r="B579" i="8"/>
  <c r="C579" i="8" s="1"/>
  <c r="H579" i="8"/>
  <c r="A580" i="8"/>
  <c r="B580" i="8"/>
  <c r="C580" i="8" s="1"/>
  <c r="H580" i="8"/>
  <c r="A581" i="8"/>
  <c r="D581" i="8" s="1"/>
  <c r="B581" i="8"/>
  <c r="C581" i="8" s="1"/>
  <c r="H581" i="8"/>
  <c r="A582" i="8"/>
  <c r="B582" i="8"/>
  <c r="C582" i="8" s="1"/>
  <c r="H582" i="8"/>
  <c r="A583" i="8"/>
  <c r="B583" i="8"/>
  <c r="C583" i="8" s="1"/>
  <c r="H583" i="8"/>
  <c r="A584" i="8"/>
  <c r="B584" i="8"/>
  <c r="C584" i="8" s="1"/>
  <c r="H584" i="8"/>
  <c r="A585" i="8"/>
  <c r="B585" i="8"/>
  <c r="C585" i="8" s="1"/>
  <c r="H585" i="8"/>
  <c r="A586" i="8"/>
  <c r="B586" i="8"/>
  <c r="C586" i="8" s="1"/>
  <c r="H586" i="8"/>
  <c r="A587" i="8"/>
  <c r="D587" i="8" s="1"/>
  <c r="B587" i="8"/>
  <c r="C587" i="8" s="1"/>
  <c r="H587" i="8"/>
  <c r="A588" i="8"/>
  <c r="B588" i="8"/>
  <c r="C588" i="8" s="1"/>
  <c r="H588" i="8"/>
  <c r="A589" i="8"/>
  <c r="B589" i="8"/>
  <c r="C589" i="8" s="1"/>
  <c r="H589" i="8"/>
  <c r="A590" i="8"/>
  <c r="B590" i="8"/>
  <c r="C590" i="8" s="1"/>
  <c r="H590" i="8"/>
  <c r="A591" i="8"/>
  <c r="B591" i="8"/>
  <c r="C591" i="8" s="1"/>
  <c r="H591" i="8"/>
  <c r="A592" i="8"/>
  <c r="B592" i="8"/>
  <c r="C592" i="8" s="1"/>
  <c r="H592" i="8"/>
  <c r="A593" i="8"/>
  <c r="B593" i="8"/>
  <c r="C593" i="8" s="1"/>
  <c r="H593" i="8"/>
  <c r="A594" i="8"/>
  <c r="B594" i="8"/>
  <c r="C594" i="8" s="1"/>
  <c r="H594" i="8"/>
  <c r="A595" i="8"/>
  <c r="B595" i="8"/>
  <c r="C595" i="8" s="1"/>
  <c r="H595" i="8"/>
  <c r="A596" i="8"/>
  <c r="B596" i="8"/>
  <c r="C596" i="8" s="1"/>
  <c r="H596" i="8"/>
  <c r="A597" i="8"/>
  <c r="B597" i="8"/>
  <c r="C597" i="8" s="1"/>
  <c r="H597" i="8"/>
  <c r="A598" i="8"/>
  <c r="B598" i="8"/>
  <c r="C598" i="8" s="1"/>
  <c r="H598" i="8"/>
  <c r="A599" i="8"/>
  <c r="B599" i="8"/>
  <c r="C599" i="8" s="1"/>
  <c r="H599" i="8"/>
  <c r="A600" i="8"/>
  <c r="B600" i="8"/>
  <c r="C600" i="8" s="1"/>
  <c r="H600" i="8"/>
  <c r="A601" i="8"/>
  <c r="B601" i="8"/>
  <c r="C601" i="8" s="1"/>
  <c r="H601" i="8"/>
  <c r="A602" i="8"/>
  <c r="B602" i="8"/>
  <c r="C602" i="8" s="1"/>
  <c r="H602" i="8"/>
  <c r="A603" i="8"/>
  <c r="D603" i="8" s="1"/>
  <c r="B603" i="8"/>
  <c r="C603" i="8" s="1"/>
  <c r="H603" i="8"/>
  <c r="A604" i="8"/>
  <c r="B604" i="8"/>
  <c r="C604" i="8" s="1"/>
  <c r="H604" i="8"/>
  <c r="A605" i="8"/>
  <c r="B605" i="8"/>
  <c r="C605" i="8" s="1"/>
  <c r="H605" i="8"/>
  <c r="A606" i="8"/>
  <c r="B606" i="8"/>
  <c r="C606" i="8" s="1"/>
  <c r="H606" i="8"/>
  <c r="A607" i="8"/>
  <c r="B607" i="8"/>
  <c r="C607" i="8" s="1"/>
  <c r="H607" i="8"/>
  <c r="A608" i="8"/>
  <c r="B608" i="8"/>
  <c r="C608" i="8" s="1"/>
  <c r="H608" i="8"/>
  <c r="A609" i="8"/>
  <c r="B609" i="8"/>
  <c r="C609" i="8" s="1"/>
  <c r="H609" i="8"/>
  <c r="A610" i="8"/>
  <c r="B610" i="8"/>
  <c r="C610" i="8" s="1"/>
  <c r="H610" i="8"/>
  <c r="A611" i="8"/>
  <c r="B611" i="8"/>
  <c r="C611" i="8" s="1"/>
  <c r="H611" i="8"/>
  <c r="A612" i="8"/>
  <c r="B612" i="8"/>
  <c r="C612" i="8" s="1"/>
  <c r="H612" i="8"/>
  <c r="A613" i="8"/>
  <c r="B613" i="8"/>
  <c r="C613" i="8" s="1"/>
  <c r="H613" i="8"/>
  <c r="A614" i="8"/>
  <c r="D614" i="8" s="1"/>
  <c r="B614" i="8"/>
  <c r="C614" i="8" s="1"/>
  <c r="H614" i="8"/>
  <c r="A615" i="8"/>
  <c r="B615" i="8"/>
  <c r="C615" i="8" s="1"/>
  <c r="H615" i="8"/>
  <c r="A616" i="8"/>
  <c r="B616" i="8"/>
  <c r="C616" i="8" s="1"/>
  <c r="H616" i="8"/>
  <c r="A617" i="8"/>
  <c r="B617" i="8"/>
  <c r="C617" i="8" s="1"/>
  <c r="H617" i="8"/>
  <c r="A618" i="8"/>
  <c r="B618" i="8"/>
  <c r="C618" i="8" s="1"/>
  <c r="H618" i="8"/>
  <c r="A619" i="8"/>
  <c r="B619" i="8"/>
  <c r="C619" i="8" s="1"/>
  <c r="H619" i="8"/>
  <c r="A620" i="8"/>
  <c r="B620" i="8"/>
  <c r="C620" i="8" s="1"/>
  <c r="H620" i="8"/>
  <c r="A621" i="8"/>
  <c r="D621" i="8" s="1"/>
  <c r="B621" i="8"/>
  <c r="C621" i="8" s="1"/>
  <c r="H621" i="8"/>
  <c r="A622" i="8"/>
  <c r="B622" i="8"/>
  <c r="C622" i="8" s="1"/>
  <c r="H622" i="8"/>
  <c r="A623" i="8"/>
  <c r="B623" i="8"/>
  <c r="C623" i="8" s="1"/>
  <c r="H623" i="8"/>
  <c r="A624" i="8"/>
  <c r="B624" i="8"/>
  <c r="C624" i="8" s="1"/>
  <c r="H624" i="8"/>
  <c r="A625" i="8"/>
  <c r="B625" i="8"/>
  <c r="C625" i="8" s="1"/>
  <c r="H625" i="8"/>
  <c r="A626" i="8"/>
  <c r="B626" i="8"/>
  <c r="C626" i="8" s="1"/>
  <c r="H626" i="8"/>
  <c r="A627" i="8"/>
  <c r="B627" i="8"/>
  <c r="C627" i="8" s="1"/>
  <c r="H627" i="8"/>
  <c r="A628" i="8"/>
  <c r="B628" i="8"/>
  <c r="C628" i="8" s="1"/>
  <c r="H628" i="8"/>
  <c r="A629" i="8"/>
  <c r="B629" i="8"/>
  <c r="C629" i="8" s="1"/>
  <c r="H629" i="8"/>
  <c r="A630" i="8"/>
  <c r="B630" i="8"/>
  <c r="C630" i="8" s="1"/>
  <c r="H630" i="8"/>
  <c r="A631" i="8"/>
  <c r="B631" i="8"/>
  <c r="C631" i="8" s="1"/>
  <c r="H631" i="8"/>
  <c r="A632" i="8"/>
  <c r="B632" i="8"/>
  <c r="C632" i="8" s="1"/>
  <c r="H632" i="8"/>
  <c r="A633" i="8"/>
  <c r="B633" i="8"/>
  <c r="C633" i="8" s="1"/>
  <c r="H633" i="8"/>
  <c r="A634" i="8"/>
  <c r="B634" i="8"/>
  <c r="C634" i="8" s="1"/>
  <c r="H634" i="8"/>
  <c r="A635" i="8"/>
  <c r="B635" i="8"/>
  <c r="C635" i="8" s="1"/>
  <c r="H635" i="8"/>
  <c r="A636" i="8"/>
  <c r="B636" i="8"/>
  <c r="C636" i="8" s="1"/>
  <c r="H636" i="8"/>
  <c r="A637" i="8"/>
  <c r="D637" i="8" s="1"/>
  <c r="B637" i="8"/>
  <c r="C637" i="8" s="1"/>
  <c r="H637" i="8"/>
  <c r="A638" i="8"/>
  <c r="B638" i="8"/>
  <c r="C638" i="8" s="1"/>
  <c r="H638" i="8"/>
  <c r="A639" i="8"/>
  <c r="D639" i="8" s="1"/>
  <c r="B639" i="8"/>
  <c r="C639" i="8" s="1"/>
  <c r="H639" i="8"/>
  <c r="A640" i="8"/>
  <c r="B640" i="8"/>
  <c r="C640" i="8" s="1"/>
  <c r="H640" i="8"/>
  <c r="A641" i="8"/>
  <c r="B641" i="8"/>
  <c r="C641" i="8" s="1"/>
  <c r="H641" i="8"/>
  <c r="A642" i="8"/>
  <c r="B642" i="8"/>
  <c r="C642" i="8" s="1"/>
  <c r="H642" i="8"/>
  <c r="A643" i="8"/>
  <c r="D643" i="8" s="1"/>
  <c r="B643" i="8"/>
  <c r="C643" i="8" s="1"/>
  <c r="H643" i="8"/>
  <c r="A644" i="8"/>
  <c r="B644" i="8"/>
  <c r="C644" i="8" s="1"/>
  <c r="H644" i="8"/>
  <c r="A645" i="8"/>
  <c r="B645" i="8"/>
  <c r="C645" i="8" s="1"/>
  <c r="H645" i="8"/>
  <c r="A646" i="8"/>
  <c r="B646" i="8"/>
  <c r="C646" i="8" s="1"/>
  <c r="H646" i="8"/>
  <c r="A647" i="8"/>
  <c r="D647" i="8" s="1"/>
  <c r="B647" i="8"/>
  <c r="C647" i="8" s="1"/>
  <c r="H647" i="8"/>
  <c r="A648" i="8"/>
  <c r="B648" i="8"/>
  <c r="C648" i="8" s="1"/>
  <c r="H648" i="8"/>
  <c r="A649" i="8"/>
  <c r="D649" i="8" s="1"/>
  <c r="B649" i="8"/>
  <c r="C649" i="8" s="1"/>
  <c r="H649" i="8"/>
  <c r="A650" i="8"/>
  <c r="B650" i="8"/>
  <c r="C650" i="8" s="1"/>
  <c r="H650" i="8"/>
  <c r="A651" i="8"/>
  <c r="B651" i="8"/>
  <c r="C651" i="8" s="1"/>
  <c r="H651" i="8"/>
  <c r="A652" i="8"/>
  <c r="B652" i="8"/>
  <c r="C652" i="8" s="1"/>
  <c r="H652" i="8"/>
  <c r="A653" i="8"/>
  <c r="D653" i="8" s="1"/>
  <c r="B653" i="8"/>
  <c r="C653" i="8" s="1"/>
  <c r="H653" i="8"/>
  <c r="A654" i="8"/>
  <c r="B654" i="8"/>
  <c r="C654" i="8" s="1"/>
  <c r="H654" i="8"/>
  <c r="A655" i="8"/>
  <c r="B655" i="8"/>
  <c r="C655" i="8" s="1"/>
  <c r="H655" i="8"/>
  <c r="A656" i="8"/>
  <c r="B656" i="8"/>
  <c r="C656" i="8" s="1"/>
  <c r="H656" i="8"/>
  <c r="A657" i="8"/>
  <c r="D657" i="8" s="1"/>
  <c r="B657" i="8"/>
  <c r="C657" i="8" s="1"/>
  <c r="H657" i="8"/>
  <c r="A658" i="8"/>
  <c r="B658" i="8"/>
  <c r="C658" i="8" s="1"/>
  <c r="H658" i="8"/>
  <c r="A659" i="8"/>
  <c r="B659" i="8"/>
  <c r="C659" i="8" s="1"/>
  <c r="H659" i="8"/>
  <c r="A660" i="8"/>
  <c r="B660" i="8"/>
  <c r="C660" i="8" s="1"/>
  <c r="H660" i="8"/>
  <c r="A661" i="8"/>
  <c r="D661" i="8" s="1"/>
  <c r="B661" i="8"/>
  <c r="C661" i="8" s="1"/>
  <c r="H661" i="8"/>
  <c r="A662" i="8"/>
  <c r="B662" i="8"/>
  <c r="C662" i="8" s="1"/>
  <c r="H662" i="8"/>
  <c r="A663" i="8"/>
  <c r="B663" i="8"/>
  <c r="C663" i="8" s="1"/>
  <c r="H663" i="8"/>
  <c r="A664" i="8"/>
  <c r="B664" i="8"/>
  <c r="C664" i="8" s="1"/>
  <c r="H664" i="8"/>
  <c r="A665" i="8"/>
  <c r="D665" i="8" s="1"/>
  <c r="B665" i="8"/>
  <c r="C665" i="8" s="1"/>
  <c r="H665" i="8"/>
  <c r="A666" i="8"/>
  <c r="B666" i="8"/>
  <c r="C666" i="8" s="1"/>
  <c r="H666" i="8"/>
  <c r="A667" i="8"/>
  <c r="B667" i="8"/>
  <c r="C667" i="8" s="1"/>
  <c r="H667" i="8"/>
  <c r="A668" i="8"/>
  <c r="B668" i="8"/>
  <c r="C668" i="8" s="1"/>
  <c r="H668" i="8"/>
  <c r="A669" i="8"/>
  <c r="D669" i="8" s="1"/>
  <c r="B669" i="8"/>
  <c r="C669" i="8" s="1"/>
  <c r="H669" i="8"/>
  <c r="A670" i="8"/>
  <c r="B670" i="8"/>
  <c r="C670" i="8" s="1"/>
  <c r="H670" i="8"/>
  <c r="A671" i="8"/>
  <c r="D671" i="8" s="1"/>
  <c r="B671" i="8"/>
  <c r="C671" i="8" s="1"/>
  <c r="H671" i="8"/>
  <c r="A672" i="8"/>
  <c r="B672" i="8"/>
  <c r="C672" i="8" s="1"/>
  <c r="H672" i="8"/>
  <c r="A673" i="8"/>
  <c r="B673" i="8"/>
  <c r="C673" i="8" s="1"/>
  <c r="H673" i="8"/>
  <c r="A674" i="8"/>
  <c r="B674" i="8"/>
  <c r="C674" i="8" s="1"/>
  <c r="H674" i="8"/>
  <c r="A675" i="8"/>
  <c r="B675" i="8"/>
  <c r="C675" i="8" s="1"/>
  <c r="H675" i="8"/>
  <c r="A676" i="8"/>
  <c r="B676" i="8"/>
  <c r="C676" i="8" s="1"/>
  <c r="H676" i="8"/>
  <c r="A677" i="8"/>
  <c r="B677" i="8"/>
  <c r="C677" i="8" s="1"/>
  <c r="H677" i="8"/>
  <c r="A678" i="8"/>
  <c r="B678" i="8"/>
  <c r="C678" i="8" s="1"/>
  <c r="H678" i="8"/>
  <c r="A679" i="8"/>
  <c r="D679" i="8" s="1"/>
  <c r="B679" i="8"/>
  <c r="C679" i="8" s="1"/>
  <c r="H679" i="8"/>
  <c r="A680" i="8"/>
  <c r="B680" i="8"/>
  <c r="C680" i="8" s="1"/>
  <c r="H680" i="8"/>
  <c r="A681" i="8"/>
  <c r="B681" i="8"/>
  <c r="C681" i="8" s="1"/>
  <c r="H681" i="8"/>
  <c r="A682" i="8"/>
  <c r="B682" i="8"/>
  <c r="C682" i="8" s="1"/>
  <c r="H682" i="8"/>
  <c r="A683" i="8"/>
  <c r="B683" i="8"/>
  <c r="C683" i="8" s="1"/>
  <c r="H683" i="8"/>
  <c r="A684" i="8"/>
  <c r="B684" i="8"/>
  <c r="C684" i="8" s="1"/>
  <c r="H684" i="8"/>
  <c r="A685" i="8"/>
  <c r="B685" i="8"/>
  <c r="C685" i="8" s="1"/>
  <c r="H685" i="8"/>
  <c r="A686" i="8"/>
  <c r="B686" i="8"/>
  <c r="C686" i="8" s="1"/>
  <c r="H686" i="8"/>
  <c r="A687" i="8"/>
  <c r="B687" i="8"/>
  <c r="C687" i="8" s="1"/>
  <c r="H687" i="8"/>
  <c r="A688" i="8"/>
  <c r="B688" i="8"/>
  <c r="C688" i="8" s="1"/>
  <c r="H688" i="8"/>
  <c r="A689" i="8"/>
  <c r="B689" i="8"/>
  <c r="C689" i="8" s="1"/>
  <c r="H689" i="8"/>
  <c r="A690" i="8"/>
  <c r="D690" i="8" s="1"/>
  <c r="B690" i="8"/>
  <c r="C690" i="8" s="1"/>
  <c r="H690" i="8"/>
  <c r="A691" i="8"/>
  <c r="B691" i="8"/>
  <c r="C691" i="8" s="1"/>
  <c r="H691" i="8"/>
  <c r="A692" i="8"/>
  <c r="B692" i="8"/>
  <c r="C692" i="8" s="1"/>
  <c r="H692" i="8"/>
  <c r="A693" i="8"/>
  <c r="B693" i="8"/>
  <c r="C693" i="8" s="1"/>
  <c r="H693" i="8"/>
  <c r="A694" i="8"/>
  <c r="B694" i="8"/>
  <c r="C694" i="8" s="1"/>
  <c r="H694" i="8"/>
  <c r="A695" i="8"/>
  <c r="D695" i="8" s="1"/>
  <c r="B695" i="8"/>
  <c r="C695" i="8" s="1"/>
  <c r="H695" i="8"/>
  <c r="A696" i="8"/>
  <c r="B696" i="8"/>
  <c r="C696" i="8" s="1"/>
  <c r="H696" i="8"/>
  <c r="A697" i="8"/>
  <c r="B697" i="8"/>
  <c r="C697" i="8" s="1"/>
  <c r="H697" i="8"/>
  <c r="A698" i="8"/>
  <c r="B698" i="8"/>
  <c r="C698" i="8" s="1"/>
  <c r="H698" i="8"/>
  <c r="A699" i="8"/>
  <c r="B699" i="8"/>
  <c r="C699" i="8" s="1"/>
  <c r="H699" i="8"/>
  <c r="A700" i="8"/>
  <c r="B700" i="8"/>
  <c r="C700" i="8" s="1"/>
  <c r="H700" i="8"/>
  <c r="A701" i="8"/>
  <c r="B701" i="8"/>
  <c r="C701" i="8" s="1"/>
  <c r="H701" i="8"/>
  <c r="A702" i="8"/>
  <c r="B702" i="8"/>
  <c r="C702" i="8" s="1"/>
  <c r="H702" i="8"/>
  <c r="A703" i="8"/>
  <c r="B703" i="8"/>
  <c r="C703" i="8" s="1"/>
  <c r="H703" i="8"/>
  <c r="A704" i="8"/>
  <c r="B704" i="8"/>
  <c r="C704" i="8" s="1"/>
  <c r="H704" i="8"/>
  <c r="A705" i="8"/>
  <c r="B705" i="8"/>
  <c r="C705" i="8" s="1"/>
  <c r="H705" i="8"/>
  <c r="A706" i="8"/>
  <c r="B706" i="8"/>
  <c r="C706" i="8" s="1"/>
  <c r="H706" i="8"/>
  <c r="A707" i="8"/>
  <c r="B707" i="8"/>
  <c r="C707" i="8" s="1"/>
  <c r="H707" i="8"/>
  <c r="A708" i="8"/>
  <c r="B708" i="8"/>
  <c r="C708" i="8" s="1"/>
  <c r="H708" i="8"/>
  <c r="A709" i="8"/>
  <c r="B709" i="8"/>
  <c r="C709" i="8" s="1"/>
  <c r="H709" i="8"/>
  <c r="A710" i="8"/>
  <c r="B710" i="8"/>
  <c r="C710" i="8" s="1"/>
  <c r="H710" i="8"/>
  <c r="A711" i="8"/>
  <c r="B711" i="8"/>
  <c r="C711" i="8" s="1"/>
  <c r="H711" i="8"/>
  <c r="A712" i="8"/>
  <c r="B712" i="8"/>
  <c r="C712" i="8" s="1"/>
  <c r="H712" i="8"/>
  <c r="A713" i="8"/>
  <c r="B713" i="8"/>
  <c r="C713" i="8" s="1"/>
  <c r="H713" i="8"/>
  <c r="A714" i="8"/>
  <c r="B714" i="8"/>
  <c r="C714" i="8" s="1"/>
  <c r="H714" i="8"/>
  <c r="A715" i="8"/>
  <c r="D715" i="8" s="1"/>
  <c r="B715" i="8"/>
  <c r="C715" i="8" s="1"/>
  <c r="H715" i="8"/>
  <c r="A716" i="8"/>
  <c r="B716" i="8"/>
  <c r="C716" i="8" s="1"/>
  <c r="H716" i="8"/>
  <c r="A717" i="8"/>
  <c r="B717" i="8"/>
  <c r="C717" i="8" s="1"/>
  <c r="H717" i="8"/>
  <c r="A718" i="8"/>
  <c r="B718" i="8"/>
  <c r="C718" i="8" s="1"/>
  <c r="H718" i="8"/>
  <c r="A719" i="8"/>
  <c r="B719" i="8"/>
  <c r="C719" i="8" s="1"/>
  <c r="H719" i="8"/>
  <c r="A720" i="8"/>
  <c r="B720" i="8"/>
  <c r="C720" i="8" s="1"/>
  <c r="H720" i="8"/>
  <c r="A721" i="8"/>
  <c r="D721" i="8" s="1"/>
  <c r="B721" i="8"/>
  <c r="C721" i="8" s="1"/>
  <c r="H721" i="8"/>
  <c r="A722" i="8"/>
  <c r="D722" i="8" s="1"/>
  <c r="B722" i="8"/>
  <c r="C722" i="8" s="1"/>
  <c r="H722" i="8"/>
  <c r="A723" i="8"/>
  <c r="B723" i="8"/>
  <c r="C723" i="8" s="1"/>
  <c r="H723" i="8"/>
  <c r="A724" i="8"/>
  <c r="B724" i="8"/>
  <c r="C724" i="8" s="1"/>
  <c r="H724" i="8"/>
  <c r="A725" i="8"/>
  <c r="D725" i="8" s="1"/>
  <c r="B725" i="8"/>
  <c r="C725" i="8" s="1"/>
  <c r="H725" i="8"/>
  <c r="A726" i="8"/>
  <c r="B726" i="8"/>
  <c r="C726" i="8" s="1"/>
  <c r="H726" i="8"/>
  <c r="A727" i="8"/>
  <c r="B727" i="8"/>
  <c r="C727" i="8" s="1"/>
  <c r="H727" i="8"/>
  <c r="A728" i="8"/>
  <c r="B728" i="8"/>
  <c r="C728" i="8" s="1"/>
  <c r="H728" i="8"/>
  <c r="A729" i="8"/>
  <c r="B729" i="8"/>
  <c r="C729" i="8" s="1"/>
  <c r="H729" i="8"/>
  <c r="A730" i="8"/>
  <c r="B730" i="8"/>
  <c r="C730" i="8" s="1"/>
  <c r="H730" i="8"/>
  <c r="A731" i="8"/>
  <c r="B731" i="8"/>
  <c r="C731" i="8" s="1"/>
  <c r="H731" i="8"/>
  <c r="A732" i="8"/>
  <c r="B732" i="8"/>
  <c r="C732" i="8" s="1"/>
  <c r="H732" i="8"/>
  <c r="A733" i="8"/>
  <c r="B733" i="8"/>
  <c r="C733" i="8" s="1"/>
  <c r="H733" i="8"/>
  <c r="A734" i="8"/>
  <c r="B734" i="8"/>
  <c r="C734" i="8" s="1"/>
  <c r="H734" i="8"/>
  <c r="A735" i="8"/>
  <c r="B735" i="8"/>
  <c r="C735" i="8" s="1"/>
  <c r="H735" i="8"/>
  <c r="A736" i="8"/>
  <c r="B736" i="8"/>
  <c r="C736" i="8" s="1"/>
  <c r="H736" i="8"/>
  <c r="A737" i="8"/>
  <c r="D737" i="8" s="1"/>
  <c r="B737" i="8"/>
  <c r="C737" i="8" s="1"/>
  <c r="H737" i="8"/>
  <c r="A738" i="8"/>
  <c r="B738" i="8"/>
  <c r="C738" i="8" s="1"/>
  <c r="H738" i="8"/>
  <c r="A739" i="8"/>
  <c r="B739" i="8"/>
  <c r="C739" i="8" s="1"/>
  <c r="H739" i="8"/>
  <c r="A740" i="8"/>
  <c r="B740" i="8"/>
  <c r="C740" i="8" s="1"/>
  <c r="H740" i="8"/>
  <c r="A741" i="8"/>
  <c r="B741" i="8"/>
  <c r="C741" i="8" s="1"/>
  <c r="H741" i="8"/>
  <c r="A742" i="8"/>
  <c r="B742" i="8"/>
  <c r="C742" i="8" s="1"/>
  <c r="H742" i="8"/>
  <c r="A743" i="8"/>
  <c r="B743" i="8"/>
  <c r="C743" i="8" s="1"/>
  <c r="H743" i="8"/>
  <c r="A744" i="8"/>
  <c r="B744" i="8"/>
  <c r="C744" i="8" s="1"/>
  <c r="H744" i="8"/>
  <c r="A745" i="8"/>
  <c r="D745" i="8" s="1"/>
  <c r="B745" i="8"/>
  <c r="C745" i="8" s="1"/>
  <c r="H745" i="8"/>
  <c r="A746" i="8"/>
  <c r="B746" i="8"/>
  <c r="C746" i="8" s="1"/>
  <c r="H746" i="8"/>
  <c r="A747" i="8"/>
  <c r="B747" i="8"/>
  <c r="C747" i="8" s="1"/>
  <c r="H747" i="8"/>
  <c r="A748" i="8"/>
  <c r="B748" i="8"/>
  <c r="C748" i="8" s="1"/>
  <c r="H748" i="8"/>
  <c r="A749" i="8"/>
  <c r="B749" i="8"/>
  <c r="C749" i="8" s="1"/>
  <c r="H749" i="8"/>
  <c r="A750" i="8"/>
  <c r="B750" i="8"/>
  <c r="C750" i="8" s="1"/>
  <c r="H750" i="8"/>
  <c r="A751" i="8"/>
  <c r="B751" i="8"/>
  <c r="C751" i="8" s="1"/>
  <c r="H751" i="8"/>
  <c r="A752" i="8"/>
  <c r="B752" i="8"/>
  <c r="C752" i="8" s="1"/>
  <c r="H752" i="8"/>
  <c r="A753" i="8"/>
  <c r="B753" i="8"/>
  <c r="C753" i="8" s="1"/>
  <c r="H753" i="8"/>
  <c r="A754" i="8"/>
  <c r="B754" i="8"/>
  <c r="C754" i="8" s="1"/>
  <c r="H754" i="8"/>
  <c r="A755" i="8"/>
  <c r="D755" i="8" s="1"/>
  <c r="B755" i="8"/>
  <c r="C755" i="8" s="1"/>
  <c r="H755" i="8"/>
  <c r="A756" i="8"/>
  <c r="B756" i="8"/>
  <c r="C756" i="8" s="1"/>
  <c r="H756" i="8"/>
  <c r="A757" i="8"/>
  <c r="B757" i="8"/>
  <c r="C757" i="8" s="1"/>
  <c r="H757" i="8"/>
  <c r="A758" i="8"/>
  <c r="B758" i="8"/>
  <c r="C758" i="8" s="1"/>
  <c r="H758" i="8"/>
  <c r="A759" i="8"/>
  <c r="B759" i="8"/>
  <c r="C759" i="8" s="1"/>
  <c r="H759" i="8"/>
  <c r="A760" i="8"/>
  <c r="B760" i="8"/>
  <c r="C760" i="8" s="1"/>
  <c r="H760" i="8"/>
  <c r="A761" i="8"/>
  <c r="B761" i="8"/>
  <c r="C761" i="8" s="1"/>
  <c r="H761" i="8"/>
  <c r="A762" i="8"/>
  <c r="B762" i="8"/>
  <c r="C762" i="8" s="1"/>
  <c r="H762" i="8"/>
  <c r="A763" i="8"/>
  <c r="B763" i="8"/>
  <c r="C763" i="8" s="1"/>
  <c r="H763" i="8"/>
  <c r="A764" i="8"/>
  <c r="B764" i="8"/>
  <c r="C764" i="8" s="1"/>
  <c r="H764" i="8"/>
  <c r="A765" i="8"/>
  <c r="B765" i="8"/>
  <c r="C765" i="8" s="1"/>
  <c r="H765" i="8"/>
  <c r="A766" i="8"/>
  <c r="B766" i="8"/>
  <c r="C766" i="8" s="1"/>
  <c r="H766" i="8"/>
  <c r="A767" i="8"/>
  <c r="B767" i="8"/>
  <c r="C767" i="8" s="1"/>
  <c r="H767" i="8"/>
  <c r="A768" i="8"/>
  <c r="B768" i="8"/>
  <c r="C768" i="8" s="1"/>
  <c r="H768" i="8"/>
  <c r="A769" i="8"/>
  <c r="B769" i="8"/>
  <c r="C769" i="8" s="1"/>
  <c r="H769" i="8"/>
  <c r="A770" i="8"/>
  <c r="B770" i="8"/>
  <c r="C770" i="8" s="1"/>
  <c r="H770" i="8"/>
  <c r="A771" i="8"/>
  <c r="D771" i="8" s="1"/>
  <c r="B771" i="8"/>
  <c r="C771" i="8" s="1"/>
  <c r="H771" i="8"/>
  <c r="A772" i="8"/>
  <c r="B772" i="8"/>
  <c r="C772" i="8" s="1"/>
  <c r="H772" i="8"/>
  <c r="A773" i="8"/>
  <c r="B773" i="8"/>
  <c r="C773" i="8" s="1"/>
  <c r="H773" i="8"/>
  <c r="A774" i="8"/>
  <c r="B774" i="8"/>
  <c r="C774" i="8" s="1"/>
  <c r="H774" i="8"/>
  <c r="A775" i="8"/>
  <c r="B775" i="8"/>
  <c r="C775" i="8" s="1"/>
  <c r="H775" i="8"/>
  <c r="A776" i="8"/>
  <c r="B776" i="8"/>
  <c r="C776" i="8" s="1"/>
  <c r="H776" i="8"/>
  <c r="A777" i="8"/>
  <c r="D777" i="8" s="1"/>
  <c r="B777" i="8"/>
  <c r="C777" i="8" s="1"/>
  <c r="H777" i="8"/>
  <c r="A778" i="8"/>
  <c r="B778" i="8"/>
  <c r="C778" i="8" s="1"/>
  <c r="H778" i="8"/>
  <c r="A779" i="8"/>
  <c r="B779" i="8"/>
  <c r="C779" i="8" s="1"/>
  <c r="H779" i="8"/>
  <c r="A780" i="8"/>
  <c r="B780" i="8"/>
  <c r="C780" i="8" s="1"/>
  <c r="H780" i="8"/>
  <c r="A781" i="8"/>
  <c r="B781" i="8"/>
  <c r="C781" i="8" s="1"/>
  <c r="H781" i="8"/>
  <c r="A782" i="8"/>
  <c r="B782" i="8"/>
  <c r="C782" i="8" s="1"/>
  <c r="H782" i="8"/>
  <c r="A783" i="8"/>
  <c r="B783" i="8"/>
  <c r="C783" i="8" s="1"/>
  <c r="H783" i="8"/>
  <c r="A784" i="8"/>
  <c r="B784" i="8"/>
  <c r="C784" i="8" s="1"/>
  <c r="H784" i="8"/>
  <c r="A785" i="8"/>
  <c r="B785" i="8"/>
  <c r="C785" i="8" s="1"/>
  <c r="H785" i="8"/>
  <c r="A786" i="8"/>
  <c r="B786" i="8"/>
  <c r="C786" i="8" s="1"/>
  <c r="H786" i="8"/>
  <c r="A787" i="8"/>
  <c r="B787" i="8"/>
  <c r="C787" i="8" s="1"/>
  <c r="H787" i="8"/>
  <c r="A788" i="8"/>
  <c r="B788" i="8"/>
  <c r="C788" i="8" s="1"/>
  <c r="H788" i="8"/>
  <c r="A789" i="8"/>
  <c r="B789" i="8"/>
  <c r="C789" i="8" s="1"/>
  <c r="H789" i="8"/>
  <c r="A790" i="8"/>
  <c r="B790" i="8"/>
  <c r="C790" i="8" s="1"/>
  <c r="H790" i="8"/>
  <c r="A791" i="8"/>
  <c r="B791" i="8"/>
  <c r="C791" i="8" s="1"/>
  <c r="H791" i="8"/>
  <c r="A792" i="8"/>
  <c r="B792" i="8"/>
  <c r="C792" i="8" s="1"/>
  <c r="H792" i="8"/>
  <c r="A793" i="8"/>
  <c r="B793" i="8"/>
  <c r="C793" i="8" s="1"/>
  <c r="H793" i="8"/>
  <c r="A794" i="8"/>
  <c r="B794" i="8"/>
  <c r="C794" i="8" s="1"/>
  <c r="H794" i="8"/>
  <c r="A795" i="8"/>
  <c r="B795" i="8"/>
  <c r="C795" i="8" s="1"/>
  <c r="H795" i="8"/>
  <c r="A796" i="8"/>
  <c r="B796" i="8"/>
  <c r="C796" i="8" s="1"/>
  <c r="H796" i="8"/>
  <c r="A797" i="8"/>
  <c r="B797" i="8"/>
  <c r="C797" i="8" s="1"/>
  <c r="H797" i="8"/>
  <c r="A798" i="8"/>
  <c r="B798" i="8"/>
  <c r="C798" i="8" s="1"/>
  <c r="H798" i="8"/>
  <c r="A799" i="8"/>
  <c r="B799" i="8"/>
  <c r="C799" i="8" s="1"/>
  <c r="H799" i="8"/>
  <c r="A800" i="8"/>
  <c r="B800" i="8"/>
  <c r="C800" i="8" s="1"/>
  <c r="H800" i="8"/>
  <c r="A801" i="8"/>
  <c r="B801" i="8"/>
  <c r="C801" i="8" s="1"/>
  <c r="H801" i="8"/>
  <c r="A802" i="8"/>
  <c r="B802" i="8"/>
  <c r="C802" i="8" s="1"/>
  <c r="H802" i="8"/>
  <c r="A803" i="8"/>
  <c r="B803" i="8"/>
  <c r="C803" i="8" s="1"/>
  <c r="H803" i="8"/>
  <c r="A804" i="8"/>
  <c r="B804" i="8"/>
  <c r="C804" i="8" s="1"/>
  <c r="H804" i="8"/>
  <c r="A805" i="8"/>
  <c r="B805" i="8"/>
  <c r="C805" i="8" s="1"/>
  <c r="H805" i="8"/>
  <c r="A806" i="8"/>
  <c r="B806" i="8"/>
  <c r="C806" i="8" s="1"/>
  <c r="H806" i="8"/>
  <c r="A807" i="8"/>
  <c r="B807" i="8"/>
  <c r="C807" i="8" s="1"/>
  <c r="H807" i="8"/>
  <c r="A808" i="8"/>
  <c r="B808" i="8"/>
  <c r="C808" i="8" s="1"/>
  <c r="H808" i="8"/>
  <c r="A809" i="8"/>
  <c r="B809" i="8"/>
  <c r="C809" i="8" s="1"/>
  <c r="H809" i="8"/>
  <c r="A810" i="8"/>
  <c r="B810" i="8"/>
  <c r="C810" i="8" s="1"/>
  <c r="H810" i="8"/>
  <c r="A811" i="8"/>
  <c r="B811" i="8"/>
  <c r="C811" i="8" s="1"/>
  <c r="H811" i="8"/>
  <c r="A812" i="8"/>
  <c r="B812" i="8"/>
  <c r="C812" i="8" s="1"/>
  <c r="H812" i="8"/>
  <c r="A813" i="8"/>
  <c r="B813" i="8"/>
  <c r="C813" i="8" s="1"/>
  <c r="H813" i="8"/>
  <c r="A814" i="8"/>
  <c r="B814" i="8"/>
  <c r="C814" i="8" s="1"/>
  <c r="H814" i="8"/>
  <c r="A815" i="8"/>
  <c r="B815" i="8"/>
  <c r="C815" i="8" s="1"/>
  <c r="H815" i="8"/>
  <c r="A816" i="8"/>
  <c r="B816" i="8"/>
  <c r="C816" i="8" s="1"/>
  <c r="H816" i="8"/>
  <c r="A817" i="8"/>
  <c r="B817" i="8"/>
  <c r="C817" i="8" s="1"/>
  <c r="H817" i="8"/>
  <c r="A818" i="8"/>
  <c r="B818" i="8"/>
  <c r="C818" i="8" s="1"/>
  <c r="H818" i="8"/>
  <c r="A819" i="8"/>
  <c r="B819" i="8"/>
  <c r="C819" i="8" s="1"/>
  <c r="H819" i="8"/>
  <c r="A820" i="8"/>
  <c r="B820" i="8"/>
  <c r="C820" i="8" s="1"/>
  <c r="H820" i="8"/>
  <c r="A821" i="8"/>
  <c r="B821" i="8"/>
  <c r="C821" i="8" s="1"/>
  <c r="H821" i="8"/>
  <c r="A822" i="8"/>
  <c r="B822" i="8"/>
  <c r="C822" i="8" s="1"/>
  <c r="H822" i="8"/>
  <c r="A823" i="8"/>
  <c r="B823" i="8"/>
  <c r="C823" i="8" s="1"/>
  <c r="H823" i="8"/>
  <c r="A824" i="8"/>
  <c r="B824" i="8"/>
  <c r="C824" i="8" s="1"/>
  <c r="H824" i="8"/>
  <c r="A825" i="8"/>
  <c r="B825" i="8"/>
  <c r="C825" i="8" s="1"/>
  <c r="H825" i="8"/>
  <c r="A826" i="8"/>
  <c r="B826" i="8"/>
  <c r="C826" i="8" s="1"/>
  <c r="H826" i="8"/>
  <c r="A827" i="8"/>
  <c r="B827" i="8"/>
  <c r="C827" i="8" s="1"/>
  <c r="H827" i="8"/>
  <c r="A828" i="8"/>
  <c r="B828" i="8"/>
  <c r="C828" i="8" s="1"/>
  <c r="H828" i="8"/>
  <c r="A829" i="8"/>
  <c r="B829" i="8"/>
  <c r="C829" i="8" s="1"/>
  <c r="H829" i="8"/>
  <c r="A830" i="8"/>
  <c r="B830" i="8"/>
  <c r="C830" i="8" s="1"/>
  <c r="H830" i="8"/>
  <c r="A831" i="8"/>
  <c r="B831" i="8"/>
  <c r="C831" i="8" s="1"/>
  <c r="H831" i="8"/>
  <c r="A832" i="8"/>
  <c r="B832" i="8"/>
  <c r="C832" i="8" s="1"/>
  <c r="H832" i="8"/>
  <c r="A833" i="8"/>
  <c r="B833" i="8"/>
  <c r="C833" i="8" s="1"/>
  <c r="H833" i="8"/>
  <c r="A834" i="8"/>
  <c r="B834" i="8"/>
  <c r="C834" i="8" s="1"/>
  <c r="H834" i="8"/>
  <c r="A835" i="8"/>
  <c r="B835" i="8"/>
  <c r="C835" i="8" s="1"/>
  <c r="H835" i="8"/>
  <c r="A836" i="8"/>
  <c r="B836" i="8"/>
  <c r="C836" i="8" s="1"/>
  <c r="H836" i="8"/>
  <c r="A837" i="8"/>
  <c r="B837" i="8"/>
  <c r="C837" i="8" s="1"/>
  <c r="H837" i="8"/>
  <c r="A838" i="8"/>
  <c r="B838" i="8"/>
  <c r="C838" i="8" s="1"/>
  <c r="H838" i="8"/>
  <c r="A839" i="8"/>
  <c r="B839" i="8"/>
  <c r="C839" i="8" s="1"/>
  <c r="H839" i="8"/>
  <c r="A840" i="8"/>
  <c r="B840" i="8"/>
  <c r="C840" i="8" s="1"/>
  <c r="D840" i="8" s="1"/>
  <c r="H840" i="8"/>
  <c r="A841" i="8"/>
  <c r="B841" i="8"/>
  <c r="C841" i="8" s="1"/>
  <c r="H841" i="8"/>
  <c r="A842" i="8"/>
  <c r="B842" i="8"/>
  <c r="C842" i="8" s="1"/>
  <c r="H842" i="8"/>
  <c r="A843" i="8"/>
  <c r="B843" i="8"/>
  <c r="C843" i="8" s="1"/>
  <c r="H843" i="8"/>
  <c r="A844" i="8"/>
  <c r="B844" i="8"/>
  <c r="C844" i="8" s="1"/>
  <c r="H844" i="8"/>
  <c r="A845" i="8"/>
  <c r="B845" i="8"/>
  <c r="C845" i="8" s="1"/>
  <c r="H845" i="8"/>
  <c r="A846" i="8"/>
  <c r="B846" i="8"/>
  <c r="C846" i="8" s="1"/>
  <c r="H846" i="8"/>
  <c r="A847" i="8"/>
  <c r="B847" i="8"/>
  <c r="C847" i="8" s="1"/>
  <c r="H847" i="8"/>
  <c r="A848" i="8"/>
  <c r="B848" i="8"/>
  <c r="C848" i="8" s="1"/>
  <c r="H848" i="8"/>
  <c r="A849" i="8"/>
  <c r="B849" i="8"/>
  <c r="C849" i="8" s="1"/>
  <c r="H849" i="8"/>
  <c r="A850" i="8"/>
  <c r="B850" i="8"/>
  <c r="C850" i="8" s="1"/>
  <c r="H850" i="8"/>
  <c r="A851" i="8"/>
  <c r="B851" i="8"/>
  <c r="C851" i="8" s="1"/>
  <c r="H851" i="8"/>
  <c r="A852" i="8"/>
  <c r="B852" i="8"/>
  <c r="C852" i="8" s="1"/>
  <c r="H852" i="8"/>
  <c r="A853" i="8"/>
  <c r="B853" i="8"/>
  <c r="C853" i="8" s="1"/>
  <c r="H853" i="8"/>
  <c r="A854" i="8"/>
  <c r="B854" i="8"/>
  <c r="C854" i="8" s="1"/>
  <c r="H854" i="8"/>
  <c r="A855" i="8"/>
  <c r="B855" i="8"/>
  <c r="C855" i="8" s="1"/>
  <c r="H855" i="8"/>
  <c r="A856" i="8"/>
  <c r="B856" i="8"/>
  <c r="C856" i="8" s="1"/>
  <c r="H856" i="8"/>
  <c r="A857" i="8"/>
  <c r="B857" i="8"/>
  <c r="C857" i="8" s="1"/>
  <c r="H857" i="8"/>
  <c r="A858" i="8"/>
  <c r="B858" i="8"/>
  <c r="C858" i="8" s="1"/>
  <c r="H858" i="8"/>
  <c r="A859" i="8"/>
  <c r="B859" i="8"/>
  <c r="C859" i="8" s="1"/>
  <c r="H859" i="8"/>
  <c r="A860" i="8"/>
  <c r="B860" i="8"/>
  <c r="C860" i="8" s="1"/>
  <c r="H860" i="8"/>
  <c r="A861" i="8"/>
  <c r="B861" i="8"/>
  <c r="C861" i="8" s="1"/>
  <c r="H861" i="8"/>
  <c r="A862" i="8"/>
  <c r="B862" i="8"/>
  <c r="C862" i="8" s="1"/>
  <c r="H862" i="8"/>
  <c r="A863" i="8"/>
  <c r="B863" i="8"/>
  <c r="C863" i="8" s="1"/>
  <c r="H863" i="8"/>
  <c r="A864" i="8"/>
  <c r="B864" i="8"/>
  <c r="C864" i="8" s="1"/>
  <c r="H864" i="8"/>
  <c r="A865" i="8"/>
  <c r="B865" i="8"/>
  <c r="C865" i="8" s="1"/>
  <c r="H865" i="8"/>
  <c r="A866" i="8"/>
  <c r="B866" i="8"/>
  <c r="C866" i="8" s="1"/>
  <c r="H866" i="8"/>
  <c r="A867" i="8"/>
  <c r="B867" i="8"/>
  <c r="C867" i="8" s="1"/>
  <c r="H867" i="8"/>
  <c r="A868" i="8"/>
  <c r="B868" i="8"/>
  <c r="C868" i="8" s="1"/>
  <c r="H868" i="8"/>
  <c r="A869" i="8"/>
  <c r="B869" i="8"/>
  <c r="C869" i="8" s="1"/>
  <c r="H869" i="8"/>
  <c r="A870" i="8"/>
  <c r="B870" i="8"/>
  <c r="C870" i="8" s="1"/>
  <c r="H870" i="8"/>
  <c r="A871" i="8"/>
  <c r="B871" i="8"/>
  <c r="C871" i="8" s="1"/>
  <c r="H871" i="8"/>
  <c r="A872" i="8"/>
  <c r="B872" i="8"/>
  <c r="C872" i="8" s="1"/>
  <c r="H872" i="8"/>
  <c r="A873" i="8"/>
  <c r="B873" i="8"/>
  <c r="C873" i="8" s="1"/>
  <c r="H873" i="8"/>
  <c r="A874" i="8"/>
  <c r="B874" i="8"/>
  <c r="C874" i="8" s="1"/>
  <c r="H874" i="8"/>
  <c r="A875" i="8"/>
  <c r="B875" i="8"/>
  <c r="C875" i="8" s="1"/>
  <c r="H875" i="8"/>
  <c r="A876" i="8"/>
  <c r="B876" i="8"/>
  <c r="C876" i="8" s="1"/>
  <c r="H876" i="8"/>
  <c r="A877" i="8"/>
  <c r="B877" i="8"/>
  <c r="C877" i="8" s="1"/>
  <c r="H877" i="8"/>
  <c r="A878" i="8"/>
  <c r="B878" i="8"/>
  <c r="C878" i="8" s="1"/>
  <c r="H878" i="8"/>
  <c r="A879" i="8"/>
  <c r="B879" i="8"/>
  <c r="C879" i="8" s="1"/>
  <c r="H879" i="8"/>
  <c r="A880" i="8"/>
  <c r="B880" i="8"/>
  <c r="C880" i="8" s="1"/>
  <c r="H880" i="8"/>
  <c r="A881" i="8"/>
  <c r="B881" i="8"/>
  <c r="C881" i="8" s="1"/>
  <c r="H881" i="8"/>
  <c r="A882" i="8"/>
  <c r="B882" i="8"/>
  <c r="C882" i="8" s="1"/>
  <c r="H882" i="8"/>
  <c r="A883" i="8"/>
  <c r="B883" i="8"/>
  <c r="C883" i="8" s="1"/>
  <c r="H883" i="8"/>
  <c r="A884" i="8"/>
  <c r="B884" i="8"/>
  <c r="C884" i="8" s="1"/>
  <c r="H884" i="8"/>
  <c r="A885" i="8"/>
  <c r="B885" i="8"/>
  <c r="C885" i="8" s="1"/>
  <c r="H885" i="8"/>
  <c r="A886" i="8"/>
  <c r="B886" i="8"/>
  <c r="C886" i="8" s="1"/>
  <c r="H886" i="8"/>
  <c r="A887" i="8"/>
  <c r="B887" i="8"/>
  <c r="C887" i="8" s="1"/>
  <c r="H887" i="8"/>
  <c r="A888" i="8"/>
  <c r="B888" i="8"/>
  <c r="C888" i="8" s="1"/>
  <c r="H888" i="8"/>
  <c r="A889" i="8"/>
  <c r="B889" i="8"/>
  <c r="C889" i="8" s="1"/>
  <c r="H889" i="8"/>
  <c r="A890" i="8"/>
  <c r="B890" i="8"/>
  <c r="C890" i="8" s="1"/>
  <c r="H890" i="8"/>
  <c r="A891" i="8"/>
  <c r="B891" i="8"/>
  <c r="C891" i="8" s="1"/>
  <c r="H891" i="8"/>
  <c r="A892" i="8"/>
  <c r="B892" i="8"/>
  <c r="C892" i="8" s="1"/>
  <c r="H892" i="8"/>
  <c r="A893" i="8"/>
  <c r="B893" i="8"/>
  <c r="C893" i="8" s="1"/>
  <c r="H893" i="8"/>
  <c r="A894" i="8"/>
  <c r="B894" i="8"/>
  <c r="C894" i="8" s="1"/>
  <c r="H894" i="8"/>
  <c r="A895" i="8"/>
  <c r="B895" i="8"/>
  <c r="C895" i="8" s="1"/>
  <c r="H895" i="8"/>
  <c r="A896" i="8"/>
  <c r="B896" i="8"/>
  <c r="C896" i="8" s="1"/>
  <c r="H896" i="8"/>
  <c r="A897" i="8"/>
  <c r="B897" i="8"/>
  <c r="C897" i="8" s="1"/>
  <c r="H897" i="8"/>
  <c r="A898" i="8"/>
  <c r="B898" i="8"/>
  <c r="C898" i="8" s="1"/>
  <c r="H898" i="8"/>
  <c r="A899" i="8"/>
  <c r="D899" i="8" s="1"/>
  <c r="B899" i="8"/>
  <c r="C899" i="8" s="1"/>
  <c r="H899" i="8"/>
  <c r="A900" i="8"/>
  <c r="B900" i="8"/>
  <c r="C900" i="8" s="1"/>
  <c r="H900" i="8"/>
  <c r="A901" i="8"/>
  <c r="B901" i="8"/>
  <c r="C901" i="8" s="1"/>
  <c r="H901" i="8"/>
  <c r="A902" i="8"/>
  <c r="B902" i="8"/>
  <c r="C902" i="8" s="1"/>
  <c r="H902" i="8"/>
  <c r="A903" i="8"/>
  <c r="B903" i="8"/>
  <c r="C903" i="8" s="1"/>
  <c r="H903" i="8"/>
  <c r="A904" i="8"/>
  <c r="B904" i="8"/>
  <c r="C904" i="8" s="1"/>
  <c r="H904" i="8"/>
  <c r="A905" i="8"/>
  <c r="B905" i="8"/>
  <c r="C905" i="8" s="1"/>
  <c r="H905" i="8"/>
  <c r="A906" i="8"/>
  <c r="B906" i="8"/>
  <c r="C906" i="8" s="1"/>
  <c r="H906" i="8"/>
  <c r="A907" i="8"/>
  <c r="B907" i="8"/>
  <c r="C907" i="8" s="1"/>
  <c r="H907" i="8"/>
  <c r="A908" i="8"/>
  <c r="B908" i="8"/>
  <c r="C908" i="8" s="1"/>
  <c r="H908" i="8"/>
  <c r="A909" i="8"/>
  <c r="B909" i="8"/>
  <c r="C909" i="8" s="1"/>
  <c r="H909" i="8"/>
  <c r="A910" i="8"/>
  <c r="B910" i="8"/>
  <c r="C910" i="8" s="1"/>
  <c r="H910" i="8"/>
  <c r="A911" i="8"/>
  <c r="B911" i="8"/>
  <c r="C911" i="8" s="1"/>
  <c r="H911" i="8"/>
  <c r="A912" i="8"/>
  <c r="B912" i="8"/>
  <c r="C912" i="8" s="1"/>
  <c r="H912" i="8"/>
  <c r="A913" i="8"/>
  <c r="B913" i="8"/>
  <c r="C913" i="8" s="1"/>
  <c r="H913" i="8"/>
  <c r="A914" i="8"/>
  <c r="B914" i="8"/>
  <c r="C914" i="8" s="1"/>
  <c r="H914" i="8"/>
  <c r="A915" i="8"/>
  <c r="B915" i="8"/>
  <c r="C915" i="8" s="1"/>
  <c r="H915" i="8"/>
  <c r="A916" i="8"/>
  <c r="B916" i="8"/>
  <c r="C916" i="8" s="1"/>
  <c r="H916" i="8"/>
  <c r="A917" i="8"/>
  <c r="B917" i="8"/>
  <c r="C917" i="8" s="1"/>
  <c r="H917" i="8"/>
  <c r="A918" i="8"/>
  <c r="B918" i="8"/>
  <c r="C918" i="8" s="1"/>
  <c r="H918" i="8"/>
  <c r="A919" i="8"/>
  <c r="B919" i="8"/>
  <c r="C919" i="8" s="1"/>
  <c r="H919" i="8"/>
  <c r="A920" i="8"/>
  <c r="B920" i="8"/>
  <c r="C920" i="8" s="1"/>
  <c r="H920" i="8"/>
  <c r="A921" i="8"/>
  <c r="B921" i="8"/>
  <c r="C921" i="8" s="1"/>
  <c r="H921" i="8"/>
  <c r="A922" i="8"/>
  <c r="B922" i="8"/>
  <c r="C922" i="8" s="1"/>
  <c r="H922" i="8"/>
  <c r="A923" i="8"/>
  <c r="B923" i="8"/>
  <c r="C923" i="8" s="1"/>
  <c r="H923" i="8"/>
  <c r="A924" i="8"/>
  <c r="B924" i="8"/>
  <c r="C924" i="8" s="1"/>
  <c r="H924" i="8"/>
  <c r="A925" i="8"/>
  <c r="B925" i="8"/>
  <c r="C925" i="8" s="1"/>
  <c r="H925" i="8"/>
  <c r="A926" i="8"/>
  <c r="B926" i="8"/>
  <c r="C926" i="8" s="1"/>
  <c r="H926" i="8"/>
  <c r="A927" i="8"/>
  <c r="B927" i="8"/>
  <c r="C927" i="8" s="1"/>
  <c r="H927" i="8"/>
  <c r="A928" i="8"/>
  <c r="B928" i="8"/>
  <c r="C928" i="8" s="1"/>
  <c r="H928" i="8"/>
  <c r="A929" i="8"/>
  <c r="B929" i="8"/>
  <c r="C929" i="8" s="1"/>
  <c r="H929" i="8"/>
  <c r="A930" i="8"/>
  <c r="B930" i="8"/>
  <c r="C930" i="8" s="1"/>
  <c r="H930" i="8"/>
  <c r="A931" i="8"/>
  <c r="B931" i="8"/>
  <c r="C931" i="8" s="1"/>
  <c r="H931" i="8"/>
  <c r="A932" i="8"/>
  <c r="B932" i="8"/>
  <c r="C932" i="8" s="1"/>
  <c r="H932" i="8"/>
  <c r="A933" i="8"/>
  <c r="B933" i="8"/>
  <c r="C933" i="8" s="1"/>
  <c r="H933" i="8"/>
  <c r="A934" i="8"/>
  <c r="B934" i="8"/>
  <c r="C934" i="8" s="1"/>
  <c r="H934" i="8"/>
  <c r="A935" i="8"/>
  <c r="B935" i="8"/>
  <c r="C935" i="8" s="1"/>
  <c r="H935" i="8"/>
  <c r="A936" i="8"/>
  <c r="B936" i="8"/>
  <c r="C936" i="8" s="1"/>
  <c r="H936" i="8"/>
  <c r="A937" i="8"/>
  <c r="B937" i="8"/>
  <c r="C937" i="8" s="1"/>
  <c r="H937" i="8"/>
  <c r="A938" i="8"/>
  <c r="B938" i="8"/>
  <c r="C938" i="8" s="1"/>
  <c r="H938" i="8"/>
  <c r="A939" i="8"/>
  <c r="B939" i="8"/>
  <c r="C939" i="8" s="1"/>
  <c r="H939" i="8"/>
  <c r="A940" i="8"/>
  <c r="B940" i="8"/>
  <c r="C940" i="8" s="1"/>
  <c r="H940" i="8"/>
  <c r="A941" i="8"/>
  <c r="B941" i="8"/>
  <c r="C941" i="8" s="1"/>
  <c r="H941" i="8"/>
  <c r="A942" i="8"/>
  <c r="B942" i="8"/>
  <c r="C942" i="8" s="1"/>
  <c r="H942" i="8"/>
  <c r="A943" i="8"/>
  <c r="B943" i="8"/>
  <c r="C943" i="8" s="1"/>
  <c r="H943" i="8"/>
  <c r="A944" i="8"/>
  <c r="B944" i="8"/>
  <c r="C944" i="8" s="1"/>
  <c r="H944" i="8"/>
  <c r="A945" i="8"/>
  <c r="B945" i="8"/>
  <c r="C945" i="8" s="1"/>
  <c r="H945" i="8"/>
  <c r="A946" i="8"/>
  <c r="B946" i="8"/>
  <c r="C946" i="8" s="1"/>
  <c r="H946" i="8"/>
  <c r="A947" i="8"/>
  <c r="B947" i="8"/>
  <c r="C947" i="8" s="1"/>
  <c r="H947" i="8"/>
  <c r="A948" i="8"/>
  <c r="B948" i="8"/>
  <c r="C948" i="8" s="1"/>
  <c r="H948" i="8"/>
  <c r="A949" i="8"/>
  <c r="B949" i="8"/>
  <c r="C949" i="8" s="1"/>
  <c r="H949" i="8"/>
  <c r="A950" i="8"/>
  <c r="B950" i="8"/>
  <c r="C950" i="8" s="1"/>
  <c r="H950" i="8"/>
  <c r="A951" i="8"/>
  <c r="B951" i="8"/>
  <c r="C951" i="8" s="1"/>
  <c r="H951" i="8"/>
  <c r="A952" i="8"/>
  <c r="B952" i="8"/>
  <c r="C952" i="8" s="1"/>
  <c r="D952" i="8" s="1"/>
  <c r="H952" i="8"/>
  <c r="A953" i="8"/>
  <c r="B953" i="8"/>
  <c r="C953" i="8" s="1"/>
  <c r="H953" i="8"/>
  <c r="A954" i="8"/>
  <c r="B954" i="8"/>
  <c r="C954" i="8" s="1"/>
  <c r="H954" i="8"/>
  <c r="A955" i="8"/>
  <c r="B955" i="8"/>
  <c r="C955" i="8" s="1"/>
  <c r="H955" i="8"/>
  <c r="A956" i="8"/>
  <c r="B956" i="8"/>
  <c r="C956" i="8" s="1"/>
  <c r="H956" i="8"/>
  <c r="A957" i="8"/>
  <c r="B957" i="8"/>
  <c r="C957" i="8" s="1"/>
  <c r="H957" i="8"/>
  <c r="A958" i="8"/>
  <c r="B958" i="8"/>
  <c r="C958" i="8" s="1"/>
  <c r="H958" i="8"/>
  <c r="A959" i="8"/>
  <c r="B959" i="8"/>
  <c r="C959" i="8" s="1"/>
  <c r="H959" i="8"/>
  <c r="A960" i="8"/>
  <c r="B960" i="8"/>
  <c r="C960" i="8" s="1"/>
  <c r="H960" i="8"/>
  <c r="A961" i="8"/>
  <c r="B961" i="8"/>
  <c r="C961" i="8" s="1"/>
  <c r="H961" i="8"/>
  <c r="A962" i="8"/>
  <c r="B962" i="8"/>
  <c r="C962" i="8" s="1"/>
  <c r="H962" i="8"/>
  <c r="A963" i="8"/>
  <c r="B963" i="8"/>
  <c r="C963" i="8" s="1"/>
  <c r="H963" i="8"/>
  <c r="A964" i="8"/>
  <c r="B964" i="8"/>
  <c r="C964" i="8" s="1"/>
  <c r="H964" i="8"/>
  <c r="A965" i="8"/>
  <c r="B965" i="8"/>
  <c r="C965" i="8" s="1"/>
  <c r="H965" i="8"/>
  <c r="A966" i="8"/>
  <c r="B966" i="8"/>
  <c r="C966" i="8" s="1"/>
  <c r="H966" i="8"/>
  <c r="A967" i="8"/>
  <c r="B967" i="8"/>
  <c r="C967" i="8" s="1"/>
  <c r="H967" i="8"/>
  <c r="A968" i="8"/>
  <c r="B968" i="8"/>
  <c r="C968" i="8" s="1"/>
  <c r="H968" i="8"/>
  <c r="A969" i="8"/>
  <c r="B969" i="8"/>
  <c r="C969" i="8" s="1"/>
  <c r="H969" i="8"/>
  <c r="A970" i="8"/>
  <c r="B970" i="8"/>
  <c r="C970" i="8" s="1"/>
  <c r="H970" i="8"/>
  <c r="A971" i="8"/>
  <c r="B971" i="8"/>
  <c r="C971" i="8" s="1"/>
  <c r="H971" i="8"/>
  <c r="A972" i="8"/>
  <c r="B972" i="8"/>
  <c r="C972" i="8" s="1"/>
  <c r="H972" i="8"/>
  <c r="A973" i="8"/>
  <c r="B973" i="8"/>
  <c r="C973" i="8" s="1"/>
  <c r="H973" i="8"/>
  <c r="A974" i="8"/>
  <c r="B974" i="8"/>
  <c r="C974" i="8" s="1"/>
  <c r="H974" i="8"/>
  <c r="A975" i="8"/>
  <c r="B975" i="8"/>
  <c r="C975" i="8" s="1"/>
  <c r="H975" i="8"/>
  <c r="A976" i="8"/>
  <c r="B976" i="8"/>
  <c r="C976" i="8" s="1"/>
  <c r="H976" i="8"/>
  <c r="A977" i="8"/>
  <c r="B977" i="8"/>
  <c r="C977" i="8" s="1"/>
  <c r="H977" i="8"/>
  <c r="A978" i="8"/>
  <c r="B978" i="8"/>
  <c r="C978" i="8" s="1"/>
  <c r="H978" i="8"/>
  <c r="A979" i="8"/>
  <c r="B979" i="8"/>
  <c r="C979" i="8" s="1"/>
  <c r="H979" i="8"/>
  <c r="A980" i="8"/>
  <c r="B980" i="8"/>
  <c r="C980" i="8" s="1"/>
  <c r="H980" i="8"/>
  <c r="A981" i="8"/>
  <c r="B981" i="8"/>
  <c r="C981" i="8" s="1"/>
  <c r="H981" i="8"/>
  <c r="A982" i="8"/>
  <c r="B982" i="8"/>
  <c r="C982" i="8" s="1"/>
  <c r="H982" i="8"/>
  <c r="A983" i="8"/>
  <c r="B983" i="8"/>
  <c r="C983" i="8" s="1"/>
  <c r="H983" i="8"/>
  <c r="A984" i="8"/>
  <c r="B984" i="8"/>
  <c r="C984" i="8" s="1"/>
  <c r="H984" i="8"/>
  <c r="A985" i="8"/>
  <c r="B985" i="8"/>
  <c r="C985" i="8" s="1"/>
  <c r="H985" i="8"/>
  <c r="A986" i="8"/>
  <c r="B986" i="8"/>
  <c r="C986" i="8" s="1"/>
  <c r="H986" i="8"/>
  <c r="A987" i="8"/>
  <c r="B987" i="8"/>
  <c r="C987" i="8" s="1"/>
  <c r="H987" i="8"/>
  <c r="A988" i="8"/>
  <c r="B988" i="8"/>
  <c r="C988" i="8" s="1"/>
  <c r="H988" i="8"/>
  <c r="A989" i="8"/>
  <c r="B989" i="8"/>
  <c r="C989" i="8" s="1"/>
  <c r="H989" i="8"/>
  <c r="A990" i="8"/>
  <c r="B990" i="8"/>
  <c r="C990" i="8" s="1"/>
  <c r="H990" i="8"/>
  <c r="A991" i="8"/>
  <c r="B991" i="8"/>
  <c r="C991" i="8" s="1"/>
  <c r="H991" i="8"/>
  <c r="A992" i="8"/>
  <c r="B992" i="8"/>
  <c r="C992" i="8" s="1"/>
  <c r="H992" i="8"/>
  <c r="A993" i="8"/>
  <c r="B993" i="8"/>
  <c r="C993" i="8" s="1"/>
  <c r="H993" i="8"/>
  <c r="A994" i="8"/>
  <c r="B994" i="8"/>
  <c r="C994" i="8" s="1"/>
  <c r="H994" i="8"/>
  <c r="A995" i="8"/>
  <c r="B995" i="8"/>
  <c r="C995" i="8" s="1"/>
  <c r="H995" i="8"/>
  <c r="A996" i="8"/>
  <c r="B996" i="8"/>
  <c r="C996" i="8" s="1"/>
  <c r="H996" i="8"/>
  <c r="A997" i="8"/>
  <c r="B997" i="8"/>
  <c r="C997" i="8" s="1"/>
  <c r="H997" i="8"/>
  <c r="A998" i="8"/>
  <c r="B998" i="8"/>
  <c r="C998" i="8" s="1"/>
  <c r="H998" i="8"/>
  <c r="A999" i="8"/>
  <c r="B999" i="8"/>
  <c r="C999" i="8" s="1"/>
  <c r="H999" i="8"/>
  <c r="A1000" i="8"/>
  <c r="B1000" i="8"/>
  <c r="C1000" i="8" s="1"/>
  <c r="H1000" i="8"/>
  <c r="A1001" i="8"/>
  <c r="B1001" i="8"/>
  <c r="C1001" i="8" s="1"/>
  <c r="H1001" i="8"/>
  <c r="A1002" i="8"/>
  <c r="B1002" i="8"/>
  <c r="C1002" i="8" s="1"/>
  <c r="H1002" i="8"/>
  <c r="A1003" i="8"/>
  <c r="B1003" i="8"/>
  <c r="C1003" i="8" s="1"/>
  <c r="H1003" i="8"/>
  <c r="A1004" i="8"/>
  <c r="B1004" i="8"/>
  <c r="C1004" i="8" s="1"/>
  <c r="H1004" i="8"/>
  <c r="A1005" i="8"/>
  <c r="B1005" i="8"/>
  <c r="C1005" i="8" s="1"/>
  <c r="H1005" i="8"/>
  <c r="A1006" i="8"/>
  <c r="B1006" i="8"/>
  <c r="C1006" i="8" s="1"/>
  <c r="H1006" i="8"/>
  <c r="A1007" i="8"/>
  <c r="B1007" i="8"/>
  <c r="C1007" i="8" s="1"/>
  <c r="H1007" i="8"/>
  <c r="A1008" i="8"/>
  <c r="B1008" i="8"/>
  <c r="C1008" i="8" s="1"/>
  <c r="H1008" i="8"/>
  <c r="A1009" i="8"/>
  <c r="B1009" i="8"/>
  <c r="C1009" i="8" s="1"/>
  <c r="H1009" i="8"/>
  <c r="A1010" i="8"/>
  <c r="B1010" i="8"/>
  <c r="C1010" i="8" s="1"/>
  <c r="H1010" i="8"/>
  <c r="A1011" i="8"/>
  <c r="B1011" i="8"/>
  <c r="C1011" i="8" s="1"/>
  <c r="H1011" i="8"/>
  <c r="A1012" i="8"/>
  <c r="B1012" i="8"/>
  <c r="C1012" i="8" s="1"/>
  <c r="H1012" i="8"/>
  <c r="A1013" i="8"/>
  <c r="B1013" i="8"/>
  <c r="C1013" i="8" s="1"/>
  <c r="H1013" i="8"/>
  <c r="A1014" i="8"/>
  <c r="B1014" i="8"/>
  <c r="C1014" i="8" s="1"/>
  <c r="H1014" i="8"/>
  <c r="A1015" i="8"/>
  <c r="B1015" i="8"/>
  <c r="C1015" i="8" s="1"/>
  <c r="H1015" i="8"/>
  <c r="A1016" i="8"/>
  <c r="B1016" i="8"/>
  <c r="C1016" i="8" s="1"/>
  <c r="H1016" i="8"/>
  <c r="A1017" i="8"/>
  <c r="B1017" i="8"/>
  <c r="C1017" i="8" s="1"/>
  <c r="H1017" i="8"/>
  <c r="A1018" i="8"/>
  <c r="B1018" i="8"/>
  <c r="C1018" i="8" s="1"/>
  <c r="H1018" i="8"/>
  <c r="A1019" i="8"/>
  <c r="B1019" i="8"/>
  <c r="C1019" i="8" s="1"/>
  <c r="H1019" i="8"/>
  <c r="A1020" i="8"/>
  <c r="B1020" i="8"/>
  <c r="C1020" i="8" s="1"/>
  <c r="H1020" i="8"/>
  <c r="A1021" i="8"/>
  <c r="B1021" i="8"/>
  <c r="C1021" i="8" s="1"/>
  <c r="H1021" i="8"/>
  <c r="A1022" i="8"/>
  <c r="B1022" i="8"/>
  <c r="C1022" i="8" s="1"/>
  <c r="H1022" i="8"/>
  <c r="A1023" i="8"/>
  <c r="B1023" i="8"/>
  <c r="C1023" i="8" s="1"/>
  <c r="H1023" i="8"/>
  <c r="A1024" i="8"/>
  <c r="B1024" i="8"/>
  <c r="C1024" i="8" s="1"/>
  <c r="H1024" i="8"/>
  <c r="A1025" i="8"/>
  <c r="B1025" i="8"/>
  <c r="C1025" i="8" s="1"/>
  <c r="H1025" i="8"/>
  <c r="A1026" i="8"/>
  <c r="B1026" i="8"/>
  <c r="C1026" i="8" s="1"/>
  <c r="H1026" i="8"/>
  <c r="A1027" i="8"/>
  <c r="B1027" i="8"/>
  <c r="C1027" i="8" s="1"/>
  <c r="H1027" i="8"/>
  <c r="A1028" i="8"/>
  <c r="B1028" i="8"/>
  <c r="C1028" i="8" s="1"/>
  <c r="H1028" i="8"/>
  <c r="A1029" i="8"/>
  <c r="B1029" i="8"/>
  <c r="C1029" i="8" s="1"/>
  <c r="H1029" i="8"/>
  <c r="A1030" i="8"/>
  <c r="B1030" i="8"/>
  <c r="C1030" i="8" s="1"/>
  <c r="H1030" i="8"/>
  <c r="A1031" i="8"/>
  <c r="B1031" i="8"/>
  <c r="C1031" i="8" s="1"/>
  <c r="H1031" i="8"/>
  <c r="A1032" i="8"/>
  <c r="B1032" i="8"/>
  <c r="C1032" i="8" s="1"/>
  <c r="H1032" i="8"/>
  <c r="A1033" i="8"/>
  <c r="B1033" i="8"/>
  <c r="C1033" i="8" s="1"/>
  <c r="H1033" i="8"/>
  <c r="A1034" i="8"/>
  <c r="B1034" i="8"/>
  <c r="C1034" i="8" s="1"/>
  <c r="H1034" i="8"/>
  <c r="A1035" i="8"/>
  <c r="B1035" i="8"/>
  <c r="C1035" i="8" s="1"/>
  <c r="H1035" i="8"/>
  <c r="A1036" i="8"/>
  <c r="B1036" i="8"/>
  <c r="C1036" i="8" s="1"/>
  <c r="H1036" i="8"/>
  <c r="A1037" i="8"/>
  <c r="B1037" i="8"/>
  <c r="C1037" i="8" s="1"/>
  <c r="H1037" i="8"/>
  <c r="A1038" i="8"/>
  <c r="B1038" i="8"/>
  <c r="C1038" i="8" s="1"/>
  <c r="H1038" i="8"/>
  <c r="A1039" i="8"/>
  <c r="B1039" i="8"/>
  <c r="C1039" i="8" s="1"/>
  <c r="H1039" i="8"/>
  <c r="A1040" i="8"/>
  <c r="B1040" i="8"/>
  <c r="C1040" i="8" s="1"/>
  <c r="H1040" i="8"/>
  <c r="A1041" i="8"/>
  <c r="B1041" i="8"/>
  <c r="C1041" i="8" s="1"/>
  <c r="H1041" i="8"/>
  <c r="A1042" i="8"/>
  <c r="B1042" i="8"/>
  <c r="C1042" i="8" s="1"/>
  <c r="H1042" i="8"/>
  <c r="A1043" i="8"/>
  <c r="B1043" i="8"/>
  <c r="C1043" i="8" s="1"/>
  <c r="H1043" i="8"/>
  <c r="A1044" i="8"/>
  <c r="B1044" i="8"/>
  <c r="C1044" i="8" s="1"/>
  <c r="H1044" i="8"/>
  <c r="A1045" i="8"/>
  <c r="B1045" i="8"/>
  <c r="C1045" i="8" s="1"/>
  <c r="H1045" i="8"/>
  <c r="A1046" i="8"/>
  <c r="B1046" i="8"/>
  <c r="C1046" i="8" s="1"/>
  <c r="H1046" i="8"/>
  <c r="A1047" i="8"/>
  <c r="B1047" i="8"/>
  <c r="C1047" i="8" s="1"/>
  <c r="H1047" i="8"/>
  <c r="A1048" i="8"/>
  <c r="B1048" i="8"/>
  <c r="C1048" i="8" s="1"/>
  <c r="H1048" i="8"/>
  <c r="A1049" i="8"/>
  <c r="B1049" i="8"/>
  <c r="C1049" i="8" s="1"/>
  <c r="H1049" i="8"/>
  <c r="A1050" i="8"/>
  <c r="B1050" i="8"/>
  <c r="C1050" i="8" s="1"/>
  <c r="H1050" i="8"/>
  <c r="A1051" i="8"/>
  <c r="B1051" i="8"/>
  <c r="C1051" i="8" s="1"/>
  <c r="H1051" i="8"/>
  <c r="A1052" i="8"/>
  <c r="B1052" i="8"/>
  <c r="C1052" i="8" s="1"/>
  <c r="H1052" i="8"/>
  <c r="A1053" i="8"/>
  <c r="B1053" i="8"/>
  <c r="C1053" i="8" s="1"/>
  <c r="H1053" i="8"/>
  <c r="A1054" i="8"/>
  <c r="B1054" i="8"/>
  <c r="C1054" i="8" s="1"/>
  <c r="H1054" i="8"/>
  <c r="A1055" i="8"/>
  <c r="B1055" i="8"/>
  <c r="C1055" i="8" s="1"/>
  <c r="H1055" i="8"/>
  <c r="A1056" i="8"/>
  <c r="B1056" i="8"/>
  <c r="C1056" i="8" s="1"/>
  <c r="H1056" i="8"/>
  <c r="A1057" i="8"/>
  <c r="B1057" i="8"/>
  <c r="C1057" i="8" s="1"/>
  <c r="H1057" i="8"/>
  <c r="A1058" i="8"/>
  <c r="B1058" i="8"/>
  <c r="C1058" i="8" s="1"/>
  <c r="H1058" i="8"/>
  <c r="A1059" i="8"/>
  <c r="B1059" i="8"/>
  <c r="C1059" i="8" s="1"/>
  <c r="H1059" i="8"/>
  <c r="A1060" i="8"/>
  <c r="B1060" i="8"/>
  <c r="C1060" i="8" s="1"/>
  <c r="H1060" i="8"/>
  <c r="A1061" i="8"/>
  <c r="B1061" i="8"/>
  <c r="C1061" i="8" s="1"/>
  <c r="H1061" i="8"/>
  <c r="A1062" i="8"/>
  <c r="B1062" i="8"/>
  <c r="C1062" i="8" s="1"/>
  <c r="H1062" i="8"/>
  <c r="A1063" i="8"/>
  <c r="B1063" i="8"/>
  <c r="C1063" i="8" s="1"/>
  <c r="H1063" i="8"/>
  <c r="A1064" i="8"/>
  <c r="B1064" i="8"/>
  <c r="C1064" i="8" s="1"/>
  <c r="H1064" i="8"/>
  <c r="A1065" i="8"/>
  <c r="B1065" i="8"/>
  <c r="C1065" i="8" s="1"/>
  <c r="H1065" i="8"/>
  <c r="A1066" i="8"/>
  <c r="B1066" i="8"/>
  <c r="C1066" i="8" s="1"/>
  <c r="H1066" i="8"/>
  <c r="A1067" i="8"/>
  <c r="B1067" i="8"/>
  <c r="C1067" i="8" s="1"/>
  <c r="H1067" i="8"/>
  <c r="A1068" i="8"/>
  <c r="B1068" i="8"/>
  <c r="C1068" i="8" s="1"/>
  <c r="H1068" i="8"/>
  <c r="A1069" i="8"/>
  <c r="B1069" i="8"/>
  <c r="C1069" i="8" s="1"/>
  <c r="H1069" i="8"/>
  <c r="A1070" i="8"/>
  <c r="B1070" i="8"/>
  <c r="C1070" i="8" s="1"/>
  <c r="H1070" i="8"/>
  <c r="A1071" i="8"/>
  <c r="B1071" i="8"/>
  <c r="C1071" i="8" s="1"/>
  <c r="H1071" i="8"/>
  <c r="A1072" i="8"/>
  <c r="B1072" i="8"/>
  <c r="C1072" i="8" s="1"/>
  <c r="H1072" i="8"/>
  <c r="A1073" i="8"/>
  <c r="B1073" i="8"/>
  <c r="C1073" i="8" s="1"/>
  <c r="H1073" i="8"/>
  <c r="A1074" i="8"/>
  <c r="B1074" i="8"/>
  <c r="C1074" i="8" s="1"/>
  <c r="H1074" i="8"/>
  <c r="A1075" i="8"/>
  <c r="B1075" i="8"/>
  <c r="C1075" i="8" s="1"/>
  <c r="H1075" i="8"/>
  <c r="A1076" i="8"/>
  <c r="B1076" i="8"/>
  <c r="C1076" i="8" s="1"/>
  <c r="H1076" i="8"/>
  <c r="A1077" i="8"/>
  <c r="B1077" i="8"/>
  <c r="C1077" i="8" s="1"/>
  <c r="H1077" i="8"/>
  <c r="A1078" i="8"/>
  <c r="B1078" i="8"/>
  <c r="C1078" i="8" s="1"/>
  <c r="H1078" i="8"/>
  <c r="A1079" i="8"/>
  <c r="B1079" i="8"/>
  <c r="C1079" i="8" s="1"/>
  <c r="H1079" i="8"/>
  <c r="A1080" i="8"/>
  <c r="B1080" i="8"/>
  <c r="C1080" i="8" s="1"/>
  <c r="H1080" i="8"/>
  <c r="A1081" i="8"/>
  <c r="B1081" i="8"/>
  <c r="C1081" i="8" s="1"/>
  <c r="H1081" i="8"/>
  <c r="A1082" i="8"/>
  <c r="D1082" i="8" s="1"/>
  <c r="B1082" i="8"/>
  <c r="C1082" i="8" s="1"/>
  <c r="H1082" i="8"/>
  <c r="A1083" i="8"/>
  <c r="D1083" i="8" s="1"/>
  <c r="B1083" i="8"/>
  <c r="C1083" i="8" s="1"/>
  <c r="H1083" i="8"/>
  <c r="A1084" i="8"/>
  <c r="B1084" i="8"/>
  <c r="C1084" i="8" s="1"/>
  <c r="H1084" i="8"/>
  <c r="A1085" i="8"/>
  <c r="B1085" i="8"/>
  <c r="C1085" i="8" s="1"/>
  <c r="H1085" i="8"/>
  <c r="A1086" i="8"/>
  <c r="D1086" i="8" s="1"/>
  <c r="B1086" i="8"/>
  <c r="C1086" i="8" s="1"/>
  <c r="H1086" i="8"/>
  <c r="A1087" i="8"/>
  <c r="D1087" i="8" s="1"/>
  <c r="B1087" i="8"/>
  <c r="C1087" i="8" s="1"/>
  <c r="H1087" i="8"/>
  <c r="A1088" i="8"/>
  <c r="B1088" i="8"/>
  <c r="C1088" i="8" s="1"/>
  <c r="H1088" i="8"/>
  <c r="A1089" i="8"/>
  <c r="B1089" i="8"/>
  <c r="C1089" i="8" s="1"/>
  <c r="H1089" i="8"/>
  <c r="A1090" i="8"/>
  <c r="B1090" i="8"/>
  <c r="C1090" i="8" s="1"/>
  <c r="H1090" i="8"/>
  <c r="A1091" i="8"/>
  <c r="B1091" i="8"/>
  <c r="C1091" i="8" s="1"/>
  <c r="H1091" i="8"/>
  <c r="A1092" i="8"/>
  <c r="B1092" i="8"/>
  <c r="C1092" i="8" s="1"/>
  <c r="H1092" i="8"/>
  <c r="A1093" i="8"/>
  <c r="B1093" i="8"/>
  <c r="C1093" i="8" s="1"/>
  <c r="H1093" i="8"/>
  <c r="A1094" i="8"/>
  <c r="B1094" i="8"/>
  <c r="C1094" i="8" s="1"/>
  <c r="H1094" i="8"/>
  <c r="A1095" i="8"/>
  <c r="B1095" i="8"/>
  <c r="C1095" i="8" s="1"/>
  <c r="H1095" i="8"/>
  <c r="A1096" i="8"/>
  <c r="B1096" i="8"/>
  <c r="C1096" i="8" s="1"/>
  <c r="H1096" i="8"/>
  <c r="A1097" i="8"/>
  <c r="B1097" i="8"/>
  <c r="C1097" i="8" s="1"/>
  <c r="H1097" i="8"/>
  <c r="A1098" i="8"/>
  <c r="B1098" i="8"/>
  <c r="C1098" i="8" s="1"/>
  <c r="H1098" i="8"/>
  <c r="A1099" i="8"/>
  <c r="B1099" i="8"/>
  <c r="C1099" i="8" s="1"/>
  <c r="H1099" i="8"/>
  <c r="A1100" i="8"/>
  <c r="B1100" i="8"/>
  <c r="C1100" i="8" s="1"/>
  <c r="H1100" i="8"/>
  <c r="A1101" i="8"/>
  <c r="B1101" i="8"/>
  <c r="C1101" i="8" s="1"/>
  <c r="H1101" i="8"/>
  <c r="A1102" i="8"/>
  <c r="B1102" i="8"/>
  <c r="C1102" i="8" s="1"/>
  <c r="H1102" i="8"/>
  <c r="A1103" i="8"/>
  <c r="B1103" i="8"/>
  <c r="C1103" i="8" s="1"/>
  <c r="H1103" i="8"/>
  <c r="A1104" i="8"/>
  <c r="B1104" i="8"/>
  <c r="C1104" i="8" s="1"/>
  <c r="H1104" i="8"/>
  <c r="A1105" i="8"/>
  <c r="B1105" i="8"/>
  <c r="C1105" i="8" s="1"/>
  <c r="H1105" i="8"/>
  <c r="A1106" i="8"/>
  <c r="B1106" i="8"/>
  <c r="C1106" i="8" s="1"/>
  <c r="H1106" i="8"/>
  <c r="A1107" i="8"/>
  <c r="B1107" i="8"/>
  <c r="C1107" i="8" s="1"/>
  <c r="H1107" i="8"/>
  <c r="A1108" i="8"/>
  <c r="B1108" i="8"/>
  <c r="C1108" i="8" s="1"/>
  <c r="H1108" i="8"/>
  <c r="A1109" i="8"/>
  <c r="B1109" i="8"/>
  <c r="C1109" i="8" s="1"/>
  <c r="H1109" i="8"/>
  <c r="A1110" i="8"/>
  <c r="B1110" i="8"/>
  <c r="C1110" i="8" s="1"/>
  <c r="H1110" i="8"/>
  <c r="A1111" i="8"/>
  <c r="B1111" i="8"/>
  <c r="C1111" i="8" s="1"/>
  <c r="H1111" i="8"/>
  <c r="A1112" i="8"/>
  <c r="B1112" i="8"/>
  <c r="C1112" i="8" s="1"/>
  <c r="H1112" i="8"/>
  <c r="A1113" i="8"/>
  <c r="B1113" i="8"/>
  <c r="C1113" i="8" s="1"/>
  <c r="H1113" i="8"/>
  <c r="A1114" i="8"/>
  <c r="B1114" i="8"/>
  <c r="C1114" i="8" s="1"/>
  <c r="H1114" i="8"/>
  <c r="A1115" i="8"/>
  <c r="B1115" i="8"/>
  <c r="C1115" i="8" s="1"/>
  <c r="H1115" i="8"/>
  <c r="A1116" i="8"/>
  <c r="B1116" i="8"/>
  <c r="C1116" i="8" s="1"/>
  <c r="H1116" i="8"/>
  <c r="A1117" i="8"/>
  <c r="B1117" i="8"/>
  <c r="C1117" i="8" s="1"/>
  <c r="H1117" i="8"/>
  <c r="A1118" i="8"/>
  <c r="B1118" i="8"/>
  <c r="C1118" i="8" s="1"/>
  <c r="H1118" i="8"/>
  <c r="A1119" i="8"/>
  <c r="B1119" i="8"/>
  <c r="C1119" i="8" s="1"/>
  <c r="H1119" i="8"/>
  <c r="A1120" i="8"/>
  <c r="B1120" i="8"/>
  <c r="C1120" i="8" s="1"/>
  <c r="H1120" i="8"/>
  <c r="A1121" i="8"/>
  <c r="B1121" i="8"/>
  <c r="C1121" i="8" s="1"/>
  <c r="H1121" i="8"/>
  <c r="A1122" i="8"/>
  <c r="B1122" i="8"/>
  <c r="C1122" i="8" s="1"/>
  <c r="H1122" i="8"/>
  <c r="A1123" i="8"/>
  <c r="B1123" i="8"/>
  <c r="C1123" i="8" s="1"/>
  <c r="H1123" i="8"/>
  <c r="A1124" i="8"/>
  <c r="B1124" i="8"/>
  <c r="C1124" i="8" s="1"/>
  <c r="H1124" i="8"/>
  <c r="A1125" i="8"/>
  <c r="B1125" i="8"/>
  <c r="C1125" i="8" s="1"/>
  <c r="H1125" i="8"/>
  <c r="A1126" i="8"/>
  <c r="B1126" i="8"/>
  <c r="C1126" i="8" s="1"/>
  <c r="H1126" i="8"/>
  <c r="A1127" i="8"/>
  <c r="B1127" i="8"/>
  <c r="C1127" i="8" s="1"/>
  <c r="H1127" i="8"/>
  <c r="A1128" i="8"/>
  <c r="B1128" i="8"/>
  <c r="C1128" i="8" s="1"/>
  <c r="H1128" i="8"/>
  <c r="A1129" i="8"/>
  <c r="B1129" i="8"/>
  <c r="C1129" i="8" s="1"/>
  <c r="H1129" i="8"/>
  <c r="A1130" i="8"/>
  <c r="B1130" i="8"/>
  <c r="C1130" i="8" s="1"/>
  <c r="H1130" i="8"/>
  <c r="A1131" i="8"/>
  <c r="B1131" i="8"/>
  <c r="C1131" i="8" s="1"/>
  <c r="H1131" i="8"/>
  <c r="A1132" i="8"/>
  <c r="B1132" i="8"/>
  <c r="C1132" i="8" s="1"/>
  <c r="H1132" i="8"/>
  <c r="A1133" i="8"/>
  <c r="B1133" i="8"/>
  <c r="C1133" i="8" s="1"/>
  <c r="H1133" i="8"/>
  <c r="A1134" i="8"/>
  <c r="B1134" i="8"/>
  <c r="C1134" i="8" s="1"/>
  <c r="H1134" i="8"/>
  <c r="A1135" i="8"/>
  <c r="B1135" i="8"/>
  <c r="C1135" i="8" s="1"/>
  <c r="H1135" i="8"/>
  <c r="A1136" i="8"/>
  <c r="B1136" i="8"/>
  <c r="C1136" i="8" s="1"/>
  <c r="H1136" i="8"/>
  <c r="A1137" i="8"/>
  <c r="B1137" i="8"/>
  <c r="C1137" i="8" s="1"/>
  <c r="H1137" i="8"/>
  <c r="A1138" i="8"/>
  <c r="B1138" i="8"/>
  <c r="C1138" i="8" s="1"/>
  <c r="H1138" i="8"/>
  <c r="A1139" i="8"/>
  <c r="B1139" i="8"/>
  <c r="C1139" i="8" s="1"/>
  <c r="H1139" i="8"/>
  <c r="A1140" i="8"/>
  <c r="B1140" i="8"/>
  <c r="C1140" i="8" s="1"/>
  <c r="H1140" i="8"/>
  <c r="A1141" i="8"/>
  <c r="B1141" i="8"/>
  <c r="C1141" i="8" s="1"/>
  <c r="H1141" i="8"/>
  <c r="A1142" i="8"/>
  <c r="B1142" i="8"/>
  <c r="C1142" i="8" s="1"/>
  <c r="H1142" i="8"/>
  <c r="A1143" i="8"/>
  <c r="B1143" i="8"/>
  <c r="C1143" i="8" s="1"/>
  <c r="H1143" i="8"/>
  <c r="A1144" i="8"/>
  <c r="B1144" i="8"/>
  <c r="C1144" i="8" s="1"/>
  <c r="H1144" i="8"/>
  <c r="A1145" i="8"/>
  <c r="B1145" i="8"/>
  <c r="C1145" i="8" s="1"/>
  <c r="H1145" i="8"/>
  <c r="A1146" i="8"/>
  <c r="B1146" i="8"/>
  <c r="C1146" i="8" s="1"/>
  <c r="H1146" i="8"/>
  <c r="A1147" i="8"/>
  <c r="B1147" i="8"/>
  <c r="C1147" i="8" s="1"/>
  <c r="H1147" i="8"/>
  <c r="A1148" i="8"/>
  <c r="B1148" i="8"/>
  <c r="C1148" i="8" s="1"/>
  <c r="H1148" i="8"/>
  <c r="A1149" i="8"/>
  <c r="B1149" i="8"/>
  <c r="C1149" i="8" s="1"/>
  <c r="H1149" i="8"/>
  <c r="A1150" i="8"/>
  <c r="B1150" i="8"/>
  <c r="C1150" i="8" s="1"/>
  <c r="H1150" i="8"/>
  <c r="A1151" i="8"/>
  <c r="B1151" i="8"/>
  <c r="C1151" i="8" s="1"/>
  <c r="H1151" i="8"/>
  <c r="A1152" i="8"/>
  <c r="B1152" i="8"/>
  <c r="C1152" i="8" s="1"/>
  <c r="H1152" i="8"/>
  <c r="A1153" i="8"/>
  <c r="B1153" i="8"/>
  <c r="C1153" i="8" s="1"/>
  <c r="H1153" i="8"/>
  <c r="A1154" i="8"/>
  <c r="B1154" i="8"/>
  <c r="C1154" i="8" s="1"/>
  <c r="H1154" i="8"/>
  <c r="A1155" i="8"/>
  <c r="B1155" i="8"/>
  <c r="C1155" i="8" s="1"/>
  <c r="H1155" i="8"/>
  <c r="A1156" i="8"/>
  <c r="B1156" i="8"/>
  <c r="C1156" i="8" s="1"/>
  <c r="H1156" i="8"/>
  <c r="A1157" i="8"/>
  <c r="B1157" i="8"/>
  <c r="C1157" i="8" s="1"/>
  <c r="H1157" i="8"/>
  <c r="A1158" i="8"/>
  <c r="B1158" i="8"/>
  <c r="C1158" i="8" s="1"/>
  <c r="H1158" i="8"/>
  <c r="A1159" i="8"/>
  <c r="B1159" i="8"/>
  <c r="C1159" i="8" s="1"/>
  <c r="H1159" i="8"/>
  <c r="A1160" i="8"/>
  <c r="B1160" i="8"/>
  <c r="C1160" i="8" s="1"/>
  <c r="H1160" i="8"/>
  <c r="A1161" i="8"/>
  <c r="B1161" i="8"/>
  <c r="C1161" i="8" s="1"/>
  <c r="H1161" i="8"/>
  <c r="A1162" i="8"/>
  <c r="B1162" i="8"/>
  <c r="C1162" i="8" s="1"/>
  <c r="H1162" i="8"/>
  <c r="A1163" i="8"/>
  <c r="B1163" i="8"/>
  <c r="C1163" i="8" s="1"/>
  <c r="H1163" i="8"/>
  <c r="A1164" i="8"/>
  <c r="B1164" i="8"/>
  <c r="C1164" i="8" s="1"/>
  <c r="H1164" i="8"/>
  <c r="A1165" i="8"/>
  <c r="B1165" i="8"/>
  <c r="C1165" i="8" s="1"/>
  <c r="H1165" i="8"/>
  <c r="A1166" i="8"/>
  <c r="B1166" i="8"/>
  <c r="C1166" i="8"/>
  <c r="H1166" i="8"/>
  <c r="A1167" i="8"/>
  <c r="B1167" i="8"/>
  <c r="C1167" i="8"/>
  <c r="H1167" i="8"/>
  <c r="A1168" i="8"/>
  <c r="B1168" i="8"/>
  <c r="C1168" i="8"/>
  <c r="H1168" i="8"/>
  <c r="A1169" i="8"/>
  <c r="B1169" i="8"/>
  <c r="C1169" i="8"/>
  <c r="H1169" i="8"/>
  <c r="A1170" i="8"/>
  <c r="B1170" i="8"/>
  <c r="C1170" i="8"/>
  <c r="H1170" i="8"/>
  <c r="A1171" i="8"/>
  <c r="B1171" i="8"/>
  <c r="C1171" i="8"/>
  <c r="H1171" i="8"/>
  <c r="A1172" i="8"/>
  <c r="B1172" i="8"/>
  <c r="C1172" i="8"/>
  <c r="H1172" i="8"/>
  <c r="A1173" i="8"/>
  <c r="B1173" i="8"/>
  <c r="C1173" i="8"/>
  <c r="H1173" i="8"/>
  <c r="A1174" i="8"/>
  <c r="B1174" i="8"/>
  <c r="C1174" i="8"/>
  <c r="H1174" i="8"/>
  <c r="A1175" i="8"/>
  <c r="B1175" i="8"/>
  <c r="C1175" i="8"/>
  <c r="H1175" i="8"/>
  <c r="A1176" i="8"/>
  <c r="B1176" i="8"/>
  <c r="C1176" i="8"/>
  <c r="H1176" i="8"/>
  <c r="A1177" i="8"/>
  <c r="B1177" i="8"/>
  <c r="C1177" i="8"/>
  <c r="D1177" i="8" s="1"/>
  <c r="H1177" i="8"/>
  <c r="A1178" i="8"/>
  <c r="B1178" i="8"/>
  <c r="C1178" i="8"/>
  <c r="H1178" i="8"/>
  <c r="A1179" i="8"/>
  <c r="B1179" i="8"/>
  <c r="C1179" i="8"/>
  <c r="H1179" i="8"/>
  <c r="A1180" i="8"/>
  <c r="B1180" i="8"/>
  <c r="C1180" i="8"/>
  <c r="H1180" i="8"/>
  <c r="A1181" i="8"/>
  <c r="B1181" i="8"/>
  <c r="C1181" i="8"/>
  <c r="D1181" i="8" s="1"/>
  <c r="H1181" i="8"/>
  <c r="A1182" i="8"/>
  <c r="B1182" i="8"/>
  <c r="C1182" i="8"/>
  <c r="H1182" i="8"/>
  <c r="A1183" i="8"/>
  <c r="B1183" i="8"/>
  <c r="C1183" i="8"/>
  <c r="H1183" i="8"/>
  <c r="A1184" i="8"/>
  <c r="B1184" i="8"/>
  <c r="C1184" i="8"/>
  <c r="H1184" i="8"/>
  <c r="A1185" i="8"/>
  <c r="B1185" i="8"/>
  <c r="C1185" i="8"/>
  <c r="H1185" i="8"/>
  <c r="A1186" i="8"/>
  <c r="B1186" i="8"/>
  <c r="C1186" i="8"/>
  <c r="H1186" i="8"/>
  <c r="A1187" i="8"/>
  <c r="B1187" i="8"/>
  <c r="C1187" i="8"/>
  <c r="H1187" i="8"/>
  <c r="A1188" i="8"/>
  <c r="B1188" i="8"/>
  <c r="C1188" i="8"/>
  <c r="H1188" i="8"/>
  <c r="A1189" i="8"/>
  <c r="B1189" i="8"/>
  <c r="C1189" i="8"/>
  <c r="D1189" i="8" s="1"/>
  <c r="H1189" i="8"/>
  <c r="A1190" i="8"/>
  <c r="B1190" i="8"/>
  <c r="C1190" i="8"/>
  <c r="H1190" i="8"/>
  <c r="A1191" i="8"/>
  <c r="B1191" i="8"/>
  <c r="C1191" i="8"/>
  <c r="H1191" i="8"/>
  <c r="A1192" i="8"/>
  <c r="B1192" i="8"/>
  <c r="C1192" i="8"/>
  <c r="H1192" i="8"/>
  <c r="A1193" i="8"/>
  <c r="B1193" i="8"/>
  <c r="C1193" i="8"/>
  <c r="D1193" i="8" s="1"/>
  <c r="H1193" i="8"/>
  <c r="A1194" i="8"/>
  <c r="B1194" i="8"/>
  <c r="C1194" i="8"/>
  <c r="H1194" i="8"/>
  <c r="A1195" i="8"/>
  <c r="B1195" i="8"/>
  <c r="C1195" i="8"/>
  <c r="H1195" i="8"/>
  <c r="A1196" i="8"/>
  <c r="B1196" i="8"/>
  <c r="C1196" i="8"/>
  <c r="H1196" i="8"/>
  <c r="A1197" i="8"/>
  <c r="B1197" i="8"/>
  <c r="C1197" i="8"/>
  <c r="D1197" i="8" s="1"/>
  <c r="H1197" i="8"/>
  <c r="A1198" i="8"/>
  <c r="B1198" i="8"/>
  <c r="C1198" i="8"/>
  <c r="H1198" i="8"/>
  <c r="A1199" i="8"/>
  <c r="B1199" i="8"/>
  <c r="C1199" i="8"/>
  <c r="H1199" i="8"/>
  <c r="A1200" i="8"/>
  <c r="B1200" i="8"/>
  <c r="C1200" i="8"/>
  <c r="H1200" i="8"/>
  <c r="A1201" i="8"/>
  <c r="B1201" i="8"/>
  <c r="C1201" i="8"/>
  <c r="D1201" i="8" s="1"/>
  <c r="H1201" i="8"/>
  <c r="A1202" i="8"/>
  <c r="B1202" i="8"/>
  <c r="C1202" i="8"/>
  <c r="H1202" i="8"/>
  <c r="A1203" i="8"/>
  <c r="B1203" i="8"/>
  <c r="C1203" i="8"/>
  <c r="H1203" i="8"/>
  <c r="A1204" i="8"/>
  <c r="B1204" i="8"/>
  <c r="C1204" i="8"/>
  <c r="H1204" i="8"/>
  <c r="A1205" i="8"/>
  <c r="B1205" i="8"/>
  <c r="C1205" i="8"/>
  <c r="H1205" i="8"/>
  <c r="A1206" i="8"/>
  <c r="B1206" i="8"/>
  <c r="C1206" i="8"/>
  <c r="H1206" i="8"/>
  <c r="A1207" i="8"/>
  <c r="B1207" i="8"/>
  <c r="C1207" i="8"/>
  <c r="H1207" i="8"/>
  <c r="A1208" i="8"/>
  <c r="B1208" i="8"/>
  <c r="C1208" i="8"/>
  <c r="H1208" i="8"/>
  <c r="A1209" i="8"/>
  <c r="B1209" i="8"/>
  <c r="C1209" i="8"/>
  <c r="H1209" i="8"/>
  <c r="A1210" i="8"/>
  <c r="B1210" i="8"/>
  <c r="C1210" i="8"/>
  <c r="H1210" i="8"/>
  <c r="A1211" i="8"/>
  <c r="B1211" i="8"/>
  <c r="C1211" i="8"/>
  <c r="H1211" i="8"/>
  <c r="A1212" i="8"/>
  <c r="B1212" i="8"/>
  <c r="C1212" i="8"/>
  <c r="H1212" i="8"/>
  <c r="A1213" i="8"/>
  <c r="B1213" i="8"/>
  <c r="C1213" i="8"/>
  <c r="H1213" i="8"/>
  <c r="A1214" i="8"/>
  <c r="B1214" i="8"/>
  <c r="C1214" i="8"/>
  <c r="H1214" i="8"/>
  <c r="A1215" i="8"/>
  <c r="B1215" i="8"/>
  <c r="C1215" i="8"/>
  <c r="H1215" i="8"/>
  <c r="A1216" i="8"/>
  <c r="B1216" i="8"/>
  <c r="C1216" i="8"/>
  <c r="H1216" i="8"/>
  <c r="A1217" i="8"/>
  <c r="B1217" i="8"/>
  <c r="C1217" i="8"/>
  <c r="H1217" i="8"/>
  <c r="A1218" i="8"/>
  <c r="B1218" i="8"/>
  <c r="C1218" i="8"/>
  <c r="H1218" i="8"/>
  <c r="A1219" i="8"/>
  <c r="B1219" i="8"/>
  <c r="C1219" i="8"/>
  <c r="H1219" i="8"/>
  <c r="A1220" i="8"/>
  <c r="B1220" i="8"/>
  <c r="C1220" i="8"/>
  <c r="H1220" i="8"/>
  <c r="A1221" i="8"/>
  <c r="B1221" i="8"/>
  <c r="C1221" i="8"/>
  <c r="H1221" i="8"/>
  <c r="A1222" i="8"/>
  <c r="B1222" i="8"/>
  <c r="C1222" i="8"/>
  <c r="H1222" i="8"/>
  <c r="A1223" i="8"/>
  <c r="B1223" i="8"/>
  <c r="C1223" i="8"/>
  <c r="H1223" i="8"/>
  <c r="A1224" i="8"/>
  <c r="B1224" i="8"/>
  <c r="C1224" i="8"/>
  <c r="H1224" i="8"/>
  <c r="A1225" i="8"/>
  <c r="B1225" i="8"/>
  <c r="C1225" i="8"/>
  <c r="H1225" i="8"/>
  <c r="A1226" i="8"/>
  <c r="B1226" i="8"/>
  <c r="C1226" i="8"/>
  <c r="H1226" i="8"/>
  <c r="A1227" i="8"/>
  <c r="B1227" i="8"/>
  <c r="C1227" i="8"/>
  <c r="H1227" i="8"/>
  <c r="A1228" i="8"/>
  <c r="B1228" i="8"/>
  <c r="C1228" i="8"/>
  <c r="H1228" i="8"/>
  <c r="A1229" i="8"/>
  <c r="B1229" i="8"/>
  <c r="C1229" i="8"/>
  <c r="H1229" i="8"/>
  <c r="A1230" i="8"/>
  <c r="B1230" i="8"/>
  <c r="C1230" i="8"/>
  <c r="H1230" i="8"/>
  <c r="A1231" i="8"/>
  <c r="B1231" i="8"/>
  <c r="C1231" i="8"/>
  <c r="H1231" i="8"/>
  <c r="A1232" i="8"/>
  <c r="B1232" i="8"/>
  <c r="C1232" i="8"/>
  <c r="H1232" i="8"/>
  <c r="A1233" i="8"/>
  <c r="B1233" i="8"/>
  <c r="C1233" i="8"/>
  <c r="H1233" i="8"/>
  <c r="A1234" i="8"/>
  <c r="B1234" i="8"/>
  <c r="C1234" i="8"/>
  <c r="H1234" i="8"/>
  <c r="A1235" i="8"/>
  <c r="B1235" i="8"/>
  <c r="C1235" i="8"/>
  <c r="H1235" i="8"/>
  <c r="A1236" i="8"/>
  <c r="B1236" i="8"/>
  <c r="C1236" i="8"/>
  <c r="H1236" i="8"/>
  <c r="A1237" i="8"/>
  <c r="B1237" i="8"/>
  <c r="C1237" i="8"/>
  <c r="H1237" i="8"/>
  <c r="A1238" i="8"/>
  <c r="B1238" i="8"/>
  <c r="C1238" i="8"/>
  <c r="H1238" i="8"/>
  <c r="A1239" i="8"/>
  <c r="B1239" i="8"/>
  <c r="C1239" i="8"/>
  <c r="H1239" i="8"/>
  <c r="A1240" i="8"/>
  <c r="B1240" i="8"/>
  <c r="C1240" i="8"/>
  <c r="H1240" i="8"/>
  <c r="A1241" i="8"/>
  <c r="B1241" i="8"/>
  <c r="C1241" i="8"/>
  <c r="H1241" i="8"/>
  <c r="A1242" i="8"/>
  <c r="B1242" i="8"/>
  <c r="C1242" i="8"/>
  <c r="H1242" i="8"/>
  <c r="A1243" i="8"/>
  <c r="B1243" i="8"/>
  <c r="C1243" i="8"/>
  <c r="H1243" i="8"/>
  <c r="A1244" i="8"/>
  <c r="B1244" i="8"/>
  <c r="C1244" i="8"/>
  <c r="H1244" i="8"/>
  <c r="A1245" i="8"/>
  <c r="B1245" i="8"/>
  <c r="C1245" i="8"/>
  <c r="H1245" i="8"/>
  <c r="A1246" i="8"/>
  <c r="B1246" i="8"/>
  <c r="C1246" i="8"/>
  <c r="H1246" i="8"/>
  <c r="A1247" i="8"/>
  <c r="B1247" i="8"/>
  <c r="C1247" i="8"/>
  <c r="H1247" i="8"/>
  <c r="A1248" i="8"/>
  <c r="B1248" i="8"/>
  <c r="C1248" i="8"/>
  <c r="H1248" i="8"/>
  <c r="A1249" i="8"/>
  <c r="B1249" i="8"/>
  <c r="C1249" i="8"/>
  <c r="H1249" i="8"/>
  <c r="A1250" i="8"/>
  <c r="B1250" i="8"/>
  <c r="C1250" i="8"/>
  <c r="H1250" i="8"/>
  <c r="A1251" i="8"/>
  <c r="B1251" i="8"/>
  <c r="C1251" i="8"/>
  <c r="H1251" i="8"/>
  <c r="A1252" i="8"/>
  <c r="B1252" i="8"/>
  <c r="C1252" i="8"/>
  <c r="H1252" i="8"/>
  <c r="A1253" i="8"/>
  <c r="B1253" i="8"/>
  <c r="C1253" i="8"/>
  <c r="H1253" i="8"/>
  <c r="A1254" i="8"/>
  <c r="B1254" i="8"/>
  <c r="C1254" i="8"/>
  <c r="H1254" i="8"/>
  <c r="A1255" i="8"/>
  <c r="B1255" i="8"/>
  <c r="C1255" i="8"/>
  <c r="H1255" i="8"/>
  <c r="A1256" i="8"/>
  <c r="B1256" i="8"/>
  <c r="C1256" i="8"/>
  <c r="H1256" i="8"/>
  <c r="A1257" i="8"/>
  <c r="B1257" i="8"/>
  <c r="C1257" i="8"/>
  <c r="H1257" i="8"/>
  <c r="A1258" i="8"/>
  <c r="B1258" i="8"/>
  <c r="C1258" i="8"/>
  <c r="H1258" i="8"/>
  <c r="A1259" i="8"/>
  <c r="B1259" i="8"/>
  <c r="C1259" i="8"/>
  <c r="H1259" i="8"/>
  <c r="A1260" i="8"/>
  <c r="B1260" i="8"/>
  <c r="C1260" i="8"/>
  <c r="H1260" i="8"/>
  <c r="A1261" i="8"/>
  <c r="B1261" i="8"/>
  <c r="C1261" i="8"/>
  <c r="H1261" i="8"/>
  <c r="A1262" i="8"/>
  <c r="B1262" i="8"/>
  <c r="C1262" i="8"/>
  <c r="H1262" i="8"/>
  <c r="A1263" i="8"/>
  <c r="B1263" i="8"/>
  <c r="C1263" i="8"/>
  <c r="H1263" i="8"/>
  <c r="A1264" i="8"/>
  <c r="B1264" i="8"/>
  <c r="C1264" i="8"/>
  <c r="H1264" i="8"/>
  <c r="A1265" i="8"/>
  <c r="B1265" i="8"/>
  <c r="C1265" i="8"/>
  <c r="H1265" i="8"/>
  <c r="A1266" i="8"/>
  <c r="B1266" i="8"/>
  <c r="C1266" i="8"/>
  <c r="H1266" i="8"/>
  <c r="A1267" i="8"/>
  <c r="B1267" i="8"/>
  <c r="C1267" i="8"/>
  <c r="H1267" i="8"/>
  <c r="A1268" i="8"/>
  <c r="B1268" i="8"/>
  <c r="C1268" i="8"/>
  <c r="H1268" i="8"/>
  <c r="A1269" i="8"/>
  <c r="B1269" i="8"/>
  <c r="C1269" i="8"/>
  <c r="H1269" i="8"/>
  <c r="A1270" i="8"/>
  <c r="B1270" i="8"/>
  <c r="C1270" i="8"/>
  <c r="H1270" i="8"/>
  <c r="A1271" i="8"/>
  <c r="B1271" i="8"/>
  <c r="C1271" i="8"/>
  <c r="H1271" i="8"/>
  <c r="A1272" i="8"/>
  <c r="B1272" i="8"/>
  <c r="C1272" i="8"/>
  <c r="H1272" i="8"/>
  <c r="A1273" i="8"/>
  <c r="B1273" i="8"/>
  <c r="C1273" i="8"/>
  <c r="H1273" i="8"/>
  <c r="A1274" i="8"/>
  <c r="B1274" i="8"/>
  <c r="C1274" i="8"/>
  <c r="H1274" i="8"/>
  <c r="A1275" i="8"/>
  <c r="B1275" i="8"/>
  <c r="C1275" i="8"/>
  <c r="H1275" i="8"/>
  <c r="A1276" i="8"/>
  <c r="B1276" i="8"/>
  <c r="C1276" i="8"/>
  <c r="H1276" i="8"/>
  <c r="A1277" i="8"/>
  <c r="B1277" i="8"/>
  <c r="C1277" i="8"/>
  <c r="H1277" i="8"/>
  <c r="A1278" i="8"/>
  <c r="B1278" i="8"/>
  <c r="C1278" i="8"/>
  <c r="H1278" i="8"/>
  <c r="A1279" i="8"/>
  <c r="B1279" i="8"/>
  <c r="C1279" i="8"/>
  <c r="H1279" i="8"/>
  <c r="A1280" i="8"/>
  <c r="B1280" i="8"/>
  <c r="C1280" i="8"/>
  <c r="H1280" i="8"/>
  <c r="A1281" i="8"/>
  <c r="B1281" i="8"/>
  <c r="C1281" i="8"/>
  <c r="D1281" i="8" s="1"/>
  <c r="H1281" i="8"/>
  <c r="A1282" i="8"/>
  <c r="B1282" i="8"/>
  <c r="C1282" i="8"/>
  <c r="H1282" i="8"/>
  <c r="A1283" i="8"/>
  <c r="B1283" i="8"/>
  <c r="C1283" i="8"/>
  <c r="H1283" i="8"/>
  <c r="A1284" i="8"/>
  <c r="B1284" i="8"/>
  <c r="C1284" i="8"/>
  <c r="H1284" i="8"/>
  <c r="A1285" i="8"/>
  <c r="B1285" i="8"/>
  <c r="C1285" i="8"/>
  <c r="H1285" i="8"/>
  <c r="A1286" i="8"/>
  <c r="B1286" i="8"/>
  <c r="C1286" i="8"/>
  <c r="H1286" i="8"/>
  <c r="A1287" i="8"/>
  <c r="B1287" i="8"/>
  <c r="C1287" i="8"/>
  <c r="H1287" i="8"/>
  <c r="A1288" i="8"/>
  <c r="B1288" i="8"/>
  <c r="C1288" i="8"/>
  <c r="H1288" i="8"/>
  <c r="A1289" i="8"/>
  <c r="B1289" i="8"/>
  <c r="C1289" i="8"/>
  <c r="D1289" i="8" s="1"/>
  <c r="H1289" i="8"/>
  <c r="A1290" i="8"/>
  <c r="B1290" i="8"/>
  <c r="C1290" i="8"/>
  <c r="H1290" i="8"/>
  <c r="A1291" i="8"/>
  <c r="B1291" i="8"/>
  <c r="C1291" i="8"/>
  <c r="H1291" i="8"/>
  <c r="A1292" i="8"/>
  <c r="B1292" i="8"/>
  <c r="C1292" i="8"/>
  <c r="H1292" i="8"/>
  <c r="A1293" i="8"/>
  <c r="B1293" i="8"/>
  <c r="C1293" i="8"/>
  <c r="D1293" i="8" s="1"/>
  <c r="H1293" i="8"/>
  <c r="A1294" i="8"/>
  <c r="B1294" i="8"/>
  <c r="C1294" i="8"/>
  <c r="H1294" i="8"/>
  <c r="A1295" i="8"/>
  <c r="B1295" i="8"/>
  <c r="C1295" i="8"/>
  <c r="H1295" i="8"/>
  <c r="A1296" i="8"/>
  <c r="B1296" i="8"/>
  <c r="C1296" i="8"/>
  <c r="H1296" i="8"/>
  <c r="A1297" i="8"/>
  <c r="B1297" i="8"/>
  <c r="C1297" i="8"/>
  <c r="D1297" i="8" s="1"/>
  <c r="H1297" i="8"/>
  <c r="A1298" i="8"/>
  <c r="B1298" i="8"/>
  <c r="C1298" i="8"/>
  <c r="H1298" i="8"/>
  <c r="A1299" i="8"/>
  <c r="B1299" i="8"/>
  <c r="C1299" i="8"/>
  <c r="H1299" i="8"/>
  <c r="A1300" i="8"/>
  <c r="B1300" i="8"/>
  <c r="C1300" i="8"/>
  <c r="H1300" i="8"/>
  <c r="A1301" i="8"/>
  <c r="B1301" i="8"/>
  <c r="C1301" i="8"/>
  <c r="D1301" i="8" s="1"/>
  <c r="H1301" i="8"/>
  <c r="A1302" i="8"/>
  <c r="B1302" i="8"/>
  <c r="C1302" i="8"/>
  <c r="H1302" i="8"/>
  <c r="A1303" i="8"/>
  <c r="B1303" i="8"/>
  <c r="C1303" i="8"/>
  <c r="H1303" i="8"/>
  <c r="E32" i="3"/>
  <c r="E35" i="3"/>
  <c r="F62" i="3"/>
  <c r="C41" i="9"/>
  <c r="D6" i="8"/>
  <c r="D1171" i="8"/>
  <c r="D660" i="8"/>
  <c r="D568" i="8"/>
  <c r="D493" i="8"/>
  <c r="D455" i="8"/>
  <c r="D800" i="8"/>
  <c r="D421" i="8"/>
  <c r="D390" i="8"/>
  <c r="D367" i="8"/>
  <c r="D349" i="8"/>
  <c r="D707" i="8"/>
  <c r="D624" i="8"/>
  <c r="D588" i="8"/>
  <c r="D547" i="8"/>
  <c r="D509" i="8"/>
  <c r="D489" i="8"/>
  <c r="D471" i="8"/>
  <c r="D453" i="8"/>
  <c r="D435" i="8"/>
  <c r="D334" i="8"/>
  <c r="D325" i="8"/>
  <c r="D316" i="8"/>
  <c r="D308" i="8"/>
  <c r="D293" i="8"/>
  <c r="D284" i="8"/>
  <c r="D276" i="8"/>
  <c r="D268" i="8"/>
  <c r="D260" i="8"/>
  <c r="D252" i="8"/>
  <c r="D248" i="8"/>
  <c r="D244" i="8"/>
  <c r="D239" i="8"/>
  <c r="D235" i="8"/>
  <c r="D231" i="8"/>
  <c r="D227" i="8"/>
  <c r="D223" i="8"/>
  <c r="D218" i="8"/>
  <c r="D214" i="8"/>
  <c r="D210" i="8"/>
  <c r="D206" i="8"/>
  <c r="D198" i="8"/>
  <c r="D192" i="8"/>
  <c r="D188" i="8"/>
  <c r="D183" i="8"/>
  <c r="D177" i="8"/>
  <c r="D173" i="8"/>
  <c r="D169" i="8"/>
  <c r="D165" i="8"/>
  <c r="D160" i="8"/>
  <c r="D155" i="8"/>
  <c r="D150" i="8"/>
  <c r="D143" i="8"/>
  <c r="D139" i="8"/>
  <c r="D135" i="8"/>
  <c r="D130" i="8"/>
  <c r="D126" i="8"/>
  <c r="D122" i="8"/>
  <c r="D111" i="8"/>
  <c r="D107" i="8"/>
  <c r="D102" i="8"/>
  <c r="D98" i="8"/>
  <c r="D93" i="8"/>
  <c r="D89" i="8"/>
  <c r="D85" i="8"/>
  <c r="D77" i="8"/>
  <c r="D73" i="8"/>
  <c r="D69" i="8"/>
  <c r="D64" i="8"/>
  <c r="D57" i="8"/>
  <c r="D53" i="8"/>
  <c r="D47" i="8"/>
  <c r="D8" i="8"/>
  <c r="D42" i="7"/>
  <c r="F32" i="3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8" i="3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32" i="7" l="1"/>
  <c r="G32" i="7"/>
  <c r="H32" i="7"/>
  <c r="E32" i="7"/>
  <c r="I32" i="7"/>
  <c r="J32" i="7"/>
  <c r="K32" i="7"/>
  <c r="F21" i="7"/>
  <c r="G21" i="7"/>
  <c r="H21" i="7"/>
  <c r="E21" i="7"/>
  <c r="I21" i="7"/>
  <c r="J21" i="7"/>
  <c r="K21" i="7"/>
  <c r="E25" i="7"/>
  <c r="G25" i="7"/>
  <c r="H25" i="7"/>
  <c r="I25" i="7"/>
  <c r="F25" i="7"/>
  <c r="K25" i="7"/>
  <c r="J25" i="7"/>
  <c r="H24" i="7"/>
  <c r="E24" i="7"/>
  <c r="I24" i="7"/>
  <c r="F24" i="7"/>
  <c r="G24" i="7"/>
  <c r="K24" i="7"/>
  <c r="J24" i="7"/>
  <c r="G31" i="7"/>
  <c r="H31" i="7"/>
  <c r="E31" i="7"/>
  <c r="I31" i="7"/>
  <c r="F31" i="7"/>
  <c r="J31" i="7"/>
  <c r="K31" i="7"/>
  <c r="E27" i="7"/>
  <c r="I27" i="7"/>
  <c r="F27" i="7"/>
  <c r="G27" i="7"/>
  <c r="H27" i="7"/>
  <c r="J27" i="7"/>
  <c r="K27" i="7"/>
  <c r="H23" i="7"/>
  <c r="E23" i="7"/>
  <c r="I23" i="7"/>
  <c r="F23" i="7"/>
  <c r="G23" i="7"/>
  <c r="J23" i="7"/>
  <c r="K23" i="7"/>
  <c r="F34" i="7"/>
  <c r="G34" i="7"/>
  <c r="I34" i="7"/>
  <c r="H34" i="7"/>
  <c r="E34" i="7"/>
  <c r="J34" i="7"/>
  <c r="K34" i="7"/>
  <c r="E30" i="7"/>
  <c r="I30" i="7"/>
  <c r="F30" i="7"/>
  <c r="H30" i="7"/>
  <c r="G30" i="7"/>
  <c r="J30" i="7"/>
  <c r="K30" i="7"/>
  <c r="H22" i="7"/>
  <c r="E22" i="7"/>
  <c r="F22" i="7"/>
  <c r="G22" i="7"/>
  <c r="I22" i="7"/>
  <c r="J22" i="7"/>
  <c r="K22" i="7"/>
  <c r="H17" i="7"/>
  <c r="G17" i="7"/>
  <c r="G41" i="7" s="1"/>
  <c r="E17" i="7"/>
  <c r="I17" i="7"/>
  <c r="F17" i="7"/>
  <c r="J17" i="7"/>
  <c r="J41" i="7" s="1"/>
  <c r="K17" i="7"/>
  <c r="K41" i="7" s="1"/>
  <c r="E26" i="9"/>
  <c r="K851" i="7"/>
  <c r="K159" i="7"/>
  <c r="AF159" i="7" s="1"/>
  <c r="D122" i="7"/>
  <c r="D149" i="7" s="1"/>
  <c r="D176" i="7" s="1"/>
  <c r="D203" i="7" s="1"/>
  <c r="D230" i="7" s="1"/>
  <c r="D257" i="7" s="1"/>
  <c r="D284" i="7" s="1"/>
  <c r="D311" i="7" s="1"/>
  <c r="D338" i="7" s="1"/>
  <c r="D365" i="7" s="1"/>
  <c r="D392" i="7" s="1"/>
  <c r="D419" i="7" s="1"/>
  <c r="D446" i="7" s="1"/>
  <c r="D473" i="7" s="1"/>
  <c r="D500" i="7" s="1"/>
  <c r="D527" i="7" s="1"/>
  <c r="D554" i="7" s="1"/>
  <c r="D581" i="7" s="1"/>
  <c r="D608" i="7" s="1"/>
  <c r="D635" i="7" s="1"/>
  <c r="D662" i="7" s="1"/>
  <c r="D689" i="7" s="1"/>
  <c r="D716" i="7" s="1"/>
  <c r="D743" i="7" s="1"/>
  <c r="D770" i="7" s="1"/>
  <c r="D797" i="7" s="1"/>
  <c r="D824" i="7" s="1"/>
  <c r="D851" i="7" s="1"/>
  <c r="D878" i="7" s="1"/>
  <c r="D905" i="7" s="1"/>
  <c r="D932" i="7" s="1"/>
  <c r="I790" i="10"/>
  <c r="G794" i="10"/>
  <c r="H16" i="9"/>
  <c r="H17" i="9" s="1"/>
  <c r="H14" i="9" s="1"/>
  <c r="D26" i="9"/>
  <c r="G806" i="10"/>
  <c r="E16" i="9"/>
  <c r="F17" i="9" s="1"/>
  <c r="F13" i="9" s="1"/>
  <c r="B26" i="9"/>
  <c r="B27" i="9" s="1"/>
  <c r="H20" i="9"/>
  <c r="H19" i="9"/>
  <c r="H22" i="9"/>
  <c r="H21" i="9"/>
  <c r="H24" i="9"/>
  <c r="H23" i="9"/>
  <c r="H1481" i="10"/>
  <c r="G1481" i="10" s="1"/>
  <c r="F1481" i="10" s="1"/>
  <c r="I2521" i="10"/>
  <c r="H865" i="7" s="1"/>
  <c r="F26" i="9"/>
  <c r="G27" i="9" s="1"/>
  <c r="G19" i="9" s="1"/>
  <c r="D1269" i="8"/>
  <c r="D1253" i="8"/>
  <c r="D1245" i="8"/>
  <c r="D1237" i="8"/>
  <c r="D1229" i="8"/>
  <c r="D1225" i="8"/>
  <c r="D1221" i="8"/>
  <c r="D1217" i="8"/>
  <c r="D1205" i="8"/>
  <c r="D1088" i="8"/>
  <c r="D1084" i="8"/>
  <c r="D1080" i="8"/>
  <c r="D924" i="8"/>
  <c r="D740" i="8"/>
  <c r="D676" i="8"/>
  <c r="D672" i="8"/>
  <c r="D648" i="8"/>
  <c r="D612" i="8"/>
  <c r="D508" i="8"/>
  <c r="D416" i="8"/>
  <c r="D412" i="8"/>
  <c r="D408" i="8"/>
  <c r="D400" i="8"/>
  <c r="D384" i="8"/>
  <c r="D304" i="8"/>
  <c r="D296" i="8"/>
  <c r="D200" i="8"/>
  <c r="D196" i="8"/>
  <c r="D184" i="8"/>
  <c r="D164" i="8"/>
  <c r="D156" i="8"/>
  <c r="D120" i="8"/>
  <c r="D116" i="8"/>
  <c r="D112" i="8"/>
  <c r="D80" i="8"/>
  <c r="D60" i="8"/>
  <c r="D48" i="8"/>
  <c r="D44" i="8"/>
  <c r="D40" i="8"/>
  <c r="D36" i="8"/>
  <c r="D32" i="8"/>
  <c r="D28" i="8"/>
  <c r="D24" i="8"/>
  <c r="D20" i="8"/>
  <c r="D16" i="8"/>
  <c r="D12" i="8"/>
  <c r="D1273" i="8"/>
  <c r="D1257" i="8"/>
  <c r="D1085" i="8"/>
  <c r="D1081" i="8"/>
  <c r="D893" i="8"/>
  <c r="D885" i="8"/>
  <c r="D869" i="8"/>
  <c r="D674" i="8"/>
  <c r="H39" i="9"/>
  <c r="G45" i="9"/>
  <c r="H44" i="9"/>
  <c r="D44" i="9"/>
  <c r="E43" i="9"/>
  <c r="F42" i="9"/>
  <c r="G41" i="9"/>
  <c r="H40" i="9"/>
  <c r="D40" i="9"/>
  <c r="D39" i="9"/>
  <c r="F45" i="9"/>
  <c r="G44" i="9"/>
  <c r="H43" i="9"/>
  <c r="D43" i="9"/>
  <c r="E42" i="9"/>
  <c r="F41" i="9"/>
  <c r="G40" i="9"/>
  <c r="G39" i="9"/>
  <c r="E45" i="9"/>
  <c r="F44" i="9"/>
  <c r="G43" i="9"/>
  <c r="H42" i="9"/>
  <c r="D42" i="9"/>
  <c r="E41" i="9"/>
  <c r="F40" i="9"/>
  <c r="F39" i="9"/>
  <c r="H45" i="9"/>
  <c r="D45" i="9"/>
  <c r="E44" i="9"/>
  <c r="F43" i="9"/>
  <c r="G42" i="9"/>
  <c r="H41" i="9"/>
  <c r="D41" i="9"/>
  <c r="E40" i="9"/>
  <c r="E39" i="9"/>
  <c r="K293" i="10"/>
  <c r="J96" i="7" s="1"/>
  <c r="AE96" i="7" s="1"/>
  <c r="K294" i="10"/>
  <c r="J97" i="7" s="1"/>
  <c r="AE97" i="7" s="1"/>
  <c r="K295" i="10"/>
  <c r="J98" i="7" s="1"/>
  <c r="AE98" i="7" s="1"/>
  <c r="I860" i="7"/>
  <c r="AE160" i="7"/>
  <c r="N635" i="7"/>
  <c r="R635" i="7"/>
  <c r="R626" i="7" s="1"/>
  <c r="O635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W837" i="7"/>
  <c r="I837" i="7" s="1"/>
  <c r="W841" i="7"/>
  <c r="I841" i="7" s="1"/>
  <c r="W844" i="7"/>
  <c r="I844" i="7" s="1"/>
  <c r="W848" i="7"/>
  <c r="I848" i="7" s="1"/>
  <c r="K654" i="10"/>
  <c r="J172" i="7" s="1"/>
  <c r="K650" i="10"/>
  <c r="J168" i="7" s="1"/>
  <c r="K646" i="10"/>
  <c r="J164" i="7" s="1"/>
  <c r="K638" i="10"/>
  <c r="J156" i="7" s="1"/>
  <c r="K634" i="10"/>
  <c r="J152" i="7" s="1"/>
  <c r="K317" i="10"/>
  <c r="J120" i="7" s="1"/>
  <c r="K313" i="10"/>
  <c r="J116" i="7" s="1"/>
  <c r="K309" i="10"/>
  <c r="J112" i="7" s="1"/>
  <c r="K305" i="10"/>
  <c r="J108" i="7" s="1"/>
  <c r="K301" i="10"/>
  <c r="J104" i="7" s="1"/>
  <c r="K297" i="10"/>
  <c r="J100" i="7" s="1"/>
  <c r="W833" i="7"/>
  <c r="I833" i="7" s="1"/>
  <c r="AF229" i="7"/>
  <c r="AF742" i="7"/>
  <c r="AF212" i="7"/>
  <c r="AF725" i="7"/>
  <c r="AF210" i="7"/>
  <c r="AF723" i="7"/>
  <c r="AF208" i="7"/>
  <c r="AF721" i="7"/>
  <c r="AE214" i="7"/>
  <c r="AD214" i="7"/>
  <c r="AE727" i="7"/>
  <c r="AD727" i="7"/>
  <c r="M635" i="7"/>
  <c r="M612" i="7" s="1"/>
  <c r="AE666" i="7"/>
  <c r="AD666" i="7"/>
  <c r="AE670" i="7"/>
  <c r="AD670" i="7"/>
  <c r="AE674" i="7"/>
  <c r="AD674" i="7"/>
  <c r="AE678" i="7"/>
  <c r="AD678" i="7"/>
  <c r="AE682" i="7"/>
  <c r="AD682" i="7"/>
  <c r="AE686" i="7"/>
  <c r="AD686" i="7"/>
  <c r="AD691" i="7"/>
  <c r="AE691" i="7"/>
  <c r="AE695" i="7"/>
  <c r="AD695" i="7"/>
  <c r="AE699" i="7"/>
  <c r="AD699" i="7"/>
  <c r="AE703" i="7"/>
  <c r="AD703" i="7"/>
  <c r="AE707" i="7"/>
  <c r="AD707" i="7"/>
  <c r="AE711" i="7"/>
  <c r="AD711" i="7"/>
  <c r="AE715" i="7"/>
  <c r="AD715" i="7"/>
  <c r="W826" i="7"/>
  <c r="I826" i="7" s="1"/>
  <c r="W838" i="7"/>
  <c r="I838" i="7" s="1"/>
  <c r="W845" i="7"/>
  <c r="I845" i="7" s="1"/>
  <c r="W849" i="7"/>
  <c r="I849" i="7" s="1"/>
  <c r="K657" i="10"/>
  <c r="J175" i="7" s="1"/>
  <c r="K653" i="10"/>
  <c r="J171" i="7" s="1"/>
  <c r="K649" i="10"/>
  <c r="J167" i="7" s="1"/>
  <c r="K645" i="10"/>
  <c r="J163" i="7" s="1"/>
  <c r="K641" i="10"/>
  <c r="J159" i="7" s="1"/>
  <c r="K637" i="10"/>
  <c r="J155" i="7" s="1"/>
  <c r="K633" i="10"/>
  <c r="J151" i="7" s="1"/>
  <c r="K316" i="10"/>
  <c r="J119" i="7" s="1"/>
  <c r="K312" i="10"/>
  <c r="J115" i="7" s="1"/>
  <c r="K308" i="10"/>
  <c r="J111" i="7" s="1"/>
  <c r="K304" i="10"/>
  <c r="J107" i="7" s="1"/>
  <c r="K300" i="10"/>
  <c r="J103" i="7" s="1"/>
  <c r="K296" i="10"/>
  <c r="J99" i="7" s="1"/>
  <c r="W832" i="7"/>
  <c r="I832" i="7" s="1"/>
  <c r="W829" i="7"/>
  <c r="I829" i="7" s="1"/>
  <c r="AF226" i="7"/>
  <c r="AF739" i="7"/>
  <c r="AF224" i="7"/>
  <c r="AF737" i="7"/>
  <c r="AF222" i="7"/>
  <c r="AF735" i="7"/>
  <c r="AF733" i="7"/>
  <c r="AF220" i="7"/>
  <c r="AF218" i="7"/>
  <c r="AF731" i="7"/>
  <c r="AF216" i="7"/>
  <c r="AF729" i="7"/>
  <c r="AF205" i="7"/>
  <c r="AF718" i="7"/>
  <c r="L635" i="7"/>
  <c r="L612" i="7" s="1"/>
  <c r="AE663" i="7"/>
  <c r="AD663" i="7"/>
  <c r="AE667" i="7"/>
  <c r="AD667" i="7"/>
  <c r="AE671" i="7"/>
  <c r="AD671" i="7"/>
  <c r="AE675" i="7"/>
  <c r="AD675" i="7"/>
  <c r="AE679" i="7"/>
  <c r="AD679" i="7"/>
  <c r="AE683" i="7"/>
  <c r="AD683" i="7"/>
  <c r="AE687" i="7"/>
  <c r="AD687" i="7"/>
  <c r="AE692" i="7"/>
  <c r="AD692" i="7"/>
  <c r="AE696" i="7"/>
  <c r="AD696" i="7"/>
  <c r="AE700" i="7"/>
  <c r="AD700" i="7"/>
  <c r="AE704" i="7"/>
  <c r="AD704" i="7"/>
  <c r="AE708" i="7"/>
  <c r="AD708" i="7"/>
  <c r="AE712" i="7"/>
  <c r="AD712" i="7"/>
  <c r="W827" i="7"/>
  <c r="I827" i="7" s="1"/>
  <c r="W839" i="7"/>
  <c r="I839" i="7" s="1"/>
  <c r="W842" i="7"/>
  <c r="I842" i="7" s="1"/>
  <c r="W846" i="7"/>
  <c r="I846" i="7" s="1"/>
  <c r="K656" i="10"/>
  <c r="J174" i="7" s="1"/>
  <c r="K652" i="10"/>
  <c r="J170" i="7" s="1"/>
  <c r="K648" i="10"/>
  <c r="J166" i="7" s="1"/>
  <c r="K644" i="10"/>
  <c r="J162" i="7" s="1"/>
  <c r="K640" i="10"/>
  <c r="J158" i="7" s="1"/>
  <c r="K636" i="10"/>
  <c r="J154" i="7" s="1"/>
  <c r="K632" i="10"/>
  <c r="J150" i="7" s="1"/>
  <c r="K315" i="10"/>
  <c r="J118" i="7" s="1"/>
  <c r="K311" i="10"/>
  <c r="J114" i="7" s="1"/>
  <c r="K307" i="10"/>
  <c r="J110" i="7" s="1"/>
  <c r="K303" i="10"/>
  <c r="J106" i="7" s="1"/>
  <c r="K299" i="10"/>
  <c r="J102" i="7" s="1"/>
  <c r="W835" i="7"/>
  <c r="I835" i="7" s="1"/>
  <c r="W831" i="7"/>
  <c r="I831" i="7" s="1"/>
  <c r="W828" i="7"/>
  <c r="I828" i="7" s="1"/>
  <c r="AF228" i="7"/>
  <c r="AF741" i="7"/>
  <c r="AF213" i="7"/>
  <c r="AF726" i="7"/>
  <c r="AF211" i="7"/>
  <c r="AF724" i="7"/>
  <c r="AF209" i="7"/>
  <c r="AF722" i="7"/>
  <c r="AE664" i="7"/>
  <c r="AD664" i="7"/>
  <c r="AE668" i="7"/>
  <c r="AD668" i="7"/>
  <c r="AE672" i="7"/>
  <c r="AD672" i="7"/>
  <c r="AE676" i="7"/>
  <c r="AD676" i="7"/>
  <c r="AE680" i="7"/>
  <c r="AD680" i="7"/>
  <c r="AE684" i="7"/>
  <c r="AD684" i="7"/>
  <c r="AE688" i="7"/>
  <c r="AD688" i="7"/>
  <c r="AD693" i="7"/>
  <c r="AE693" i="7"/>
  <c r="AE697" i="7"/>
  <c r="AD697" i="7"/>
  <c r="AE701" i="7"/>
  <c r="AD701" i="7"/>
  <c r="AE705" i="7"/>
  <c r="AD705" i="7"/>
  <c r="AE709" i="7"/>
  <c r="AD709" i="7"/>
  <c r="AE713" i="7"/>
  <c r="AD713" i="7"/>
  <c r="W850" i="7"/>
  <c r="I850" i="7" s="1"/>
  <c r="W825" i="7"/>
  <c r="I825" i="7" s="1"/>
  <c r="W836" i="7"/>
  <c r="I836" i="7" s="1"/>
  <c r="W840" i="7"/>
  <c r="I840" i="7" s="1"/>
  <c r="W843" i="7"/>
  <c r="I843" i="7" s="1"/>
  <c r="W847" i="7"/>
  <c r="I847" i="7" s="1"/>
  <c r="K655" i="10"/>
  <c r="J173" i="7" s="1"/>
  <c r="K651" i="10"/>
  <c r="J169" i="7" s="1"/>
  <c r="K647" i="10"/>
  <c r="J165" i="7" s="1"/>
  <c r="K643" i="10"/>
  <c r="J161" i="7" s="1"/>
  <c r="K639" i="10"/>
  <c r="J157" i="7" s="1"/>
  <c r="K635" i="10"/>
  <c r="J153" i="7" s="1"/>
  <c r="K318" i="10"/>
  <c r="J121" i="7" s="1"/>
  <c r="K314" i="10"/>
  <c r="J117" i="7" s="1"/>
  <c r="K310" i="10"/>
  <c r="J113" i="7" s="1"/>
  <c r="K306" i="10"/>
  <c r="J109" i="7" s="1"/>
  <c r="K302" i="10"/>
  <c r="J105" i="7" s="1"/>
  <c r="K298" i="10"/>
  <c r="J101" i="7" s="1"/>
  <c r="W834" i="7"/>
  <c r="I834" i="7" s="1"/>
  <c r="W830" i="7"/>
  <c r="I830" i="7" s="1"/>
  <c r="G12" i="9"/>
  <c r="G14" i="9"/>
  <c r="G11" i="9"/>
  <c r="G13" i="9"/>
  <c r="G10" i="9"/>
  <c r="G9" i="9"/>
  <c r="AF225" i="7"/>
  <c r="AF738" i="7"/>
  <c r="AF223" i="7"/>
  <c r="AF736" i="7"/>
  <c r="AF221" i="7"/>
  <c r="AF734" i="7"/>
  <c r="AF219" i="7"/>
  <c r="AF732" i="7"/>
  <c r="AF217" i="7"/>
  <c r="AF730" i="7"/>
  <c r="AF215" i="7"/>
  <c r="AF728" i="7"/>
  <c r="AF206" i="7"/>
  <c r="AF719" i="7"/>
  <c r="AF204" i="7"/>
  <c r="AE665" i="7"/>
  <c r="AD665" i="7"/>
  <c r="AE669" i="7"/>
  <c r="AD669" i="7"/>
  <c r="AE673" i="7"/>
  <c r="AD673" i="7"/>
  <c r="AE677" i="7"/>
  <c r="AD677" i="7"/>
  <c r="AE681" i="7"/>
  <c r="AD681" i="7"/>
  <c r="AE685" i="7"/>
  <c r="AD685" i="7"/>
  <c r="AE690" i="7"/>
  <c r="AD690" i="7"/>
  <c r="AE694" i="7"/>
  <c r="AD694" i="7"/>
  <c r="AE698" i="7"/>
  <c r="AD698" i="7"/>
  <c r="AE702" i="7"/>
  <c r="AD702" i="7"/>
  <c r="AE706" i="7"/>
  <c r="AD706" i="7"/>
  <c r="AE710" i="7"/>
  <c r="AD710" i="7"/>
  <c r="AE714" i="7"/>
  <c r="AD714" i="7"/>
  <c r="B70" i="7"/>
  <c r="D69" i="7"/>
  <c r="D96" i="7" s="1"/>
  <c r="D123" i="7" s="1"/>
  <c r="D150" i="7" s="1"/>
  <c r="D177" i="7" s="1"/>
  <c r="D204" i="7" s="1"/>
  <c r="D231" i="7" s="1"/>
  <c r="D258" i="7" s="1"/>
  <c r="D285" i="7" s="1"/>
  <c r="D312" i="7" s="1"/>
  <c r="D339" i="7" s="1"/>
  <c r="D366" i="7" s="1"/>
  <c r="D393" i="7" s="1"/>
  <c r="D420" i="7" s="1"/>
  <c r="D447" i="7" s="1"/>
  <c r="D474" i="7" s="1"/>
  <c r="D501" i="7" s="1"/>
  <c r="AI71" i="7"/>
  <c r="AH72" i="7"/>
  <c r="E36" i="3"/>
  <c r="I35" i="3"/>
  <c r="E33" i="3"/>
  <c r="I33" i="3" s="1"/>
  <c r="I32" i="3"/>
  <c r="AG18" i="7"/>
  <c r="F63" i="3"/>
  <c r="A69" i="7"/>
  <c r="D254" i="7"/>
  <c r="D281" i="7" s="1"/>
  <c r="D308" i="7" s="1"/>
  <c r="D335" i="7" s="1"/>
  <c r="D362" i="7" s="1"/>
  <c r="D389" i="7" s="1"/>
  <c r="D416" i="7" s="1"/>
  <c r="D443" i="7" s="1"/>
  <c r="D470" i="7" s="1"/>
  <c r="D497" i="7" s="1"/>
  <c r="D524" i="7" s="1"/>
  <c r="D551" i="7" s="1"/>
  <c r="D578" i="7" s="1"/>
  <c r="D605" i="7" s="1"/>
  <c r="X686" i="7" s="1"/>
  <c r="D250" i="7"/>
  <c r="D277" i="7" s="1"/>
  <c r="D304" i="7" s="1"/>
  <c r="D331" i="7" s="1"/>
  <c r="D358" i="7" s="1"/>
  <c r="D385" i="7" s="1"/>
  <c r="D412" i="7" s="1"/>
  <c r="D439" i="7" s="1"/>
  <c r="D466" i="7" s="1"/>
  <c r="D493" i="7" s="1"/>
  <c r="D520" i="7" s="1"/>
  <c r="D547" i="7" s="1"/>
  <c r="D574" i="7" s="1"/>
  <c r="D601" i="7" s="1"/>
  <c r="X682" i="7" s="1"/>
  <c r="D246" i="7"/>
  <c r="D273" i="7" s="1"/>
  <c r="D300" i="7" s="1"/>
  <c r="D327" i="7" s="1"/>
  <c r="D354" i="7" s="1"/>
  <c r="D381" i="7" s="1"/>
  <c r="D408" i="7" s="1"/>
  <c r="D435" i="7" s="1"/>
  <c r="D462" i="7" s="1"/>
  <c r="D489" i="7" s="1"/>
  <c r="D516" i="7" s="1"/>
  <c r="D543" i="7" s="1"/>
  <c r="D570" i="7" s="1"/>
  <c r="D597" i="7" s="1"/>
  <c r="X678" i="7" s="1"/>
  <c r="D242" i="7"/>
  <c r="D269" i="7" s="1"/>
  <c r="D296" i="7" s="1"/>
  <c r="D323" i="7" s="1"/>
  <c r="D350" i="7" s="1"/>
  <c r="D377" i="7" s="1"/>
  <c r="D404" i="7" s="1"/>
  <c r="D431" i="7" s="1"/>
  <c r="D458" i="7" s="1"/>
  <c r="D485" i="7" s="1"/>
  <c r="D512" i="7" s="1"/>
  <c r="D539" i="7" s="1"/>
  <c r="D566" i="7" s="1"/>
  <c r="D593" i="7" s="1"/>
  <c r="X674" i="7" s="1"/>
  <c r="D238" i="7"/>
  <c r="D265" i="7" s="1"/>
  <c r="D292" i="7" s="1"/>
  <c r="D319" i="7" s="1"/>
  <c r="D346" i="7" s="1"/>
  <c r="D373" i="7" s="1"/>
  <c r="D400" i="7" s="1"/>
  <c r="D427" i="7" s="1"/>
  <c r="D454" i="7" s="1"/>
  <c r="D481" i="7" s="1"/>
  <c r="D508" i="7" s="1"/>
  <c r="D535" i="7" s="1"/>
  <c r="D562" i="7" s="1"/>
  <c r="D589" i="7" s="1"/>
  <c r="X670" i="7" s="1"/>
  <c r="D234" i="7"/>
  <c r="D261" i="7" s="1"/>
  <c r="D288" i="7" s="1"/>
  <c r="D315" i="7" s="1"/>
  <c r="D342" i="7" s="1"/>
  <c r="D369" i="7" s="1"/>
  <c r="D396" i="7" s="1"/>
  <c r="D423" i="7" s="1"/>
  <c r="D450" i="7" s="1"/>
  <c r="D477" i="7" s="1"/>
  <c r="D504" i="7" s="1"/>
  <c r="D531" i="7" s="1"/>
  <c r="D558" i="7" s="1"/>
  <c r="D585" i="7" s="1"/>
  <c r="X666" i="7" s="1"/>
  <c r="D253" i="7"/>
  <c r="D280" i="7" s="1"/>
  <c r="D307" i="7" s="1"/>
  <c r="D334" i="7" s="1"/>
  <c r="D361" i="7" s="1"/>
  <c r="D388" i="7" s="1"/>
  <c r="D415" i="7" s="1"/>
  <c r="D442" i="7" s="1"/>
  <c r="D469" i="7" s="1"/>
  <c r="D496" i="7" s="1"/>
  <c r="D523" i="7" s="1"/>
  <c r="D550" i="7" s="1"/>
  <c r="D577" i="7" s="1"/>
  <c r="D604" i="7" s="1"/>
  <c r="X685" i="7" s="1"/>
  <c r="D249" i="7"/>
  <c r="D276" i="7" s="1"/>
  <c r="D303" i="7" s="1"/>
  <c r="D330" i="7" s="1"/>
  <c r="D357" i="7" s="1"/>
  <c r="D384" i="7" s="1"/>
  <c r="D411" i="7" s="1"/>
  <c r="D438" i="7" s="1"/>
  <c r="D465" i="7" s="1"/>
  <c r="D492" i="7" s="1"/>
  <c r="D519" i="7" s="1"/>
  <c r="D546" i="7" s="1"/>
  <c r="D573" i="7" s="1"/>
  <c r="D600" i="7" s="1"/>
  <c r="X681" i="7" s="1"/>
  <c r="D245" i="7"/>
  <c r="D272" i="7" s="1"/>
  <c r="D299" i="7" s="1"/>
  <c r="D326" i="7" s="1"/>
  <c r="D353" i="7" s="1"/>
  <c r="D380" i="7" s="1"/>
  <c r="D407" i="7" s="1"/>
  <c r="D434" i="7" s="1"/>
  <c r="D461" i="7" s="1"/>
  <c r="D488" i="7" s="1"/>
  <c r="D515" i="7" s="1"/>
  <c r="D542" i="7" s="1"/>
  <c r="D569" i="7" s="1"/>
  <c r="D596" i="7" s="1"/>
  <c r="D241" i="7"/>
  <c r="D268" i="7" s="1"/>
  <c r="D295" i="7" s="1"/>
  <c r="D322" i="7" s="1"/>
  <c r="D349" i="7" s="1"/>
  <c r="D376" i="7" s="1"/>
  <c r="D403" i="7" s="1"/>
  <c r="D430" i="7" s="1"/>
  <c r="D457" i="7" s="1"/>
  <c r="D484" i="7" s="1"/>
  <c r="D511" i="7" s="1"/>
  <c r="D538" i="7" s="1"/>
  <c r="D565" i="7" s="1"/>
  <c r="D592" i="7" s="1"/>
  <c r="X673" i="7" s="1"/>
  <c r="D237" i="7"/>
  <c r="D264" i="7" s="1"/>
  <c r="D291" i="7" s="1"/>
  <c r="D318" i="7" s="1"/>
  <c r="D345" i="7" s="1"/>
  <c r="D372" i="7" s="1"/>
  <c r="D399" i="7" s="1"/>
  <c r="D426" i="7" s="1"/>
  <c r="D453" i="7" s="1"/>
  <c r="D480" i="7" s="1"/>
  <c r="D507" i="7" s="1"/>
  <c r="D534" i="7" s="1"/>
  <c r="D561" i="7" s="1"/>
  <c r="D588" i="7" s="1"/>
  <c r="X669" i="7" s="1"/>
  <c r="D233" i="7"/>
  <c r="D260" i="7" s="1"/>
  <c r="D287" i="7" s="1"/>
  <c r="D314" i="7" s="1"/>
  <c r="D341" i="7" s="1"/>
  <c r="D368" i="7" s="1"/>
  <c r="D395" i="7" s="1"/>
  <c r="D422" i="7" s="1"/>
  <c r="D449" i="7" s="1"/>
  <c r="D476" i="7" s="1"/>
  <c r="D503" i="7" s="1"/>
  <c r="D530" i="7" s="1"/>
  <c r="D557" i="7" s="1"/>
  <c r="D584" i="7" s="1"/>
  <c r="X665" i="7" s="1"/>
  <c r="D256" i="7"/>
  <c r="D283" i="7" s="1"/>
  <c r="D310" i="7" s="1"/>
  <c r="D337" i="7" s="1"/>
  <c r="D364" i="7" s="1"/>
  <c r="D391" i="7" s="1"/>
  <c r="D418" i="7" s="1"/>
  <c r="D445" i="7" s="1"/>
  <c r="D472" i="7" s="1"/>
  <c r="D499" i="7" s="1"/>
  <c r="D526" i="7" s="1"/>
  <c r="D553" i="7" s="1"/>
  <c r="D580" i="7" s="1"/>
  <c r="D607" i="7" s="1"/>
  <c r="X688" i="7" s="1"/>
  <c r="D252" i="7"/>
  <c r="D279" i="7" s="1"/>
  <c r="D306" i="7" s="1"/>
  <c r="D333" i="7" s="1"/>
  <c r="D360" i="7" s="1"/>
  <c r="D387" i="7" s="1"/>
  <c r="D414" i="7" s="1"/>
  <c r="D441" i="7" s="1"/>
  <c r="D468" i="7" s="1"/>
  <c r="D495" i="7" s="1"/>
  <c r="D522" i="7" s="1"/>
  <c r="D549" i="7" s="1"/>
  <c r="D576" i="7" s="1"/>
  <c r="D603" i="7" s="1"/>
  <c r="X684" i="7" s="1"/>
  <c r="D248" i="7"/>
  <c r="D275" i="7" s="1"/>
  <c r="D302" i="7" s="1"/>
  <c r="D329" i="7" s="1"/>
  <c r="D356" i="7" s="1"/>
  <c r="D383" i="7" s="1"/>
  <c r="D410" i="7" s="1"/>
  <c r="D437" i="7" s="1"/>
  <c r="D464" i="7" s="1"/>
  <c r="D491" i="7" s="1"/>
  <c r="D518" i="7" s="1"/>
  <c r="D545" i="7" s="1"/>
  <c r="D572" i="7" s="1"/>
  <c r="D599" i="7" s="1"/>
  <c r="X680" i="7" s="1"/>
  <c r="D244" i="7"/>
  <c r="D271" i="7" s="1"/>
  <c r="D298" i="7" s="1"/>
  <c r="D325" i="7" s="1"/>
  <c r="D352" i="7" s="1"/>
  <c r="D379" i="7" s="1"/>
  <c r="D406" i="7" s="1"/>
  <c r="D433" i="7" s="1"/>
  <c r="D460" i="7" s="1"/>
  <c r="D487" i="7" s="1"/>
  <c r="D514" i="7" s="1"/>
  <c r="D541" i="7" s="1"/>
  <c r="D568" i="7" s="1"/>
  <c r="D595" i="7" s="1"/>
  <c r="X676" i="7" s="1"/>
  <c r="D240" i="7"/>
  <c r="D267" i="7" s="1"/>
  <c r="D294" i="7" s="1"/>
  <c r="D321" i="7" s="1"/>
  <c r="D348" i="7" s="1"/>
  <c r="D375" i="7" s="1"/>
  <c r="D402" i="7" s="1"/>
  <c r="D429" i="7" s="1"/>
  <c r="D456" i="7" s="1"/>
  <c r="D483" i="7" s="1"/>
  <c r="D510" i="7" s="1"/>
  <c r="D537" i="7" s="1"/>
  <c r="D564" i="7" s="1"/>
  <c r="D591" i="7" s="1"/>
  <c r="X672" i="7" s="1"/>
  <c r="D236" i="7"/>
  <c r="D263" i="7" s="1"/>
  <c r="D290" i="7" s="1"/>
  <c r="D317" i="7" s="1"/>
  <c r="D344" i="7" s="1"/>
  <c r="D371" i="7" s="1"/>
  <c r="D398" i="7" s="1"/>
  <c r="D425" i="7" s="1"/>
  <c r="D452" i="7" s="1"/>
  <c r="D479" i="7" s="1"/>
  <c r="D506" i="7" s="1"/>
  <c r="D533" i="7" s="1"/>
  <c r="D560" i="7" s="1"/>
  <c r="D587" i="7" s="1"/>
  <c r="X668" i="7" s="1"/>
  <c r="D232" i="7"/>
  <c r="D259" i="7" s="1"/>
  <c r="D286" i="7" s="1"/>
  <c r="D313" i="7" s="1"/>
  <c r="D340" i="7" s="1"/>
  <c r="D367" i="7" s="1"/>
  <c r="D394" i="7" s="1"/>
  <c r="D421" i="7" s="1"/>
  <c r="D448" i="7" s="1"/>
  <c r="D475" i="7" s="1"/>
  <c r="D502" i="7" s="1"/>
  <c r="D529" i="7" s="1"/>
  <c r="D556" i="7" s="1"/>
  <c r="D583" i="7" s="1"/>
  <c r="X664" i="7" s="1"/>
  <c r="D255" i="7"/>
  <c r="D282" i="7" s="1"/>
  <c r="D309" i="7" s="1"/>
  <c r="D336" i="7" s="1"/>
  <c r="D363" i="7" s="1"/>
  <c r="D390" i="7" s="1"/>
  <c r="D417" i="7" s="1"/>
  <c r="D444" i="7" s="1"/>
  <c r="D471" i="7" s="1"/>
  <c r="D498" i="7" s="1"/>
  <c r="D525" i="7" s="1"/>
  <c r="D552" i="7" s="1"/>
  <c r="D579" i="7" s="1"/>
  <c r="D606" i="7" s="1"/>
  <c r="D251" i="7"/>
  <c r="D278" i="7" s="1"/>
  <c r="D305" i="7" s="1"/>
  <c r="D332" i="7" s="1"/>
  <c r="D359" i="7" s="1"/>
  <c r="D386" i="7" s="1"/>
  <c r="D413" i="7" s="1"/>
  <c r="D440" i="7" s="1"/>
  <c r="D467" i="7" s="1"/>
  <c r="D494" i="7" s="1"/>
  <c r="D521" i="7" s="1"/>
  <c r="D548" i="7" s="1"/>
  <c r="D575" i="7" s="1"/>
  <c r="D602" i="7" s="1"/>
  <c r="X683" i="7" s="1"/>
  <c r="D247" i="7"/>
  <c r="D274" i="7" s="1"/>
  <c r="D301" i="7" s="1"/>
  <c r="D328" i="7" s="1"/>
  <c r="D355" i="7" s="1"/>
  <c r="D382" i="7" s="1"/>
  <c r="D409" i="7" s="1"/>
  <c r="D436" i="7" s="1"/>
  <c r="D463" i="7" s="1"/>
  <c r="D490" i="7" s="1"/>
  <c r="D517" i="7" s="1"/>
  <c r="D544" i="7" s="1"/>
  <c r="D571" i="7" s="1"/>
  <c r="D598" i="7" s="1"/>
  <c r="X679" i="7" s="1"/>
  <c r="D243" i="7"/>
  <c r="D270" i="7" s="1"/>
  <c r="D297" i="7" s="1"/>
  <c r="D324" i="7" s="1"/>
  <c r="D351" i="7" s="1"/>
  <c r="D378" i="7" s="1"/>
  <c r="D405" i="7" s="1"/>
  <c r="D432" i="7" s="1"/>
  <c r="D459" i="7" s="1"/>
  <c r="D486" i="7" s="1"/>
  <c r="D513" i="7" s="1"/>
  <c r="D540" i="7" s="1"/>
  <c r="D567" i="7" s="1"/>
  <c r="D594" i="7" s="1"/>
  <c r="X675" i="7" s="1"/>
  <c r="D239" i="7"/>
  <c r="D266" i="7" s="1"/>
  <c r="D293" i="7" s="1"/>
  <c r="D320" i="7" s="1"/>
  <c r="D347" i="7" s="1"/>
  <c r="D374" i="7" s="1"/>
  <c r="D401" i="7" s="1"/>
  <c r="D428" i="7" s="1"/>
  <c r="D455" i="7" s="1"/>
  <c r="D482" i="7" s="1"/>
  <c r="D509" i="7" s="1"/>
  <c r="D536" i="7" s="1"/>
  <c r="D563" i="7" s="1"/>
  <c r="D590" i="7" s="1"/>
  <c r="X671" i="7" s="1"/>
  <c r="D235" i="7"/>
  <c r="D262" i="7" s="1"/>
  <c r="D289" i="7" s="1"/>
  <c r="D316" i="7" s="1"/>
  <c r="D343" i="7" s="1"/>
  <c r="D370" i="7" s="1"/>
  <c r="D397" i="7" s="1"/>
  <c r="D424" i="7" s="1"/>
  <c r="D451" i="7" s="1"/>
  <c r="D478" i="7" s="1"/>
  <c r="D505" i="7" s="1"/>
  <c r="D532" i="7" s="1"/>
  <c r="D559" i="7" s="1"/>
  <c r="D586" i="7" s="1"/>
  <c r="X667" i="7" s="1"/>
  <c r="I1364" i="10"/>
  <c r="AC664" i="7" s="1"/>
  <c r="I1368" i="10"/>
  <c r="AC668" i="7" s="1"/>
  <c r="I1372" i="10"/>
  <c r="I1376" i="10"/>
  <c r="I1388" i="10"/>
  <c r="AC688" i="7" s="1"/>
  <c r="I1392" i="10"/>
  <c r="I1396" i="10"/>
  <c r="I1400" i="10"/>
  <c r="I1404" i="10"/>
  <c r="I1408" i="10"/>
  <c r="I1412" i="10"/>
  <c r="I1365" i="10"/>
  <c r="I1369" i="10"/>
  <c r="I1373" i="10"/>
  <c r="I1385" i="10"/>
  <c r="I1389" i="10"/>
  <c r="I1393" i="10"/>
  <c r="I1397" i="10"/>
  <c r="I1401" i="10"/>
  <c r="I1405" i="10"/>
  <c r="I1409" i="10"/>
  <c r="I1413" i="10"/>
  <c r="I1366" i="10"/>
  <c r="AC666" i="7" s="1"/>
  <c r="I1370" i="10"/>
  <c r="AC670" i="7" s="1"/>
  <c r="I1374" i="10"/>
  <c r="AC674" i="7" s="1"/>
  <c r="I1378" i="10"/>
  <c r="AC678" i="7" s="1"/>
  <c r="I1386" i="10"/>
  <c r="AC686" i="7" s="1"/>
  <c r="I1390" i="10"/>
  <c r="AC691" i="7" s="1"/>
  <c r="I1394" i="10"/>
  <c r="AC695" i="7" s="1"/>
  <c r="I1398" i="10"/>
  <c r="I1402" i="10"/>
  <c r="I1406" i="10"/>
  <c r="AC707" i="7" s="1"/>
  <c r="I1410" i="10"/>
  <c r="AC711" i="7" s="1"/>
  <c r="I1414" i="10"/>
  <c r="AC715" i="7" s="1"/>
  <c r="I1363" i="10"/>
  <c r="I1367" i="10"/>
  <c r="I1371" i="10"/>
  <c r="I1375" i="10"/>
  <c r="I1387" i="10"/>
  <c r="I1391" i="10"/>
  <c r="I1395" i="10"/>
  <c r="I1399" i="10"/>
  <c r="I1403" i="10"/>
  <c r="I1407" i="10"/>
  <c r="I1411" i="10"/>
  <c r="D338" i="8"/>
  <c r="D336" i="8"/>
  <c r="D464" i="8"/>
  <c r="D462" i="8"/>
  <c r="D460" i="8"/>
  <c r="D458" i="8"/>
  <c r="D456" i="8"/>
  <c r="D448" i="8"/>
  <c r="D444" i="8"/>
  <c r="D436" i="8"/>
  <c r="D428" i="8"/>
  <c r="D394" i="8"/>
  <c r="D386" i="8"/>
  <c r="D372" i="8"/>
  <c r="D332" i="8"/>
  <c r="D330" i="8"/>
  <c r="D328" i="8"/>
  <c r="D318" i="8"/>
  <c r="D314" i="8"/>
  <c r="D312" i="8"/>
  <c r="D310" i="8"/>
  <c r="D306" i="8"/>
  <c r="D302" i="8"/>
  <c r="D300" i="8"/>
  <c r="D282" i="8"/>
  <c r="D280" i="8"/>
  <c r="D278" i="8"/>
  <c r="D274" i="8"/>
  <c r="D272" i="8"/>
  <c r="D270" i="8"/>
  <c r="D266" i="8"/>
  <c r="D264" i="8"/>
  <c r="D262" i="8"/>
  <c r="D258" i="8"/>
  <c r="D256" i="8"/>
  <c r="D250" i="8"/>
  <c r="D246" i="8"/>
  <c r="D240" i="8"/>
  <c r="D238" i="8"/>
  <c r="D236" i="8"/>
  <c r="D234" i="8"/>
  <c r="D232" i="8"/>
  <c r="D230" i="8"/>
  <c r="D228" i="8"/>
  <c r="D226" i="8"/>
  <c r="D224" i="8"/>
  <c r="D222" i="8"/>
  <c r="D220" i="8"/>
  <c r="D216" i="8"/>
  <c r="D212" i="8"/>
  <c r="D208" i="8"/>
  <c r="D204" i="8"/>
  <c r="D194" i="8"/>
  <c r="D190" i="8"/>
  <c r="D186" i="8"/>
  <c r="D180" i="8"/>
  <c r="D176" i="8"/>
  <c r="D174" i="8"/>
  <c r="D172" i="8"/>
  <c r="D170" i="8"/>
  <c r="D168" i="8"/>
  <c r="D166" i="8"/>
  <c r="D162" i="8"/>
  <c r="D158" i="8"/>
  <c r="D154" i="8"/>
  <c r="D152" i="8"/>
  <c r="D148" i="8"/>
  <c r="D146" i="8"/>
  <c r="D142" i="8"/>
  <c r="D140" i="8"/>
  <c r="D138" i="8"/>
  <c r="D136" i="8"/>
  <c r="D132" i="8"/>
  <c r="D128" i="8"/>
  <c r="D124" i="8"/>
  <c r="D114" i="8"/>
  <c r="D110" i="8"/>
  <c r="D108" i="8"/>
  <c r="D106" i="8"/>
  <c r="D100" i="8"/>
  <c r="D96" i="8"/>
  <c r="D94" i="8"/>
  <c r="D92" i="8"/>
  <c r="D90" i="8"/>
  <c r="D88" i="8"/>
  <c r="D86" i="8"/>
  <c r="D84" i="8"/>
  <c r="D82" i="8"/>
  <c r="D76" i="8"/>
  <c r="D74" i="8"/>
  <c r="D72" i="8"/>
  <c r="D70" i="8"/>
  <c r="D68" i="8"/>
  <c r="D66" i="8"/>
  <c r="D62" i="8"/>
  <c r="D56" i="8"/>
  <c r="D54" i="8"/>
  <c r="D52" i="8"/>
  <c r="D46" i="8"/>
  <c r="D42" i="8"/>
  <c r="D1298" i="8"/>
  <c r="D1291" i="8"/>
  <c r="D1275" i="8"/>
  <c r="D1259" i="8"/>
  <c r="D1243" i="8"/>
  <c r="D1227" i="8"/>
  <c r="D1211" i="8"/>
  <c r="D1195" i="8"/>
  <c r="D1191" i="8"/>
  <c r="D1175" i="8"/>
  <c r="D860" i="8"/>
  <c r="D852" i="8"/>
  <c r="D824" i="8"/>
  <c r="D816" i="8"/>
  <c r="D808" i="8"/>
  <c r="D792" i="8"/>
  <c r="D784" i="8"/>
  <c r="D732" i="8"/>
  <c r="D698" i="8"/>
  <c r="D688" i="8"/>
  <c r="D680" i="8"/>
  <c r="D668" i="8"/>
  <c r="D652" i="8"/>
  <c r="D646" i="8"/>
  <c r="D642" i="8"/>
  <c r="D632" i="8"/>
  <c r="D616" i="8"/>
  <c r="D604" i="8"/>
  <c r="D596" i="8"/>
  <c r="D552" i="8"/>
  <c r="D540" i="8"/>
  <c r="D528" i="8"/>
  <c r="D512" i="8"/>
  <c r="D494" i="8"/>
  <c r="D480" i="8"/>
  <c r="D472" i="8"/>
  <c r="D467" i="8"/>
  <c r="D459" i="8"/>
  <c r="D445" i="8"/>
  <c r="D439" i="8"/>
  <c r="D431" i="8"/>
  <c r="D425" i="8"/>
  <c r="D411" i="8"/>
  <c r="D401" i="8"/>
  <c r="D379" i="8"/>
  <c r="D363" i="8"/>
  <c r="D357" i="8"/>
  <c r="D353" i="8"/>
  <c r="D345" i="8"/>
  <c r="D341" i="8"/>
  <c r="D323" i="8"/>
  <c r="D321" i="8"/>
  <c r="D291" i="8"/>
  <c r="D289" i="8"/>
  <c r="D287" i="8"/>
  <c r="D253" i="8"/>
  <c r="D251" i="8"/>
  <c r="D249" i="8"/>
  <c r="D247" i="8"/>
  <c r="D245" i="8"/>
  <c r="D243" i="8"/>
  <c r="D241" i="8"/>
  <c r="D237" i="8"/>
  <c r="D233" i="8"/>
  <c r="D229" i="8"/>
  <c r="D225" i="8"/>
  <c r="D219" i="8"/>
  <c r="D217" i="8"/>
  <c r="D215" i="8"/>
  <c r="D213" i="8"/>
  <c r="D211" i="8"/>
  <c r="D209" i="8"/>
  <c r="D207" i="8"/>
  <c r="D205" i="8"/>
  <c r="D199" i="8"/>
  <c r="D197" i="8"/>
  <c r="D193" i="8"/>
  <c r="D191" i="8"/>
  <c r="D189" i="8"/>
  <c r="D187" i="8"/>
  <c r="D185" i="8"/>
  <c r="D181" i="8"/>
  <c r="D179" i="8"/>
  <c r="D175" i="8"/>
  <c r="D171" i="8"/>
  <c r="D167" i="8"/>
  <c r="D163" i="8"/>
  <c r="D161" i="8"/>
  <c r="D159" i="8"/>
  <c r="D157" i="8"/>
  <c r="D153" i="8"/>
  <c r="D149" i="8"/>
  <c r="D141" i="8"/>
  <c r="D137" i="8"/>
  <c r="D133" i="8"/>
  <c r="D131" i="8"/>
  <c r="D129" i="8"/>
  <c r="D127" i="8"/>
  <c r="D125" i="8"/>
  <c r="D123" i="8"/>
  <c r="D121" i="8"/>
  <c r="D115" i="8"/>
  <c r="D109" i="8"/>
  <c r="D105" i="8"/>
  <c r="D103" i="8"/>
  <c r="D101" i="8"/>
  <c r="D99" i="8"/>
  <c r="D97" i="8"/>
  <c r="D91" i="8"/>
  <c r="D87" i="8"/>
  <c r="D79" i="8"/>
  <c r="D75" i="8"/>
  <c r="D71" i="8"/>
  <c r="D65" i="8"/>
  <c r="D63" i="8"/>
  <c r="D61" i="8"/>
  <c r="D55" i="8"/>
  <c r="D51" i="8"/>
  <c r="D49" i="8"/>
  <c r="D25" i="8"/>
  <c r="D156" i="3"/>
  <c r="D104" i="3"/>
  <c r="G309" i="10"/>
  <c r="F112" i="7" s="1"/>
  <c r="J797" i="10"/>
  <c r="X833" i="7" s="1"/>
  <c r="J833" i="7" s="1"/>
  <c r="I852" i="7"/>
  <c r="I791" i="10"/>
  <c r="I801" i="10"/>
  <c r="I868" i="7"/>
  <c r="G791" i="10"/>
  <c r="G801" i="10"/>
  <c r="I803" i="10"/>
  <c r="I876" i="7"/>
  <c r="D1071" i="8"/>
  <c r="D1052" i="8"/>
  <c r="D812" i="8"/>
  <c r="D804" i="8"/>
  <c r="D763" i="8"/>
  <c r="D757" i="8"/>
  <c r="D944" i="8"/>
  <c r="D919" i="8"/>
  <c r="D911" i="8"/>
  <c r="D836" i="8"/>
  <c r="D796" i="8"/>
  <c r="D788" i="8"/>
  <c r="D779" i="8"/>
  <c r="D776" i="8"/>
  <c r="D752" i="8"/>
  <c r="C43" i="9"/>
  <c r="D877" i="8"/>
  <c r="D856" i="8"/>
  <c r="D844" i="8"/>
  <c r="D820" i="8"/>
  <c r="D765" i="8"/>
  <c r="D761" i="8"/>
  <c r="D753" i="8"/>
  <c r="D450" i="8"/>
  <c r="D449" i="8"/>
  <c r="D446" i="8"/>
  <c r="D442" i="8"/>
  <c r="D440" i="8"/>
  <c r="D437" i="8"/>
  <c r="D433" i="8"/>
  <c r="D432" i="8"/>
  <c r="D429" i="8"/>
  <c r="D427" i="8"/>
  <c r="D423" i="8"/>
  <c r="D419" i="8"/>
  <c r="D403" i="8"/>
  <c r="D396" i="8"/>
  <c r="D392" i="8"/>
  <c r="D388" i="8"/>
  <c r="D383" i="8"/>
  <c r="D376" i="8"/>
  <c r="D370" i="8"/>
  <c r="D365" i="8"/>
  <c r="D361" i="8"/>
  <c r="D355" i="8"/>
  <c r="D351" i="8"/>
  <c r="D347" i="8"/>
  <c r="D343" i="8"/>
  <c r="D337" i="8"/>
  <c r="D335" i="8"/>
  <c r="D333" i="8"/>
  <c r="D331" i="8"/>
  <c r="D329" i="8"/>
  <c r="D327" i="8"/>
  <c r="D326" i="8"/>
  <c r="D324" i="8"/>
  <c r="D322" i="8"/>
  <c r="D320" i="8"/>
  <c r="D317" i="8"/>
  <c r="D315" i="8"/>
  <c r="D313" i="8"/>
  <c r="D311" i="8"/>
  <c r="D309" i="8"/>
  <c r="D307" i="8"/>
  <c r="D303" i="8"/>
  <c r="D301" i="8"/>
  <c r="D299" i="8"/>
  <c r="D292" i="8"/>
  <c r="D290" i="8"/>
  <c r="D288" i="8"/>
  <c r="D285" i="8"/>
  <c r="D283" i="8"/>
  <c r="D281" i="8"/>
  <c r="D279" i="8"/>
  <c r="D277" i="8"/>
  <c r="D275" i="8"/>
  <c r="D273" i="8"/>
  <c r="D271" i="8"/>
  <c r="D269" i="8"/>
  <c r="D267" i="8"/>
  <c r="D265" i="8"/>
  <c r="D263" i="8"/>
  <c r="D261" i="8"/>
  <c r="D259" i="8"/>
  <c r="D257" i="8"/>
  <c r="D255" i="8"/>
  <c r="D182" i="8"/>
  <c r="D1261" i="8"/>
  <c r="D1249" i="8"/>
  <c r="D1241" i="8"/>
  <c r="D1233" i="8"/>
  <c r="D1213" i="8"/>
  <c r="D1173" i="8"/>
  <c r="D636" i="8"/>
  <c r="D633" i="8"/>
  <c r="D629" i="8"/>
  <c r="D628" i="8"/>
  <c r="D625" i="8"/>
  <c r="D620" i="8"/>
  <c r="D617" i="8"/>
  <c r="D611" i="8"/>
  <c r="D608" i="8"/>
  <c r="D607" i="8"/>
  <c r="D600" i="8"/>
  <c r="D599" i="8"/>
  <c r="D595" i="8"/>
  <c r="D592" i="8"/>
  <c r="D591" i="8"/>
  <c r="D584" i="8"/>
  <c r="D583" i="8"/>
  <c r="D578" i="8"/>
  <c r="D572" i="8"/>
  <c r="D571" i="8"/>
  <c r="D564" i="8"/>
  <c r="D563" i="8"/>
  <c r="D560" i="8"/>
  <c r="D556" i="8"/>
  <c r="D555" i="8"/>
  <c r="D548" i="8"/>
  <c r="D544" i="8"/>
  <c r="D543" i="8"/>
  <c r="D533" i="8"/>
  <c r="D532" i="8"/>
  <c r="D525" i="8"/>
  <c r="D524" i="8"/>
  <c r="D520" i="8"/>
  <c r="D516" i="8"/>
  <c r="D513" i="8"/>
  <c r="D506" i="8"/>
  <c r="D505" i="8"/>
  <c r="D502" i="8"/>
  <c r="D501" i="8"/>
  <c r="D498" i="8"/>
  <c r="D497" i="8"/>
  <c r="D492" i="8"/>
  <c r="D488" i="8"/>
  <c r="D487" i="8"/>
  <c r="D484" i="8"/>
  <c r="D483" i="8"/>
  <c r="D477" i="8"/>
  <c r="D476" i="8"/>
  <c r="D473" i="8"/>
  <c r="D469" i="8"/>
  <c r="D468" i="8"/>
  <c r="D465" i="8"/>
  <c r="D1288" i="8"/>
  <c r="D1236" i="8"/>
  <c r="D1208" i="8"/>
  <c r="D1200" i="8"/>
  <c r="D1196" i="8"/>
  <c r="D1192" i="8"/>
  <c r="D744" i="8"/>
  <c r="D741" i="8"/>
  <c r="D733" i="8"/>
  <c r="D724" i="8"/>
  <c r="D719" i="8"/>
  <c r="D714" i="8"/>
  <c r="D711" i="8"/>
  <c r="D706" i="8"/>
  <c r="D703" i="8"/>
  <c r="D691" i="8"/>
  <c r="D689" i="8"/>
  <c r="D684" i="8"/>
  <c r="D681" i="8"/>
  <c r="D677" i="8"/>
  <c r="G808" i="10"/>
  <c r="I792" i="10"/>
  <c r="G810" i="10"/>
  <c r="I802" i="10"/>
  <c r="G804" i="10"/>
  <c r="B15" i="7"/>
  <c r="D1287" i="8"/>
  <c r="D1285" i="8"/>
  <c r="D1277" i="8"/>
  <c r="D1255" i="8"/>
  <c r="D1239" i="8"/>
  <c r="D1209" i="8"/>
  <c r="D1185" i="8"/>
  <c r="D1167" i="8"/>
  <c r="D1303" i="8"/>
  <c r="D1271" i="8"/>
  <c r="D1265" i="8"/>
  <c r="D1223" i="8"/>
  <c r="D1207" i="8"/>
  <c r="D1169" i="8"/>
  <c r="B16" i="9"/>
  <c r="B17" i="9" s="1"/>
  <c r="D1302" i="8"/>
  <c r="D1296" i="8"/>
  <c r="D1294" i="8"/>
  <c r="D1286" i="8"/>
  <c r="D1254" i="8"/>
  <c r="D1242" i="8"/>
  <c r="D1230" i="8"/>
  <c r="D1224" i="8"/>
  <c r="D1214" i="8"/>
  <c r="D1210" i="8"/>
  <c r="D1182" i="8"/>
  <c r="D1176" i="8"/>
  <c r="D1166" i="8"/>
  <c r="D1158" i="8"/>
  <c r="D1150" i="8"/>
  <c r="D1142" i="8"/>
  <c r="D1134" i="8"/>
  <c r="D1126" i="8"/>
  <c r="D1118" i="8"/>
  <c r="D1117" i="8"/>
  <c r="D1109" i="8"/>
  <c r="D1102" i="8"/>
  <c r="D1093" i="8"/>
  <c r="D1079" i="8"/>
  <c r="D1068" i="8"/>
  <c r="D1063" i="8"/>
  <c r="D1036" i="8"/>
  <c r="D1024" i="8"/>
  <c r="D1016" i="8"/>
  <c r="D1008" i="8"/>
  <c r="D1000" i="8"/>
  <c r="D992" i="8"/>
  <c r="D984" i="8"/>
  <c r="D699" i="8"/>
  <c r="C16" i="9"/>
  <c r="D17" i="9" s="1"/>
  <c r="C26" i="9"/>
  <c r="D1262" i="8"/>
  <c r="D1246" i="8"/>
  <c r="D1238" i="8"/>
  <c r="D1234" i="8"/>
  <c r="D1202" i="8"/>
  <c r="D1299" i="8"/>
  <c r="D1295" i="8"/>
  <c r="D1194" i="8"/>
  <c r="C39" i="9"/>
  <c r="B45" i="9"/>
  <c r="C45" i="9"/>
  <c r="D1283" i="8"/>
  <c r="D1279" i="8"/>
  <c r="D1267" i="8"/>
  <c r="D1263" i="8"/>
  <c r="D1251" i="8"/>
  <c r="D1247" i="8"/>
  <c r="D1235" i="8"/>
  <c r="D1231" i="8"/>
  <c r="D1219" i="8"/>
  <c r="D1215" i="8"/>
  <c r="D1203" i="8"/>
  <c r="D1199" i="8"/>
  <c r="D1187" i="8"/>
  <c r="D1183" i="8"/>
  <c r="D1179" i="8"/>
  <c r="D980" i="8"/>
  <c r="D976" i="8"/>
  <c r="D968" i="8"/>
  <c r="D960" i="8"/>
  <c r="D936" i="8"/>
  <c r="D928" i="8"/>
  <c r="D903" i="8"/>
  <c r="D894" i="8"/>
  <c r="D868" i="8"/>
  <c r="D848" i="8"/>
  <c r="D828" i="8"/>
  <c r="D772" i="8"/>
  <c r="D769" i="8"/>
  <c r="D768" i="8"/>
  <c r="D760" i="8"/>
  <c r="D756" i="8"/>
  <c r="D747" i="8"/>
  <c r="D746" i="8"/>
  <c r="D694" i="8"/>
  <c r="D685" i="8"/>
  <c r="D675" i="8"/>
  <c r="B39" i="9"/>
  <c r="D582" i="8"/>
  <c r="D1110" i="8"/>
  <c r="D1094" i="8"/>
  <c r="D1075" i="8"/>
  <c r="D1067" i="8"/>
  <c r="D1059" i="8"/>
  <c r="D1044" i="8"/>
  <c r="D1012" i="8"/>
  <c r="D996" i="8"/>
  <c r="D988" i="8"/>
  <c r="D982" i="8"/>
  <c r="D981" i="8"/>
  <c r="D221" i="8"/>
  <c r="D1300" i="8"/>
  <c r="D1280" i="8"/>
  <c r="D1272" i="8"/>
  <c r="D1264" i="8"/>
  <c r="D1244" i="8"/>
  <c r="D736" i="8"/>
  <c r="D729" i="8"/>
  <c r="D728" i="8"/>
  <c r="D718" i="8"/>
  <c r="D710" i="8"/>
  <c r="D702" i="8"/>
  <c r="D701" i="8"/>
  <c r="D700" i="8"/>
  <c r="D664" i="8"/>
  <c r="D656" i="8"/>
  <c r="D398" i="8"/>
  <c r="D359" i="8"/>
  <c r="F792" i="10"/>
  <c r="G800" i="10"/>
  <c r="I804" i="10"/>
  <c r="I806" i="10"/>
  <c r="I808" i="10"/>
  <c r="I810" i="10"/>
  <c r="H792" i="10"/>
  <c r="G790" i="10"/>
  <c r="I794" i="10"/>
  <c r="J792" i="10"/>
  <c r="X828" i="7" s="1"/>
  <c r="J828" i="7" s="1"/>
  <c r="G802" i="10"/>
  <c r="I800" i="10"/>
  <c r="G792" i="10"/>
  <c r="G300" i="10"/>
  <c r="F103" i="7" s="1"/>
  <c r="J306" i="10"/>
  <c r="I109" i="7" s="1"/>
  <c r="I870" i="7"/>
  <c r="I862" i="7"/>
  <c r="I854" i="7"/>
  <c r="I872" i="7"/>
  <c r="I864" i="7"/>
  <c r="I856" i="7"/>
  <c r="I874" i="7"/>
  <c r="I866" i="7"/>
  <c r="I858" i="7"/>
  <c r="F295" i="10"/>
  <c r="E98" i="7" s="1"/>
  <c r="F125" i="7" s="1"/>
  <c r="D1292" i="8"/>
  <c r="D1290" i="8"/>
  <c r="D1284" i="8"/>
  <c r="D1282" i="8"/>
  <c r="D1278" i="8"/>
  <c r="D1276" i="8"/>
  <c r="D1274" i="8"/>
  <c r="D1270" i="8"/>
  <c r="D1268" i="8"/>
  <c r="D1266" i="8"/>
  <c r="D1260" i="8"/>
  <c r="D1258" i="8"/>
  <c r="D1256" i="8"/>
  <c r="D1252" i="8"/>
  <c r="D1250" i="8"/>
  <c r="D1248" i="8"/>
  <c r="D1240" i="8"/>
  <c r="D1232" i="8"/>
  <c r="D1228" i="8"/>
  <c r="D1226" i="8"/>
  <c r="D1222" i="8"/>
  <c r="D1220" i="8"/>
  <c r="D1218" i="8"/>
  <c r="D1216" i="8"/>
  <c r="D1212" i="8"/>
  <c r="D1206" i="8"/>
  <c r="D1204" i="8"/>
  <c r="D1198" i="8"/>
  <c r="D1190" i="8"/>
  <c r="D1188" i="8"/>
  <c r="D1186" i="8"/>
  <c r="D1184" i="8"/>
  <c r="D1180" i="8"/>
  <c r="D1178" i="8"/>
  <c r="D1174" i="8"/>
  <c r="D1172" i="8"/>
  <c r="D1170" i="8"/>
  <c r="D1168" i="8"/>
  <c r="C40" i="9"/>
  <c r="C42" i="9"/>
  <c r="D104" i="8"/>
  <c r="D67" i="8"/>
  <c r="D1141" i="8"/>
  <c r="D1125" i="8"/>
  <c r="D1121" i="8"/>
  <c r="D1119" i="8"/>
  <c r="D915" i="8"/>
  <c r="D881" i="8"/>
  <c r="D864" i="8"/>
  <c r="D850" i="8"/>
  <c r="D849" i="8"/>
  <c r="D521" i="8"/>
  <c r="D479" i="8"/>
  <c r="D254" i="8"/>
  <c r="D1076" i="8"/>
  <c r="D1060" i="8"/>
  <c r="D1048" i="8"/>
  <c r="D1046" i="8"/>
  <c r="D1045" i="8"/>
  <c r="B43" i="9"/>
  <c r="D948" i="8"/>
  <c r="D932" i="8"/>
  <c r="D923" i="8"/>
  <c r="D917" i="8"/>
  <c r="D916" i="8"/>
  <c r="D780" i="8"/>
  <c r="D774" i="8"/>
  <c r="D773" i="8"/>
  <c r="D551" i="8"/>
  <c r="D523" i="8"/>
  <c r="D522" i="8"/>
  <c r="D399" i="8"/>
  <c r="D286" i="8"/>
  <c r="D144" i="8"/>
  <c r="F316" i="10"/>
  <c r="E119" i="7" s="1"/>
  <c r="F146" i="7" s="1"/>
  <c r="I310" i="10"/>
  <c r="H113" i="7" s="1"/>
  <c r="I318" i="10"/>
  <c r="H121" i="7" s="1"/>
  <c r="J314" i="10"/>
  <c r="I117" i="7" s="1"/>
  <c r="F308" i="10"/>
  <c r="E111" i="7" s="1"/>
  <c r="L298" i="10"/>
  <c r="K101" i="7" s="1"/>
  <c r="AF101" i="7" s="1"/>
  <c r="D1157" i="8"/>
  <c r="D1149" i="8"/>
  <c r="D1145" i="8"/>
  <c r="D1143" i="8"/>
  <c r="D1101" i="8"/>
  <c r="D1089" i="8"/>
  <c r="D1078" i="8"/>
  <c r="D1077" i="8"/>
  <c r="D1028" i="8"/>
  <c r="D1020" i="8"/>
  <c r="D1014" i="8"/>
  <c r="D1013" i="8"/>
  <c r="D964" i="8"/>
  <c r="D956" i="8"/>
  <c r="D950" i="8"/>
  <c r="D949" i="8"/>
  <c r="D898" i="8"/>
  <c r="D889" i="8"/>
  <c r="D883" i="8"/>
  <c r="D882" i="8"/>
  <c r="D832" i="8"/>
  <c r="D818" i="8"/>
  <c r="D817" i="8"/>
  <c r="D802" i="8"/>
  <c r="D801" i="8"/>
  <c r="D749" i="8"/>
  <c r="D748" i="8"/>
  <c r="D731" i="8"/>
  <c r="D730" i="8"/>
  <c r="D670" i="8"/>
  <c r="D613" i="8"/>
  <c r="D553" i="8"/>
  <c r="D443" i="8"/>
  <c r="D360" i="8"/>
  <c r="L657" i="10"/>
  <c r="I657" i="10"/>
  <c r="H175" i="7" s="1"/>
  <c r="G657" i="10"/>
  <c r="J657" i="10"/>
  <c r="I175" i="7" s="1"/>
  <c r="H657" i="10"/>
  <c r="G175" i="7" s="1"/>
  <c r="F657" i="10"/>
  <c r="L655" i="10"/>
  <c r="I655" i="10"/>
  <c r="H173" i="7" s="1"/>
  <c r="G655" i="10"/>
  <c r="J655" i="10"/>
  <c r="I173" i="7" s="1"/>
  <c r="H655" i="10"/>
  <c r="G173" i="7" s="1"/>
  <c r="F655" i="10"/>
  <c r="L653" i="10"/>
  <c r="I653" i="10"/>
  <c r="H171" i="7" s="1"/>
  <c r="G653" i="10"/>
  <c r="J653" i="10"/>
  <c r="I171" i="7" s="1"/>
  <c r="H653" i="10"/>
  <c r="G171" i="7" s="1"/>
  <c r="F653" i="10"/>
  <c r="L651" i="10"/>
  <c r="I651" i="10"/>
  <c r="H169" i="7" s="1"/>
  <c r="G651" i="10"/>
  <c r="J651" i="10"/>
  <c r="I169" i="7" s="1"/>
  <c r="H651" i="10"/>
  <c r="G169" i="7" s="1"/>
  <c r="F651" i="10"/>
  <c r="L649" i="10"/>
  <c r="I649" i="10"/>
  <c r="H167" i="7" s="1"/>
  <c r="G649" i="10"/>
  <c r="J649" i="10"/>
  <c r="I167" i="7" s="1"/>
  <c r="H649" i="10"/>
  <c r="G167" i="7" s="1"/>
  <c r="F649" i="10"/>
  <c r="L647" i="10"/>
  <c r="I647" i="10"/>
  <c r="H165" i="7" s="1"/>
  <c r="G647" i="10"/>
  <c r="J647" i="10"/>
  <c r="I165" i="7" s="1"/>
  <c r="H647" i="10"/>
  <c r="G165" i="7" s="1"/>
  <c r="F647" i="10"/>
  <c r="L645" i="10"/>
  <c r="I645" i="10"/>
  <c r="H163" i="7" s="1"/>
  <c r="G645" i="10"/>
  <c r="J645" i="10"/>
  <c r="I163" i="7" s="1"/>
  <c r="H645" i="10"/>
  <c r="G163" i="7" s="1"/>
  <c r="F645" i="10"/>
  <c r="L643" i="10"/>
  <c r="I643" i="10"/>
  <c r="H161" i="7" s="1"/>
  <c r="G643" i="10"/>
  <c r="J643" i="10"/>
  <c r="I161" i="7" s="1"/>
  <c r="H643" i="10"/>
  <c r="G161" i="7" s="1"/>
  <c r="F643" i="10"/>
  <c r="I641" i="10"/>
  <c r="H159" i="7" s="1"/>
  <c r="G641" i="10"/>
  <c r="J641" i="10"/>
  <c r="I159" i="7" s="1"/>
  <c r="H641" i="10"/>
  <c r="G159" i="7" s="1"/>
  <c r="F641" i="10"/>
  <c r="L639" i="10"/>
  <c r="I639" i="10"/>
  <c r="H157" i="7" s="1"/>
  <c r="G639" i="10"/>
  <c r="J639" i="10"/>
  <c r="I157" i="7" s="1"/>
  <c r="H639" i="10"/>
  <c r="G157" i="7" s="1"/>
  <c r="F639" i="10"/>
  <c r="L637" i="10"/>
  <c r="I637" i="10"/>
  <c r="H155" i="7" s="1"/>
  <c r="G637" i="10"/>
  <c r="J637" i="10"/>
  <c r="I155" i="7" s="1"/>
  <c r="H637" i="10"/>
  <c r="G155" i="7" s="1"/>
  <c r="F637" i="10"/>
  <c r="L635" i="10"/>
  <c r="I635" i="10"/>
  <c r="H153" i="7" s="1"/>
  <c r="G635" i="10"/>
  <c r="J635" i="10"/>
  <c r="I153" i="7" s="1"/>
  <c r="H635" i="10"/>
  <c r="G153" i="7" s="1"/>
  <c r="F635" i="10"/>
  <c r="L633" i="10"/>
  <c r="I633" i="10"/>
  <c r="H151" i="7" s="1"/>
  <c r="G633" i="10"/>
  <c r="J633" i="10"/>
  <c r="I151" i="7" s="1"/>
  <c r="H633" i="10"/>
  <c r="G151" i="7" s="1"/>
  <c r="F633" i="10"/>
  <c r="L656" i="10"/>
  <c r="I656" i="10"/>
  <c r="H174" i="7" s="1"/>
  <c r="G656" i="10"/>
  <c r="J656" i="10"/>
  <c r="I174" i="7" s="1"/>
  <c r="H656" i="10"/>
  <c r="G174" i="7" s="1"/>
  <c r="F656" i="10"/>
  <c r="L654" i="10"/>
  <c r="I654" i="10"/>
  <c r="H172" i="7" s="1"/>
  <c r="G654" i="10"/>
  <c r="J654" i="10"/>
  <c r="I172" i="7" s="1"/>
  <c r="H654" i="10"/>
  <c r="G172" i="7" s="1"/>
  <c r="F654" i="10"/>
  <c r="L652" i="10"/>
  <c r="I652" i="10"/>
  <c r="H170" i="7" s="1"/>
  <c r="G652" i="10"/>
  <c r="J652" i="10"/>
  <c r="I170" i="7" s="1"/>
  <c r="H652" i="10"/>
  <c r="G170" i="7" s="1"/>
  <c r="F652" i="10"/>
  <c r="L650" i="10"/>
  <c r="I650" i="10"/>
  <c r="H168" i="7" s="1"/>
  <c r="G650" i="10"/>
  <c r="J650" i="10"/>
  <c r="I168" i="7" s="1"/>
  <c r="H650" i="10"/>
  <c r="G168" i="7" s="1"/>
  <c r="F650" i="10"/>
  <c r="L648" i="10"/>
  <c r="I648" i="10"/>
  <c r="H166" i="7" s="1"/>
  <c r="G648" i="10"/>
  <c r="J648" i="10"/>
  <c r="I166" i="7" s="1"/>
  <c r="H648" i="10"/>
  <c r="G166" i="7" s="1"/>
  <c r="F648" i="10"/>
  <c r="L646" i="10"/>
  <c r="I646" i="10"/>
  <c r="H164" i="7" s="1"/>
  <c r="G646" i="10"/>
  <c r="J646" i="10"/>
  <c r="I164" i="7" s="1"/>
  <c r="H646" i="10"/>
  <c r="G164" i="7" s="1"/>
  <c r="F646" i="10"/>
  <c r="L644" i="10"/>
  <c r="I644" i="10"/>
  <c r="H162" i="7" s="1"/>
  <c r="G644" i="10"/>
  <c r="J644" i="10"/>
  <c r="I162" i="7" s="1"/>
  <c r="H644" i="10"/>
  <c r="G162" i="7" s="1"/>
  <c r="F644" i="10"/>
  <c r="L642" i="10"/>
  <c r="I642" i="10"/>
  <c r="H160" i="7" s="1"/>
  <c r="G642" i="10"/>
  <c r="J642" i="10"/>
  <c r="I160" i="7" s="1"/>
  <c r="H642" i="10"/>
  <c r="G160" i="7" s="1"/>
  <c r="F642" i="10"/>
  <c r="L640" i="10"/>
  <c r="I640" i="10"/>
  <c r="H158" i="7" s="1"/>
  <c r="G640" i="10"/>
  <c r="J640" i="10"/>
  <c r="I158" i="7" s="1"/>
  <c r="H640" i="10"/>
  <c r="G158" i="7" s="1"/>
  <c r="F640" i="10"/>
  <c r="L638" i="10"/>
  <c r="I638" i="10"/>
  <c r="H156" i="7" s="1"/>
  <c r="G638" i="10"/>
  <c r="J638" i="10"/>
  <c r="I156" i="7" s="1"/>
  <c r="H638" i="10"/>
  <c r="G156" i="7" s="1"/>
  <c r="F638" i="10"/>
  <c r="L636" i="10"/>
  <c r="I636" i="10"/>
  <c r="H154" i="7" s="1"/>
  <c r="G636" i="10"/>
  <c r="J636" i="10"/>
  <c r="I154" i="7" s="1"/>
  <c r="H636" i="10"/>
  <c r="G154" i="7" s="1"/>
  <c r="F636" i="10"/>
  <c r="L634" i="10"/>
  <c r="I634" i="10"/>
  <c r="H152" i="7" s="1"/>
  <c r="G634" i="10"/>
  <c r="J634" i="10"/>
  <c r="I152" i="7" s="1"/>
  <c r="H634" i="10"/>
  <c r="G152" i="7" s="1"/>
  <c r="F634" i="10"/>
  <c r="L632" i="10"/>
  <c r="I632" i="10"/>
  <c r="H150" i="7" s="1"/>
  <c r="G632" i="10"/>
  <c r="J632" i="10"/>
  <c r="I150" i="7" s="1"/>
  <c r="H632" i="10"/>
  <c r="G150" i="7" s="1"/>
  <c r="F632" i="10"/>
  <c r="L315" i="10"/>
  <c r="K118" i="7" s="1"/>
  <c r="AF118" i="7" s="1"/>
  <c r="F300" i="10"/>
  <c r="E103" i="7" s="1"/>
  <c r="D1161" i="8"/>
  <c r="D1159" i="8"/>
  <c r="D1133" i="8"/>
  <c r="D1129" i="8"/>
  <c r="D1127" i="8"/>
  <c r="D1105" i="8"/>
  <c r="D1103" i="8"/>
  <c r="D1064" i="8"/>
  <c r="D1062" i="8"/>
  <c r="D1061" i="8"/>
  <c r="D1032" i="8"/>
  <c r="D1030" i="8"/>
  <c r="D1029" i="8"/>
  <c r="D1004" i="8"/>
  <c r="D998" i="8"/>
  <c r="D997" i="8"/>
  <c r="D972" i="8"/>
  <c r="D966" i="8"/>
  <c r="D965" i="8"/>
  <c r="D940" i="8"/>
  <c r="D934" i="8"/>
  <c r="D933" i="8"/>
  <c r="D907" i="8"/>
  <c r="D901" i="8"/>
  <c r="D900" i="8"/>
  <c r="D873" i="8"/>
  <c r="D866" i="8"/>
  <c r="D865" i="8"/>
  <c r="D834" i="8"/>
  <c r="D833" i="8"/>
  <c r="D790" i="8"/>
  <c r="D789" i="8"/>
  <c r="D764" i="8"/>
  <c r="D758" i="8"/>
  <c r="D717" i="8"/>
  <c r="D716" i="8"/>
  <c r="D686" i="8"/>
  <c r="D655" i="8"/>
  <c r="D654" i="8"/>
  <c r="D630" i="8"/>
  <c r="D598" i="8"/>
  <c r="D597" i="8"/>
  <c r="D569" i="8"/>
  <c r="D380" i="8"/>
  <c r="D344" i="8"/>
  <c r="D1113" i="8"/>
  <c r="D1111" i="8"/>
  <c r="D1097" i="8"/>
  <c r="D1095" i="8"/>
  <c r="D1072" i="8"/>
  <c r="D1070" i="8"/>
  <c r="D1069" i="8"/>
  <c r="D1056" i="8"/>
  <c r="D1054" i="8"/>
  <c r="D1053" i="8"/>
  <c r="D1040" i="8"/>
  <c r="D1038" i="8"/>
  <c r="D1037" i="8"/>
  <c r="D1026" i="8"/>
  <c r="D1022" i="8"/>
  <c r="D1021" i="8"/>
  <c r="D1006" i="8"/>
  <c r="D1005" i="8"/>
  <c r="D990" i="8"/>
  <c r="D989" i="8"/>
  <c r="D974" i="8"/>
  <c r="D973" i="8"/>
  <c r="D958" i="8"/>
  <c r="D957" i="8"/>
  <c r="D942" i="8"/>
  <c r="D941" i="8"/>
  <c r="D926" i="8"/>
  <c r="D925" i="8"/>
  <c r="D909" i="8"/>
  <c r="D908" i="8"/>
  <c r="D891" i="8"/>
  <c r="D890" i="8"/>
  <c r="D875" i="8"/>
  <c r="D874" i="8"/>
  <c r="D858" i="8"/>
  <c r="D857" i="8"/>
  <c r="D842" i="8"/>
  <c r="D841" i="8"/>
  <c r="D826" i="8"/>
  <c r="D825" i="8"/>
  <c r="D810" i="8"/>
  <c r="D809" i="8"/>
  <c r="D798" i="8"/>
  <c r="D797" i="8"/>
  <c r="D782" i="8"/>
  <c r="D781" i="8"/>
  <c r="D1165" i="8"/>
  <c r="D1163" i="8"/>
  <c r="D1162" i="8"/>
  <c r="D1153" i="8"/>
  <c r="D1151" i="8"/>
  <c r="D1137" i="8"/>
  <c r="D1135" i="8"/>
  <c r="D739" i="8"/>
  <c r="D738" i="8"/>
  <c r="D723" i="8"/>
  <c r="D709" i="8"/>
  <c r="D708" i="8"/>
  <c r="D693" i="8"/>
  <c r="D692" i="8"/>
  <c r="D678" i="8"/>
  <c r="D663" i="8"/>
  <c r="D662" i="8"/>
  <c r="D645" i="8"/>
  <c r="D644" i="8"/>
  <c r="D638" i="8"/>
  <c r="D622" i="8"/>
  <c r="D606" i="8"/>
  <c r="D605" i="8"/>
  <c r="D590" i="8"/>
  <c r="D589" i="8"/>
  <c r="D575" i="8"/>
  <c r="D561" i="8"/>
  <c r="D545" i="8"/>
  <c r="D531" i="8"/>
  <c r="D530" i="8"/>
  <c r="D515" i="8"/>
  <c r="D514" i="8"/>
  <c r="D457" i="8"/>
  <c r="D420" i="8"/>
  <c r="D391" i="8"/>
  <c r="D368" i="8"/>
  <c r="D352" i="8"/>
  <c r="J318" i="10"/>
  <c r="I121" i="7" s="1"/>
  <c r="I314" i="10"/>
  <c r="H117" i="7" s="1"/>
  <c r="F312" i="10"/>
  <c r="E115" i="7" s="1"/>
  <c r="J310" i="10"/>
  <c r="I113" i="7" s="1"/>
  <c r="I306" i="10"/>
  <c r="H109" i="7" s="1"/>
  <c r="F304" i="10"/>
  <c r="E107" i="7" s="1"/>
  <c r="H302" i="10"/>
  <c r="G105" i="7" s="1"/>
  <c r="J296" i="10"/>
  <c r="I99" i="7" s="1"/>
  <c r="G294" i="10"/>
  <c r="F97" i="7" s="1"/>
  <c r="H313" i="10"/>
  <c r="G116" i="7" s="1"/>
  <c r="J307" i="10"/>
  <c r="I110" i="7" s="1"/>
  <c r="L301" i="10"/>
  <c r="K104" i="7" s="1"/>
  <c r="AF104" i="7" s="1"/>
  <c r="H317" i="10"/>
  <c r="G120" i="7" s="1"/>
  <c r="L311" i="10"/>
  <c r="K114" i="7" s="1"/>
  <c r="AF114" i="7" s="1"/>
  <c r="F305" i="10"/>
  <c r="E108" i="7" s="1"/>
  <c r="G317" i="10"/>
  <c r="F120" i="7" s="1"/>
  <c r="I96" i="7"/>
  <c r="I295" i="10"/>
  <c r="H98" i="7" s="1"/>
  <c r="G313" i="10"/>
  <c r="F116" i="7" s="1"/>
  <c r="H309" i="10"/>
  <c r="G112" i="7" s="1"/>
  <c r="F318" i="10"/>
  <c r="E121" i="7" s="1"/>
  <c r="F148" i="7" s="1"/>
  <c r="J316" i="10"/>
  <c r="I119" i="7" s="1"/>
  <c r="F314" i="10"/>
  <c r="E117" i="7" s="1"/>
  <c r="J312" i="10"/>
  <c r="I115" i="7" s="1"/>
  <c r="F310" i="10"/>
  <c r="E113" i="7" s="1"/>
  <c r="J308" i="10"/>
  <c r="I111" i="7" s="1"/>
  <c r="F306" i="10"/>
  <c r="E109" i="7" s="1"/>
  <c r="F136" i="7" s="1"/>
  <c r="J304" i="10"/>
  <c r="I107" i="7" s="1"/>
  <c r="I302" i="10"/>
  <c r="H105" i="7" s="1"/>
  <c r="J300" i="10"/>
  <c r="I103" i="7" s="1"/>
  <c r="H298" i="10"/>
  <c r="G101" i="7" s="1"/>
  <c r="G296" i="10"/>
  <c r="F99" i="7" s="1"/>
  <c r="I877" i="7"/>
  <c r="I875" i="7"/>
  <c r="I873" i="7"/>
  <c r="I871" i="7"/>
  <c r="I869" i="7"/>
  <c r="I867" i="7"/>
  <c r="I865" i="7"/>
  <c r="I863" i="7"/>
  <c r="I861" i="7"/>
  <c r="I859" i="7"/>
  <c r="I857" i="7"/>
  <c r="I855" i="7"/>
  <c r="I853" i="7"/>
  <c r="H2208" i="10"/>
  <c r="G2208" i="10" s="1"/>
  <c r="F2208" i="10" s="1"/>
  <c r="I2520" i="10"/>
  <c r="H864" i="7" s="1"/>
  <c r="I316" i="10"/>
  <c r="H119" i="7" s="1"/>
  <c r="I312" i="10"/>
  <c r="H115" i="7" s="1"/>
  <c r="I308" i="10"/>
  <c r="H111" i="7" s="1"/>
  <c r="I304" i="10"/>
  <c r="H107" i="7" s="1"/>
  <c r="I296" i="10"/>
  <c r="H99" i="7" s="1"/>
  <c r="L300" i="10"/>
  <c r="K103" i="7" s="1"/>
  <c r="AF103" i="7" s="1"/>
  <c r="F296" i="10"/>
  <c r="E99" i="7" s="1"/>
  <c r="I1377" i="10"/>
  <c r="AC677" i="7" s="1"/>
  <c r="I1382" i="10"/>
  <c r="AC682" i="7" s="1"/>
  <c r="I1383" i="10"/>
  <c r="AC683" i="7" s="1"/>
  <c r="I1384" i="10"/>
  <c r="AC684" i="7" s="1"/>
  <c r="I1379" i="10"/>
  <c r="AC679" i="7" s="1"/>
  <c r="I1380" i="10"/>
  <c r="AC680" i="7" s="1"/>
  <c r="I1381" i="10"/>
  <c r="AC681" i="7" s="1"/>
  <c r="C44" i="9"/>
  <c r="D1155" i="8"/>
  <c r="D1154" i="8"/>
  <c r="D1147" i="8"/>
  <c r="D1146" i="8"/>
  <c r="D1139" i="8"/>
  <c r="D1138" i="8"/>
  <c r="D1131" i="8"/>
  <c r="D1130" i="8"/>
  <c r="D1123" i="8"/>
  <c r="D1122" i="8"/>
  <c r="D1115" i="8"/>
  <c r="D1114" i="8"/>
  <c r="D1107" i="8"/>
  <c r="D1106" i="8"/>
  <c r="D1099" i="8"/>
  <c r="D1098" i="8"/>
  <c r="D1091" i="8"/>
  <c r="D1090" i="8"/>
  <c r="D1074" i="8"/>
  <c r="D1073" i="8"/>
  <c r="D1066" i="8"/>
  <c r="D1065" i="8"/>
  <c r="D1058" i="8"/>
  <c r="D1057" i="8"/>
  <c r="D1050" i="8"/>
  <c r="D1049" i="8"/>
  <c r="D1042" i="8"/>
  <c r="D1041" i="8"/>
  <c r="D1034" i="8"/>
  <c r="D1033" i="8"/>
  <c r="D1025" i="8"/>
  <c r="D1018" i="8"/>
  <c r="D1017" i="8"/>
  <c r="D1010" i="8"/>
  <c r="D1009" i="8"/>
  <c r="D1002" i="8"/>
  <c r="D1001" i="8"/>
  <c r="D994" i="8"/>
  <c r="D993" i="8"/>
  <c r="D986" i="8"/>
  <c r="D985" i="8"/>
  <c r="D978" i="8"/>
  <c r="D977" i="8"/>
  <c r="D970" i="8"/>
  <c r="D969" i="8"/>
  <c r="D962" i="8"/>
  <c r="D961" i="8"/>
  <c r="D954" i="8"/>
  <c r="D953" i="8"/>
  <c r="D946" i="8"/>
  <c r="D945" i="8"/>
  <c r="D938" i="8"/>
  <c r="D937" i="8"/>
  <c r="D930" i="8"/>
  <c r="D929" i="8"/>
  <c r="D921" i="8"/>
  <c r="D920" i="8"/>
  <c r="D913" i="8"/>
  <c r="D912" i="8"/>
  <c r="D905" i="8"/>
  <c r="D904" i="8"/>
  <c r="D896" i="8"/>
  <c r="D895" i="8"/>
  <c r="D887" i="8"/>
  <c r="D886" i="8"/>
  <c r="D879" i="8"/>
  <c r="D878" i="8"/>
  <c r="D871" i="8"/>
  <c r="D870" i="8"/>
  <c r="D862" i="8"/>
  <c r="D861" i="8"/>
  <c r="D854" i="8"/>
  <c r="D853" i="8"/>
  <c r="D846" i="8"/>
  <c r="D845" i="8"/>
  <c r="D838" i="8"/>
  <c r="D837" i="8"/>
  <c r="D830" i="8"/>
  <c r="D829" i="8"/>
  <c r="D822" i="8"/>
  <c r="D821" i="8"/>
  <c r="D814" i="8"/>
  <c r="D813" i="8"/>
  <c r="D806" i="8"/>
  <c r="D805" i="8"/>
  <c r="D794" i="8"/>
  <c r="D793" i="8"/>
  <c r="D786" i="8"/>
  <c r="D785" i="8"/>
  <c r="D778" i="8"/>
  <c r="D770" i="8"/>
  <c r="D762" i="8"/>
  <c r="D754" i="8"/>
  <c r="D742" i="8"/>
  <c r="D735" i="8"/>
  <c r="D734" i="8"/>
  <c r="D727" i="8"/>
  <c r="D726" i="8"/>
  <c r="D720" i="8"/>
  <c r="D713" i="8"/>
  <c r="D712" i="8"/>
  <c r="D705" i="8"/>
  <c r="D704" i="8"/>
  <c r="D697" i="8"/>
  <c r="D696" i="8"/>
  <c r="D682" i="8"/>
  <c r="D667" i="8"/>
  <c r="D666" i="8"/>
  <c r="D659" i="8"/>
  <c r="D658" i="8"/>
  <c r="D651" i="8"/>
  <c r="D650" i="8"/>
  <c r="D641" i="8"/>
  <c r="D640" i="8"/>
  <c r="D634" i="8"/>
  <c r="D626" i="8"/>
  <c r="D618" i="8"/>
  <c r="D610" i="8"/>
  <c r="D609" i="8"/>
  <c r="D602" i="8"/>
  <c r="D601" i="8"/>
  <c r="D594" i="8"/>
  <c r="D593" i="8"/>
  <c r="D586" i="8"/>
  <c r="D585" i="8"/>
  <c r="D579" i="8"/>
  <c r="D565" i="8"/>
  <c r="D557" i="8"/>
  <c r="D549" i="8"/>
  <c r="D541" i="8"/>
  <c r="D535" i="8"/>
  <c r="D534" i="8"/>
  <c r="D527" i="8"/>
  <c r="D526" i="8"/>
  <c r="D519" i="8"/>
  <c r="D518" i="8"/>
  <c r="D511" i="8"/>
  <c r="D510" i="8"/>
  <c r="D491" i="8"/>
  <c r="D461" i="8"/>
  <c r="D447" i="8"/>
  <c r="D424" i="8"/>
  <c r="D404" i="8"/>
  <c r="D395" i="8"/>
  <c r="D387" i="8"/>
  <c r="D375" i="8"/>
  <c r="D364" i="8"/>
  <c r="D356" i="8"/>
  <c r="D348" i="8"/>
  <c r="D340" i="8"/>
  <c r="H2132" i="10"/>
  <c r="G2132" i="10" s="1"/>
  <c r="F2132" i="10" s="1"/>
  <c r="I2522" i="10"/>
  <c r="H866" i="7" s="1"/>
  <c r="I805" i="10"/>
  <c r="H2108" i="10"/>
  <c r="G2108" i="10" s="1"/>
  <c r="F2108" i="10" s="1"/>
  <c r="I2524" i="10"/>
  <c r="H868" i="7" s="1"/>
  <c r="H2224" i="10"/>
  <c r="I2510" i="10"/>
  <c r="H854" i="7" s="1"/>
  <c r="G297" i="10"/>
  <c r="F100" i="7" s="1"/>
  <c r="J1336" i="10"/>
  <c r="I879" i="7" s="1"/>
  <c r="J1337" i="10"/>
  <c r="I880" i="7" s="1"/>
  <c r="J1338" i="10"/>
  <c r="I881" i="7" s="1"/>
  <c r="J1339" i="10"/>
  <c r="I882" i="7" s="1"/>
  <c r="J1340" i="10"/>
  <c r="I883" i="7" s="1"/>
  <c r="J1341" i="10"/>
  <c r="I884" i="7" s="1"/>
  <c r="J1342" i="10"/>
  <c r="I885" i="7" s="1"/>
  <c r="J1343" i="10"/>
  <c r="I886" i="7" s="1"/>
  <c r="J1344" i="10"/>
  <c r="I887" i="7" s="1"/>
  <c r="J1345" i="10"/>
  <c r="I888" i="7" s="1"/>
  <c r="J1346" i="10"/>
  <c r="I889" i="7" s="1"/>
  <c r="J1347" i="10"/>
  <c r="I890" i="7" s="1"/>
  <c r="J1348" i="10"/>
  <c r="I891" i="7" s="1"/>
  <c r="J1349" i="10"/>
  <c r="I892" i="7" s="1"/>
  <c r="J1350" i="10"/>
  <c r="I893" i="7" s="1"/>
  <c r="J1351" i="10"/>
  <c r="I894" i="7" s="1"/>
  <c r="J1352" i="10"/>
  <c r="I895" i="7" s="1"/>
  <c r="J1353" i="10"/>
  <c r="I896" i="7" s="1"/>
  <c r="J1354" i="10"/>
  <c r="I897" i="7" s="1"/>
  <c r="J1355" i="10"/>
  <c r="I898" i="7" s="1"/>
  <c r="J1356" i="10"/>
  <c r="I899" i="7" s="1"/>
  <c r="J1357" i="10"/>
  <c r="I900" i="7" s="1"/>
  <c r="J1358" i="10"/>
  <c r="I901" i="7" s="1"/>
  <c r="J1359" i="10"/>
  <c r="I902" i="7" s="1"/>
  <c r="J1360" i="10"/>
  <c r="I903" i="7" s="1"/>
  <c r="J1361" i="10"/>
  <c r="I904" i="7" s="1"/>
  <c r="I789" i="10"/>
  <c r="I807" i="10"/>
  <c r="F812" i="10"/>
  <c r="F806" i="10"/>
  <c r="F796" i="10"/>
  <c r="D275" i="3"/>
  <c r="D79" i="3"/>
  <c r="D235" i="3"/>
  <c r="B41" i="9"/>
  <c r="D1164" i="8"/>
  <c r="D1160" i="8"/>
  <c r="D1156" i="8"/>
  <c r="D1152" i="8"/>
  <c r="D1148" i="8"/>
  <c r="D1144" i="8"/>
  <c r="D1140" i="8"/>
  <c r="D1136" i="8"/>
  <c r="D1132" i="8"/>
  <c r="D1128" i="8"/>
  <c r="D1124" i="8"/>
  <c r="D1120" i="8"/>
  <c r="D1116" i="8"/>
  <c r="D1112" i="8"/>
  <c r="D1108" i="8"/>
  <c r="D1104" i="8"/>
  <c r="D1100" i="8"/>
  <c r="D1096" i="8"/>
  <c r="D1092" i="8"/>
  <c r="D1055" i="8"/>
  <c r="D1051" i="8"/>
  <c r="D1047" i="8"/>
  <c r="D1043" i="8"/>
  <c r="D1039" i="8"/>
  <c r="D1035" i="8"/>
  <c r="D1031" i="8"/>
  <c r="D1027" i="8"/>
  <c r="D1023" i="8"/>
  <c r="D1019" i="8"/>
  <c r="D1015" i="8"/>
  <c r="D1011" i="8"/>
  <c r="D1007" i="8"/>
  <c r="D1003" i="8"/>
  <c r="D999" i="8"/>
  <c r="D995" i="8"/>
  <c r="D991" i="8"/>
  <c r="D987" i="8"/>
  <c r="D983" i="8"/>
  <c r="D979" i="8"/>
  <c r="D975" i="8"/>
  <c r="D971" i="8"/>
  <c r="D967" i="8"/>
  <c r="D963" i="8"/>
  <c r="D959" i="8"/>
  <c r="D955" i="8"/>
  <c r="D951" i="8"/>
  <c r="D947" i="8"/>
  <c r="D943" i="8"/>
  <c r="D939" i="8"/>
  <c r="D935" i="8"/>
  <c r="D931" i="8"/>
  <c r="D927" i="8"/>
  <c r="D922" i="8"/>
  <c r="D918" i="8"/>
  <c r="D914" i="8"/>
  <c r="D910" i="8"/>
  <c r="D906" i="8"/>
  <c r="D902" i="8"/>
  <c r="D897" i="8"/>
  <c r="D892" i="8"/>
  <c r="D888" i="8"/>
  <c r="D884" i="8"/>
  <c r="D880" i="8"/>
  <c r="D876" i="8"/>
  <c r="D872" i="8"/>
  <c r="D867" i="8"/>
  <c r="D863" i="8"/>
  <c r="D859" i="8"/>
  <c r="D855" i="8"/>
  <c r="D851" i="8"/>
  <c r="D847" i="8"/>
  <c r="D843" i="8"/>
  <c r="D839" i="8"/>
  <c r="D835" i="8"/>
  <c r="D831" i="8"/>
  <c r="D827" i="8"/>
  <c r="D823" i="8"/>
  <c r="D819" i="8"/>
  <c r="D815" i="8"/>
  <c r="D811" i="8"/>
  <c r="D807" i="8"/>
  <c r="D803" i="8"/>
  <c r="D799" i="8"/>
  <c r="D795" i="8"/>
  <c r="D791" i="8"/>
  <c r="B44" i="9"/>
  <c r="D787" i="8"/>
  <c r="D783" i="8"/>
  <c r="D775" i="8"/>
  <c r="D767" i="8"/>
  <c r="D766" i="8"/>
  <c r="D759" i="8"/>
  <c r="D751" i="8"/>
  <c r="D750" i="8"/>
  <c r="D743" i="8"/>
  <c r="D687" i="8"/>
  <c r="D683" i="8"/>
  <c r="D673" i="8"/>
  <c r="D635" i="8"/>
  <c r="D631" i="8"/>
  <c r="D627" i="8"/>
  <c r="D623" i="8"/>
  <c r="D619" i="8"/>
  <c r="D615" i="8"/>
  <c r="D580" i="8"/>
  <c r="D576" i="8"/>
  <c r="D570" i="8"/>
  <c r="D566" i="8"/>
  <c r="D562" i="8"/>
  <c r="D558" i="8"/>
  <c r="D554" i="8"/>
  <c r="D550" i="8"/>
  <c r="D546" i="8"/>
  <c r="B40" i="9"/>
  <c r="B42" i="9"/>
  <c r="D504" i="8"/>
  <c r="D500" i="8"/>
  <c r="D496" i="8"/>
  <c r="D486" i="8"/>
  <c r="D482" i="8"/>
  <c r="D478" i="8"/>
  <c r="D474" i="8"/>
  <c r="D470" i="8"/>
  <c r="D466" i="8"/>
  <c r="D452" i="8"/>
  <c r="D438" i="8"/>
  <c r="D434" i="8"/>
  <c r="D430" i="8"/>
  <c r="D426" i="8"/>
  <c r="D422" i="8"/>
  <c r="D413" i="8"/>
  <c r="D402" i="8"/>
  <c r="D397" i="8"/>
  <c r="D393" i="8"/>
  <c r="D389" i="8"/>
  <c r="D385" i="8"/>
  <c r="D377" i="8"/>
  <c r="D371" i="8"/>
  <c r="D366" i="8"/>
  <c r="D362" i="8"/>
  <c r="D358" i="8"/>
  <c r="D354" i="8"/>
  <c r="D350" i="8"/>
  <c r="D346" i="8"/>
  <c r="D342" i="8"/>
  <c r="J295" i="10"/>
  <c r="I98" i="7" s="1"/>
  <c r="L297" i="10"/>
  <c r="K100" i="7" s="1"/>
  <c r="AF100" i="7" s="1"/>
  <c r="F802" i="10"/>
  <c r="F791" i="10"/>
  <c r="F808" i="10"/>
  <c r="F810" i="10"/>
  <c r="F794" i="10"/>
  <c r="F804" i="10"/>
  <c r="F790" i="10"/>
  <c r="F814" i="10"/>
  <c r="F800" i="10"/>
  <c r="F801" i="10"/>
  <c r="J798" i="10"/>
  <c r="X834" i="7" s="1"/>
  <c r="J834" i="7" s="1"/>
  <c r="H803" i="10"/>
  <c r="J789" i="10"/>
  <c r="X825" i="7" s="1"/>
  <c r="J825" i="7" s="1"/>
  <c r="H790" i="10"/>
  <c r="J790" i="10"/>
  <c r="X826" i="7" s="1"/>
  <c r="J826" i="7" s="1"/>
  <c r="H791" i="10"/>
  <c r="J791" i="10"/>
  <c r="X827" i="7" s="1"/>
  <c r="J827" i="7" s="1"/>
  <c r="H800" i="10"/>
  <c r="J800" i="10"/>
  <c r="X836" i="7" s="1"/>
  <c r="J836" i="7" s="1"/>
  <c r="H801" i="10"/>
  <c r="J801" i="10"/>
  <c r="X837" i="7" s="1"/>
  <c r="J837" i="7" s="1"/>
  <c r="H802" i="10"/>
  <c r="J802" i="10"/>
  <c r="X838" i="7" s="1"/>
  <c r="J838" i="7" s="1"/>
  <c r="J803" i="10"/>
  <c r="X839" i="7" s="1"/>
  <c r="J839" i="7" s="1"/>
  <c r="H804" i="10"/>
  <c r="J804" i="10"/>
  <c r="X840" i="7" s="1"/>
  <c r="J840" i="7" s="1"/>
  <c r="J805" i="10"/>
  <c r="X841" i="7" s="1"/>
  <c r="J841" i="7" s="1"/>
  <c r="H806" i="10"/>
  <c r="J806" i="10"/>
  <c r="X842" i="7" s="1"/>
  <c r="J842" i="7" s="1"/>
  <c r="J807" i="10"/>
  <c r="X843" i="7" s="1"/>
  <c r="J843" i="7" s="1"/>
  <c r="H808" i="10"/>
  <c r="J808" i="10"/>
  <c r="X844" i="7" s="1"/>
  <c r="J844" i="7" s="1"/>
  <c r="J809" i="10"/>
  <c r="X845" i="7" s="1"/>
  <c r="J845" i="7" s="1"/>
  <c r="H810" i="10"/>
  <c r="J810" i="10"/>
  <c r="X846" i="7" s="1"/>
  <c r="J846" i="7" s="1"/>
  <c r="J811" i="10"/>
  <c r="X847" i="7" s="1"/>
  <c r="J847" i="7" s="1"/>
  <c r="G812" i="10"/>
  <c r="H812" i="10"/>
  <c r="I812" i="10"/>
  <c r="J812" i="10"/>
  <c r="X848" i="7" s="1"/>
  <c r="J848" i="7" s="1"/>
  <c r="J813" i="10"/>
  <c r="X849" i="7" s="1"/>
  <c r="J849" i="7" s="1"/>
  <c r="G814" i="10"/>
  <c r="H814" i="10"/>
  <c r="I814" i="10"/>
  <c r="J814" i="10"/>
  <c r="X850" i="7" s="1"/>
  <c r="J850" i="7" s="1"/>
  <c r="J799" i="10"/>
  <c r="X835" i="7" s="1"/>
  <c r="J835" i="7" s="1"/>
  <c r="J796" i="10"/>
  <c r="X832" i="7" s="1"/>
  <c r="J832" i="7" s="1"/>
  <c r="I796" i="10"/>
  <c r="H796" i="10"/>
  <c r="G796" i="10"/>
  <c r="J795" i="10"/>
  <c r="X831" i="7" s="1"/>
  <c r="J831" i="7" s="1"/>
  <c r="J794" i="10"/>
  <c r="X830" i="7" s="1"/>
  <c r="J830" i="7" s="1"/>
  <c r="H794" i="10"/>
  <c r="J793" i="10"/>
  <c r="X829" i="7" s="1"/>
  <c r="J829" i="7" s="1"/>
  <c r="I294" i="10"/>
  <c r="H97" i="7" s="1"/>
  <c r="J294" i="10"/>
  <c r="I97" i="7" s="1"/>
  <c r="F294" i="10"/>
  <c r="E97" i="7" s="1"/>
  <c r="F124" i="7" s="1"/>
  <c r="H294" i="10"/>
  <c r="G97" i="7" s="1"/>
  <c r="L294" i="10"/>
  <c r="K97" i="7" s="1"/>
  <c r="AF97" i="7" s="1"/>
  <c r="H318" i="10"/>
  <c r="G121" i="7" s="1"/>
  <c r="L318" i="10"/>
  <c r="K121" i="7" s="1"/>
  <c r="AF121" i="7" s="1"/>
  <c r="G318" i="10"/>
  <c r="F121" i="7" s="1"/>
  <c r="H316" i="10"/>
  <c r="G119" i="7" s="1"/>
  <c r="L316" i="10"/>
  <c r="K119" i="7" s="1"/>
  <c r="AF119" i="7" s="1"/>
  <c r="G316" i="10"/>
  <c r="F119" i="7" s="1"/>
  <c r="H314" i="10"/>
  <c r="G117" i="7" s="1"/>
  <c r="L314" i="10"/>
  <c r="K117" i="7" s="1"/>
  <c r="AF117" i="7" s="1"/>
  <c r="G314" i="10"/>
  <c r="F117" i="7" s="1"/>
  <c r="H312" i="10"/>
  <c r="G115" i="7" s="1"/>
  <c r="L312" i="10"/>
  <c r="K115" i="7" s="1"/>
  <c r="AF115" i="7" s="1"/>
  <c r="G312" i="10"/>
  <c r="F115" i="7" s="1"/>
  <c r="H310" i="10"/>
  <c r="G113" i="7" s="1"/>
  <c r="L310" i="10"/>
  <c r="K113" i="7" s="1"/>
  <c r="AF113" i="7" s="1"/>
  <c r="G310" i="10"/>
  <c r="F113" i="7" s="1"/>
  <c r="H308" i="10"/>
  <c r="G111" i="7" s="1"/>
  <c r="L308" i="10"/>
  <c r="K111" i="7" s="1"/>
  <c r="AF111" i="7" s="1"/>
  <c r="G308" i="10"/>
  <c r="F111" i="7" s="1"/>
  <c r="H306" i="10"/>
  <c r="G109" i="7" s="1"/>
  <c r="L306" i="10"/>
  <c r="K109" i="7" s="1"/>
  <c r="AF109" i="7" s="1"/>
  <c r="G306" i="10"/>
  <c r="F109" i="7" s="1"/>
  <c r="H304" i="10"/>
  <c r="G107" i="7" s="1"/>
  <c r="L304" i="10"/>
  <c r="K107" i="7" s="1"/>
  <c r="AF107" i="7" s="1"/>
  <c r="G304" i="10"/>
  <c r="F107" i="7" s="1"/>
  <c r="G302" i="10"/>
  <c r="F105" i="7" s="1"/>
  <c r="J302" i="10"/>
  <c r="I105" i="7" s="1"/>
  <c r="F302" i="10"/>
  <c r="E105" i="7" s="1"/>
  <c r="L302" i="10"/>
  <c r="K105" i="7" s="1"/>
  <c r="AF105" i="7" s="1"/>
  <c r="H300" i="10"/>
  <c r="G103" i="7" s="1"/>
  <c r="I300" i="10"/>
  <c r="H103" i="7" s="1"/>
  <c r="G298" i="10"/>
  <c r="F101" i="7" s="1"/>
  <c r="J298" i="10"/>
  <c r="I101" i="7" s="1"/>
  <c r="F298" i="10"/>
  <c r="E101" i="7" s="1"/>
  <c r="I298" i="10"/>
  <c r="H101" i="7" s="1"/>
  <c r="H296" i="10"/>
  <c r="G99" i="7" s="1"/>
  <c r="L296" i="10"/>
  <c r="K99" i="7" s="1"/>
  <c r="AF99" i="7" s="1"/>
  <c r="I293" i="10"/>
  <c r="H96" i="7" s="1"/>
  <c r="H315" i="10"/>
  <c r="G118" i="7" s="1"/>
  <c r="H311" i="10"/>
  <c r="G114" i="7" s="1"/>
  <c r="F307" i="10"/>
  <c r="E110" i="7" s="1"/>
  <c r="F137" i="7" s="1"/>
  <c r="H303" i="10"/>
  <c r="G106" i="7" s="1"/>
  <c r="H299" i="10"/>
  <c r="G102" i="7" s="1"/>
  <c r="J317" i="10"/>
  <c r="I120" i="7" s="1"/>
  <c r="F317" i="10"/>
  <c r="E120" i="7" s="1"/>
  <c r="I317" i="10"/>
  <c r="H120" i="7" s="1"/>
  <c r="J313" i="10"/>
  <c r="I116" i="7" s="1"/>
  <c r="F313" i="10"/>
  <c r="E116" i="7" s="1"/>
  <c r="F143" i="7" s="1"/>
  <c r="I313" i="10"/>
  <c r="H116" i="7" s="1"/>
  <c r="J309" i="10"/>
  <c r="I112" i="7" s="1"/>
  <c r="F309" i="10"/>
  <c r="E112" i="7" s="1"/>
  <c r="I309" i="10"/>
  <c r="H112" i="7" s="1"/>
  <c r="H305" i="10"/>
  <c r="G108" i="7" s="1"/>
  <c r="L305" i="10"/>
  <c r="K108" i="7" s="1"/>
  <c r="AF108" i="7" s="1"/>
  <c r="G305" i="10"/>
  <c r="F108" i="7" s="1"/>
  <c r="J301" i="10"/>
  <c r="I104" i="7" s="1"/>
  <c r="F301" i="10"/>
  <c r="E104" i="7" s="1"/>
  <c r="I301" i="10"/>
  <c r="H104" i="7" s="1"/>
  <c r="J297" i="10"/>
  <c r="I100" i="7" s="1"/>
  <c r="F297" i="10"/>
  <c r="E100" i="7" s="1"/>
  <c r="I297" i="10"/>
  <c r="H100" i="7" s="1"/>
  <c r="L317" i="10"/>
  <c r="K120" i="7" s="1"/>
  <c r="AF120" i="7" s="1"/>
  <c r="G315" i="10"/>
  <c r="F118" i="7" s="1"/>
  <c r="L313" i="10"/>
  <c r="K116" i="7" s="1"/>
  <c r="AF116" i="7" s="1"/>
  <c r="G311" i="10"/>
  <c r="F114" i="7" s="1"/>
  <c r="L309" i="10"/>
  <c r="K112" i="7" s="1"/>
  <c r="AF112" i="7" s="1"/>
  <c r="G307" i="10"/>
  <c r="F110" i="7" s="1"/>
  <c r="I305" i="10"/>
  <c r="H108" i="7" s="1"/>
  <c r="J305" i="10"/>
  <c r="I108" i="7" s="1"/>
  <c r="F293" i="10"/>
  <c r="E96" i="7" s="1"/>
  <c r="L299" i="10"/>
  <c r="K102" i="7" s="1"/>
  <c r="AF102" i="7" s="1"/>
  <c r="L303" i="10"/>
  <c r="K106" i="7" s="1"/>
  <c r="AF106" i="7" s="1"/>
  <c r="H297" i="10"/>
  <c r="G100" i="7" s="1"/>
  <c r="H301" i="10"/>
  <c r="G104" i="7" s="1"/>
  <c r="G301" i="10"/>
  <c r="F104" i="7" s="1"/>
  <c r="L295" i="10"/>
  <c r="K98" i="7" s="1"/>
  <c r="AF98" i="7" s="1"/>
  <c r="G295" i="10"/>
  <c r="F98" i="7" s="1"/>
  <c r="H295" i="10"/>
  <c r="G98" i="7" s="1"/>
  <c r="L293" i="10"/>
  <c r="K96" i="7" s="1"/>
  <c r="AF96" i="7" s="1"/>
  <c r="G293" i="10"/>
  <c r="F96" i="7" s="1"/>
  <c r="H293" i="10"/>
  <c r="G96" i="7" s="1"/>
  <c r="J315" i="10"/>
  <c r="I118" i="7" s="1"/>
  <c r="F315" i="10"/>
  <c r="E118" i="7" s="1"/>
  <c r="F145" i="7" s="1"/>
  <c r="I315" i="10"/>
  <c r="H118" i="7" s="1"/>
  <c r="J311" i="10"/>
  <c r="I114" i="7" s="1"/>
  <c r="F311" i="10"/>
  <c r="E114" i="7" s="1"/>
  <c r="I311" i="10"/>
  <c r="H114" i="7" s="1"/>
  <c r="H307" i="10"/>
  <c r="G110" i="7" s="1"/>
  <c r="L307" i="10"/>
  <c r="K110" i="7" s="1"/>
  <c r="AF110" i="7" s="1"/>
  <c r="I307" i="10"/>
  <c r="H110" i="7" s="1"/>
  <c r="G303" i="10"/>
  <c r="F106" i="7" s="1"/>
  <c r="J303" i="10"/>
  <c r="I106" i="7" s="1"/>
  <c r="F303" i="10"/>
  <c r="E106" i="7" s="1"/>
  <c r="I303" i="10"/>
  <c r="H106" i="7" s="1"/>
  <c r="G299" i="10"/>
  <c r="F102" i="7" s="1"/>
  <c r="J299" i="10"/>
  <c r="I102" i="7" s="1"/>
  <c r="F299" i="10"/>
  <c r="E102" i="7" s="1"/>
  <c r="I299" i="10"/>
  <c r="H102" i="7" s="1"/>
  <c r="I1339" i="10"/>
  <c r="H882" i="7" s="1"/>
  <c r="I1337" i="10"/>
  <c r="H880" i="7" s="1"/>
  <c r="I799" i="10"/>
  <c r="I809" i="10"/>
  <c r="I793" i="10"/>
  <c r="I811" i="10"/>
  <c r="I795" i="10"/>
  <c r="I813" i="10"/>
  <c r="I797" i="10"/>
  <c r="H1342" i="10"/>
  <c r="G885" i="7" s="1"/>
  <c r="I1342" i="10"/>
  <c r="H885" i="7" s="1"/>
  <c r="H1348" i="10"/>
  <c r="G891" i="7" s="1"/>
  <c r="I1348" i="10"/>
  <c r="H891" i="7" s="1"/>
  <c r="H1356" i="10"/>
  <c r="G899" i="7" s="1"/>
  <c r="I1356" i="10"/>
  <c r="H899" i="7" s="1"/>
  <c r="I1338" i="10"/>
  <c r="H881" i="7" s="1"/>
  <c r="I1346" i="10"/>
  <c r="H889" i="7" s="1"/>
  <c r="I1354" i="10"/>
  <c r="H897" i="7" s="1"/>
  <c r="I1336" i="10"/>
  <c r="H879" i="7" s="1"/>
  <c r="H1352" i="10"/>
  <c r="G895" i="7" s="1"/>
  <c r="I1352" i="10"/>
  <c r="H895" i="7" s="1"/>
  <c r="H1360" i="10"/>
  <c r="G903" i="7" s="1"/>
  <c r="I1360" i="10"/>
  <c r="H903" i="7" s="1"/>
  <c r="I1350" i="10"/>
  <c r="H893" i="7" s="1"/>
  <c r="I1358" i="10"/>
  <c r="H901" i="7" s="1"/>
  <c r="I1340" i="10"/>
  <c r="H883" i="7" s="1"/>
  <c r="I1344" i="10"/>
  <c r="H887" i="7" s="1"/>
  <c r="H1620" i="10"/>
  <c r="G1620" i="10" s="1"/>
  <c r="F1620" i="10" s="1"/>
  <c r="I2530" i="10"/>
  <c r="H874" i="7" s="1"/>
  <c r="H1388" i="10"/>
  <c r="AB688" i="7" s="1"/>
  <c r="H1475" i="10"/>
  <c r="I2515" i="10"/>
  <c r="H859" i="7" s="1"/>
  <c r="H1483" i="10"/>
  <c r="I2523" i="10"/>
  <c r="H867" i="7" s="1"/>
  <c r="H1491" i="10"/>
  <c r="I2531" i="10"/>
  <c r="H875" i="7" s="1"/>
  <c r="H1499" i="10"/>
  <c r="I2513" i="10"/>
  <c r="H857" i="7" s="1"/>
  <c r="H1507" i="10"/>
  <c r="H1515" i="10"/>
  <c r="I2529" i="10"/>
  <c r="H873" i="7" s="1"/>
  <c r="H1616" i="10"/>
  <c r="G1616" i="10" s="1"/>
  <c r="F1616" i="10" s="1"/>
  <c r="I2526" i="10"/>
  <c r="H870" i="7" s="1"/>
  <c r="H1622" i="10"/>
  <c r="I2532" i="10"/>
  <c r="H876" i="7" s="1"/>
  <c r="H1632" i="10"/>
  <c r="I2516" i="10"/>
  <c r="H860" i="7" s="1"/>
  <c r="G1634" i="10"/>
  <c r="H1734" i="10"/>
  <c r="I2514" i="10"/>
  <c r="H858" i="7" s="1"/>
  <c r="H1914" i="10"/>
  <c r="G1914" i="10" s="1"/>
  <c r="F1914" i="10" s="1"/>
  <c r="I2512" i="10"/>
  <c r="H856" i="7" s="1"/>
  <c r="H1920" i="10"/>
  <c r="G1920" i="10" s="1"/>
  <c r="F1920" i="10" s="1"/>
  <c r="I2518" i="10"/>
  <c r="H862" i="7" s="1"/>
  <c r="H1936" i="10"/>
  <c r="G1936" i="10" s="1"/>
  <c r="F1936" i="10" s="1"/>
  <c r="I2508" i="10"/>
  <c r="H852" i="7" s="1"/>
  <c r="H1471" i="10"/>
  <c r="I2511" i="10"/>
  <c r="H855" i="7" s="1"/>
  <c r="H1479" i="10"/>
  <c r="I2519" i="10"/>
  <c r="H863" i="7" s="1"/>
  <c r="H1487" i="10"/>
  <c r="I2527" i="10"/>
  <c r="H871" i="7" s="1"/>
  <c r="H1495" i="10"/>
  <c r="I2509" i="10"/>
  <c r="H853" i="7" s="1"/>
  <c r="H1503" i="10"/>
  <c r="I2517" i="10"/>
  <c r="H861" i="7" s="1"/>
  <c r="H1511" i="10"/>
  <c r="I2525" i="10"/>
  <c r="H869" i="7" s="1"/>
  <c r="H1519" i="10"/>
  <c r="I2533" i="10"/>
  <c r="H877" i="7" s="1"/>
  <c r="G1558" i="10"/>
  <c r="G1560" i="10"/>
  <c r="G1562" i="10"/>
  <c r="G1564" i="10"/>
  <c r="G1568" i="10"/>
  <c r="G1572" i="10"/>
  <c r="G1576" i="10"/>
  <c r="H1696" i="10"/>
  <c r="I2528" i="10"/>
  <c r="H872" i="7" s="1"/>
  <c r="H1366" i="10"/>
  <c r="AB666" i="7" s="1"/>
  <c r="H1390" i="10"/>
  <c r="AB691" i="7" s="1"/>
  <c r="H1414" i="10"/>
  <c r="AB715" i="7" s="1"/>
  <c r="H1378" i="10"/>
  <c r="AB678" i="7" s="1"/>
  <c r="H1386" i="10"/>
  <c r="AB686" i="7" s="1"/>
  <c r="D130" i="3"/>
  <c r="C136" i="3" s="1"/>
  <c r="AG16" i="7"/>
  <c r="I1341" i="10"/>
  <c r="H884" i="7" s="1"/>
  <c r="I1345" i="10"/>
  <c r="H888" i="7" s="1"/>
  <c r="I1349" i="10"/>
  <c r="H892" i="7" s="1"/>
  <c r="I1353" i="10"/>
  <c r="H896" i="7" s="1"/>
  <c r="I1357" i="10"/>
  <c r="H900" i="7" s="1"/>
  <c r="I1361" i="10"/>
  <c r="H904" i="7" s="1"/>
  <c r="I1343" i="10"/>
  <c r="H886" i="7" s="1"/>
  <c r="I1347" i="10"/>
  <c r="H890" i="7" s="1"/>
  <c r="I1351" i="10"/>
  <c r="H894" i="7" s="1"/>
  <c r="I1355" i="10"/>
  <c r="H898" i="7" s="1"/>
  <c r="I1359" i="10"/>
  <c r="H902" i="7" s="1"/>
  <c r="F123" i="7" l="1"/>
  <c r="H1370" i="10"/>
  <c r="AB670" i="7" s="1"/>
  <c r="H1406" i="10"/>
  <c r="AB707" i="7" s="1"/>
  <c r="H41" i="7"/>
  <c r="E41" i="7"/>
  <c r="K124" i="7"/>
  <c r="K141" i="7"/>
  <c r="F41" i="7"/>
  <c r="I41" i="7"/>
  <c r="E27" i="9"/>
  <c r="E20" i="9" s="1"/>
  <c r="I851" i="7"/>
  <c r="H123" i="7"/>
  <c r="J851" i="7"/>
  <c r="E17" i="9"/>
  <c r="E14" i="9" s="1"/>
  <c r="G123" i="7"/>
  <c r="K152" i="7"/>
  <c r="AF152" i="7" s="1"/>
  <c r="K156" i="7"/>
  <c r="AF156" i="7" s="1"/>
  <c r="K160" i="7"/>
  <c r="AF160" i="7" s="1"/>
  <c r="K164" i="7"/>
  <c r="AF164" i="7" s="1"/>
  <c r="K168" i="7"/>
  <c r="AF168" i="7" s="1"/>
  <c r="K172" i="7"/>
  <c r="AF172" i="7" s="1"/>
  <c r="K151" i="7"/>
  <c r="AF151" i="7" s="1"/>
  <c r="K155" i="7"/>
  <c r="AF155" i="7" s="1"/>
  <c r="K161" i="7"/>
  <c r="AF161" i="7" s="1"/>
  <c r="K165" i="7"/>
  <c r="AF165" i="7" s="1"/>
  <c r="K169" i="7"/>
  <c r="AF169" i="7" s="1"/>
  <c r="K173" i="7"/>
  <c r="AF173" i="7" s="1"/>
  <c r="K150" i="7"/>
  <c r="AF150" i="7" s="1"/>
  <c r="K154" i="7"/>
  <c r="AF154" i="7" s="1"/>
  <c r="K158" i="7"/>
  <c r="AF158" i="7" s="1"/>
  <c r="K162" i="7"/>
  <c r="AF162" i="7" s="1"/>
  <c r="K166" i="7"/>
  <c r="AF166" i="7" s="1"/>
  <c r="K170" i="7"/>
  <c r="AF170" i="7" s="1"/>
  <c r="K174" i="7"/>
  <c r="AF174" i="7" s="1"/>
  <c r="K157" i="7"/>
  <c r="AF157" i="7" s="1"/>
  <c r="K163" i="7"/>
  <c r="AF163" i="7" s="1"/>
  <c r="K167" i="7"/>
  <c r="AF167" i="7" s="1"/>
  <c r="K171" i="7"/>
  <c r="AF171" i="7" s="1"/>
  <c r="H1374" i="10"/>
  <c r="AB674" i="7" s="1"/>
  <c r="H1410" i="10"/>
  <c r="AB711" i="7" s="1"/>
  <c r="K175" i="7"/>
  <c r="AF175" i="7" s="1"/>
  <c r="H1364" i="10"/>
  <c r="AB664" i="7" s="1"/>
  <c r="H1394" i="10"/>
  <c r="AB695" i="7" s="1"/>
  <c r="F130" i="7"/>
  <c r="W676" i="7"/>
  <c r="V676" i="7" s="1"/>
  <c r="U676" i="7" s="1"/>
  <c r="T676" i="7" s="1"/>
  <c r="S676" i="7" s="1"/>
  <c r="D623" i="7"/>
  <c r="D650" i="7" s="1"/>
  <c r="D677" i="7" s="1"/>
  <c r="D704" i="7" s="1"/>
  <c r="D731" i="7" s="1"/>
  <c r="W675" i="7"/>
  <c r="V675" i="7" s="1"/>
  <c r="U675" i="7" s="1"/>
  <c r="T675" i="7" s="1"/>
  <c r="S675" i="7" s="1"/>
  <c r="D616" i="7"/>
  <c r="D643" i="7" s="1"/>
  <c r="D670" i="7" s="1"/>
  <c r="D697" i="7" s="1"/>
  <c r="D724" i="7" s="1"/>
  <c r="W674" i="7"/>
  <c r="V674" i="7" s="1"/>
  <c r="U674" i="7" s="1"/>
  <c r="T674" i="7" s="1"/>
  <c r="S674" i="7" s="1"/>
  <c r="W679" i="7"/>
  <c r="V679" i="7" s="1"/>
  <c r="U679" i="7" s="1"/>
  <c r="T679" i="7" s="1"/>
  <c r="S679" i="7" s="1"/>
  <c r="W664" i="7"/>
  <c r="V664" i="7" s="1"/>
  <c r="U664" i="7" s="1"/>
  <c r="T664" i="7" s="1"/>
  <c r="S664" i="7" s="1"/>
  <c r="D626" i="7"/>
  <c r="D653" i="7" s="1"/>
  <c r="D680" i="7" s="1"/>
  <c r="D707" i="7" s="1"/>
  <c r="D734" i="7" s="1"/>
  <c r="D761" i="7" s="1"/>
  <c r="D788" i="7" s="1"/>
  <c r="D815" i="7" s="1"/>
  <c r="D842" i="7" s="1"/>
  <c r="D869" i="7" s="1"/>
  <c r="D896" i="7" s="1"/>
  <c r="D923" i="7" s="1"/>
  <c r="D611" i="7"/>
  <c r="D638" i="7" s="1"/>
  <c r="D665" i="7" s="1"/>
  <c r="D692" i="7" s="1"/>
  <c r="D719" i="7" s="1"/>
  <c r="W681" i="7"/>
  <c r="V681" i="7" s="1"/>
  <c r="U681" i="7" s="1"/>
  <c r="T681" i="7" s="1"/>
  <c r="S681" i="7" s="1"/>
  <c r="W670" i="7"/>
  <c r="V670" i="7" s="1"/>
  <c r="U670" i="7" s="1"/>
  <c r="T670" i="7" s="1"/>
  <c r="S670" i="7" s="1"/>
  <c r="W667" i="7"/>
  <c r="V667" i="7" s="1"/>
  <c r="U667" i="7" s="1"/>
  <c r="T667" i="7" s="1"/>
  <c r="S667" i="7" s="1"/>
  <c r="W683" i="7"/>
  <c r="V683" i="7" s="1"/>
  <c r="U683" i="7" s="1"/>
  <c r="T683" i="7" s="1"/>
  <c r="S683" i="7" s="1"/>
  <c r="W668" i="7"/>
  <c r="V668" i="7" s="1"/>
  <c r="U668" i="7" s="1"/>
  <c r="T668" i="7" s="1"/>
  <c r="S668" i="7" s="1"/>
  <c r="W684" i="7"/>
  <c r="V684" i="7" s="1"/>
  <c r="U684" i="7" s="1"/>
  <c r="T684" i="7" s="1"/>
  <c r="S684" i="7" s="1"/>
  <c r="W669" i="7"/>
  <c r="V669" i="7" s="1"/>
  <c r="U669" i="7" s="1"/>
  <c r="T669" i="7" s="1"/>
  <c r="S669" i="7" s="1"/>
  <c r="W685" i="7"/>
  <c r="V685" i="7" s="1"/>
  <c r="U685" i="7" s="1"/>
  <c r="T685" i="7" s="1"/>
  <c r="S685" i="7" s="1"/>
  <c r="W678" i="7"/>
  <c r="V678" i="7" s="1"/>
  <c r="U678" i="7" s="1"/>
  <c r="T678" i="7" s="1"/>
  <c r="S678" i="7" s="1"/>
  <c r="D632" i="7"/>
  <c r="D659" i="7" s="1"/>
  <c r="D686" i="7" s="1"/>
  <c r="D713" i="7" s="1"/>
  <c r="D740" i="7" s="1"/>
  <c r="W671" i="7"/>
  <c r="V671" i="7" s="1"/>
  <c r="U671" i="7" s="1"/>
  <c r="T671" i="7" s="1"/>
  <c r="S671" i="7" s="1"/>
  <c r="W672" i="7"/>
  <c r="V672" i="7" s="1"/>
  <c r="U672" i="7" s="1"/>
  <c r="T672" i="7" s="1"/>
  <c r="S672" i="7" s="1"/>
  <c r="W688" i="7"/>
  <c r="V688" i="7" s="1"/>
  <c r="U688" i="7" s="1"/>
  <c r="T688" i="7" s="1"/>
  <c r="S688" i="7" s="1"/>
  <c r="W673" i="7"/>
  <c r="V673" i="7" s="1"/>
  <c r="U673" i="7" s="1"/>
  <c r="T673" i="7" s="1"/>
  <c r="S673" i="7" s="1"/>
  <c r="W666" i="7"/>
  <c r="V666" i="7" s="1"/>
  <c r="U666" i="7" s="1"/>
  <c r="T666" i="7" s="1"/>
  <c r="S666" i="7" s="1"/>
  <c r="W682" i="7"/>
  <c r="V682" i="7" s="1"/>
  <c r="U682" i="7" s="1"/>
  <c r="T682" i="7" s="1"/>
  <c r="S682" i="7" s="1"/>
  <c r="H1368" i="10"/>
  <c r="AB668" i="7" s="1"/>
  <c r="H11" i="9"/>
  <c r="H13" i="9"/>
  <c r="H9" i="9"/>
  <c r="H10" i="9"/>
  <c r="H12" i="9"/>
  <c r="H1382" i="10"/>
  <c r="AB682" i="7" s="1"/>
  <c r="D27" i="9"/>
  <c r="D21" i="9" s="1"/>
  <c r="F147" i="7"/>
  <c r="B24" i="9"/>
  <c r="B19" i="9"/>
  <c r="B21" i="9"/>
  <c r="B22" i="9"/>
  <c r="B23" i="9"/>
  <c r="B20" i="9"/>
  <c r="H25" i="9"/>
  <c r="G20" i="9"/>
  <c r="G23" i="9"/>
  <c r="G22" i="9"/>
  <c r="G24" i="9"/>
  <c r="G21" i="9"/>
  <c r="F27" i="9"/>
  <c r="F20" i="9" s="1"/>
  <c r="F139" i="7"/>
  <c r="F127" i="7"/>
  <c r="F141" i="7"/>
  <c r="F132" i="7"/>
  <c r="F126" i="7"/>
  <c r="R623" i="7"/>
  <c r="R619" i="7"/>
  <c r="K125" i="7"/>
  <c r="R616" i="7"/>
  <c r="J129" i="7"/>
  <c r="AD102" i="7"/>
  <c r="J133" i="7"/>
  <c r="AD106" i="7"/>
  <c r="H137" i="7"/>
  <c r="AB110" i="7"/>
  <c r="I145" i="7"/>
  <c r="AC118" i="7"/>
  <c r="AA96" i="7"/>
  <c r="I135" i="7"/>
  <c r="AC108" i="7"/>
  <c r="AD104" i="7"/>
  <c r="J131" i="7"/>
  <c r="I139" i="7"/>
  <c r="AC112" i="7"/>
  <c r="J147" i="7"/>
  <c r="AD120" i="7"/>
  <c r="H141" i="7"/>
  <c r="AB114" i="7"/>
  <c r="H126" i="7"/>
  <c r="AB99" i="7"/>
  <c r="G128" i="7"/>
  <c r="AA101" i="7"/>
  <c r="H136" i="7"/>
  <c r="AB109" i="7"/>
  <c r="G140" i="7"/>
  <c r="AA113" i="7"/>
  <c r="H144" i="7"/>
  <c r="AB117" i="7"/>
  <c r="AA121" i="7"/>
  <c r="G148" i="7"/>
  <c r="H124" i="7"/>
  <c r="AB97" i="7"/>
  <c r="I138" i="7"/>
  <c r="AC111" i="7"/>
  <c r="J130" i="7"/>
  <c r="AD103" i="7"/>
  <c r="J138" i="7"/>
  <c r="AD111" i="7"/>
  <c r="J146" i="7"/>
  <c r="AD119" i="7"/>
  <c r="I125" i="7"/>
  <c r="AC98" i="7"/>
  <c r="H143" i="7"/>
  <c r="AB116" i="7"/>
  <c r="F134" i="7"/>
  <c r="I144" i="7"/>
  <c r="AC117" i="7"/>
  <c r="I177" i="7"/>
  <c r="AC150" i="7"/>
  <c r="J179" i="7"/>
  <c r="AD152" i="7"/>
  <c r="I181" i="7"/>
  <c r="AC154" i="7"/>
  <c r="J183" i="7"/>
  <c r="AD156" i="7"/>
  <c r="I185" i="7"/>
  <c r="AC158" i="7"/>
  <c r="J187" i="7"/>
  <c r="AD160" i="7"/>
  <c r="I189" i="7"/>
  <c r="AC162" i="7"/>
  <c r="J191" i="7"/>
  <c r="AD164" i="7"/>
  <c r="I193" i="7"/>
  <c r="AC166" i="7"/>
  <c r="J195" i="7"/>
  <c r="AD168" i="7"/>
  <c r="I197" i="7"/>
  <c r="AC170" i="7"/>
  <c r="J199" i="7"/>
  <c r="AD172" i="7"/>
  <c r="I201" i="7"/>
  <c r="AC174" i="7"/>
  <c r="J178" i="7"/>
  <c r="AD151" i="7"/>
  <c r="I180" i="7"/>
  <c r="AC153" i="7"/>
  <c r="J182" i="7"/>
  <c r="AD155" i="7"/>
  <c r="I184" i="7"/>
  <c r="AC157" i="7"/>
  <c r="J186" i="7"/>
  <c r="AD159" i="7"/>
  <c r="H188" i="7"/>
  <c r="AB161" i="7"/>
  <c r="H192" i="7"/>
  <c r="AB165" i="7"/>
  <c r="H196" i="7"/>
  <c r="AB169" i="7"/>
  <c r="H200" i="7"/>
  <c r="AB173" i="7"/>
  <c r="I148" i="7"/>
  <c r="AC121" i="7"/>
  <c r="G130" i="7"/>
  <c r="AA103" i="7"/>
  <c r="Q716" i="7"/>
  <c r="Q714" i="7" s="1"/>
  <c r="K132" i="7"/>
  <c r="AE105" i="7"/>
  <c r="K148" i="7"/>
  <c r="AE121" i="7"/>
  <c r="AE165" i="7"/>
  <c r="K129" i="7"/>
  <c r="AE102" i="7"/>
  <c r="K145" i="7"/>
  <c r="AE118" i="7"/>
  <c r="K189" i="7"/>
  <c r="AE162" i="7"/>
  <c r="P689" i="7"/>
  <c r="P687" i="7" s="1"/>
  <c r="K126" i="7"/>
  <c r="AE99" i="7"/>
  <c r="K142" i="7"/>
  <c r="AE115" i="7"/>
  <c r="K186" i="7"/>
  <c r="AE159" i="7"/>
  <c r="AE175" i="7"/>
  <c r="P743" i="7"/>
  <c r="P727" i="7" s="1"/>
  <c r="K127" i="7"/>
  <c r="AE100" i="7"/>
  <c r="K143" i="7"/>
  <c r="AE116" i="7"/>
  <c r="K191" i="7"/>
  <c r="AE164" i="7"/>
  <c r="G129" i="7"/>
  <c r="AA102" i="7"/>
  <c r="G133" i="7"/>
  <c r="AA106" i="7"/>
  <c r="AC114" i="7"/>
  <c r="I141" i="7"/>
  <c r="R122" i="7"/>
  <c r="R98" i="7" s="1"/>
  <c r="G131" i="7"/>
  <c r="AA104" i="7"/>
  <c r="G137" i="7"/>
  <c r="AA110" i="7"/>
  <c r="G145" i="7"/>
  <c r="AA118" i="7"/>
  <c r="J127" i="7"/>
  <c r="AD100" i="7"/>
  <c r="G135" i="7"/>
  <c r="AA108" i="7"/>
  <c r="J143" i="7"/>
  <c r="AD116" i="7"/>
  <c r="H129" i="7"/>
  <c r="AB102" i="7"/>
  <c r="H145" i="7"/>
  <c r="AB118" i="7"/>
  <c r="I128" i="7"/>
  <c r="AC101" i="7"/>
  <c r="I130" i="7"/>
  <c r="AC103" i="7"/>
  <c r="AD105" i="7"/>
  <c r="J132" i="7"/>
  <c r="H134" i="7"/>
  <c r="AB107" i="7"/>
  <c r="G138" i="7"/>
  <c r="AA111" i="7"/>
  <c r="H142" i="7"/>
  <c r="AB115" i="7"/>
  <c r="G146" i="7"/>
  <c r="AA119" i="7"/>
  <c r="AA100" i="7"/>
  <c r="G127" i="7"/>
  <c r="I142" i="7"/>
  <c r="AC115" i="7"/>
  <c r="I132" i="7"/>
  <c r="AC105" i="7"/>
  <c r="F140" i="7"/>
  <c r="J123" i="7"/>
  <c r="AD96" i="7"/>
  <c r="H147" i="7"/>
  <c r="AB120" i="7"/>
  <c r="G124" i="7"/>
  <c r="AA97" i="7"/>
  <c r="I136" i="7"/>
  <c r="AC109" i="7"/>
  <c r="J148" i="7"/>
  <c r="AD121" i="7"/>
  <c r="H177" i="7"/>
  <c r="AB150" i="7"/>
  <c r="H181" i="7"/>
  <c r="AB154" i="7"/>
  <c r="H185" i="7"/>
  <c r="AB158" i="7"/>
  <c r="H189" i="7"/>
  <c r="AB162" i="7"/>
  <c r="H193" i="7"/>
  <c r="AB166" i="7"/>
  <c r="H197" i="7"/>
  <c r="AB170" i="7"/>
  <c r="H201" i="7"/>
  <c r="AB174" i="7"/>
  <c r="H180" i="7"/>
  <c r="AB153" i="7"/>
  <c r="K153" i="7"/>
  <c r="K180" i="7" s="1"/>
  <c r="H184" i="7"/>
  <c r="AB157" i="7"/>
  <c r="J188" i="7"/>
  <c r="AD161" i="7"/>
  <c r="I190" i="7"/>
  <c r="AC163" i="7"/>
  <c r="J192" i="7"/>
  <c r="AD165" i="7"/>
  <c r="AC167" i="7"/>
  <c r="I194" i="7"/>
  <c r="J196" i="7"/>
  <c r="AD169" i="7"/>
  <c r="I198" i="7"/>
  <c r="AC171" i="7"/>
  <c r="J200" i="7"/>
  <c r="AD173" i="7"/>
  <c r="AC175" i="7"/>
  <c r="I202" i="7"/>
  <c r="I140" i="7"/>
  <c r="AC113" i="7"/>
  <c r="G139" i="7"/>
  <c r="AA112" i="7"/>
  <c r="AE109" i="7"/>
  <c r="K136" i="7"/>
  <c r="AE153" i="7"/>
  <c r="AE169" i="7"/>
  <c r="K196" i="7"/>
  <c r="K133" i="7"/>
  <c r="AE106" i="7"/>
  <c r="AE150" i="7"/>
  <c r="AE166" i="7"/>
  <c r="Q689" i="7"/>
  <c r="Q681" i="7" s="1"/>
  <c r="K130" i="7"/>
  <c r="AE103" i="7"/>
  <c r="K146" i="7"/>
  <c r="AE119" i="7"/>
  <c r="K190" i="7"/>
  <c r="AE163" i="7"/>
  <c r="Q743" i="7"/>
  <c r="Q727" i="7" s="1"/>
  <c r="K131" i="7"/>
  <c r="AE104" i="7"/>
  <c r="K147" i="7"/>
  <c r="AE120" i="7"/>
  <c r="AE168" i="7"/>
  <c r="K123" i="7"/>
  <c r="I129" i="7"/>
  <c r="AC102" i="7"/>
  <c r="I133" i="7"/>
  <c r="AC106" i="7"/>
  <c r="I137" i="7"/>
  <c r="AC110" i="7"/>
  <c r="J145" i="7"/>
  <c r="AD118" i="7"/>
  <c r="H125" i="7"/>
  <c r="AB98" i="7"/>
  <c r="H131" i="7"/>
  <c r="AB104" i="7"/>
  <c r="I131" i="7"/>
  <c r="AC104" i="7"/>
  <c r="J139" i="7"/>
  <c r="AD112" i="7"/>
  <c r="I147" i="7"/>
  <c r="AC120" i="7"/>
  <c r="H133" i="7"/>
  <c r="AB106" i="7"/>
  <c r="I123" i="7"/>
  <c r="AC96" i="7"/>
  <c r="F128" i="7"/>
  <c r="H130" i="7"/>
  <c r="AB103" i="7"/>
  <c r="G132" i="7"/>
  <c r="AA105" i="7"/>
  <c r="G136" i="7"/>
  <c r="AA109" i="7"/>
  <c r="H140" i="7"/>
  <c r="AB113" i="7"/>
  <c r="G144" i="7"/>
  <c r="AA117" i="7"/>
  <c r="H148" i="7"/>
  <c r="AB121" i="7"/>
  <c r="J124" i="7"/>
  <c r="AD97" i="7"/>
  <c r="J125" i="7"/>
  <c r="AD98" i="7"/>
  <c r="I126" i="7"/>
  <c r="AC99" i="7"/>
  <c r="I146" i="7"/>
  <c r="AC119" i="7"/>
  <c r="G126" i="7"/>
  <c r="AA99" i="7"/>
  <c r="J134" i="7"/>
  <c r="AD107" i="7"/>
  <c r="J142" i="7"/>
  <c r="AD115" i="7"/>
  <c r="AB112" i="7"/>
  <c r="H139" i="7"/>
  <c r="G147" i="7"/>
  <c r="AA120" i="7"/>
  <c r="J126" i="7"/>
  <c r="AD99" i="7"/>
  <c r="J140" i="7"/>
  <c r="AD113" i="7"/>
  <c r="J177" i="7"/>
  <c r="AD150" i="7"/>
  <c r="I179" i="7"/>
  <c r="AC152" i="7"/>
  <c r="AD154" i="7"/>
  <c r="J181" i="7"/>
  <c r="I183" i="7"/>
  <c r="AC156" i="7"/>
  <c r="AD158" i="7"/>
  <c r="J185" i="7"/>
  <c r="I187" i="7"/>
  <c r="AC160" i="7"/>
  <c r="AD162" i="7"/>
  <c r="J189" i="7"/>
  <c r="I191" i="7"/>
  <c r="AC164" i="7"/>
  <c r="AD166" i="7"/>
  <c r="J193" i="7"/>
  <c r="I195" i="7"/>
  <c r="AC168" i="7"/>
  <c r="AD170" i="7"/>
  <c r="J197" i="7"/>
  <c r="I199" i="7"/>
  <c r="AC172" i="7"/>
  <c r="AD174" i="7"/>
  <c r="J201" i="7"/>
  <c r="I178" i="7"/>
  <c r="AC151" i="7"/>
  <c r="J180" i="7"/>
  <c r="AD153" i="7"/>
  <c r="I182" i="7"/>
  <c r="AC155" i="7"/>
  <c r="J184" i="7"/>
  <c r="AD157" i="7"/>
  <c r="I186" i="7"/>
  <c r="AC159" i="7"/>
  <c r="H190" i="7"/>
  <c r="AB163" i="7"/>
  <c r="H194" i="7"/>
  <c r="AB167" i="7"/>
  <c r="H198" i="7"/>
  <c r="AB171" i="7"/>
  <c r="H202" i="7"/>
  <c r="AB175" i="7"/>
  <c r="F138" i="7"/>
  <c r="K140" i="7"/>
  <c r="AE113" i="7"/>
  <c r="AE157" i="7"/>
  <c r="K184" i="7"/>
  <c r="AE173" i="7"/>
  <c r="K200" i="7"/>
  <c r="K137" i="7"/>
  <c r="AE110" i="7"/>
  <c r="AE154" i="7"/>
  <c r="K197" i="7"/>
  <c r="AE170" i="7"/>
  <c r="K134" i="7"/>
  <c r="AE107" i="7"/>
  <c r="K178" i="7"/>
  <c r="AE151" i="7"/>
  <c r="AE167" i="7"/>
  <c r="P230" i="7"/>
  <c r="P214" i="7" s="1"/>
  <c r="K135" i="7"/>
  <c r="AE108" i="7"/>
  <c r="K179" i="7"/>
  <c r="AE152" i="7"/>
  <c r="K199" i="7"/>
  <c r="AE172" i="7"/>
  <c r="R610" i="7"/>
  <c r="R627" i="7"/>
  <c r="R624" i="7"/>
  <c r="K187" i="7"/>
  <c r="J122" i="7"/>
  <c r="Z102" i="7"/>
  <c r="F129" i="7"/>
  <c r="F133" i="7"/>
  <c r="AD114" i="7"/>
  <c r="J141" i="7"/>
  <c r="AB96" i="7"/>
  <c r="G125" i="7"/>
  <c r="AA98" i="7"/>
  <c r="H127" i="7"/>
  <c r="AB100" i="7"/>
  <c r="J135" i="7"/>
  <c r="AD108" i="7"/>
  <c r="G141" i="7"/>
  <c r="AA114" i="7"/>
  <c r="I127" i="7"/>
  <c r="AC100" i="7"/>
  <c r="F131" i="7"/>
  <c r="H135" i="7"/>
  <c r="AB108" i="7"/>
  <c r="AC116" i="7"/>
  <c r="I143" i="7"/>
  <c r="J128" i="7"/>
  <c r="AD101" i="7"/>
  <c r="G134" i="7"/>
  <c r="AA107" i="7"/>
  <c r="H138" i="7"/>
  <c r="AB111" i="7"/>
  <c r="G142" i="7"/>
  <c r="AA115" i="7"/>
  <c r="H146" i="7"/>
  <c r="AB119" i="7"/>
  <c r="I124" i="7"/>
  <c r="AC97" i="7"/>
  <c r="I134" i="7"/>
  <c r="AC107" i="7"/>
  <c r="AB101" i="7"/>
  <c r="H128" i="7"/>
  <c r="F144" i="7"/>
  <c r="G143" i="7"/>
  <c r="AA116" i="7"/>
  <c r="F135" i="7"/>
  <c r="J137" i="7"/>
  <c r="AD110" i="7"/>
  <c r="H132" i="7"/>
  <c r="AB105" i="7"/>
  <c r="F142" i="7"/>
  <c r="H179" i="7"/>
  <c r="AB152" i="7"/>
  <c r="H183" i="7"/>
  <c r="AB156" i="7"/>
  <c r="H187" i="7"/>
  <c r="AB160" i="7"/>
  <c r="H191" i="7"/>
  <c r="AB164" i="7"/>
  <c r="AB168" i="7"/>
  <c r="H195" i="7"/>
  <c r="H199" i="7"/>
  <c r="AB172" i="7"/>
  <c r="H178" i="7"/>
  <c r="AB151" i="7"/>
  <c r="H182" i="7"/>
  <c r="AB155" i="7"/>
  <c r="H186" i="7"/>
  <c r="AB159" i="7"/>
  <c r="I188" i="7"/>
  <c r="AC161" i="7"/>
  <c r="J190" i="7"/>
  <c r="AD163" i="7"/>
  <c r="I192" i="7"/>
  <c r="AC165" i="7"/>
  <c r="J194" i="7"/>
  <c r="AD167" i="7"/>
  <c r="I196" i="7"/>
  <c r="AC169" i="7"/>
  <c r="J198" i="7"/>
  <c r="AD171" i="7"/>
  <c r="I200" i="7"/>
  <c r="AC173" i="7"/>
  <c r="J202" i="7"/>
  <c r="AD175" i="7"/>
  <c r="J144" i="7"/>
  <c r="AD117" i="7"/>
  <c r="J136" i="7"/>
  <c r="AD109" i="7"/>
  <c r="P716" i="7"/>
  <c r="P696" i="7" s="1"/>
  <c r="K128" i="7"/>
  <c r="AE101" i="7"/>
  <c r="K144" i="7"/>
  <c r="AE117" i="7"/>
  <c r="AE161" i="7"/>
  <c r="K188" i="7"/>
  <c r="AE114" i="7"/>
  <c r="K185" i="7"/>
  <c r="AE158" i="7"/>
  <c r="K201" i="7"/>
  <c r="AE174" i="7"/>
  <c r="K138" i="7"/>
  <c r="AE111" i="7"/>
  <c r="K182" i="7"/>
  <c r="AE155" i="7"/>
  <c r="K198" i="7"/>
  <c r="AE171" i="7"/>
  <c r="Q230" i="7"/>
  <c r="Q214" i="7" s="1"/>
  <c r="K139" i="7"/>
  <c r="AE112" i="7"/>
  <c r="AE156" i="7"/>
  <c r="R615" i="7"/>
  <c r="R632" i="7"/>
  <c r="R613" i="7"/>
  <c r="R621" i="7"/>
  <c r="R629" i="7"/>
  <c r="R614" i="7"/>
  <c r="R622" i="7"/>
  <c r="R630" i="7"/>
  <c r="O634" i="7"/>
  <c r="O617" i="7"/>
  <c r="O622" i="7"/>
  <c r="O609" i="7"/>
  <c r="O613" i="7"/>
  <c r="O614" i="7"/>
  <c r="O633" i="7"/>
  <c r="O626" i="7"/>
  <c r="O625" i="7"/>
  <c r="O618" i="7"/>
  <c r="O629" i="7"/>
  <c r="O630" i="7"/>
  <c r="O610" i="7"/>
  <c r="O621" i="7"/>
  <c r="O615" i="7"/>
  <c r="O627" i="7"/>
  <c r="O620" i="7"/>
  <c r="O616" i="7"/>
  <c r="O624" i="7"/>
  <c r="O632" i="7"/>
  <c r="O623" i="7"/>
  <c r="O631" i="7"/>
  <c r="O619" i="7"/>
  <c r="O628" i="7"/>
  <c r="O611" i="7"/>
  <c r="N634" i="7"/>
  <c r="N622" i="7"/>
  <c r="N618" i="7"/>
  <c r="N633" i="7"/>
  <c r="N617" i="7"/>
  <c r="N630" i="7"/>
  <c r="N614" i="7"/>
  <c r="N629" i="7"/>
  <c r="N613" i="7"/>
  <c r="N626" i="7"/>
  <c r="N625" i="7"/>
  <c r="N610" i="7"/>
  <c r="N609" i="7"/>
  <c r="N621" i="7"/>
  <c r="N624" i="7"/>
  <c r="N623" i="7"/>
  <c r="N619" i="7"/>
  <c r="N631" i="7"/>
  <c r="N632" i="7"/>
  <c r="N628" i="7"/>
  <c r="N615" i="7"/>
  <c r="N620" i="7"/>
  <c r="N616" i="7"/>
  <c r="N611" i="7"/>
  <c r="N627" i="7"/>
  <c r="O612" i="7"/>
  <c r="R617" i="7"/>
  <c r="R625" i="7"/>
  <c r="R609" i="7"/>
  <c r="R618" i="7"/>
  <c r="N612" i="7"/>
  <c r="R634" i="7"/>
  <c r="R612" i="7"/>
  <c r="R611" i="7"/>
  <c r="R631" i="7"/>
  <c r="R620" i="7"/>
  <c r="R628" i="7"/>
  <c r="R633" i="7"/>
  <c r="F10" i="9"/>
  <c r="F12" i="9"/>
  <c r="F11" i="9"/>
  <c r="F14" i="9"/>
  <c r="F9" i="9"/>
  <c r="G15" i="9"/>
  <c r="A70" i="7"/>
  <c r="F122" i="7"/>
  <c r="Z100" i="7"/>
  <c r="Z116" i="7"/>
  <c r="Z105" i="7"/>
  <c r="Z99" i="7"/>
  <c r="Z107" i="7"/>
  <c r="E150" i="7"/>
  <c r="E154" i="7"/>
  <c r="Z154" i="7" s="1"/>
  <c r="E158" i="7"/>
  <c r="E162" i="7"/>
  <c r="Z162" i="7" s="1"/>
  <c r="E166" i="7"/>
  <c r="E170" i="7"/>
  <c r="E174" i="7"/>
  <c r="E153" i="7"/>
  <c r="E157" i="7"/>
  <c r="E161" i="7"/>
  <c r="E165" i="7"/>
  <c r="E169" i="7"/>
  <c r="E173" i="7"/>
  <c r="H1399" i="10"/>
  <c r="AC700" i="7"/>
  <c r="H1375" i="10"/>
  <c r="AC675" i="7"/>
  <c r="H1398" i="10"/>
  <c r="AC699" i="7"/>
  <c r="H1413" i="10"/>
  <c r="AC714" i="7"/>
  <c r="H1397" i="10"/>
  <c r="AC698" i="7"/>
  <c r="H1373" i="10"/>
  <c r="AC673" i="7"/>
  <c r="H1412" i="10"/>
  <c r="AC713" i="7"/>
  <c r="H1396" i="10"/>
  <c r="AC697" i="7"/>
  <c r="H1372" i="10"/>
  <c r="AC672" i="7"/>
  <c r="V834" i="7"/>
  <c r="H834" i="7" s="1"/>
  <c r="V843" i="7"/>
  <c r="H843" i="7" s="1"/>
  <c r="V850" i="7"/>
  <c r="H850" i="7" s="1"/>
  <c r="V832" i="7"/>
  <c r="H832" i="7" s="1"/>
  <c r="V848" i="7"/>
  <c r="H848" i="7" s="1"/>
  <c r="Z118" i="7"/>
  <c r="K122" i="7"/>
  <c r="Z112" i="7"/>
  <c r="Z97" i="7"/>
  <c r="Z113" i="7"/>
  <c r="Z121" i="7"/>
  <c r="F152" i="7"/>
  <c r="G179" i="7" s="1"/>
  <c r="F156" i="7"/>
  <c r="G183" i="7" s="1"/>
  <c r="F160" i="7"/>
  <c r="G187" i="7" s="1"/>
  <c r="F164" i="7"/>
  <c r="G191" i="7" s="1"/>
  <c r="F168" i="7"/>
  <c r="G195" i="7" s="1"/>
  <c r="F172" i="7"/>
  <c r="G199" i="7" s="1"/>
  <c r="F151" i="7"/>
  <c r="G178" i="7" s="1"/>
  <c r="F155" i="7"/>
  <c r="G182" i="7" s="1"/>
  <c r="F159" i="7"/>
  <c r="G186" i="7" s="1"/>
  <c r="F163" i="7"/>
  <c r="G190" i="7" s="1"/>
  <c r="F167" i="7"/>
  <c r="G194" i="7" s="1"/>
  <c r="F171" i="7"/>
  <c r="G198" i="7" s="1"/>
  <c r="F175" i="7"/>
  <c r="G202" i="7" s="1"/>
  <c r="H1411" i="10"/>
  <c r="AC712" i="7"/>
  <c r="H1395" i="10"/>
  <c r="AC696" i="7"/>
  <c r="H1371" i="10"/>
  <c r="AC671" i="7"/>
  <c r="H1409" i="10"/>
  <c r="AC710" i="7"/>
  <c r="H1393" i="10"/>
  <c r="AC694" i="7"/>
  <c r="H1369" i="10"/>
  <c r="AC669" i="7"/>
  <c r="H1408" i="10"/>
  <c r="AC709" i="7"/>
  <c r="H1392" i="10"/>
  <c r="AC693" i="7"/>
  <c r="V836" i="7"/>
  <c r="H836" i="7" s="1"/>
  <c r="V828" i="7"/>
  <c r="H828" i="7" s="1"/>
  <c r="V835" i="7"/>
  <c r="H835" i="7" s="1"/>
  <c r="V842" i="7"/>
  <c r="H842" i="7" s="1"/>
  <c r="V827" i="7"/>
  <c r="H827" i="7" s="1"/>
  <c r="V826" i="7"/>
  <c r="H826" i="7" s="1"/>
  <c r="M609" i="7"/>
  <c r="M629" i="7"/>
  <c r="M617" i="7"/>
  <c r="M613" i="7"/>
  <c r="M633" i="7"/>
  <c r="M625" i="7"/>
  <c r="M621" i="7"/>
  <c r="M619" i="7"/>
  <c r="M630" i="7"/>
  <c r="M624" i="7"/>
  <c r="M610" i="7"/>
  <c r="M611" i="7"/>
  <c r="M622" i="7"/>
  <c r="M631" i="7"/>
  <c r="M634" i="7"/>
  <c r="M616" i="7"/>
  <c r="M615" i="7"/>
  <c r="M620" i="7"/>
  <c r="M632" i="7"/>
  <c r="M614" i="7"/>
  <c r="M623" i="7"/>
  <c r="M626" i="7"/>
  <c r="M627" i="7"/>
  <c r="M628" i="7"/>
  <c r="M618" i="7"/>
  <c r="V841" i="7"/>
  <c r="H841" i="7" s="1"/>
  <c r="Z114" i="7"/>
  <c r="Z96" i="7"/>
  <c r="E122" i="7"/>
  <c r="H122" i="7"/>
  <c r="Z101" i="7"/>
  <c r="Z103" i="7"/>
  <c r="E152" i="7"/>
  <c r="E156" i="7"/>
  <c r="E160" i="7"/>
  <c r="E164" i="7"/>
  <c r="E168" i="7"/>
  <c r="E172" i="7"/>
  <c r="E151" i="7"/>
  <c r="E155" i="7"/>
  <c r="E159" i="7"/>
  <c r="E163" i="7"/>
  <c r="E167" i="7"/>
  <c r="E171" i="7"/>
  <c r="E175" i="7"/>
  <c r="Z98" i="7"/>
  <c r="H1407" i="10"/>
  <c r="AC708" i="7"/>
  <c r="H1391" i="10"/>
  <c r="AC692" i="7"/>
  <c r="H1367" i="10"/>
  <c r="AC667" i="7"/>
  <c r="H1405" i="10"/>
  <c r="AC706" i="7"/>
  <c r="H1389" i="10"/>
  <c r="AC690" i="7"/>
  <c r="H1365" i="10"/>
  <c r="AC665" i="7"/>
  <c r="H1404" i="10"/>
  <c r="AC705" i="7"/>
  <c r="V830" i="7"/>
  <c r="H830" i="7" s="1"/>
  <c r="V847" i="7"/>
  <c r="H847" i="7" s="1"/>
  <c r="V840" i="7"/>
  <c r="H840" i="7" s="1"/>
  <c r="L609" i="7"/>
  <c r="L619" i="7"/>
  <c r="L617" i="7"/>
  <c r="L625" i="7"/>
  <c r="L633" i="7"/>
  <c r="L628" i="7"/>
  <c r="L615" i="7"/>
  <c r="L624" i="7"/>
  <c r="L610" i="7"/>
  <c r="L618" i="7"/>
  <c r="L626" i="7"/>
  <c r="L634" i="7"/>
  <c r="L620" i="7"/>
  <c r="L627" i="7"/>
  <c r="L616" i="7"/>
  <c r="L614" i="7"/>
  <c r="L630" i="7"/>
  <c r="L631" i="7"/>
  <c r="L613" i="7"/>
  <c r="L621" i="7"/>
  <c r="L629" i="7"/>
  <c r="L623" i="7"/>
  <c r="L611" i="7"/>
  <c r="L622" i="7"/>
  <c r="L632" i="7"/>
  <c r="V845" i="7"/>
  <c r="H845" i="7" s="1"/>
  <c r="V833" i="7"/>
  <c r="H833" i="7" s="1"/>
  <c r="V844" i="7"/>
  <c r="H844" i="7" s="1"/>
  <c r="V837" i="7"/>
  <c r="H837" i="7" s="1"/>
  <c r="Z106" i="7"/>
  <c r="G122" i="7"/>
  <c r="Z104" i="7"/>
  <c r="Z120" i="7"/>
  <c r="Z110" i="7"/>
  <c r="Z109" i="7"/>
  <c r="Z117" i="7"/>
  <c r="Z108" i="7"/>
  <c r="Z115" i="7"/>
  <c r="F150" i="7"/>
  <c r="G177" i="7" s="1"/>
  <c r="F154" i="7"/>
  <c r="G181" i="7" s="1"/>
  <c r="F158" i="7"/>
  <c r="G185" i="7" s="1"/>
  <c r="F162" i="7"/>
  <c r="G189" i="7" s="1"/>
  <c r="F166" i="7"/>
  <c r="G193" i="7" s="1"/>
  <c r="F170" i="7"/>
  <c r="G197" i="7" s="1"/>
  <c r="F174" i="7"/>
  <c r="G201" i="7" s="1"/>
  <c r="F153" i="7"/>
  <c r="F157" i="7"/>
  <c r="G184" i="7" s="1"/>
  <c r="F161" i="7"/>
  <c r="G188" i="7" s="1"/>
  <c r="F165" i="7"/>
  <c r="G192" i="7" s="1"/>
  <c r="F169" i="7"/>
  <c r="G196" i="7" s="1"/>
  <c r="F173" i="7"/>
  <c r="G200" i="7" s="1"/>
  <c r="Z111" i="7"/>
  <c r="Z119" i="7"/>
  <c r="H1403" i="10"/>
  <c r="AC704" i="7"/>
  <c r="H1387" i="10"/>
  <c r="AC687" i="7"/>
  <c r="H1363" i="10"/>
  <c r="AB663" i="7" s="1"/>
  <c r="AC663" i="7"/>
  <c r="H1402" i="10"/>
  <c r="AC703" i="7"/>
  <c r="H1401" i="10"/>
  <c r="AC702" i="7"/>
  <c r="H1385" i="10"/>
  <c r="AC685" i="7"/>
  <c r="AF214" i="7"/>
  <c r="R230" i="7" s="1"/>
  <c r="AF727" i="7"/>
  <c r="H1400" i="10"/>
  <c r="AC701" i="7"/>
  <c r="H1376" i="10"/>
  <c r="AC676" i="7"/>
  <c r="V825" i="7"/>
  <c r="H825" i="7" s="1"/>
  <c r="V831" i="7"/>
  <c r="H831" i="7" s="1"/>
  <c r="V846" i="7"/>
  <c r="H846" i="7" s="1"/>
  <c r="V839" i="7"/>
  <c r="H839" i="7" s="1"/>
  <c r="V829" i="7"/>
  <c r="H829" i="7" s="1"/>
  <c r="V849" i="7"/>
  <c r="H849" i="7" s="1"/>
  <c r="V838" i="7"/>
  <c r="H838" i="7" s="1"/>
  <c r="D528" i="7"/>
  <c r="AI72" i="7"/>
  <c r="AH73" i="7"/>
  <c r="A71" i="7"/>
  <c r="B71" i="7"/>
  <c r="D620" i="7"/>
  <c r="D647" i="7" s="1"/>
  <c r="D674" i="7" s="1"/>
  <c r="D701" i="7" s="1"/>
  <c r="D728" i="7" s="1"/>
  <c r="D622" i="7"/>
  <c r="D649" i="7" s="1"/>
  <c r="D676" i="7" s="1"/>
  <c r="D703" i="7" s="1"/>
  <c r="D730" i="7" s="1"/>
  <c r="D757" i="7" s="1"/>
  <c r="D784" i="7" s="1"/>
  <c r="D811" i="7" s="1"/>
  <c r="D838" i="7" s="1"/>
  <c r="D865" i="7" s="1"/>
  <c r="D892" i="7" s="1"/>
  <c r="D919" i="7" s="1"/>
  <c r="D959" i="7"/>
  <c r="D1256" i="7" s="1"/>
  <c r="D986" i="7"/>
  <c r="D1013" i="7" s="1"/>
  <c r="D1040" i="7" s="1"/>
  <c r="E37" i="3"/>
  <c r="I37" i="3" s="1"/>
  <c r="I36" i="3"/>
  <c r="D634" i="7"/>
  <c r="D661" i="7" s="1"/>
  <c r="D688" i="7" s="1"/>
  <c r="D715" i="7" s="1"/>
  <c r="D742" i="7" s="1"/>
  <c r="D769" i="7" s="1"/>
  <c r="D796" i="7" s="1"/>
  <c r="D823" i="7" s="1"/>
  <c r="D850" i="7" s="1"/>
  <c r="D877" i="7" s="1"/>
  <c r="D904" i="7" s="1"/>
  <c r="D931" i="7" s="1"/>
  <c r="D612" i="7"/>
  <c r="D639" i="7" s="1"/>
  <c r="D666" i="7" s="1"/>
  <c r="D693" i="7" s="1"/>
  <c r="D720" i="7" s="1"/>
  <c r="D610" i="7"/>
  <c r="D637" i="7" s="1"/>
  <c r="D664" i="7" s="1"/>
  <c r="D691" i="7" s="1"/>
  <c r="D718" i="7" s="1"/>
  <c r="D618" i="7"/>
  <c r="D645" i="7" s="1"/>
  <c r="D672" i="7" s="1"/>
  <c r="D699" i="7" s="1"/>
  <c r="D726" i="7" s="1"/>
  <c r="D619" i="7"/>
  <c r="D646" i="7" s="1"/>
  <c r="D673" i="7" s="1"/>
  <c r="D700" i="7" s="1"/>
  <c r="D727" i="7" s="1"/>
  <c r="D754" i="7" s="1"/>
  <c r="D781" i="7" s="1"/>
  <c r="D808" i="7" s="1"/>
  <c r="D835" i="7" s="1"/>
  <c r="D862" i="7" s="1"/>
  <c r="D889" i="7" s="1"/>
  <c r="D916" i="7" s="1"/>
  <c r="D628" i="7"/>
  <c r="D655" i="7" s="1"/>
  <c r="D682" i="7" s="1"/>
  <c r="D709" i="7" s="1"/>
  <c r="D736" i="7" s="1"/>
  <c r="D763" i="7" s="1"/>
  <c r="D790" i="7" s="1"/>
  <c r="D817" i="7" s="1"/>
  <c r="D844" i="7" s="1"/>
  <c r="D871" i="7" s="1"/>
  <c r="D898" i="7" s="1"/>
  <c r="D925" i="7" s="1"/>
  <c r="D627" i="7"/>
  <c r="D654" i="7" s="1"/>
  <c r="D681" i="7" s="1"/>
  <c r="D708" i="7" s="1"/>
  <c r="D735" i="7" s="1"/>
  <c r="D762" i="7" s="1"/>
  <c r="D789" i="7" s="1"/>
  <c r="D816" i="7" s="1"/>
  <c r="D843" i="7" s="1"/>
  <c r="D870" i="7" s="1"/>
  <c r="D897" i="7" s="1"/>
  <c r="D924" i="7" s="1"/>
  <c r="D621" i="7"/>
  <c r="D648" i="7" s="1"/>
  <c r="D675" i="7" s="1"/>
  <c r="D702" i="7" s="1"/>
  <c r="D729" i="7" s="1"/>
  <c r="D615" i="7"/>
  <c r="D642" i="7" s="1"/>
  <c r="D669" i="7" s="1"/>
  <c r="D696" i="7" s="1"/>
  <c r="D723" i="7" s="1"/>
  <c r="D750" i="7" s="1"/>
  <c r="D777" i="7" s="1"/>
  <c r="D804" i="7" s="1"/>
  <c r="D831" i="7" s="1"/>
  <c r="D858" i="7" s="1"/>
  <c r="D885" i="7" s="1"/>
  <c r="D912" i="7" s="1"/>
  <c r="D631" i="7"/>
  <c r="D658" i="7" s="1"/>
  <c r="D685" i="7" s="1"/>
  <c r="D712" i="7" s="1"/>
  <c r="D739" i="7" s="1"/>
  <c r="D766" i="7" s="1"/>
  <c r="D793" i="7" s="1"/>
  <c r="D820" i="7" s="1"/>
  <c r="D847" i="7" s="1"/>
  <c r="D874" i="7" s="1"/>
  <c r="D901" i="7" s="1"/>
  <c r="D928" i="7" s="1"/>
  <c r="D613" i="7"/>
  <c r="D640" i="7" s="1"/>
  <c r="D667" i="7" s="1"/>
  <c r="D694" i="7" s="1"/>
  <c r="D721" i="7" s="1"/>
  <c r="D748" i="7" s="1"/>
  <c r="D775" i="7" s="1"/>
  <c r="D802" i="7" s="1"/>
  <c r="D829" i="7" s="1"/>
  <c r="D856" i="7" s="1"/>
  <c r="D883" i="7" s="1"/>
  <c r="D910" i="7" s="1"/>
  <c r="D629" i="7"/>
  <c r="D656" i="7" s="1"/>
  <c r="D683" i="7" s="1"/>
  <c r="D710" i="7" s="1"/>
  <c r="D737" i="7" s="1"/>
  <c r="D764" i="7" s="1"/>
  <c r="D791" i="7" s="1"/>
  <c r="D818" i="7" s="1"/>
  <c r="D845" i="7" s="1"/>
  <c r="D872" i="7" s="1"/>
  <c r="D899" i="7" s="1"/>
  <c r="D926" i="7" s="1"/>
  <c r="D630" i="7"/>
  <c r="D657" i="7" s="1"/>
  <c r="D684" i="7" s="1"/>
  <c r="D711" i="7" s="1"/>
  <c r="D738" i="7" s="1"/>
  <c r="D765" i="7" s="1"/>
  <c r="D792" i="7" s="1"/>
  <c r="D819" i="7" s="1"/>
  <c r="D846" i="7" s="1"/>
  <c r="D873" i="7" s="1"/>
  <c r="D900" i="7" s="1"/>
  <c r="D927" i="7" s="1"/>
  <c r="D624" i="7"/>
  <c r="D651" i="7" s="1"/>
  <c r="D678" i="7" s="1"/>
  <c r="D705" i="7" s="1"/>
  <c r="D732" i="7" s="1"/>
  <c r="D759" i="7" s="1"/>
  <c r="D786" i="7" s="1"/>
  <c r="D813" i="7" s="1"/>
  <c r="D840" i="7" s="1"/>
  <c r="D867" i="7" s="1"/>
  <c r="D894" i="7" s="1"/>
  <c r="D921" i="7" s="1"/>
  <c r="D617" i="7"/>
  <c r="D644" i="7" s="1"/>
  <c r="D671" i="7" s="1"/>
  <c r="D698" i="7" s="1"/>
  <c r="D725" i="7" s="1"/>
  <c r="D625" i="7"/>
  <c r="D652" i="7" s="1"/>
  <c r="D679" i="7" s="1"/>
  <c r="D706" i="7" s="1"/>
  <c r="D733" i="7" s="1"/>
  <c r="D760" i="7" s="1"/>
  <c r="D787" i="7" s="1"/>
  <c r="D814" i="7" s="1"/>
  <c r="D841" i="7" s="1"/>
  <c r="D868" i="7" s="1"/>
  <c r="D895" i="7" s="1"/>
  <c r="D922" i="7" s="1"/>
  <c r="D633" i="7"/>
  <c r="D660" i="7" s="1"/>
  <c r="D687" i="7" s="1"/>
  <c r="D714" i="7" s="1"/>
  <c r="D741" i="7" s="1"/>
  <c r="D768" i="7" s="1"/>
  <c r="D795" i="7" s="1"/>
  <c r="D822" i="7" s="1"/>
  <c r="D849" i="7" s="1"/>
  <c r="D876" i="7" s="1"/>
  <c r="D903" i="7" s="1"/>
  <c r="D930" i="7" s="1"/>
  <c r="D614" i="7"/>
  <c r="D641" i="7" s="1"/>
  <c r="D668" i="7" s="1"/>
  <c r="D695" i="7" s="1"/>
  <c r="D722" i="7" s="1"/>
  <c r="D749" i="7" s="1"/>
  <c r="D776" i="7" s="1"/>
  <c r="D803" i="7" s="1"/>
  <c r="D830" i="7" s="1"/>
  <c r="D857" i="7" s="1"/>
  <c r="D884" i="7" s="1"/>
  <c r="D911" i="7" s="1"/>
  <c r="C46" i="9"/>
  <c r="B46" i="9"/>
  <c r="F46" i="9"/>
  <c r="E46" i="9"/>
  <c r="H46" i="9"/>
  <c r="D46" i="9"/>
  <c r="G46" i="9"/>
  <c r="E30" i="9"/>
  <c r="D30" i="9"/>
  <c r="H30" i="9"/>
  <c r="C165" i="3" s="1"/>
  <c r="F30" i="9"/>
  <c r="G30" i="9"/>
  <c r="G31" i="9"/>
  <c r="F31" i="9"/>
  <c r="E31" i="9"/>
  <c r="H31" i="9"/>
  <c r="C166" i="3" s="1"/>
  <c r="D31" i="9"/>
  <c r="F32" i="9"/>
  <c r="E32" i="9"/>
  <c r="H32" i="9"/>
  <c r="C167" i="3" s="1"/>
  <c r="D32" i="9"/>
  <c r="G32" i="9"/>
  <c r="E29" i="9"/>
  <c r="D29" i="9"/>
  <c r="G29" i="9"/>
  <c r="H29" i="9"/>
  <c r="F29" i="9"/>
  <c r="E33" i="9"/>
  <c r="H33" i="9"/>
  <c r="C168" i="3" s="1"/>
  <c r="D33" i="9"/>
  <c r="G33" i="9"/>
  <c r="F33" i="9"/>
  <c r="D11" i="9"/>
  <c r="D12" i="9"/>
  <c r="D13" i="9"/>
  <c r="D14" i="9"/>
  <c r="D9" i="9"/>
  <c r="D10" i="9"/>
  <c r="H34" i="9"/>
  <c r="C169" i="3" s="1"/>
  <c r="D34" i="9"/>
  <c r="G34" i="9"/>
  <c r="F34" i="9"/>
  <c r="E34" i="9"/>
  <c r="G35" i="9"/>
  <c r="F35" i="9"/>
  <c r="E35" i="9"/>
  <c r="H35" i="9"/>
  <c r="C170" i="3" s="1"/>
  <c r="D35" i="9"/>
  <c r="B34" i="9"/>
  <c r="B32" i="9"/>
  <c r="B31" i="9"/>
  <c r="B30" i="9"/>
  <c r="B33" i="9"/>
  <c r="B29" i="9"/>
  <c r="H805" i="10"/>
  <c r="D135" i="3"/>
  <c r="D131" i="3"/>
  <c r="D136" i="3"/>
  <c r="D132" i="3"/>
  <c r="D133" i="3"/>
  <c r="D134" i="3"/>
  <c r="C29" i="9"/>
  <c r="C27" i="9"/>
  <c r="C20" i="9" s="1"/>
  <c r="C17" i="9"/>
  <c r="C10" i="9" s="1"/>
  <c r="H2526" i="10"/>
  <c r="G870" i="7" s="1"/>
  <c r="B12" i="9"/>
  <c r="B13" i="9"/>
  <c r="B10" i="9"/>
  <c r="B11" i="9"/>
  <c r="B14" i="9"/>
  <c r="B9" i="9"/>
  <c r="B35" i="9"/>
  <c r="C35" i="9"/>
  <c r="D751" i="7"/>
  <c r="D778" i="7" s="1"/>
  <c r="D805" i="7" s="1"/>
  <c r="D832" i="7" s="1"/>
  <c r="D859" i="7" s="1"/>
  <c r="D886" i="7" s="1"/>
  <c r="D913" i="7" s="1"/>
  <c r="D752" i="7"/>
  <c r="D779" i="7" s="1"/>
  <c r="D806" i="7" s="1"/>
  <c r="D833" i="7" s="1"/>
  <c r="D860" i="7" s="1"/>
  <c r="D887" i="7" s="1"/>
  <c r="D914" i="7" s="1"/>
  <c r="D746" i="7"/>
  <c r="D773" i="7" s="1"/>
  <c r="D800" i="7" s="1"/>
  <c r="D827" i="7" s="1"/>
  <c r="D854" i="7" s="1"/>
  <c r="D881" i="7" s="1"/>
  <c r="D908" i="7" s="1"/>
  <c r="D745" i="7"/>
  <c r="D772" i="7" s="1"/>
  <c r="D799" i="7" s="1"/>
  <c r="D826" i="7" s="1"/>
  <c r="D853" i="7" s="1"/>
  <c r="D880" i="7" s="1"/>
  <c r="D907" i="7" s="1"/>
  <c r="D753" i="7"/>
  <c r="D780" i="7" s="1"/>
  <c r="D807" i="7" s="1"/>
  <c r="D834" i="7" s="1"/>
  <c r="D861" i="7" s="1"/>
  <c r="D888" i="7" s="1"/>
  <c r="D915" i="7" s="1"/>
  <c r="D747" i="7"/>
  <c r="D774" i="7" s="1"/>
  <c r="D801" i="7" s="1"/>
  <c r="D828" i="7" s="1"/>
  <c r="D855" i="7" s="1"/>
  <c r="D882" i="7" s="1"/>
  <c r="D909" i="7" s="1"/>
  <c r="D755" i="7"/>
  <c r="D782" i="7" s="1"/>
  <c r="D809" i="7" s="1"/>
  <c r="D836" i="7" s="1"/>
  <c r="D863" i="7" s="1"/>
  <c r="D890" i="7" s="1"/>
  <c r="D917" i="7" s="1"/>
  <c r="D756" i="7"/>
  <c r="D783" i="7" s="1"/>
  <c r="D810" i="7" s="1"/>
  <c r="D837" i="7" s="1"/>
  <c r="D864" i="7" s="1"/>
  <c r="D891" i="7" s="1"/>
  <c r="D918" i="7" s="1"/>
  <c r="D758" i="7"/>
  <c r="D785" i="7" s="1"/>
  <c r="D812" i="7" s="1"/>
  <c r="D839" i="7" s="1"/>
  <c r="D866" i="7" s="1"/>
  <c r="D893" i="7" s="1"/>
  <c r="D920" i="7" s="1"/>
  <c r="D767" i="7"/>
  <c r="D794" i="7" s="1"/>
  <c r="D821" i="7" s="1"/>
  <c r="D848" i="7" s="1"/>
  <c r="D875" i="7" s="1"/>
  <c r="D902" i="7" s="1"/>
  <c r="D929" i="7" s="1"/>
  <c r="C33" i="9"/>
  <c r="H1337" i="10"/>
  <c r="G880" i="7" s="1"/>
  <c r="G1356" i="10"/>
  <c r="F899" i="7" s="1"/>
  <c r="H2520" i="10"/>
  <c r="G864" i="7" s="1"/>
  <c r="H2522" i="10"/>
  <c r="G866" i="7" s="1"/>
  <c r="H789" i="10"/>
  <c r="H1339" i="10"/>
  <c r="G882" i="7" s="1"/>
  <c r="F1352" i="10"/>
  <c r="E895" i="7" s="1"/>
  <c r="H807" i="10"/>
  <c r="H2524" i="10"/>
  <c r="G868" i="7" s="1"/>
  <c r="F1342" i="10"/>
  <c r="E885" i="7" s="1"/>
  <c r="H1377" i="10"/>
  <c r="AB677" i="7" s="1"/>
  <c r="H1383" i="10"/>
  <c r="AB683" i="7" s="1"/>
  <c r="H1384" i="10"/>
  <c r="AB684" i="7" s="1"/>
  <c r="H1379" i="10"/>
  <c r="AB679" i="7" s="1"/>
  <c r="H1380" i="10"/>
  <c r="AB680" i="7" s="1"/>
  <c r="H1381" i="10"/>
  <c r="AB681" i="7" s="1"/>
  <c r="G2224" i="10"/>
  <c r="H2510" i="10"/>
  <c r="G854" i="7" s="1"/>
  <c r="F807" i="10"/>
  <c r="G807" i="10"/>
  <c r="F789" i="10"/>
  <c r="G789" i="10"/>
  <c r="C31" i="9"/>
  <c r="C32" i="9"/>
  <c r="C30" i="9"/>
  <c r="C34" i="9"/>
  <c r="H1358" i="10"/>
  <c r="G901" i="7" s="1"/>
  <c r="H1354" i="10"/>
  <c r="G897" i="7" s="1"/>
  <c r="H1350" i="10"/>
  <c r="G893" i="7" s="1"/>
  <c r="H1346" i="10"/>
  <c r="G889" i="7" s="1"/>
  <c r="H1338" i="10"/>
  <c r="G881" i="7" s="1"/>
  <c r="H1344" i="10"/>
  <c r="G887" i="7" s="1"/>
  <c r="H1340" i="10"/>
  <c r="G883" i="7" s="1"/>
  <c r="H1336" i="10"/>
  <c r="G879" i="7" s="1"/>
  <c r="H2512" i="10"/>
  <c r="G856" i="7" s="1"/>
  <c r="H2508" i="10"/>
  <c r="G852" i="7" s="1"/>
  <c r="H2530" i="10"/>
  <c r="G874" i="7" s="1"/>
  <c r="F803" i="10"/>
  <c r="G803" i="10"/>
  <c r="I798" i="10"/>
  <c r="F805" i="10"/>
  <c r="G805" i="10"/>
  <c r="H793" i="10"/>
  <c r="H809" i="10"/>
  <c r="H799" i="10"/>
  <c r="H797" i="10"/>
  <c r="H813" i="10"/>
  <c r="H795" i="10"/>
  <c r="H811" i="10"/>
  <c r="G1368" i="10"/>
  <c r="AA668" i="7" s="1"/>
  <c r="G1364" i="10"/>
  <c r="AA664" i="7" s="1"/>
  <c r="G1388" i="10"/>
  <c r="AA688" i="7" s="1"/>
  <c r="F1634" i="10"/>
  <c r="F2518" i="10" s="1"/>
  <c r="E862" i="7" s="1"/>
  <c r="G2518" i="10"/>
  <c r="F862" i="7" s="1"/>
  <c r="G1696" i="10"/>
  <c r="H2528" i="10"/>
  <c r="G872" i="7" s="1"/>
  <c r="F1576" i="10"/>
  <c r="F2512" i="10" s="1"/>
  <c r="E856" i="7" s="1"/>
  <c r="G2512" i="10"/>
  <c r="F856" i="7" s="1"/>
  <c r="F1572" i="10"/>
  <c r="F2508" i="10" s="1"/>
  <c r="E852" i="7" s="1"/>
  <c r="G2508" i="10"/>
  <c r="F852" i="7" s="1"/>
  <c r="F1568" i="10"/>
  <c r="F2530" i="10" s="1"/>
  <c r="E874" i="7" s="1"/>
  <c r="G2530" i="10"/>
  <c r="F874" i="7" s="1"/>
  <c r="F1564" i="10"/>
  <c r="F2526" i="10" s="1"/>
  <c r="E870" i="7" s="1"/>
  <c r="G2526" i="10"/>
  <c r="F870" i="7" s="1"/>
  <c r="F1562" i="10"/>
  <c r="F2524" i="10" s="1"/>
  <c r="E868" i="7" s="1"/>
  <c r="G2524" i="10"/>
  <c r="F868" i="7" s="1"/>
  <c r="F1560" i="10"/>
  <c r="F2522" i="10" s="1"/>
  <c r="E866" i="7" s="1"/>
  <c r="G2522" i="10"/>
  <c r="F866" i="7" s="1"/>
  <c r="F1558" i="10"/>
  <c r="F2520" i="10" s="1"/>
  <c r="E864" i="7" s="1"/>
  <c r="G2520" i="10"/>
  <c r="F864" i="7" s="1"/>
  <c r="G1519" i="10"/>
  <c r="H2533" i="10"/>
  <c r="G877" i="7" s="1"/>
  <c r="G1511" i="10"/>
  <c r="H2525" i="10"/>
  <c r="G869" i="7" s="1"/>
  <c r="G1503" i="10"/>
  <c r="H2517" i="10"/>
  <c r="G861" i="7" s="1"/>
  <c r="G1495" i="10"/>
  <c r="H2509" i="10"/>
  <c r="G853" i="7" s="1"/>
  <c r="G1487" i="10"/>
  <c r="H2527" i="10"/>
  <c r="G871" i="7" s="1"/>
  <c r="G1479" i="10"/>
  <c r="H2519" i="10"/>
  <c r="G863" i="7" s="1"/>
  <c r="G1471" i="10"/>
  <c r="H2511" i="10"/>
  <c r="G855" i="7" s="1"/>
  <c r="G1734" i="10"/>
  <c r="H2514" i="10"/>
  <c r="G858" i="7" s="1"/>
  <c r="H2518" i="10"/>
  <c r="G862" i="7" s="1"/>
  <c r="G1632" i="10"/>
  <c r="H2516" i="10"/>
  <c r="G860" i="7" s="1"/>
  <c r="G1622" i="10"/>
  <c r="H2532" i="10"/>
  <c r="G876" i="7" s="1"/>
  <c r="G1515" i="10"/>
  <c r="H2529" i="10"/>
  <c r="G873" i="7" s="1"/>
  <c r="G1507" i="10"/>
  <c r="H2521" i="10"/>
  <c r="G865" i="7" s="1"/>
  <c r="G1499" i="10"/>
  <c r="H2513" i="10"/>
  <c r="G857" i="7" s="1"/>
  <c r="G1491" i="10"/>
  <c r="H2531" i="10"/>
  <c r="G875" i="7" s="1"/>
  <c r="G1483" i="10"/>
  <c r="H2523" i="10"/>
  <c r="G867" i="7" s="1"/>
  <c r="G1475" i="10"/>
  <c r="H2515" i="10"/>
  <c r="G859" i="7" s="1"/>
  <c r="G1394" i="10"/>
  <c r="AA695" i="7" s="1"/>
  <c r="G1386" i="10"/>
  <c r="AA686" i="7" s="1"/>
  <c r="G1378" i="10"/>
  <c r="AA678" i="7" s="1"/>
  <c r="G1370" i="10"/>
  <c r="AA670" i="7" s="1"/>
  <c r="G1414" i="10"/>
  <c r="AA715" i="7" s="1"/>
  <c r="G1406" i="10"/>
  <c r="AA707" i="7" s="1"/>
  <c r="G1390" i="10"/>
  <c r="AA691" i="7" s="1"/>
  <c r="G1374" i="10"/>
  <c r="AA674" i="7" s="1"/>
  <c r="G1366" i="10"/>
  <c r="AA666" i="7" s="1"/>
  <c r="C110" i="3"/>
  <c r="D162" i="3" s="1"/>
  <c r="F1358" i="10"/>
  <c r="E901" i="7" s="1"/>
  <c r="G1358" i="10"/>
  <c r="F901" i="7" s="1"/>
  <c r="F1350" i="10"/>
  <c r="E893" i="7" s="1"/>
  <c r="G1350" i="10"/>
  <c r="F893" i="7" s="1"/>
  <c r="F1338" i="10"/>
  <c r="E881" i="7" s="1"/>
  <c r="G1338" i="10"/>
  <c r="F881" i="7" s="1"/>
  <c r="F1360" i="10"/>
  <c r="E903" i="7" s="1"/>
  <c r="G1360" i="10"/>
  <c r="F903" i="7" s="1"/>
  <c r="G1352" i="10"/>
  <c r="F895" i="7" s="1"/>
  <c r="F1348" i="10"/>
  <c r="E891" i="7" s="1"/>
  <c r="G1348" i="10"/>
  <c r="F891" i="7" s="1"/>
  <c r="F1344" i="10"/>
  <c r="E887" i="7" s="1"/>
  <c r="G1344" i="10"/>
  <c r="F887" i="7" s="1"/>
  <c r="F1340" i="10"/>
  <c r="E883" i="7" s="1"/>
  <c r="G1340" i="10"/>
  <c r="F883" i="7" s="1"/>
  <c r="F1336" i="10"/>
  <c r="E879" i="7" s="1"/>
  <c r="G1336" i="10"/>
  <c r="F879" i="7" s="1"/>
  <c r="F1354" i="10"/>
  <c r="E897" i="7" s="1"/>
  <c r="G1354" i="10"/>
  <c r="F897" i="7" s="1"/>
  <c r="F1346" i="10"/>
  <c r="E889" i="7" s="1"/>
  <c r="G1346" i="10"/>
  <c r="F889" i="7" s="1"/>
  <c r="H1359" i="10"/>
  <c r="G902" i="7" s="1"/>
  <c r="H1355" i="10"/>
  <c r="G898" i="7" s="1"/>
  <c r="H1351" i="10"/>
  <c r="G894" i="7" s="1"/>
  <c r="H1347" i="10"/>
  <c r="G890" i="7" s="1"/>
  <c r="H1343" i="10"/>
  <c r="G886" i="7" s="1"/>
  <c r="F1339" i="10"/>
  <c r="E882" i="7" s="1"/>
  <c r="G1339" i="10"/>
  <c r="F882" i="7" s="1"/>
  <c r="H1361" i="10"/>
  <c r="G904" i="7" s="1"/>
  <c r="H1357" i="10"/>
  <c r="G900" i="7" s="1"/>
  <c r="H1353" i="10"/>
  <c r="G896" i="7" s="1"/>
  <c r="H1349" i="10"/>
  <c r="G892" i="7" s="1"/>
  <c r="H1345" i="10"/>
  <c r="G888" i="7" s="1"/>
  <c r="H1341" i="10"/>
  <c r="G884" i="7" s="1"/>
  <c r="F1337" i="10"/>
  <c r="E880" i="7" s="1"/>
  <c r="G1337" i="10"/>
  <c r="F880" i="7" s="1"/>
  <c r="K202" i="7" l="1"/>
  <c r="K195" i="7"/>
  <c r="K177" i="7"/>
  <c r="K193" i="7"/>
  <c r="G1410" i="10"/>
  <c r="AA711" i="7" s="1"/>
  <c r="K194" i="7"/>
  <c r="K181" i="7"/>
  <c r="P688" i="7"/>
  <c r="K183" i="7"/>
  <c r="K192" i="7"/>
  <c r="E24" i="9"/>
  <c r="E19" i="9"/>
  <c r="E21" i="9"/>
  <c r="E23" i="9"/>
  <c r="E22" i="9"/>
  <c r="E9" i="9"/>
  <c r="E11" i="9"/>
  <c r="E13" i="9"/>
  <c r="E12" i="9"/>
  <c r="E10" i="9"/>
  <c r="H851" i="7"/>
  <c r="P686" i="7"/>
  <c r="P673" i="7"/>
  <c r="P678" i="7"/>
  <c r="G1382" i="10"/>
  <c r="AA682" i="7" s="1"/>
  <c r="P684" i="7"/>
  <c r="P665" i="7"/>
  <c r="W680" i="7"/>
  <c r="V680" i="7" s="1"/>
  <c r="U680" i="7" s="1"/>
  <c r="T680" i="7" s="1"/>
  <c r="S680" i="7" s="1"/>
  <c r="W686" i="7"/>
  <c r="V686" i="7" s="1"/>
  <c r="U686" i="7" s="1"/>
  <c r="T686" i="7" s="1"/>
  <c r="S686" i="7" s="1"/>
  <c r="W665" i="7"/>
  <c r="V665" i="7" s="1"/>
  <c r="U665" i="7" s="1"/>
  <c r="T665" i="7" s="1"/>
  <c r="S665" i="7" s="1"/>
  <c r="P668" i="7"/>
  <c r="P681" i="7"/>
  <c r="P670" i="7"/>
  <c r="P676" i="7"/>
  <c r="P667" i="7"/>
  <c r="H15" i="9"/>
  <c r="D20" i="9"/>
  <c r="D22" i="9"/>
  <c r="D19" i="9"/>
  <c r="D24" i="9"/>
  <c r="D23" i="9"/>
  <c r="P682" i="7"/>
  <c r="B25" i="9"/>
  <c r="G25" i="9"/>
  <c r="F21" i="9"/>
  <c r="F23" i="9"/>
  <c r="F22" i="9"/>
  <c r="F19" i="9"/>
  <c r="F24" i="9"/>
  <c r="P675" i="7"/>
  <c r="R109" i="7"/>
  <c r="P677" i="7"/>
  <c r="Q693" i="7"/>
  <c r="Q688" i="7"/>
  <c r="R104" i="7"/>
  <c r="Q692" i="7"/>
  <c r="F1356" i="10"/>
  <c r="E899" i="7" s="1"/>
  <c r="Q685" i="7"/>
  <c r="G1342" i="10"/>
  <c r="F885" i="7" s="1"/>
  <c r="Q683" i="7"/>
  <c r="R118" i="7"/>
  <c r="R97" i="7"/>
  <c r="R99" i="7"/>
  <c r="R110" i="7"/>
  <c r="R111" i="7"/>
  <c r="R108" i="7"/>
  <c r="Q699" i="7"/>
  <c r="R112" i="7"/>
  <c r="Q700" i="7"/>
  <c r="Q708" i="7"/>
  <c r="Q696" i="7"/>
  <c r="P680" i="7"/>
  <c r="P669" i="7"/>
  <c r="R102" i="7"/>
  <c r="Q122" i="7"/>
  <c r="Q119" i="7" s="1"/>
  <c r="P709" i="7"/>
  <c r="R119" i="7"/>
  <c r="R120" i="7"/>
  <c r="P666" i="7"/>
  <c r="P672" i="7"/>
  <c r="R100" i="7"/>
  <c r="Q711" i="7"/>
  <c r="Q675" i="7"/>
  <c r="Q682" i="7"/>
  <c r="Q680" i="7"/>
  <c r="Q713" i="7"/>
  <c r="Q677" i="7"/>
  <c r="Q710" i="7"/>
  <c r="Q679" i="7"/>
  <c r="Q695" i="7"/>
  <c r="Q709" i="7"/>
  <c r="Q673" i="7"/>
  <c r="Q668" i="7"/>
  <c r="Q666" i="7"/>
  <c r="Q707" i="7"/>
  <c r="Q664" i="7"/>
  <c r="Q697" i="7"/>
  <c r="Q694" i="7"/>
  <c r="Q691" i="7"/>
  <c r="Q663" i="7"/>
  <c r="Q704" i="7"/>
  <c r="Q678" i="7"/>
  <c r="Q676" i="7"/>
  <c r="Q698" i="7"/>
  <c r="Q667" i="7"/>
  <c r="Q674" i="7"/>
  <c r="Q715" i="7"/>
  <c r="Q672" i="7"/>
  <c r="Q705" i="7"/>
  <c r="Q669" i="7"/>
  <c r="Q702" i="7"/>
  <c r="Q671" i="7"/>
  <c r="Q712" i="7"/>
  <c r="Q686" i="7"/>
  <c r="Q701" i="7"/>
  <c r="Q665" i="7"/>
  <c r="R207" i="7"/>
  <c r="R227" i="7"/>
  <c r="R221" i="7"/>
  <c r="R205" i="7"/>
  <c r="R212" i="7"/>
  <c r="R215" i="7"/>
  <c r="R211" i="7"/>
  <c r="R216" i="7"/>
  <c r="R225" i="7"/>
  <c r="R218" i="7"/>
  <c r="R219" i="7"/>
  <c r="R228" i="7"/>
  <c r="R210" i="7"/>
  <c r="R206" i="7"/>
  <c r="R209" i="7"/>
  <c r="R222" i="7"/>
  <c r="R223" i="7"/>
  <c r="R224" i="7"/>
  <c r="R229" i="7"/>
  <c r="R217" i="7"/>
  <c r="R213" i="7"/>
  <c r="R226" i="7"/>
  <c r="R208" i="7"/>
  <c r="R204" i="7"/>
  <c r="R220" i="7"/>
  <c r="AA153" i="7"/>
  <c r="G180" i="7"/>
  <c r="G203" i="7" s="1"/>
  <c r="O716" i="7"/>
  <c r="O705" i="7" s="1"/>
  <c r="N662" i="7"/>
  <c r="N650" i="7" s="1"/>
  <c r="O662" i="7"/>
  <c r="O657" i="7" s="1"/>
  <c r="P695" i="7"/>
  <c r="P698" i="7"/>
  <c r="R117" i="7"/>
  <c r="R105" i="7"/>
  <c r="P229" i="7"/>
  <c r="P226" i="7"/>
  <c r="P222" i="7"/>
  <c r="P218" i="7"/>
  <c r="P225" i="7"/>
  <c r="P221" i="7"/>
  <c r="P217" i="7"/>
  <c r="P212" i="7"/>
  <c r="P208" i="7"/>
  <c r="P213" i="7"/>
  <c r="P209" i="7"/>
  <c r="P207" i="7"/>
  <c r="P204" i="7"/>
  <c r="P224" i="7"/>
  <c r="P220" i="7"/>
  <c r="P216" i="7"/>
  <c r="P227" i="7"/>
  <c r="P223" i="7"/>
  <c r="P219" i="7"/>
  <c r="P215" i="7"/>
  <c r="P210" i="7"/>
  <c r="P206" i="7"/>
  <c r="P211" i="7"/>
  <c r="P205" i="7"/>
  <c r="P228" i="7"/>
  <c r="P683" i="7"/>
  <c r="P674" i="7"/>
  <c r="P707" i="7"/>
  <c r="Q687" i="7"/>
  <c r="P664" i="7"/>
  <c r="P697" i="7"/>
  <c r="P685" i="7"/>
  <c r="Q670" i="7"/>
  <c r="Q703" i="7"/>
  <c r="P671" i="7"/>
  <c r="P704" i="7"/>
  <c r="Q684" i="7"/>
  <c r="Q706" i="7"/>
  <c r="I203" i="7"/>
  <c r="O689" i="7"/>
  <c r="O667" i="7" s="1"/>
  <c r="P703" i="7"/>
  <c r="P706" i="7"/>
  <c r="P691" i="7"/>
  <c r="P692" i="7"/>
  <c r="P176" i="7"/>
  <c r="P161" i="7" s="1"/>
  <c r="Q742" i="7"/>
  <c r="Q741" i="7"/>
  <c r="Q737" i="7"/>
  <c r="Q732" i="7"/>
  <c r="Q740" i="7"/>
  <c r="Q729" i="7"/>
  <c r="Q721" i="7"/>
  <c r="Q734" i="7"/>
  <c r="Q735" i="7"/>
  <c r="Q728" i="7"/>
  <c r="Q718" i="7"/>
  <c r="Q723" i="7"/>
  <c r="Q736" i="7"/>
  <c r="Q720" i="7"/>
  <c r="Q719" i="7"/>
  <c r="Q738" i="7"/>
  <c r="Q733" i="7"/>
  <c r="Q722" i="7"/>
  <c r="Q717" i="7"/>
  <c r="Q739" i="7"/>
  <c r="Q726" i="7"/>
  <c r="Q724" i="7"/>
  <c r="Q730" i="7"/>
  <c r="Q731" i="7"/>
  <c r="Q725" i="7"/>
  <c r="P715" i="7"/>
  <c r="P705" i="7"/>
  <c r="R743" i="7"/>
  <c r="R727" i="7" s="1"/>
  <c r="P694" i="7"/>
  <c r="R101" i="7"/>
  <c r="N176" i="7"/>
  <c r="N172" i="7" s="1"/>
  <c r="R121" i="7"/>
  <c r="P679" i="7"/>
  <c r="P712" i="7"/>
  <c r="P693" i="7"/>
  <c r="Q690" i="7"/>
  <c r="R115" i="7"/>
  <c r="R214" i="7"/>
  <c r="P662" i="7"/>
  <c r="P650" i="7" s="1"/>
  <c r="P711" i="7"/>
  <c r="P701" i="7"/>
  <c r="P690" i="7"/>
  <c r="P714" i="7"/>
  <c r="P700" i="7"/>
  <c r="J203" i="7"/>
  <c r="Q176" i="7"/>
  <c r="Q151" i="7" s="1"/>
  <c r="P713" i="7"/>
  <c r="P702" i="7"/>
  <c r="H203" i="7"/>
  <c r="R103" i="7"/>
  <c r="R113" i="7"/>
  <c r="R96" i="7"/>
  <c r="P739" i="7"/>
  <c r="P742" i="7"/>
  <c r="P736" i="7"/>
  <c r="P720" i="7"/>
  <c r="P726" i="7"/>
  <c r="P730" i="7"/>
  <c r="P731" i="7"/>
  <c r="P740" i="7"/>
  <c r="P724" i="7"/>
  <c r="P734" i="7"/>
  <c r="P718" i="7"/>
  <c r="P732" i="7"/>
  <c r="P719" i="7"/>
  <c r="P721" i="7"/>
  <c r="P735" i="7"/>
  <c r="P738" i="7"/>
  <c r="P725" i="7"/>
  <c r="P717" i="7"/>
  <c r="P722" i="7"/>
  <c r="P737" i="7"/>
  <c r="P729" i="7"/>
  <c r="P741" i="7"/>
  <c r="P723" i="7"/>
  <c r="P728" i="7"/>
  <c r="P733" i="7"/>
  <c r="P663" i="7"/>
  <c r="R114" i="7"/>
  <c r="R107" i="7"/>
  <c r="R106" i="7"/>
  <c r="Q662" i="7"/>
  <c r="Q639" i="7" s="1"/>
  <c r="R662" i="7"/>
  <c r="R661" i="7" s="1"/>
  <c r="Q229" i="7"/>
  <c r="Q225" i="7"/>
  <c r="Q221" i="7"/>
  <c r="Q217" i="7"/>
  <c r="Q212" i="7"/>
  <c r="Q208" i="7"/>
  <c r="Q211" i="7"/>
  <c r="Q205" i="7"/>
  <c r="Q228" i="7"/>
  <c r="Q204" i="7"/>
  <c r="Q226" i="7"/>
  <c r="Q222" i="7"/>
  <c r="Q218" i="7"/>
  <c r="Q227" i="7"/>
  <c r="Q223" i="7"/>
  <c r="Q219" i="7"/>
  <c r="Q215" i="7"/>
  <c r="Q210" i="7"/>
  <c r="Q206" i="7"/>
  <c r="Q213" i="7"/>
  <c r="Q209" i="7"/>
  <c r="Q207" i="7"/>
  <c r="Q224" i="7"/>
  <c r="Q220" i="7"/>
  <c r="Q216" i="7"/>
  <c r="N122" i="7"/>
  <c r="N121" i="7" s="1"/>
  <c r="P708" i="7"/>
  <c r="O122" i="7"/>
  <c r="O120" i="7" s="1"/>
  <c r="P699" i="7"/>
  <c r="P710" i="7"/>
  <c r="P122" i="7"/>
  <c r="P119" i="7" s="1"/>
  <c r="O176" i="7"/>
  <c r="O172" i="7" s="1"/>
  <c r="R116" i="7"/>
  <c r="E38" i="3"/>
  <c r="I38" i="3" s="1"/>
  <c r="F15" i="9"/>
  <c r="U829" i="7"/>
  <c r="G829" i="7" s="1"/>
  <c r="G1376" i="10"/>
  <c r="AB676" i="7"/>
  <c r="G1401" i="10"/>
  <c r="AB702" i="7"/>
  <c r="G1402" i="10"/>
  <c r="AB703" i="7"/>
  <c r="G1387" i="10"/>
  <c r="AB687" i="7"/>
  <c r="AA169" i="7"/>
  <c r="AA161" i="7"/>
  <c r="AA170" i="7"/>
  <c r="F189" i="7"/>
  <c r="AA162" i="7"/>
  <c r="F181" i="7"/>
  <c r="AA154" i="7"/>
  <c r="G1391" i="10"/>
  <c r="AB692" i="7"/>
  <c r="AF153" i="7"/>
  <c r="F178" i="7"/>
  <c r="Z151" i="7"/>
  <c r="Z172" i="7"/>
  <c r="F199" i="7"/>
  <c r="Z168" i="7"/>
  <c r="F195" i="7"/>
  <c r="Z164" i="7"/>
  <c r="F191" i="7"/>
  <c r="Z160" i="7"/>
  <c r="F187" i="7"/>
  <c r="Z156" i="7"/>
  <c r="F183" i="7"/>
  <c r="Z152" i="7"/>
  <c r="F179" i="7"/>
  <c r="I176" i="7"/>
  <c r="L122" i="7"/>
  <c r="L96" i="7" s="1"/>
  <c r="U828" i="7"/>
  <c r="G828" i="7" s="1"/>
  <c r="G1371" i="10"/>
  <c r="AB671" i="7"/>
  <c r="G1411" i="10"/>
  <c r="AB712" i="7"/>
  <c r="AA175" i="7"/>
  <c r="AA167" i="7"/>
  <c r="AA159" i="7"/>
  <c r="U834" i="7"/>
  <c r="G834" i="7" s="1"/>
  <c r="L662" i="7"/>
  <c r="L659" i="7" s="1"/>
  <c r="U838" i="7"/>
  <c r="G838" i="7" s="1"/>
  <c r="U846" i="7"/>
  <c r="G846" i="7" s="1"/>
  <c r="U825" i="7"/>
  <c r="G825" i="7" s="1"/>
  <c r="H149" i="7"/>
  <c r="U837" i="7"/>
  <c r="G837" i="7" s="1"/>
  <c r="U833" i="7"/>
  <c r="G833" i="7" s="1"/>
  <c r="U845" i="7"/>
  <c r="G845" i="7" s="1"/>
  <c r="U840" i="7"/>
  <c r="G840" i="7" s="1"/>
  <c r="U830" i="7"/>
  <c r="G830" i="7" s="1"/>
  <c r="G1365" i="10"/>
  <c r="AB665" i="7"/>
  <c r="G1405" i="10"/>
  <c r="AB706" i="7"/>
  <c r="F202" i="7"/>
  <c r="Z175" i="7"/>
  <c r="Z171" i="7"/>
  <c r="F198" i="7"/>
  <c r="Z167" i="7"/>
  <c r="F194" i="7"/>
  <c r="F190" i="7"/>
  <c r="Z163" i="7"/>
  <c r="Z159" i="7"/>
  <c r="F186" i="7"/>
  <c r="F182" i="7"/>
  <c r="Z155" i="7"/>
  <c r="U842" i="7"/>
  <c r="G842" i="7" s="1"/>
  <c r="G1408" i="10"/>
  <c r="AB709" i="7"/>
  <c r="G1393" i="10"/>
  <c r="AB694" i="7"/>
  <c r="AA172" i="7"/>
  <c r="AA164" i="7"/>
  <c r="AA156" i="7"/>
  <c r="K176" i="7"/>
  <c r="I122" i="7"/>
  <c r="U832" i="7"/>
  <c r="G832" i="7" s="1"/>
  <c r="G1372" i="10"/>
  <c r="AB672" i="7"/>
  <c r="G1412" i="10"/>
  <c r="AB713" i="7"/>
  <c r="G1397" i="10"/>
  <c r="AB698" i="7"/>
  <c r="G1375" i="10"/>
  <c r="AB675" i="7"/>
  <c r="Z173" i="7"/>
  <c r="F200" i="7"/>
  <c r="Z169" i="7"/>
  <c r="F196" i="7"/>
  <c r="F192" i="7"/>
  <c r="Z165" i="7"/>
  <c r="F188" i="7"/>
  <c r="Z161" i="7"/>
  <c r="F184" i="7"/>
  <c r="Z157" i="7"/>
  <c r="Z153" i="7"/>
  <c r="F180" i="7"/>
  <c r="Z174" i="7"/>
  <c r="F201" i="7"/>
  <c r="Z170" i="7"/>
  <c r="F197" i="7"/>
  <c r="F193" i="7"/>
  <c r="Z166" i="7"/>
  <c r="Z158" i="7"/>
  <c r="F185" i="7"/>
  <c r="Z150" i="7"/>
  <c r="F177" i="7"/>
  <c r="E176" i="7"/>
  <c r="U849" i="7"/>
  <c r="G849" i="7" s="1"/>
  <c r="U839" i="7"/>
  <c r="G839" i="7" s="1"/>
  <c r="U831" i="7"/>
  <c r="G831" i="7" s="1"/>
  <c r="G1400" i="10"/>
  <c r="AB701" i="7"/>
  <c r="G1385" i="10"/>
  <c r="AB685" i="7"/>
  <c r="G1363" i="10"/>
  <c r="G1403" i="10"/>
  <c r="AB704" i="7"/>
  <c r="AA173" i="7"/>
  <c r="AA165" i="7"/>
  <c r="AA157" i="7"/>
  <c r="AA174" i="7"/>
  <c r="AA166" i="7"/>
  <c r="AA158" i="7"/>
  <c r="AA150" i="7"/>
  <c r="F176" i="7"/>
  <c r="G1367" i="10"/>
  <c r="AB667" i="7"/>
  <c r="G1407" i="10"/>
  <c r="AB708" i="7"/>
  <c r="U841" i="7"/>
  <c r="G841" i="7" s="1"/>
  <c r="U827" i="7"/>
  <c r="G827" i="7" s="1"/>
  <c r="U835" i="7"/>
  <c r="G835" i="7" s="1"/>
  <c r="G1395" i="10"/>
  <c r="AB696" i="7"/>
  <c r="AA171" i="7"/>
  <c r="AA163" i="7"/>
  <c r="AA155" i="7"/>
  <c r="G1398" i="10"/>
  <c r="AB699" i="7"/>
  <c r="M122" i="7"/>
  <c r="M105" i="7" s="1"/>
  <c r="M662" i="7"/>
  <c r="M650" i="7" s="1"/>
  <c r="U844" i="7"/>
  <c r="G844" i="7" s="1"/>
  <c r="U847" i="7"/>
  <c r="G847" i="7" s="1"/>
  <c r="G1404" i="10"/>
  <c r="AB705" i="7"/>
  <c r="G1389" i="10"/>
  <c r="AB690" i="7"/>
  <c r="F149" i="7"/>
  <c r="U826" i="7"/>
  <c r="G826" i="7" s="1"/>
  <c r="U836" i="7"/>
  <c r="G836" i="7" s="1"/>
  <c r="G1392" i="10"/>
  <c r="AB693" i="7"/>
  <c r="G1369" i="10"/>
  <c r="AB669" i="7"/>
  <c r="G1409" i="10"/>
  <c r="AB710" i="7"/>
  <c r="AA151" i="7"/>
  <c r="AA168" i="7"/>
  <c r="AA160" i="7"/>
  <c r="AA152" i="7"/>
  <c r="G176" i="7"/>
  <c r="U848" i="7"/>
  <c r="G848" i="7" s="1"/>
  <c r="U850" i="7"/>
  <c r="G850" i="7" s="1"/>
  <c r="U843" i="7"/>
  <c r="G843" i="7" s="1"/>
  <c r="G1396" i="10"/>
  <c r="AB697" i="7"/>
  <c r="G1373" i="10"/>
  <c r="AB673" i="7"/>
  <c r="G1413" i="10"/>
  <c r="AB714" i="7"/>
  <c r="G1399" i="10"/>
  <c r="AB700" i="7"/>
  <c r="H176" i="7"/>
  <c r="G149" i="7"/>
  <c r="D555" i="7"/>
  <c r="AH74" i="7"/>
  <c r="AI73" i="7"/>
  <c r="A72" i="7"/>
  <c r="B72" i="7"/>
  <c r="AG21" i="7"/>
  <c r="AG19" i="7"/>
  <c r="AG20" i="7"/>
  <c r="D1094" i="7"/>
  <c r="D1067" i="7"/>
  <c r="D1121" i="7" s="1"/>
  <c r="D955" i="7"/>
  <c r="D1252" i="7" s="1"/>
  <c r="D982" i="7"/>
  <c r="D1009" i="7" s="1"/>
  <c r="D1036" i="7" s="1"/>
  <c r="D950" i="7"/>
  <c r="D1247" i="7" s="1"/>
  <c r="D977" i="7"/>
  <c r="D1004" i="7" s="1"/>
  <c r="D1031" i="7" s="1"/>
  <c r="D941" i="7"/>
  <c r="D1238" i="7" s="1"/>
  <c r="D968" i="7"/>
  <c r="D995" i="7" s="1"/>
  <c r="D1022" i="7" s="1"/>
  <c r="D938" i="7"/>
  <c r="D1235" i="7" s="1"/>
  <c r="D965" i="7"/>
  <c r="D992" i="7" s="1"/>
  <c r="D1019" i="7" s="1"/>
  <c r="D949" i="7"/>
  <c r="D1246" i="7" s="1"/>
  <c r="D976" i="7"/>
  <c r="D1003" i="7" s="1"/>
  <c r="D1030" i="7" s="1"/>
  <c r="D948" i="7"/>
  <c r="D1245" i="7" s="1"/>
  <c r="D975" i="7"/>
  <c r="D1002" i="7" s="1"/>
  <c r="D1029" i="7" s="1"/>
  <c r="D953" i="7"/>
  <c r="D1250" i="7" s="1"/>
  <c r="D980" i="7"/>
  <c r="D1007" i="7" s="1"/>
  <c r="D1034" i="7" s="1"/>
  <c r="D947" i="7"/>
  <c r="D1244" i="7" s="1"/>
  <c r="D974" i="7"/>
  <c r="D1001" i="7" s="1"/>
  <c r="D1028" i="7" s="1"/>
  <c r="D945" i="7"/>
  <c r="D1242" i="7" s="1"/>
  <c r="D972" i="7"/>
  <c r="D999" i="7" s="1"/>
  <c r="D1026" i="7" s="1"/>
  <c r="D942" i="7"/>
  <c r="D1239" i="7" s="1"/>
  <c r="D969" i="7"/>
  <c r="D996" i="7" s="1"/>
  <c r="D1023" i="7" s="1"/>
  <c r="D940" i="7"/>
  <c r="D1237" i="7" s="1"/>
  <c r="D967" i="7"/>
  <c r="D994" i="7" s="1"/>
  <c r="D1021" i="7" s="1"/>
  <c r="D954" i="7"/>
  <c r="D1251" i="7" s="1"/>
  <c r="D981" i="7"/>
  <c r="D1008" i="7" s="1"/>
  <c r="D1035" i="7" s="1"/>
  <c r="D951" i="7"/>
  <c r="D1248" i="7" s="1"/>
  <c r="D978" i="7"/>
  <c r="D1005" i="7" s="1"/>
  <c r="D1032" i="7" s="1"/>
  <c r="D956" i="7"/>
  <c r="D1253" i="7" s="1"/>
  <c r="D983" i="7"/>
  <c r="D1010" i="7" s="1"/>
  <c r="D1037" i="7" s="1"/>
  <c r="D939" i="7"/>
  <c r="D1236" i="7" s="1"/>
  <c r="D966" i="7"/>
  <c r="D993" i="7" s="1"/>
  <c r="D1020" i="7" s="1"/>
  <c r="D944" i="7"/>
  <c r="D1241" i="7" s="1"/>
  <c r="D971" i="7"/>
  <c r="D998" i="7" s="1"/>
  <c r="D1025" i="7" s="1"/>
  <c r="D934" i="7"/>
  <c r="D1231" i="7" s="1"/>
  <c r="D961" i="7"/>
  <c r="D988" i="7" s="1"/>
  <c r="D1015" i="7" s="1"/>
  <c r="D957" i="7"/>
  <c r="D1254" i="7" s="1"/>
  <c r="D984" i="7"/>
  <c r="D1011" i="7" s="1"/>
  <c r="D1038" i="7" s="1"/>
  <c r="D952" i="7"/>
  <c r="D1249" i="7" s="1"/>
  <c r="D979" i="7"/>
  <c r="D1006" i="7" s="1"/>
  <c r="D1033" i="7" s="1"/>
  <c r="D946" i="7"/>
  <c r="D1243" i="7" s="1"/>
  <c r="D973" i="7"/>
  <c r="D1000" i="7" s="1"/>
  <c r="D1027" i="7" s="1"/>
  <c r="D936" i="7"/>
  <c r="D1233" i="7" s="1"/>
  <c r="D963" i="7"/>
  <c r="D990" i="7" s="1"/>
  <c r="D1017" i="7" s="1"/>
  <c r="D935" i="7"/>
  <c r="D1232" i="7" s="1"/>
  <c r="D962" i="7"/>
  <c r="D989" i="7" s="1"/>
  <c r="D1016" i="7" s="1"/>
  <c r="D937" i="7"/>
  <c r="D1234" i="7" s="1"/>
  <c r="D964" i="7"/>
  <c r="D991" i="7" s="1"/>
  <c r="D1018" i="7" s="1"/>
  <c r="D943" i="7"/>
  <c r="D1240" i="7" s="1"/>
  <c r="D970" i="7"/>
  <c r="D997" i="7" s="1"/>
  <c r="D1024" i="7" s="1"/>
  <c r="D958" i="7"/>
  <c r="D1255" i="7" s="1"/>
  <c r="D985" i="7"/>
  <c r="D1012" i="7" s="1"/>
  <c r="D1039" i="7" s="1"/>
  <c r="C36" i="9"/>
  <c r="B36" i="9"/>
  <c r="E36" i="9"/>
  <c r="D36" i="9"/>
  <c r="F36" i="9"/>
  <c r="H36" i="9"/>
  <c r="C171" i="3" s="1"/>
  <c r="G36" i="9"/>
  <c r="D15" i="9"/>
  <c r="D110" i="3"/>
  <c r="D105" i="3"/>
  <c r="D108" i="3"/>
  <c r="D107" i="3"/>
  <c r="D106" i="3"/>
  <c r="D109" i="3"/>
  <c r="C22" i="9"/>
  <c r="C23" i="9"/>
  <c r="C21" i="9"/>
  <c r="C19" i="9"/>
  <c r="C24" i="9"/>
  <c r="C9" i="9"/>
  <c r="C12" i="9"/>
  <c r="C14" i="9"/>
  <c r="C11" i="9"/>
  <c r="C13" i="9"/>
  <c r="B15" i="9"/>
  <c r="C164" i="3"/>
  <c r="G1377" i="10"/>
  <c r="AA677" i="7" s="1"/>
  <c r="G1383" i="10"/>
  <c r="AA683" i="7" s="1"/>
  <c r="G1384" i="10"/>
  <c r="AA684" i="7" s="1"/>
  <c r="G1379" i="10"/>
  <c r="AA679" i="7" s="1"/>
  <c r="G1380" i="10"/>
  <c r="AA680" i="7" s="1"/>
  <c r="G1381" i="10"/>
  <c r="AA681" i="7" s="1"/>
  <c r="F2224" i="10"/>
  <c r="F2510" i="10" s="1"/>
  <c r="E854" i="7" s="1"/>
  <c r="G2510" i="10"/>
  <c r="F854" i="7" s="1"/>
  <c r="H798" i="10"/>
  <c r="F811" i="10"/>
  <c r="G811" i="10"/>
  <c r="F795" i="10"/>
  <c r="G795" i="10"/>
  <c r="F813" i="10"/>
  <c r="G813" i="10"/>
  <c r="F797" i="10"/>
  <c r="G797" i="10"/>
  <c r="F799" i="10"/>
  <c r="G799" i="10"/>
  <c r="F809" i="10"/>
  <c r="G809" i="10"/>
  <c r="F793" i="10"/>
  <c r="G793" i="10"/>
  <c r="F1368" i="10"/>
  <c r="Z668" i="7" s="1"/>
  <c r="F1388" i="10"/>
  <c r="Z688" i="7" s="1"/>
  <c r="F1364" i="10"/>
  <c r="Z664" i="7" s="1"/>
  <c r="F1475" i="10"/>
  <c r="F2515" i="10" s="1"/>
  <c r="E859" i="7" s="1"/>
  <c r="G2515" i="10"/>
  <c r="F859" i="7" s="1"/>
  <c r="F1483" i="10"/>
  <c r="F2523" i="10" s="1"/>
  <c r="E867" i="7" s="1"/>
  <c r="G2523" i="10"/>
  <c r="F867" i="7" s="1"/>
  <c r="F1491" i="10"/>
  <c r="F2531" i="10" s="1"/>
  <c r="E875" i="7" s="1"/>
  <c r="G2531" i="10"/>
  <c r="F875" i="7" s="1"/>
  <c r="F1499" i="10"/>
  <c r="F2513" i="10" s="1"/>
  <c r="E857" i="7" s="1"/>
  <c r="G2513" i="10"/>
  <c r="F857" i="7" s="1"/>
  <c r="F1507" i="10"/>
  <c r="F2521" i="10" s="1"/>
  <c r="E865" i="7" s="1"/>
  <c r="G2521" i="10"/>
  <c r="F865" i="7" s="1"/>
  <c r="F1515" i="10"/>
  <c r="F2529" i="10" s="1"/>
  <c r="E873" i="7" s="1"/>
  <c r="G2529" i="10"/>
  <c r="F873" i="7" s="1"/>
  <c r="F1622" i="10"/>
  <c r="F2532" i="10" s="1"/>
  <c r="E876" i="7" s="1"/>
  <c r="G2532" i="10"/>
  <c r="F876" i="7" s="1"/>
  <c r="F1632" i="10"/>
  <c r="F2516" i="10" s="1"/>
  <c r="E860" i="7" s="1"/>
  <c r="G2516" i="10"/>
  <c r="F860" i="7" s="1"/>
  <c r="F1734" i="10"/>
  <c r="F2514" i="10" s="1"/>
  <c r="E858" i="7" s="1"/>
  <c r="G2514" i="10"/>
  <c r="F858" i="7" s="1"/>
  <c r="F1471" i="10"/>
  <c r="F2511" i="10" s="1"/>
  <c r="E855" i="7" s="1"/>
  <c r="G2511" i="10"/>
  <c r="F855" i="7" s="1"/>
  <c r="F1479" i="10"/>
  <c r="F2519" i="10" s="1"/>
  <c r="E863" i="7" s="1"/>
  <c r="G2519" i="10"/>
  <c r="F863" i="7" s="1"/>
  <c r="F1487" i="10"/>
  <c r="F2527" i="10" s="1"/>
  <c r="E871" i="7" s="1"/>
  <c r="G2527" i="10"/>
  <c r="F871" i="7" s="1"/>
  <c r="F1495" i="10"/>
  <c r="F2509" i="10" s="1"/>
  <c r="E853" i="7" s="1"/>
  <c r="G2509" i="10"/>
  <c r="F853" i="7" s="1"/>
  <c r="F1503" i="10"/>
  <c r="F2517" i="10" s="1"/>
  <c r="E861" i="7" s="1"/>
  <c r="G2517" i="10"/>
  <c r="F861" i="7" s="1"/>
  <c r="F1511" i="10"/>
  <c r="F2525" i="10" s="1"/>
  <c r="E869" i="7" s="1"/>
  <c r="G2525" i="10"/>
  <c r="F869" i="7" s="1"/>
  <c r="F1519" i="10"/>
  <c r="F2533" i="10" s="1"/>
  <c r="E877" i="7" s="1"/>
  <c r="G2533" i="10"/>
  <c r="F877" i="7" s="1"/>
  <c r="F1696" i="10"/>
  <c r="F2528" i="10" s="1"/>
  <c r="E872" i="7" s="1"/>
  <c r="G2528" i="10"/>
  <c r="F872" i="7" s="1"/>
  <c r="F1366" i="10"/>
  <c r="Z666" i="7" s="1"/>
  <c r="F1374" i="10"/>
  <c r="Z674" i="7" s="1"/>
  <c r="F1390" i="10"/>
  <c r="Z691" i="7" s="1"/>
  <c r="F1406" i="10"/>
  <c r="Z707" i="7" s="1"/>
  <c r="F1414" i="10"/>
  <c r="Z715" i="7" s="1"/>
  <c r="F1370" i="10"/>
  <c r="Z670" i="7" s="1"/>
  <c r="F1378" i="10"/>
  <c r="Z678" i="7" s="1"/>
  <c r="F1386" i="10"/>
  <c r="Z686" i="7" s="1"/>
  <c r="F1394" i="10"/>
  <c r="Z695" i="7" s="1"/>
  <c r="F1410" i="10"/>
  <c r="Z711" i="7" s="1"/>
  <c r="F1341" i="10"/>
  <c r="E884" i="7" s="1"/>
  <c r="G1341" i="10"/>
  <c r="F884" i="7" s="1"/>
  <c r="F1349" i="10"/>
  <c r="E892" i="7" s="1"/>
  <c r="G1349" i="10"/>
  <c r="F892" i="7" s="1"/>
  <c r="F1357" i="10"/>
  <c r="E900" i="7" s="1"/>
  <c r="G1357" i="10"/>
  <c r="F900" i="7" s="1"/>
  <c r="F1347" i="10"/>
  <c r="E890" i="7" s="1"/>
  <c r="G1347" i="10"/>
  <c r="F890" i="7" s="1"/>
  <c r="F1355" i="10"/>
  <c r="E898" i="7" s="1"/>
  <c r="G1355" i="10"/>
  <c r="F898" i="7" s="1"/>
  <c r="F1345" i="10"/>
  <c r="E888" i="7" s="1"/>
  <c r="G1345" i="10"/>
  <c r="F888" i="7" s="1"/>
  <c r="F1353" i="10"/>
  <c r="E896" i="7" s="1"/>
  <c r="G1353" i="10"/>
  <c r="F896" i="7" s="1"/>
  <c r="F1361" i="10"/>
  <c r="E904" i="7" s="1"/>
  <c r="G1361" i="10"/>
  <c r="F904" i="7" s="1"/>
  <c r="F1343" i="10"/>
  <c r="E886" i="7" s="1"/>
  <c r="G1343" i="10"/>
  <c r="F886" i="7" s="1"/>
  <c r="F1351" i="10"/>
  <c r="E894" i="7" s="1"/>
  <c r="G1351" i="10"/>
  <c r="F894" i="7" s="1"/>
  <c r="F1359" i="10"/>
  <c r="E902" i="7" s="1"/>
  <c r="G1359" i="10"/>
  <c r="F902" i="7" s="1"/>
  <c r="K203" i="7" l="1"/>
  <c r="F1382" i="10"/>
  <c r="Z682" i="7" s="1"/>
  <c r="E25" i="9"/>
  <c r="E15" i="9"/>
  <c r="G851" i="7"/>
  <c r="D25" i="9"/>
  <c r="Q113" i="7"/>
  <c r="Q112" i="7"/>
  <c r="Q115" i="7"/>
  <c r="Q103" i="7"/>
  <c r="Q114" i="7"/>
  <c r="Q120" i="7"/>
  <c r="N161" i="7"/>
  <c r="N160" i="7"/>
  <c r="N157" i="7"/>
  <c r="N658" i="7"/>
  <c r="F25" i="9"/>
  <c r="P645" i="7"/>
  <c r="O638" i="7"/>
  <c r="N158" i="7"/>
  <c r="O710" i="7"/>
  <c r="O706" i="7"/>
  <c r="N151" i="7"/>
  <c r="O647" i="7"/>
  <c r="N153" i="7"/>
  <c r="O658" i="7"/>
  <c r="Q111" i="7"/>
  <c r="Q102" i="7"/>
  <c r="Q100" i="7"/>
  <c r="Q96" i="7"/>
  <c r="Q108" i="7"/>
  <c r="P170" i="7"/>
  <c r="O693" i="7"/>
  <c r="P657" i="7"/>
  <c r="P639" i="7"/>
  <c r="O661" i="7"/>
  <c r="O648" i="7"/>
  <c r="N114" i="7"/>
  <c r="Q117" i="7"/>
  <c r="Q654" i="7"/>
  <c r="P643" i="7"/>
  <c r="Q121" i="7"/>
  <c r="O697" i="7"/>
  <c r="O642" i="7"/>
  <c r="N654" i="7"/>
  <c r="N653" i="7"/>
  <c r="Q101" i="7"/>
  <c r="O637" i="7"/>
  <c r="O698" i="7"/>
  <c r="O687" i="7"/>
  <c r="N645" i="7"/>
  <c r="O703" i="7"/>
  <c r="O651" i="7"/>
  <c r="N642" i="7"/>
  <c r="N649" i="7"/>
  <c r="Q104" i="7"/>
  <c r="N659" i="7"/>
  <c r="O699" i="7"/>
  <c r="Q98" i="7"/>
  <c r="N162" i="7"/>
  <c r="N171" i="7"/>
  <c r="O673" i="7"/>
  <c r="N638" i="7"/>
  <c r="N637" i="7"/>
  <c r="N661" i="7"/>
  <c r="P159" i="7"/>
  <c r="Q107" i="7"/>
  <c r="O704" i="7"/>
  <c r="Q105" i="7"/>
  <c r="Q99" i="7"/>
  <c r="O694" i="7"/>
  <c r="P154" i="7"/>
  <c r="N168" i="7"/>
  <c r="N173" i="7"/>
  <c r="N174" i="7"/>
  <c r="N167" i="7"/>
  <c r="P152" i="7"/>
  <c r="N651" i="7"/>
  <c r="P638" i="7"/>
  <c r="P642" i="7"/>
  <c r="Q648" i="7"/>
  <c r="P168" i="7"/>
  <c r="N655" i="7"/>
  <c r="N98" i="7"/>
  <c r="E39" i="3"/>
  <c r="I39" i="3" s="1"/>
  <c r="L637" i="7"/>
  <c r="O101" i="7"/>
  <c r="P641" i="7"/>
  <c r="Q661" i="7"/>
  <c r="P655" i="7"/>
  <c r="O701" i="7"/>
  <c r="O714" i="7"/>
  <c r="O669" i="7"/>
  <c r="N646" i="7"/>
  <c r="N641" i="7"/>
  <c r="N657" i="7"/>
  <c r="N643" i="7"/>
  <c r="Q116" i="7"/>
  <c r="Q106" i="7"/>
  <c r="Q110" i="7"/>
  <c r="O712" i="7"/>
  <c r="Q97" i="7"/>
  <c r="L638" i="7"/>
  <c r="Q650" i="7"/>
  <c r="R656" i="7"/>
  <c r="L646" i="7"/>
  <c r="L654" i="7"/>
  <c r="O640" i="7"/>
  <c r="O654" i="7"/>
  <c r="O660" i="7"/>
  <c r="O646" i="7"/>
  <c r="M661" i="7"/>
  <c r="L650" i="7"/>
  <c r="Q638" i="7"/>
  <c r="O656" i="7"/>
  <c r="Q636" i="7"/>
  <c r="Q652" i="7"/>
  <c r="O645" i="7"/>
  <c r="P654" i="7"/>
  <c r="O649" i="7"/>
  <c r="O655" i="7"/>
  <c r="M653" i="7"/>
  <c r="L642" i="7"/>
  <c r="L658" i="7"/>
  <c r="M648" i="7"/>
  <c r="N97" i="7"/>
  <c r="O170" i="7"/>
  <c r="O102" i="7"/>
  <c r="N111" i="7"/>
  <c r="O685" i="7"/>
  <c r="O644" i="7"/>
  <c r="O675" i="7"/>
  <c r="O696" i="7"/>
  <c r="O692" i="7"/>
  <c r="O639" i="7"/>
  <c r="O653" i="7"/>
  <c r="Q118" i="7"/>
  <c r="Q109" i="7"/>
  <c r="O700" i="7"/>
  <c r="O690" i="7"/>
  <c r="O150" i="7"/>
  <c r="M645" i="7"/>
  <c r="O154" i="7"/>
  <c r="O175" i="7"/>
  <c r="O702" i="7"/>
  <c r="O713" i="7"/>
  <c r="O709" i="7"/>
  <c r="M639" i="7"/>
  <c r="O159" i="7"/>
  <c r="P106" i="7"/>
  <c r="N108" i="7"/>
  <c r="P636" i="7"/>
  <c r="P652" i="7"/>
  <c r="P659" i="7"/>
  <c r="N99" i="7"/>
  <c r="N106" i="7"/>
  <c r="P658" i="7"/>
  <c r="R654" i="7"/>
  <c r="P98" i="7"/>
  <c r="O652" i="7"/>
  <c r="N644" i="7"/>
  <c r="O671" i="7"/>
  <c r="P111" i="7"/>
  <c r="O162" i="7"/>
  <c r="O169" i="7"/>
  <c r="R640" i="7"/>
  <c r="Q659" i="7"/>
  <c r="O171" i="7"/>
  <c r="Q645" i="7"/>
  <c r="N169" i="7"/>
  <c r="N150" i="7"/>
  <c r="P108" i="7"/>
  <c r="P637" i="7"/>
  <c r="Q644" i="7"/>
  <c r="P647" i="7"/>
  <c r="R645" i="7"/>
  <c r="O636" i="7"/>
  <c r="O643" i="7"/>
  <c r="N660" i="7"/>
  <c r="P113" i="7"/>
  <c r="P97" i="7"/>
  <c r="Q640" i="7"/>
  <c r="Q647" i="7"/>
  <c r="P100" i="7"/>
  <c r="N105" i="7"/>
  <c r="P646" i="7"/>
  <c r="P102" i="7"/>
  <c r="O672" i="7"/>
  <c r="R651" i="7"/>
  <c r="M656" i="7"/>
  <c r="O153" i="7"/>
  <c r="O164" i="7"/>
  <c r="Q658" i="7"/>
  <c r="P661" i="7"/>
  <c r="N107" i="7"/>
  <c r="N154" i="7"/>
  <c r="O106" i="7"/>
  <c r="Q653" i="7"/>
  <c r="P656" i="7"/>
  <c r="R638" i="7"/>
  <c r="N116" i="7"/>
  <c r="N115" i="7"/>
  <c r="Q646" i="7"/>
  <c r="O650" i="7"/>
  <c r="Q175" i="7"/>
  <c r="Q160" i="7"/>
  <c r="Q154" i="7"/>
  <c r="P167" i="7"/>
  <c r="Q156" i="7"/>
  <c r="P165" i="7"/>
  <c r="Q173" i="7"/>
  <c r="Q158" i="7"/>
  <c r="P648" i="7"/>
  <c r="O641" i="7"/>
  <c r="O708" i="7"/>
  <c r="N689" i="7"/>
  <c r="N671" i="7" s="1"/>
  <c r="O112" i="7"/>
  <c r="O111" i="7"/>
  <c r="O166" i="7"/>
  <c r="O157" i="7"/>
  <c r="P96" i="7"/>
  <c r="O113" i="7"/>
  <c r="O96" i="7"/>
  <c r="O152" i="7"/>
  <c r="O168" i="7"/>
  <c r="N96" i="7"/>
  <c r="O97" i="7"/>
  <c r="O173" i="7"/>
  <c r="Q171" i="7"/>
  <c r="R644" i="7"/>
  <c r="R660" i="7"/>
  <c r="O118" i="7"/>
  <c r="Q162" i="7"/>
  <c r="Q150" i="7"/>
  <c r="O119" i="7"/>
  <c r="P158" i="7"/>
  <c r="P174" i="7"/>
  <c r="N119" i="7"/>
  <c r="Q643" i="7"/>
  <c r="P156" i="7"/>
  <c r="P172" i="7"/>
  <c r="P116" i="7"/>
  <c r="P118" i="7"/>
  <c r="N113" i="7"/>
  <c r="P153" i="7"/>
  <c r="O100" i="7"/>
  <c r="N152" i="7"/>
  <c r="P171" i="7"/>
  <c r="Q642" i="7"/>
  <c r="R642" i="7"/>
  <c r="R658" i="7"/>
  <c r="R649" i="7"/>
  <c r="O663" i="7"/>
  <c r="O676" i="7"/>
  <c r="N110" i="7"/>
  <c r="O115" i="7"/>
  <c r="P169" i="7"/>
  <c r="Q169" i="7"/>
  <c r="Q166" i="7"/>
  <c r="O104" i="7"/>
  <c r="O99" i="7"/>
  <c r="N164" i="7"/>
  <c r="P653" i="7"/>
  <c r="N648" i="7"/>
  <c r="N639" i="7"/>
  <c r="R655" i="7"/>
  <c r="P651" i="7"/>
  <c r="O156" i="7"/>
  <c r="O151" i="7"/>
  <c r="O107" i="7"/>
  <c r="O161" i="7"/>
  <c r="P117" i="7"/>
  <c r="R648" i="7"/>
  <c r="Q164" i="7"/>
  <c r="O105" i="7"/>
  <c r="R639" i="7"/>
  <c r="Q153" i="7"/>
  <c r="P107" i="7"/>
  <c r="P162" i="7"/>
  <c r="Q152" i="7"/>
  <c r="N101" i="7"/>
  <c r="Q174" i="7"/>
  <c r="P103" i="7"/>
  <c r="P160" i="7"/>
  <c r="P151" i="7"/>
  <c r="N118" i="7"/>
  <c r="N120" i="7"/>
  <c r="R720" i="7"/>
  <c r="R740" i="7"/>
  <c r="R735" i="7"/>
  <c r="R728" i="7"/>
  <c r="R724" i="7"/>
  <c r="R737" i="7"/>
  <c r="R723" i="7"/>
  <c r="R738" i="7"/>
  <c r="R739" i="7"/>
  <c r="R732" i="7"/>
  <c r="R741" i="7"/>
  <c r="R742" i="7"/>
  <c r="R719" i="7"/>
  <c r="R733" i="7"/>
  <c r="R718" i="7"/>
  <c r="R721" i="7"/>
  <c r="R736" i="7"/>
  <c r="R729" i="7"/>
  <c r="R730" i="7"/>
  <c r="R722" i="7"/>
  <c r="R731" i="7"/>
  <c r="R725" i="7"/>
  <c r="R717" i="7"/>
  <c r="R734" i="7"/>
  <c r="R726" i="7"/>
  <c r="N104" i="7"/>
  <c r="P99" i="7"/>
  <c r="P157" i="7"/>
  <c r="Q167" i="7"/>
  <c r="O116" i="7"/>
  <c r="N159" i="7"/>
  <c r="P175" i="7"/>
  <c r="Q155" i="7"/>
  <c r="Q651" i="7"/>
  <c r="R646" i="7"/>
  <c r="R637" i="7"/>
  <c r="R653" i="7"/>
  <c r="O674" i="7"/>
  <c r="O683" i="7"/>
  <c r="O680" i="7"/>
  <c r="O678" i="7"/>
  <c r="O668" i="7"/>
  <c r="O670" i="7"/>
  <c r="O682" i="7"/>
  <c r="O679" i="7"/>
  <c r="O684" i="7"/>
  <c r="O688" i="7"/>
  <c r="O686" i="7"/>
  <c r="O677" i="7"/>
  <c r="O681" i="7"/>
  <c r="O664" i="7"/>
  <c r="O666" i="7"/>
  <c r="O108" i="7"/>
  <c r="N165" i="7"/>
  <c r="N166" i="7"/>
  <c r="P173" i="7"/>
  <c r="N103" i="7"/>
  <c r="P115" i="7"/>
  <c r="Q170" i="7"/>
  <c r="Q172" i="7"/>
  <c r="N155" i="7"/>
  <c r="Q637" i="7"/>
  <c r="Q657" i="7"/>
  <c r="N636" i="7"/>
  <c r="N652" i="7"/>
  <c r="R643" i="7"/>
  <c r="R659" i="7"/>
  <c r="P660" i="7"/>
  <c r="Q655" i="7"/>
  <c r="N716" i="7"/>
  <c r="N699" i="7" s="1"/>
  <c r="R176" i="7"/>
  <c r="R153" i="7" s="1"/>
  <c r="N117" i="7"/>
  <c r="O98" i="7"/>
  <c r="O158" i="7"/>
  <c r="O174" i="7"/>
  <c r="N102" i="7"/>
  <c r="P121" i="7"/>
  <c r="O167" i="7"/>
  <c r="O110" i="7"/>
  <c r="N112" i="7"/>
  <c r="O160" i="7"/>
  <c r="O155" i="7"/>
  <c r="N100" i="7"/>
  <c r="P110" i="7"/>
  <c r="O165" i="7"/>
  <c r="R636" i="7"/>
  <c r="R652" i="7"/>
  <c r="P104" i="7"/>
  <c r="O163" i="7"/>
  <c r="Q163" i="7"/>
  <c r="P166" i="7"/>
  <c r="Q157" i="7"/>
  <c r="P114" i="7"/>
  <c r="N156" i="7"/>
  <c r="Q161" i="7"/>
  <c r="Q649" i="7"/>
  <c r="Q656" i="7"/>
  <c r="O665" i="7"/>
  <c r="P120" i="7"/>
  <c r="O117" i="7"/>
  <c r="P164" i="7"/>
  <c r="P155" i="7"/>
  <c r="Q165" i="7"/>
  <c r="O114" i="7"/>
  <c r="O103" i="7"/>
  <c r="O109" i="7"/>
  <c r="N170" i="7"/>
  <c r="Q168" i="7"/>
  <c r="P112" i="7"/>
  <c r="P150" i="7"/>
  <c r="N163" i="7"/>
  <c r="P101" i="7"/>
  <c r="P163" i="7"/>
  <c r="P109" i="7"/>
  <c r="P649" i="7"/>
  <c r="N647" i="7"/>
  <c r="P640" i="7"/>
  <c r="Q660" i="7"/>
  <c r="R650" i="7"/>
  <c r="R641" i="7"/>
  <c r="R657" i="7"/>
  <c r="N109" i="7"/>
  <c r="O121" i="7"/>
  <c r="Q159" i="7"/>
  <c r="P105" i="7"/>
  <c r="N175" i="7"/>
  <c r="Q641" i="7"/>
  <c r="O659" i="7"/>
  <c r="N640" i="7"/>
  <c r="N656" i="7"/>
  <c r="R647" i="7"/>
  <c r="P644" i="7"/>
  <c r="O691" i="7"/>
  <c r="O711" i="7"/>
  <c r="O695" i="7"/>
  <c r="O707" i="7"/>
  <c r="O715" i="7"/>
  <c r="M647" i="7"/>
  <c r="L103" i="7"/>
  <c r="M115" i="7"/>
  <c r="M121" i="7"/>
  <c r="M118" i="7"/>
  <c r="M117" i="7"/>
  <c r="L118" i="7"/>
  <c r="M100" i="7"/>
  <c r="L98" i="7"/>
  <c r="L97" i="7"/>
  <c r="L121" i="7"/>
  <c r="L117" i="7"/>
  <c r="L107" i="7"/>
  <c r="L112" i="7"/>
  <c r="L100" i="7"/>
  <c r="L108" i="7"/>
  <c r="M102" i="7"/>
  <c r="L101" i="7"/>
  <c r="M114" i="7"/>
  <c r="L105" i="7"/>
  <c r="L99" i="7"/>
  <c r="L104" i="7"/>
  <c r="L110" i="7"/>
  <c r="L116" i="7"/>
  <c r="I149" i="7"/>
  <c r="L119" i="7"/>
  <c r="L113" i="7"/>
  <c r="L109" i="7"/>
  <c r="L114" i="7"/>
  <c r="M108" i="7"/>
  <c r="M99" i="7"/>
  <c r="M637" i="7"/>
  <c r="T827" i="7"/>
  <c r="F827" i="7" s="1"/>
  <c r="F1407" i="10"/>
  <c r="Z708" i="7" s="1"/>
  <c r="AA708" i="7"/>
  <c r="T849" i="7"/>
  <c r="F849" i="7" s="1"/>
  <c r="F1412" i="10"/>
  <c r="Z713" i="7" s="1"/>
  <c r="AA713" i="7"/>
  <c r="M106" i="7"/>
  <c r="M111" i="7"/>
  <c r="M641" i="7"/>
  <c r="M120" i="7"/>
  <c r="T837" i="7"/>
  <c r="F837" i="7" s="1"/>
  <c r="M636" i="7"/>
  <c r="M643" i="7"/>
  <c r="M113" i="7"/>
  <c r="M104" i="7"/>
  <c r="M119" i="7"/>
  <c r="M642" i="7"/>
  <c r="F1371" i="10"/>
  <c r="Z671" i="7" s="1"/>
  <c r="AA671" i="7"/>
  <c r="L115" i="7"/>
  <c r="L102" i="7"/>
  <c r="L645" i="7"/>
  <c r="L653" i="7"/>
  <c r="L661" i="7"/>
  <c r="L120" i="7"/>
  <c r="L111" i="7"/>
  <c r="F1387" i="10"/>
  <c r="Z687" i="7" s="1"/>
  <c r="AA687" i="7"/>
  <c r="F1401" i="10"/>
  <c r="Z702" i="7" s="1"/>
  <c r="AA702" i="7"/>
  <c r="F1399" i="10"/>
  <c r="Z700" i="7" s="1"/>
  <c r="AA700" i="7"/>
  <c r="F1373" i="10"/>
  <c r="Z673" i="7" s="1"/>
  <c r="AA673" i="7"/>
  <c r="T848" i="7"/>
  <c r="F848" i="7" s="1"/>
  <c r="F1409" i="10"/>
  <c r="Z710" i="7" s="1"/>
  <c r="AA710" i="7"/>
  <c r="F1392" i="10"/>
  <c r="Z693" i="7" s="1"/>
  <c r="AA693" i="7"/>
  <c r="F1389" i="10"/>
  <c r="Z690" i="7" s="1"/>
  <c r="AA690" i="7"/>
  <c r="T844" i="7"/>
  <c r="F844" i="7" s="1"/>
  <c r="M654" i="7"/>
  <c r="T841" i="7"/>
  <c r="F841" i="7" s="1"/>
  <c r="F1403" i="10"/>
  <c r="Z704" i="7" s="1"/>
  <c r="AA704" i="7"/>
  <c r="F1385" i="10"/>
  <c r="Z685" i="7" s="1"/>
  <c r="AA685" i="7"/>
  <c r="F203" i="7"/>
  <c r="T832" i="7"/>
  <c r="F832" i="7" s="1"/>
  <c r="M657" i="7"/>
  <c r="F1393" i="10"/>
  <c r="Z694" i="7" s="1"/>
  <c r="AA694" i="7"/>
  <c r="F1405" i="10"/>
  <c r="Z706" i="7" s="1"/>
  <c r="AA706" i="7"/>
  <c r="T830" i="7"/>
  <c r="F830" i="7" s="1"/>
  <c r="J149" i="7"/>
  <c r="M116" i="7"/>
  <c r="M660" i="7"/>
  <c r="T846" i="7"/>
  <c r="F846" i="7" s="1"/>
  <c r="T838" i="7"/>
  <c r="F838" i="7" s="1"/>
  <c r="L640" i="7"/>
  <c r="L648" i="7"/>
  <c r="L656" i="7"/>
  <c r="L639" i="7"/>
  <c r="L647" i="7"/>
  <c r="L655" i="7"/>
  <c r="M109" i="7"/>
  <c r="F1391" i="10"/>
  <c r="Z692" i="7" s="1"/>
  <c r="AA692" i="7"/>
  <c r="L106" i="7"/>
  <c r="M107" i="7"/>
  <c r="T829" i="7"/>
  <c r="F829" i="7" s="1"/>
  <c r="T843" i="7"/>
  <c r="F843" i="7" s="1"/>
  <c r="T826" i="7"/>
  <c r="F826" i="7" s="1"/>
  <c r="F1398" i="10"/>
  <c r="Z699" i="7" s="1"/>
  <c r="AA699" i="7"/>
  <c r="M646" i="7"/>
  <c r="F1395" i="10"/>
  <c r="Z696" i="7" s="1"/>
  <c r="AA696" i="7"/>
  <c r="T835" i="7"/>
  <c r="F835" i="7" s="1"/>
  <c r="F1367" i="10"/>
  <c r="Z667" i="7" s="1"/>
  <c r="AA667" i="7"/>
  <c r="T839" i="7"/>
  <c r="F839" i="7" s="1"/>
  <c r="L176" i="7"/>
  <c r="L157" i="7" s="1"/>
  <c r="F1397" i="10"/>
  <c r="Z698" i="7" s="1"/>
  <c r="AA698" i="7"/>
  <c r="F1372" i="10"/>
  <c r="Z672" i="7" s="1"/>
  <c r="AA672" i="7"/>
  <c r="M110" i="7"/>
  <c r="M97" i="7"/>
  <c r="T833" i="7"/>
  <c r="F833" i="7" s="1"/>
  <c r="M652" i="7"/>
  <c r="M659" i="7"/>
  <c r="M658" i="7"/>
  <c r="F1411" i="10"/>
  <c r="Z712" i="7" s="1"/>
  <c r="AA712" i="7"/>
  <c r="T828" i="7"/>
  <c r="F828" i="7" s="1"/>
  <c r="L641" i="7"/>
  <c r="L649" i="7"/>
  <c r="L657" i="7"/>
  <c r="F1402" i="10"/>
  <c r="Z703" i="7" s="1"/>
  <c r="AA703" i="7"/>
  <c r="F1413" i="10"/>
  <c r="Z714" i="7" s="1"/>
  <c r="AA714" i="7"/>
  <c r="F1396" i="10"/>
  <c r="Z697" i="7" s="1"/>
  <c r="AA697" i="7"/>
  <c r="T850" i="7"/>
  <c r="F850" i="7" s="1"/>
  <c r="F1369" i="10"/>
  <c r="Z669" i="7" s="1"/>
  <c r="AA669" i="7"/>
  <c r="T836" i="7"/>
  <c r="F836" i="7" s="1"/>
  <c r="J176" i="7"/>
  <c r="F1404" i="10"/>
  <c r="Z705" i="7" s="1"/>
  <c r="AA705" i="7"/>
  <c r="T847" i="7"/>
  <c r="F847" i="7" s="1"/>
  <c r="M640" i="7"/>
  <c r="M655" i="7"/>
  <c r="M96" i="7"/>
  <c r="M638" i="7"/>
  <c r="M176" i="7"/>
  <c r="M153" i="7" s="1"/>
  <c r="F1363" i="10"/>
  <c r="Z663" i="7" s="1"/>
  <c r="AA663" i="7"/>
  <c r="F1400" i="10"/>
  <c r="Z701" i="7" s="1"/>
  <c r="AA701" i="7"/>
  <c r="T831" i="7"/>
  <c r="F831" i="7" s="1"/>
  <c r="F1375" i="10"/>
  <c r="Z675" i="7" s="1"/>
  <c r="AA675" i="7"/>
  <c r="M649" i="7"/>
  <c r="F1408" i="10"/>
  <c r="Z709" i="7" s="1"/>
  <c r="AA709" i="7"/>
  <c r="T842" i="7"/>
  <c r="F842" i="7" s="1"/>
  <c r="F1365" i="10"/>
  <c r="Z665" i="7" s="1"/>
  <c r="AA665" i="7"/>
  <c r="T840" i="7"/>
  <c r="F840" i="7" s="1"/>
  <c r="T845" i="7"/>
  <c r="F845" i="7" s="1"/>
  <c r="M644" i="7"/>
  <c r="M651" i="7"/>
  <c r="T825" i="7"/>
  <c r="F825" i="7" s="1"/>
  <c r="M101" i="7"/>
  <c r="L636" i="7"/>
  <c r="L644" i="7"/>
  <c r="L652" i="7"/>
  <c r="L660" i="7"/>
  <c r="L643" i="7"/>
  <c r="L651" i="7"/>
  <c r="T834" i="7"/>
  <c r="F834" i="7" s="1"/>
  <c r="M103" i="7"/>
  <c r="M112" i="7"/>
  <c r="M98" i="7"/>
  <c r="F1376" i="10"/>
  <c r="Z676" i="7" s="1"/>
  <c r="AA676" i="7"/>
  <c r="D582" i="7"/>
  <c r="A73" i="7"/>
  <c r="B73" i="7"/>
  <c r="AH75" i="7"/>
  <c r="AI74" i="7"/>
  <c r="D1148" i="7"/>
  <c r="D1092" i="7"/>
  <c r="D1065" i="7"/>
  <c r="D1119" i="7" s="1"/>
  <c r="D1089" i="7"/>
  <c r="D1062" i="7"/>
  <c r="D1116" i="7" s="1"/>
  <c r="D1083" i="7"/>
  <c r="D1056" i="7"/>
  <c r="D1110" i="7" s="1"/>
  <c r="D1093" i="7"/>
  <c r="D1066" i="7"/>
  <c r="D1120" i="7" s="1"/>
  <c r="D1072" i="7"/>
  <c r="D1045" i="7"/>
  <c r="D1099" i="7" s="1"/>
  <c r="D1071" i="7"/>
  <c r="D1044" i="7"/>
  <c r="D1098" i="7" s="1"/>
  <c r="D1091" i="7"/>
  <c r="D1064" i="7"/>
  <c r="D1118" i="7" s="1"/>
  <c r="D1082" i="7"/>
  <c r="D1055" i="7"/>
  <c r="D1109" i="7" s="1"/>
  <c r="D1085" i="7"/>
  <c r="D1058" i="7"/>
  <c r="D1112" i="7" s="1"/>
  <c r="D1087" i="7"/>
  <c r="D1060" i="7"/>
  <c r="D1114" i="7" s="1"/>
  <c r="D1069" i="7"/>
  <c r="D1042" i="7"/>
  <c r="D1096" i="7" s="1"/>
  <c r="D1074" i="7"/>
  <c r="D1047" i="7"/>
  <c r="D1101" i="7" s="1"/>
  <c r="D1086" i="7"/>
  <c r="D1059" i="7"/>
  <c r="D1113" i="7" s="1"/>
  <c r="D1075" i="7"/>
  <c r="D1048" i="7"/>
  <c r="D1102" i="7" s="1"/>
  <c r="D1080" i="7"/>
  <c r="D1053" i="7"/>
  <c r="D1107" i="7" s="1"/>
  <c r="D1088" i="7"/>
  <c r="D1061" i="7"/>
  <c r="D1115" i="7" s="1"/>
  <c r="D1084" i="7"/>
  <c r="D1057" i="7"/>
  <c r="D1111" i="7" s="1"/>
  <c r="D1076" i="7"/>
  <c r="D1049" i="7"/>
  <c r="D1103" i="7" s="1"/>
  <c r="D1090" i="7"/>
  <c r="D1063" i="7"/>
  <c r="D1117" i="7" s="1"/>
  <c r="D1079" i="7"/>
  <c r="D1052" i="7"/>
  <c r="D1106" i="7" s="1"/>
  <c r="D1077" i="7"/>
  <c r="D1050" i="7"/>
  <c r="D1104" i="7" s="1"/>
  <c r="D1073" i="7"/>
  <c r="D1046" i="7"/>
  <c r="D1100" i="7" s="1"/>
  <c r="D1078" i="7"/>
  <c r="D1051" i="7"/>
  <c r="D1105" i="7" s="1"/>
  <c r="D1070" i="7"/>
  <c r="D1043" i="7"/>
  <c r="D1097" i="7" s="1"/>
  <c r="D1081" i="7"/>
  <c r="D1054" i="7"/>
  <c r="D1108" i="7" s="1"/>
  <c r="D37" i="9"/>
  <c r="C37" i="9"/>
  <c r="B37" i="9"/>
  <c r="G37" i="9"/>
  <c r="F37" i="9"/>
  <c r="D163" i="3"/>
  <c r="D168" i="3" s="1"/>
  <c r="E37" i="9"/>
  <c r="H37" i="9"/>
  <c r="C25" i="9"/>
  <c r="C15" i="9"/>
  <c r="F1377" i="10"/>
  <c r="Z677" i="7" s="1"/>
  <c r="F1383" i="10"/>
  <c r="Z683" i="7" s="1"/>
  <c r="F1384" i="10"/>
  <c r="Z684" i="7" s="1"/>
  <c r="F1379" i="10"/>
  <c r="Z679" i="7" s="1"/>
  <c r="F1380" i="10"/>
  <c r="Z680" i="7" s="1"/>
  <c r="F1381" i="10"/>
  <c r="Z681" i="7" s="1"/>
  <c r="F798" i="10"/>
  <c r="G798" i="10"/>
  <c r="X663" i="7" l="1"/>
  <c r="W663" i="7" s="1"/>
  <c r="V663" i="7" s="1"/>
  <c r="U663" i="7" s="1"/>
  <c r="T663" i="7" s="1"/>
  <c r="S663" i="7" s="1"/>
  <c r="F851" i="7"/>
  <c r="N694" i="7"/>
  <c r="N672" i="7"/>
  <c r="N665" i="7"/>
  <c r="N673" i="7"/>
  <c r="N687" i="7"/>
  <c r="N676" i="7"/>
  <c r="N685" i="7"/>
  <c r="N704" i="7"/>
  <c r="N712" i="7"/>
  <c r="M169" i="7"/>
  <c r="L159" i="7"/>
  <c r="L161" i="7"/>
  <c r="L151" i="7"/>
  <c r="L170" i="7"/>
  <c r="N703" i="7"/>
  <c r="N698" i="7"/>
  <c r="N693" i="7"/>
  <c r="N701" i="7"/>
  <c r="N697" i="7"/>
  <c r="N706" i="7"/>
  <c r="L155" i="7"/>
  <c r="L175" i="7"/>
  <c r="L158" i="7"/>
  <c r="N700" i="7"/>
  <c r="N696" i="7"/>
  <c r="N710" i="7"/>
  <c r="N663" i="7"/>
  <c r="N705" i="7"/>
  <c r="L156" i="7"/>
  <c r="N708" i="7"/>
  <c r="N690" i="7"/>
  <c r="N709" i="7"/>
  <c r="L160" i="7"/>
  <c r="L169" i="7"/>
  <c r="N707" i="7"/>
  <c r="N691" i="7"/>
  <c r="N695" i="7"/>
  <c r="N711" i="7"/>
  <c r="N715" i="7"/>
  <c r="N702" i="7"/>
  <c r="N675" i="7"/>
  <c r="N667" i="7"/>
  <c r="R173" i="7"/>
  <c r="R159" i="7"/>
  <c r="R165" i="7"/>
  <c r="R150" i="7"/>
  <c r="R166" i="7"/>
  <c r="R175" i="7"/>
  <c r="R164" i="7"/>
  <c r="R155" i="7"/>
  <c r="R161" i="7"/>
  <c r="R162" i="7"/>
  <c r="R157" i="7"/>
  <c r="R171" i="7"/>
  <c r="R160" i="7"/>
  <c r="R151" i="7"/>
  <c r="R158" i="7"/>
  <c r="R174" i="7"/>
  <c r="R167" i="7"/>
  <c r="R156" i="7"/>
  <c r="R172" i="7"/>
  <c r="R169" i="7"/>
  <c r="R154" i="7"/>
  <c r="R170" i="7"/>
  <c r="R163" i="7"/>
  <c r="R152" i="7"/>
  <c r="R168" i="7"/>
  <c r="M167" i="7"/>
  <c r="N713" i="7"/>
  <c r="N682" i="7"/>
  <c r="N664" i="7"/>
  <c r="N666" i="7"/>
  <c r="N668" i="7"/>
  <c r="N688" i="7"/>
  <c r="N686" i="7"/>
  <c r="N670" i="7"/>
  <c r="N674" i="7"/>
  <c r="N678" i="7"/>
  <c r="N681" i="7"/>
  <c r="N683" i="7"/>
  <c r="N680" i="7"/>
  <c r="N679" i="7"/>
  <c r="N684" i="7"/>
  <c r="N677" i="7"/>
  <c r="N714" i="7"/>
  <c r="N692" i="7"/>
  <c r="N669" i="7"/>
  <c r="M165" i="7"/>
  <c r="M161" i="7"/>
  <c r="M150" i="7"/>
  <c r="M163" i="7"/>
  <c r="L174" i="7"/>
  <c r="M174" i="7"/>
  <c r="M168" i="7"/>
  <c r="L172" i="7"/>
  <c r="L165" i="7"/>
  <c r="L150" i="7"/>
  <c r="M157" i="7"/>
  <c r="L164" i="7"/>
  <c r="L163" i="7"/>
  <c r="M172" i="7"/>
  <c r="M158" i="7"/>
  <c r="M152" i="7"/>
  <c r="M154" i="7"/>
  <c r="L166" i="7"/>
  <c r="L173" i="7"/>
  <c r="S828" i="7"/>
  <c r="E828" i="7" s="1"/>
  <c r="S834" i="7"/>
  <c r="E834" i="7" s="1"/>
  <c r="S840" i="7"/>
  <c r="E840" i="7" s="1"/>
  <c r="S833" i="7"/>
  <c r="E833" i="7" s="1"/>
  <c r="M164" i="7"/>
  <c r="M151" i="7"/>
  <c r="L168" i="7"/>
  <c r="S830" i="7"/>
  <c r="E830" i="7" s="1"/>
  <c r="L167" i="7"/>
  <c r="M156" i="7"/>
  <c r="S844" i="7"/>
  <c r="E844" i="7" s="1"/>
  <c r="S837" i="7"/>
  <c r="E837" i="7" s="1"/>
  <c r="L171" i="7"/>
  <c r="M173" i="7"/>
  <c r="S839" i="7"/>
  <c r="E839" i="7" s="1"/>
  <c r="S829" i="7"/>
  <c r="E829" i="7" s="1"/>
  <c r="L716" i="7"/>
  <c r="L702" i="7" s="1"/>
  <c r="S848" i="7"/>
  <c r="E848" i="7" s="1"/>
  <c r="M689" i="7"/>
  <c r="M671" i="7" s="1"/>
  <c r="S850" i="7"/>
  <c r="E850" i="7" s="1"/>
  <c r="S835" i="7"/>
  <c r="E835" i="7" s="1"/>
  <c r="S826" i="7"/>
  <c r="E826" i="7" s="1"/>
  <c r="S846" i="7"/>
  <c r="E846" i="7" s="1"/>
  <c r="M162" i="7"/>
  <c r="M166" i="7"/>
  <c r="S827" i="7"/>
  <c r="E827" i="7" s="1"/>
  <c r="S836" i="7"/>
  <c r="E836" i="7" s="1"/>
  <c r="S845" i="7"/>
  <c r="E845" i="7" s="1"/>
  <c r="S842" i="7"/>
  <c r="E842" i="7" s="1"/>
  <c r="S825" i="7"/>
  <c r="E825" i="7" s="1"/>
  <c r="S831" i="7"/>
  <c r="E831" i="7" s="1"/>
  <c r="L689" i="7"/>
  <c r="L687" i="7" s="1"/>
  <c r="S847" i="7"/>
  <c r="E847" i="7" s="1"/>
  <c r="M160" i="7"/>
  <c r="M159" i="7"/>
  <c r="L154" i="7"/>
  <c r="L162" i="7"/>
  <c r="M155" i="7"/>
  <c r="S843" i="7"/>
  <c r="E843" i="7" s="1"/>
  <c r="M170" i="7"/>
  <c r="M175" i="7"/>
  <c r="S838" i="7"/>
  <c r="E838" i="7" s="1"/>
  <c r="K149" i="7"/>
  <c r="S832" i="7"/>
  <c r="E832" i="7" s="1"/>
  <c r="S841" i="7"/>
  <c r="E841" i="7" s="1"/>
  <c r="M716" i="7"/>
  <c r="M697" i="7" s="1"/>
  <c r="L152" i="7"/>
  <c r="L153" i="7"/>
  <c r="S849" i="7"/>
  <c r="E849" i="7" s="1"/>
  <c r="M171" i="7"/>
  <c r="D609" i="7"/>
  <c r="D636" i="7" s="1"/>
  <c r="D663" i="7" s="1"/>
  <c r="D690" i="7" s="1"/>
  <c r="D717" i="7" s="1"/>
  <c r="D744" i="7" s="1"/>
  <c r="D771" i="7" s="1"/>
  <c r="D798" i="7" s="1"/>
  <c r="D825" i="7" s="1"/>
  <c r="D852" i="7" s="1"/>
  <c r="D879" i="7" s="1"/>
  <c r="D906" i="7" s="1"/>
  <c r="B74" i="7"/>
  <c r="A74" i="7"/>
  <c r="AH76" i="7"/>
  <c r="AI75" i="7"/>
  <c r="D1135" i="7"/>
  <c r="D1132" i="7"/>
  <c r="D1131" i="7"/>
  <c r="D1144" i="7"/>
  <c r="D1138" i="7"/>
  <c r="D1134" i="7"/>
  <c r="D1140" i="7"/>
  <c r="D1123" i="7"/>
  <c r="D1139" i="7"/>
  <c r="D1145" i="7"/>
  <c r="D1126" i="7"/>
  <c r="D1137" i="7"/>
  <c r="D1146" i="7"/>
  <c r="D1124" i="7"/>
  <c r="D1127" i="7"/>
  <c r="D1133" i="7"/>
  <c r="D1130" i="7"/>
  <c r="D1142" i="7"/>
  <c r="D1129" i="7"/>
  <c r="D1128" i="7"/>
  <c r="D1141" i="7"/>
  <c r="D1136" i="7"/>
  <c r="D1125" i="7"/>
  <c r="D1147" i="7"/>
  <c r="D1143" i="7"/>
  <c r="D1175" i="7"/>
  <c r="AG22" i="7"/>
  <c r="AG24" i="7"/>
  <c r="AG23" i="7"/>
  <c r="D171" i="3"/>
  <c r="D169" i="3"/>
  <c r="D167" i="3"/>
  <c r="D165" i="3"/>
  <c r="D166" i="3"/>
  <c r="D164" i="3"/>
  <c r="D170" i="3"/>
  <c r="L673" i="7" l="1"/>
  <c r="L713" i="7"/>
  <c r="L714" i="7"/>
  <c r="L696" i="7"/>
  <c r="L704" i="7"/>
  <c r="L708" i="7"/>
  <c r="L705" i="7"/>
  <c r="L706" i="7"/>
  <c r="L709" i="7"/>
  <c r="L694" i="7"/>
  <c r="L692" i="7"/>
  <c r="L710" i="7"/>
  <c r="L703" i="7"/>
  <c r="L693" i="7"/>
  <c r="M687" i="7"/>
  <c r="M690" i="7"/>
  <c r="L663" i="7"/>
  <c r="L679" i="7"/>
  <c r="L680" i="7"/>
  <c r="M673" i="7"/>
  <c r="L699" i="7"/>
  <c r="L697" i="7"/>
  <c r="M672" i="7"/>
  <c r="L669" i="7"/>
  <c r="L671" i="7"/>
  <c r="M669" i="7"/>
  <c r="L676" i="7"/>
  <c r="M696" i="7"/>
  <c r="L667" i="7"/>
  <c r="L665" i="7"/>
  <c r="M667" i="7"/>
  <c r="M663" i="7"/>
  <c r="L712" i="7"/>
  <c r="M675" i="7"/>
  <c r="M676" i="7"/>
  <c r="M706" i="7"/>
  <c r="M702" i="7"/>
  <c r="M693" i="7"/>
  <c r="M712" i="7"/>
  <c r="L686" i="7"/>
  <c r="L688" i="7"/>
  <c r="L670" i="7"/>
  <c r="L674" i="7"/>
  <c r="L682" i="7"/>
  <c r="L664" i="7"/>
  <c r="L666" i="7"/>
  <c r="L668" i="7"/>
  <c r="L678" i="7"/>
  <c r="E851" i="7"/>
  <c r="L675" i="7"/>
  <c r="L677" i="7"/>
  <c r="L698" i="7"/>
  <c r="M714" i="7"/>
  <c r="L690" i="7"/>
  <c r="M685" i="7"/>
  <c r="L672" i="7"/>
  <c r="L700" i="7"/>
  <c r="M698" i="7"/>
  <c r="L701" i="7"/>
  <c r="L681" i="7"/>
  <c r="M708" i="7"/>
  <c r="M701" i="7"/>
  <c r="M710" i="7"/>
  <c r="M699" i="7"/>
  <c r="M704" i="7"/>
  <c r="M711" i="7"/>
  <c r="M707" i="7"/>
  <c r="M691" i="7"/>
  <c r="M715" i="7"/>
  <c r="M695" i="7"/>
  <c r="M713" i="7"/>
  <c r="M694" i="7"/>
  <c r="M692" i="7"/>
  <c r="M683" i="7"/>
  <c r="M686" i="7"/>
  <c r="M674" i="7"/>
  <c r="M682" i="7"/>
  <c r="M688" i="7"/>
  <c r="M678" i="7"/>
  <c r="M670" i="7"/>
  <c r="M664" i="7"/>
  <c r="M666" i="7"/>
  <c r="M668" i="7"/>
  <c r="M684" i="7"/>
  <c r="M681" i="7"/>
  <c r="M677" i="7"/>
  <c r="M680" i="7"/>
  <c r="M679" i="7"/>
  <c r="M665" i="7"/>
  <c r="M700" i="7"/>
  <c r="L711" i="7"/>
  <c r="L715" i="7"/>
  <c r="L691" i="7"/>
  <c r="L707" i="7"/>
  <c r="L695" i="7"/>
  <c r="M709" i="7"/>
  <c r="L685" i="7"/>
  <c r="M703" i="7"/>
  <c r="L683" i="7"/>
  <c r="M705" i="7"/>
  <c r="L684" i="7"/>
  <c r="D933" i="7"/>
  <c r="D1230" i="7" s="1"/>
  <c r="D960" i="7"/>
  <c r="D987" i="7" s="1"/>
  <c r="D1014" i="7" s="1"/>
  <c r="A75" i="7"/>
  <c r="B75" i="7"/>
  <c r="AI76" i="7"/>
  <c r="AH77" i="7"/>
  <c r="D1170" i="7"/>
  <c r="D1152" i="7"/>
  <c r="D1168" i="7"/>
  <c r="D1156" i="7"/>
  <c r="D1157" i="7"/>
  <c r="D1154" i="7"/>
  <c r="D1164" i="7"/>
  <c r="D1172" i="7"/>
  <c r="D1150" i="7"/>
  <c r="D1161" i="7"/>
  <c r="D1171" i="7"/>
  <c r="D1159" i="7"/>
  <c r="D1229" i="7"/>
  <c r="D1202" i="7"/>
  <c r="D1174" i="7"/>
  <c r="D1163" i="7"/>
  <c r="D1155" i="7"/>
  <c r="D1169" i="7"/>
  <c r="D1160" i="7"/>
  <c r="D1151" i="7"/>
  <c r="D1173" i="7"/>
  <c r="D1153" i="7"/>
  <c r="D1166" i="7"/>
  <c r="D1167" i="7"/>
  <c r="D1165" i="7"/>
  <c r="D1158" i="7"/>
  <c r="D1162" i="7"/>
  <c r="AG25" i="7"/>
  <c r="D1068" i="7" l="1"/>
  <c r="D1041" i="7"/>
  <c r="D1095" i="7" s="1"/>
  <c r="D1122" i="7" s="1"/>
  <c r="D1149" i="7" s="1"/>
  <c r="AI77" i="7"/>
  <c r="AH78" i="7"/>
  <c r="B76" i="7"/>
  <c r="A76" i="7"/>
  <c r="D1207" i="7"/>
  <c r="D1180" i="7"/>
  <c r="D1205" i="7"/>
  <c r="D1178" i="7"/>
  <c r="D1223" i="7"/>
  <c r="D1196" i="7"/>
  <c r="D1217" i="7"/>
  <c r="D1190" i="7"/>
  <c r="D1213" i="7"/>
  <c r="D1186" i="7"/>
  <c r="D1215" i="7"/>
  <c r="D1188" i="7"/>
  <c r="D1226" i="7"/>
  <c r="D1199" i="7"/>
  <c r="D1211" i="7"/>
  <c r="D1184" i="7"/>
  <c r="D1222" i="7"/>
  <c r="D1195" i="7"/>
  <c r="D1224" i="7"/>
  <c r="D1197" i="7"/>
  <c r="D1216" i="7"/>
  <c r="D1189" i="7"/>
  <c r="D1219" i="7"/>
  <c r="D1192" i="7"/>
  <c r="D1220" i="7"/>
  <c r="D1193" i="7"/>
  <c r="D1227" i="7"/>
  <c r="D1200" i="7"/>
  <c r="D1214" i="7"/>
  <c r="D1187" i="7"/>
  <c r="D1209" i="7"/>
  <c r="D1182" i="7"/>
  <c r="D1228" i="7"/>
  <c r="D1201" i="7"/>
  <c r="D1225" i="7"/>
  <c r="D1198" i="7"/>
  <c r="D1204" i="7"/>
  <c r="D1177" i="7"/>
  <c r="D1218" i="7"/>
  <c r="D1191" i="7"/>
  <c r="D1208" i="7"/>
  <c r="D1181" i="7"/>
  <c r="D1210" i="7"/>
  <c r="D1183" i="7"/>
  <c r="D1206" i="7"/>
  <c r="D1179" i="7"/>
  <c r="D1212" i="7"/>
  <c r="D1185" i="7"/>
  <c r="D1221" i="7"/>
  <c r="D1194" i="7"/>
  <c r="AG26" i="7"/>
  <c r="AH79" i="7" l="1"/>
  <c r="AI78" i="7"/>
  <c r="A77" i="7"/>
  <c r="B77" i="7"/>
  <c r="D1203" i="7"/>
  <c r="D1176" i="7"/>
  <c r="AG27" i="7"/>
  <c r="B78" i="7" l="1"/>
  <c r="A78" i="7"/>
  <c r="AI79" i="7"/>
  <c r="AH80" i="7"/>
  <c r="AG28" i="7"/>
  <c r="AI80" i="7" l="1"/>
  <c r="AH81" i="7"/>
  <c r="A79" i="7"/>
  <c r="B79" i="7"/>
  <c r="AG29" i="7"/>
  <c r="AI81" i="7" l="1"/>
  <c r="AH82" i="7"/>
  <c r="A80" i="7"/>
  <c r="B80" i="7"/>
  <c r="AG30" i="7"/>
  <c r="AI82" i="7" l="1"/>
  <c r="AH83" i="7"/>
  <c r="A81" i="7"/>
  <c r="B81" i="7"/>
  <c r="AG31" i="7"/>
  <c r="AH84" i="7" l="1"/>
  <c r="AI83" i="7"/>
  <c r="B82" i="7"/>
  <c r="A82" i="7"/>
  <c r="AG32" i="7"/>
  <c r="A83" i="7" l="1"/>
  <c r="B83" i="7"/>
  <c r="AH85" i="7"/>
  <c r="AI84" i="7"/>
  <c r="AG33" i="7"/>
  <c r="B84" i="7" l="1"/>
  <c r="A84" i="7"/>
  <c r="AI85" i="7"/>
  <c r="AH86" i="7"/>
  <c r="AG34" i="7"/>
  <c r="AI86" i="7" l="1"/>
  <c r="AH87" i="7"/>
  <c r="A85" i="7"/>
  <c r="B85" i="7"/>
  <c r="AG35" i="7"/>
  <c r="AI87" i="7" l="1"/>
  <c r="AH88" i="7"/>
  <c r="B86" i="7"/>
  <c r="A86" i="7"/>
  <c r="AG36" i="7"/>
  <c r="AI88" i="7" l="1"/>
  <c r="AH89" i="7"/>
  <c r="A87" i="7"/>
  <c r="B87" i="7"/>
  <c r="AG37" i="7"/>
  <c r="AH90" i="7" l="1"/>
  <c r="AI89" i="7"/>
  <c r="A88" i="7"/>
  <c r="B88" i="7"/>
  <c r="AG38" i="7"/>
  <c r="A89" i="7" l="1"/>
  <c r="B89" i="7"/>
  <c r="AH91" i="7"/>
  <c r="AI90" i="7"/>
  <c r="AG39" i="7"/>
  <c r="B90" i="7" l="1"/>
  <c r="A90" i="7"/>
  <c r="AH92" i="7"/>
  <c r="AI91" i="7"/>
  <c r="AG40" i="7"/>
  <c r="A91" i="7" l="1"/>
  <c r="B91" i="7"/>
  <c r="AI92" i="7"/>
  <c r="AH93" i="7"/>
  <c r="AG41" i="7"/>
  <c r="AH94" i="7" l="1"/>
  <c r="AI93" i="7"/>
  <c r="B92" i="7"/>
  <c r="A92" i="7"/>
  <c r="AG42" i="7"/>
  <c r="A93" i="7" l="1"/>
  <c r="B93" i="7"/>
  <c r="AH95" i="7"/>
  <c r="AI94" i="7"/>
  <c r="AG43" i="7"/>
  <c r="B94" i="7" l="1"/>
  <c r="A94" i="7"/>
  <c r="AH96" i="7"/>
  <c r="AI95" i="7"/>
  <c r="AG44" i="7"/>
  <c r="A95" i="7" l="1"/>
  <c r="B95" i="7"/>
  <c r="AI96" i="7"/>
  <c r="AH97" i="7"/>
  <c r="AG45" i="7"/>
  <c r="AH98" i="7" l="1"/>
  <c r="AI97" i="7"/>
  <c r="C96" i="7"/>
  <c r="A96" i="7"/>
  <c r="B96" i="7"/>
  <c r="AG46" i="7"/>
  <c r="C97" i="7" l="1"/>
  <c r="B97" i="7"/>
  <c r="A97" i="7"/>
  <c r="AH99" i="7"/>
  <c r="AI98" i="7"/>
  <c r="AG47" i="7"/>
  <c r="AI99" i="7" l="1"/>
  <c r="AH100" i="7"/>
  <c r="A98" i="7"/>
  <c r="C98" i="7"/>
  <c r="B98" i="7"/>
  <c r="AG48" i="7"/>
  <c r="AI100" i="7" l="1"/>
  <c r="AH101" i="7"/>
  <c r="B99" i="7"/>
  <c r="C99" i="7"/>
  <c r="A99" i="7"/>
  <c r="AG49" i="7"/>
  <c r="AI101" i="7" l="1"/>
  <c r="AH102" i="7"/>
  <c r="C100" i="7"/>
  <c r="B100" i="7"/>
  <c r="A100" i="7"/>
  <c r="AG50" i="7"/>
  <c r="AH103" i="7" l="1"/>
  <c r="AI102" i="7"/>
  <c r="B101" i="7"/>
  <c r="A101" i="7"/>
  <c r="C101" i="7"/>
  <c r="AG51" i="7"/>
  <c r="A102" i="7" l="1"/>
  <c r="C102" i="7"/>
  <c r="B102" i="7"/>
  <c r="AI103" i="7"/>
  <c r="AH104" i="7"/>
  <c r="AG52" i="7"/>
  <c r="B103" i="7" l="1"/>
  <c r="A103" i="7"/>
  <c r="C103" i="7"/>
  <c r="AI104" i="7"/>
  <c r="AH105" i="7"/>
  <c r="AG53" i="7"/>
  <c r="C104" i="7" l="1"/>
  <c r="B104" i="7"/>
  <c r="A104" i="7"/>
  <c r="AH106" i="7"/>
  <c r="AI105" i="7"/>
  <c r="AG54" i="7"/>
  <c r="AH107" i="7" l="1"/>
  <c r="AI106" i="7"/>
  <c r="A105" i="7"/>
  <c r="C105" i="7"/>
  <c r="B105" i="7"/>
  <c r="AG55" i="7"/>
  <c r="A106" i="7" l="1"/>
  <c r="C106" i="7"/>
  <c r="B106" i="7"/>
  <c r="AH108" i="7"/>
  <c r="AI107" i="7"/>
  <c r="AG56" i="7"/>
  <c r="AI108" i="7" l="1"/>
  <c r="AH109" i="7"/>
  <c r="B107" i="7"/>
  <c r="C107" i="7"/>
  <c r="A107" i="7"/>
  <c r="AG57" i="7"/>
  <c r="AH110" i="7" l="1"/>
  <c r="AI109" i="7"/>
  <c r="C108" i="7"/>
  <c r="B108" i="7"/>
  <c r="A108" i="7"/>
  <c r="AG58" i="7"/>
  <c r="C109" i="7" l="1"/>
  <c r="B109" i="7"/>
  <c r="A109" i="7"/>
  <c r="AH111" i="7"/>
  <c r="AI110" i="7"/>
  <c r="AG59" i="7"/>
  <c r="AH112" i="7" l="1"/>
  <c r="AI111" i="7"/>
  <c r="A110" i="7"/>
  <c r="B110" i="7"/>
  <c r="C110" i="7"/>
  <c r="AG60" i="7"/>
  <c r="B111" i="7" l="1"/>
  <c r="C111" i="7"/>
  <c r="A111" i="7"/>
  <c r="AI112" i="7"/>
  <c r="AH113" i="7"/>
  <c r="AG61" i="7"/>
  <c r="C112" i="7" l="1"/>
  <c r="A112" i="7"/>
  <c r="B112" i="7"/>
  <c r="AH114" i="7"/>
  <c r="AI113" i="7"/>
  <c r="AG62" i="7"/>
  <c r="AH115" i="7" l="1"/>
  <c r="AI114" i="7"/>
  <c r="C113" i="7"/>
  <c r="B113" i="7"/>
  <c r="A113" i="7"/>
  <c r="AG63" i="7"/>
  <c r="A114" i="7" l="1"/>
  <c r="C114" i="7"/>
  <c r="B114" i="7"/>
  <c r="AI115" i="7"/>
  <c r="AH116" i="7"/>
  <c r="AG64" i="7"/>
  <c r="B115" i="7" l="1"/>
  <c r="C115" i="7"/>
  <c r="A115" i="7"/>
  <c r="AI116" i="7"/>
  <c r="AH117" i="7"/>
  <c r="AG65" i="7"/>
  <c r="C116" i="7" l="1"/>
  <c r="B116" i="7"/>
  <c r="A116" i="7"/>
  <c r="AI117" i="7"/>
  <c r="AH118" i="7"/>
  <c r="AG66" i="7"/>
  <c r="B117" i="7" l="1"/>
  <c r="A117" i="7"/>
  <c r="C117" i="7"/>
  <c r="AI118" i="7"/>
  <c r="AH119" i="7"/>
  <c r="AG67" i="7"/>
  <c r="A118" i="7" l="1"/>
  <c r="C118" i="7"/>
  <c r="B118" i="7"/>
  <c r="AI119" i="7"/>
  <c r="AH120" i="7"/>
  <c r="AG68" i="7"/>
  <c r="B119" i="7" l="1"/>
  <c r="A119" i="7"/>
  <c r="C119" i="7"/>
  <c r="AI120" i="7"/>
  <c r="AH121" i="7"/>
  <c r="AG69" i="7"/>
  <c r="C120" i="7" l="1"/>
  <c r="B120" i="7"/>
  <c r="A120" i="7"/>
  <c r="AH122" i="7"/>
  <c r="AI121" i="7"/>
  <c r="AG70" i="7"/>
  <c r="A121" i="7" l="1"/>
  <c r="C121" i="7"/>
  <c r="B121" i="7"/>
  <c r="AH123" i="7"/>
  <c r="AI122" i="7"/>
  <c r="AG71" i="7"/>
  <c r="AH124" i="7" l="1"/>
  <c r="AI123" i="7"/>
  <c r="A122" i="7"/>
  <c r="C122" i="7"/>
  <c r="B122" i="7"/>
  <c r="AG72" i="7"/>
  <c r="B123" i="7" l="1"/>
  <c r="C123" i="7"/>
  <c r="A123" i="7"/>
  <c r="AI124" i="7"/>
  <c r="AH125" i="7"/>
  <c r="AG73" i="7"/>
  <c r="C124" i="7" l="1"/>
  <c r="B124" i="7"/>
  <c r="A124" i="7"/>
  <c r="AH126" i="7"/>
  <c r="AI125" i="7"/>
  <c r="AG74" i="7"/>
  <c r="AH127" i="7" l="1"/>
  <c r="AI126" i="7"/>
  <c r="C125" i="7"/>
  <c r="B125" i="7"/>
  <c r="A125" i="7"/>
  <c r="AG75" i="7"/>
  <c r="A126" i="7" l="1"/>
  <c r="B126" i="7"/>
  <c r="C126" i="7"/>
  <c r="AH128" i="7"/>
  <c r="AI127" i="7"/>
  <c r="AG76" i="7"/>
  <c r="AI128" i="7" l="1"/>
  <c r="AH129" i="7"/>
  <c r="B127" i="7"/>
  <c r="C127" i="7"/>
  <c r="A127" i="7"/>
  <c r="AG77" i="7"/>
  <c r="AH130" i="7" l="1"/>
  <c r="AI129" i="7"/>
  <c r="C128" i="7"/>
  <c r="A128" i="7"/>
  <c r="B128" i="7"/>
  <c r="AG78" i="7"/>
  <c r="C129" i="7" l="1"/>
  <c r="B129" i="7"/>
  <c r="A129" i="7"/>
  <c r="AH131" i="7"/>
  <c r="AI130" i="7"/>
  <c r="AG79" i="7"/>
  <c r="AI131" i="7" l="1"/>
  <c r="AH132" i="7"/>
  <c r="A130" i="7"/>
  <c r="C130" i="7"/>
  <c r="B130" i="7"/>
  <c r="AG80" i="7"/>
  <c r="AI132" i="7" l="1"/>
  <c r="AH133" i="7"/>
  <c r="A131" i="7"/>
  <c r="B131" i="7"/>
  <c r="C131" i="7"/>
  <c r="AG81" i="7"/>
  <c r="AI133" i="7" l="1"/>
  <c r="AH134" i="7"/>
  <c r="B132" i="7"/>
  <c r="C132" i="7"/>
  <c r="A132" i="7"/>
  <c r="AG82" i="7"/>
  <c r="AH135" i="7" l="1"/>
  <c r="AI134" i="7"/>
  <c r="C133" i="7"/>
  <c r="B133" i="7"/>
  <c r="A133" i="7"/>
  <c r="AG83" i="7"/>
  <c r="A134" i="7" l="1"/>
  <c r="C134" i="7"/>
  <c r="B134" i="7"/>
  <c r="AI135" i="7"/>
  <c r="AH136" i="7"/>
  <c r="AG84" i="7"/>
  <c r="A135" i="7" l="1"/>
  <c r="B135" i="7"/>
  <c r="C135" i="7"/>
  <c r="AI136" i="7"/>
  <c r="AH137" i="7"/>
  <c r="AG85" i="7"/>
  <c r="B136" i="7" l="1"/>
  <c r="C136" i="7"/>
  <c r="A136" i="7"/>
  <c r="AH138" i="7"/>
  <c r="AI137" i="7"/>
  <c r="AG86" i="7"/>
  <c r="AH139" i="7" l="1"/>
  <c r="AI138" i="7"/>
  <c r="C137" i="7"/>
  <c r="B137" i="7"/>
  <c r="A137" i="7"/>
  <c r="AG87" i="7"/>
  <c r="A138" i="7" l="1"/>
  <c r="C138" i="7"/>
  <c r="B138" i="7"/>
  <c r="AH140" i="7"/>
  <c r="AI139" i="7"/>
  <c r="AG88" i="7"/>
  <c r="AI140" i="7" l="1"/>
  <c r="AH141" i="7"/>
  <c r="A139" i="7"/>
  <c r="B139" i="7"/>
  <c r="C139" i="7"/>
  <c r="AG89" i="7"/>
  <c r="AI141" i="7" l="1"/>
  <c r="AH142" i="7"/>
  <c r="B140" i="7"/>
  <c r="C140" i="7"/>
  <c r="A140" i="7"/>
  <c r="AG90" i="7"/>
  <c r="AI142" i="7" l="1"/>
  <c r="AH143" i="7"/>
  <c r="C141" i="7"/>
  <c r="B141" i="7"/>
  <c r="A141" i="7"/>
  <c r="AG91" i="7"/>
  <c r="AI143" i="7" l="1"/>
  <c r="AH144" i="7"/>
  <c r="A142" i="7"/>
  <c r="C142" i="7"/>
  <c r="B142" i="7"/>
  <c r="AG92" i="7"/>
  <c r="AI144" i="7" l="1"/>
  <c r="AH145" i="7"/>
  <c r="A143" i="7"/>
  <c r="B143" i="7"/>
  <c r="C143" i="7"/>
  <c r="AG93" i="7"/>
  <c r="AH146" i="7" l="1"/>
  <c r="AI145" i="7"/>
  <c r="B144" i="7"/>
  <c r="C144" i="7"/>
  <c r="A144" i="7"/>
  <c r="AG94" i="7"/>
  <c r="C145" i="7" l="1"/>
  <c r="B145" i="7"/>
  <c r="A145" i="7"/>
  <c r="AH147" i="7"/>
  <c r="AI146" i="7"/>
  <c r="AG95" i="7"/>
  <c r="AI147" i="7" l="1"/>
  <c r="AH148" i="7"/>
  <c r="A146" i="7"/>
  <c r="C146" i="7"/>
  <c r="B146" i="7"/>
  <c r="AG96" i="7"/>
  <c r="AI148" i="7" l="1"/>
  <c r="AH149" i="7"/>
  <c r="A147" i="7"/>
  <c r="B147" i="7"/>
  <c r="C147" i="7"/>
  <c r="AG97" i="7"/>
  <c r="AI149" i="7" l="1"/>
  <c r="AH150" i="7"/>
  <c r="B148" i="7"/>
  <c r="C148" i="7"/>
  <c r="A148" i="7"/>
  <c r="AG98" i="7"/>
  <c r="AH151" i="7" l="1"/>
  <c r="AI150" i="7"/>
  <c r="C149" i="7"/>
  <c r="B149" i="7"/>
  <c r="A149" i="7"/>
  <c r="AG99" i="7"/>
  <c r="A150" i="7" l="1"/>
  <c r="C150" i="7"/>
  <c r="B150" i="7"/>
  <c r="AH152" i="7"/>
  <c r="AI151" i="7"/>
  <c r="AG100" i="7"/>
  <c r="A151" i="7" l="1"/>
  <c r="B151" i="7"/>
  <c r="C151" i="7"/>
  <c r="AI152" i="7"/>
  <c r="AH153" i="7"/>
  <c r="AG101" i="7"/>
  <c r="B152" i="7" l="1"/>
  <c r="C152" i="7"/>
  <c r="A152" i="7"/>
  <c r="AH154" i="7"/>
  <c r="AI153" i="7"/>
  <c r="AG102" i="7"/>
  <c r="AH155" i="7" l="1"/>
  <c r="AI154" i="7"/>
  <c r="C153" i="7"/>
  <c r="B153" i="7"/>
  <c r="A153" i="7"/>
  <c r="AG103" i="7"/>
  <c r="A154" i="7" l="1"/>
  <c r="C154" i="7"/>
  <c r="B154" i="7"/>
  <c r="AH156" i="7"/>
  <c r="AI155" i="7"/>
  <c r="AG104" i="7"/>
  <c r="AH157" i="7" l="1"/>
  <c r="AI156" i="7"/>
  <c r="A155" i="7"/>
  <c r="B155" i="7"/>
  <c r="C155" i="7"/>
  <c r="AG105" i="7"/>
  <c r="B156" i="7" l="1"/>
  <c r="C156" i="7"/>
  <c r="A156" i="7"/>
  <c r="AH158" i="7"/>
  <c r="AI157" i="7"/>
  <c r="AG106" i="7"/>
  <c r="AH159" i="7" l="1"/>
  <c r="AI158" i="7"/>
  <c r="C157" i="7"/>
  <c r="B157" i="7"/>
  <c r="A157" i="7"/>
  <c r="AG107" i="7"/>
  <c r="A158" i="7" l="1"/>
  <c r="C158" i="7"/>
  <c r="B158" i="7"/>
  <c r="AH160" i="7"/>
  <c r="AI159" i="7"/>
  <c r="AG108" i="7"/>
  <c r="AI160" i="7" l="1"/>
  <c r="AH161" i="7"/>
  <c r="A159" i="7"/>
  <c r="B159" i="7"/>
  <c r="C159" i="7"/>
  <c r="AG109" i="7"/>
  <c r="AH162" i="7" l="1"/>
  <c r="AI161" i="7"/>
  <c r="B160" i="7"/>
  <c r="C160" i="7"/>
  <c r="A160" i="7"/>
  <c r="AG110" i="7"/>
  <c r="C161" i="7" l="1"/>
  <c r="B161" i="7"/>
  <c r="A161" i="7"/>
  <c r="AH163" i="7"/>
  <c r="AI162" i="7"/>
  <c r="AG111" i="7"/>
  <c r="AH164" i="7" l="1"/>
  <c r="AI163" i="7"/>
  <c r="A162" i="7"/>
  <c r="C162" i="7"/>
  <c r="B162" i="7"/>
  <c r="AG112" i="7"/>
  <c r="A163" i="7" l="1"/>
  <c r="B163" i="7"/>
  <c r="C163" i="7"/>
  <c r="AI164" i="7"/>
  <c r="AH165" i="7"/>
  <c r="AG113" i="7"/>
  <c r="B164" i="7" l="1"/>
  <c r="C164" i="7"/>
  <c r="A164" i="7"/>
  <c r="AH166" i="7"/>
  <c r="AI165" i="7"/>
  <c r="AG114" i="7"/>
  <c r="AH167" i="7" l="1"/>
  <c r="AI166" i="7"/>
  <c r="C165" i="7"/>
  <c r="B165" i="7"/>
  <c r="A165" i="7"/>
  <c r="AG115" i="7"/>
  <c r="A166" i="7" l="1"/>
  <c r="C166" i="7"/>
  <c r="B166" i="7"/>
  <c r="AI167" i="7"/>
  <c r="AH168" i="7"/>
  <c r="AG116" i="7"/>
  <c r="A167" i="7" l="1"/>
  <c r="B167" i="7"/>
  <c r="C167" i="7"/>
  <c r="AI168" i="7"/>
  <c r="AH169" i="7"/>
  <c r="AG117" i="7"/>
  <c r="B168" i="7" l="1"/>
  <c r="C168" i="7"/>
  <c r="A168" i="7"/>
  <c r="AH170" i="7"/>
  <c r="AI169" i="7"/>
  <c r="AG118" i="7"/>
  <c r="AH171" i="7" l="1"/>
  <c r="AI170" i="7"/>
  <c r="C169" i="7"/>
  <c r="B169" i="7"/>
  <c r="A169" i="7"/>
  <c r="AG119" i="7"/>
  <c r="A170" i="7" l="1"/>
  <c r="C170" i="7"/>
  <c r="B170" i="7"/>
  <c r="AI171" i="7"/>
  <c r="AH172" i="7"/>
  <c r="AG120" i="7"/>
  <c r="A171" i="7" l="1"/>
  <c r="B171" i="7"/>
  <c r="C171" i="7"/>
  <c r="AH173" i="7"/>
  <c r="AI172" i="7"/>
  <c r="AG121" i="7"/>
  <c r="AI173" i="7" l="1"/>
  <c r="AH174" i="7"/>
  <c r="B172" i="7"/>
  <c r="C172" i="7"/>
  <c r="A172" i="7"/>
  <c r="AG122" i="7"/>
  <c r="AH175" i="7" l="1"/>
  <c r="AI174" i="7"/>
  <c r="C173" i="7"/>
  <c r="B173" i="7"/>
  <c r="A173" i="7"/>
  <c r="AG123" i="7"/>
  <c r="A174" i="7" l="1"/>
  <c r="C174" i="7"/>
  <c r="B174" i="7"/>
  <c r="AH176" i="7"/>
  <c r="AI175" i="7"/>
  <c r="AG124" i="7"/>
  <c r="AI176" i="7" l="1"/>
  <c r="AH177" i="7"/>
  <c r="A175" i="7"/>
  <c r="B175" i="7"/>
  <c r="C175" i="7"/>
  <c r="AG125" i="7"/>
  <c r="AI177" i="7" l="1"/>
  <c r="AH178" i="7"/>
  <c r="B176" i="7"/>
  <c r="C176" i="7"/>
  <c r="A176" i="7"/>
  <c r="AG126" i="7"/>
  <c r="AH179" i="7" l="1"/>
  <c r="AI178" i="7"/>
  <c r="C177" i="7"/>
  <c r="B177" i="7"/>
  <c r="A177" i="7"/>
  <c r="AG127" i="7"/>
  <c r="A178" i="7" l="1"/>
  <c r="C178" i="7"/>
  <c r="B178" i="7"/>
  <c r="AI179" i="7"/>
  <c r="AH180" i="7"/>
  <c r="AG128" i="7"/>
  <c r="A179" i="7" l="1"/>
  <c r="B179" i="7"/>
  <c r="C179" i="7"/>
  <c r="AH181" i="7"/>
  <c r="AI180" i="7"/>
  <c r="AG129" i="7"/>
  <c r="AI181" i="7" l="1"/>
  <c r="AH182" i="7"/>
  <c r="B180" i="7"/>
  <c r="C180" i="7"/>
  <c r="A180" i="7"/>
  <c r="AG130" i="7"/>
  <c r="AH183" i="7" l="1"/>
  <c r="AI182" i="7"/>
  <c r="C181" i="7"/>
  <c r="B181" i="7"/>
  <c r="A181" i="7"/>
  <c r="AG131" i="7"/>
  <c r="A182" i="7" l="1"/>
  <c r="C182" i="7"/>
  <c r="B182" i="7"/>
  <c r="AH184" i="7"/>
  <c r="AI183" i="7"/>
  <c r="AG132" i="7"/>
  <c r="AH185" i="7" l="1"/>
  <c r="AI184" i="7"/>
  <c r="A183" i="7"/>
  <c r="B183" i="7"/>
  <c r="C183" i="7"/>
  <c r="AG133" i="7"/>
  <c r="B184" i="7" l="1"/>
  <c r="C184" i="7"/>
  <c r="A184" i="7"/>
  <c r="AI185" i="7"/>
  <c r="AH186" i="7"/>
  <c r="AG134" i="7"/>
  <c r="C185" i="7" l="1"/>
  <c r="B185" i="7"/>
  <c r="A185" i="7"/>
  <c r="AI186" i="7"/>
  <c r="AH187" i="7"/>
  <c r="AG135" i="7"/>
  <c r="A186" i="7" l="1"/>
  <c r="C186" i="7"/>
  <c r="B186" i="7"/>
  <c r="AH188" i="7"/>
  <c r="AI187" i="7"/>
  <c r="AG136" i="7"/>
  <c r="AH189" i="7" l="1"/>
  <c r="AI188" i="7"/>
  <c r="A187" i="7"/>
  <c r="B187" i="7"/>
  <c r="C187" i="7"/>
  <c r="AG137" i="7"/>
  <c r="B188" i="7" l="1"/>
  <c r="C188" i="7"/>
  <c r="A188" i="7"/>
  <c r="AI189" i="7"/>
  <c r="AH190" i="7"/>
  <c r="AG138" i="7"/>
  <c r="C189" i="7" l="1"/>
  <c r="B189" i="7"/>
  <c r="A189" i="7"/>
  <c r="AH191" i="7"/>
  <c r="AI190" i="7"/>
  <c r="AG139" i="7"/>
  <c r="AH192" i="7" l="1"/>
  <c r="AI191" i="7"/>
  <c r="A190" i="7"/>
  <c r="C190" i="7"/>
  <c r="B190" i="7"/>
  <c r="AG140" i="7"/>
  <c r="A191" i="7" l="1"/>
  <c r="B191" i="7"/>
  <c r="C191" i="7"/>
  <c r="AH193" i="7"/>
  <c r="AI192" i="7"/>
  <c r="AG141" i="7"/>
  <c r="AI193" i="7" l="1"/>
  <c r="AH194" i="7"/>
  <c r="B192" i="7"/>
  <c r="C192" i="7"/>
  <c r="A192" i="7"/>
  <c r="AG142" i="7"/>
  <c r="AI194" i="7" l="1"/>
  <c r="AH195" i="7"/>
  <c r="C193" i="7"/>
  <c r="B193" i="7"/>
  <c r="A193" i="7"/>
  <c r="AG143" i="7"/>
  <c r="AH196" i="7" l="1"/>
  <c r="AI195" i="7"/>
  <c r="A194" i="7"/>
  <c r="C194" i="7"/>
  <c r="B194" i="7"/>
  <c r="AG144" i="7"/>
  <c r="A195" i="7" l="1"/>
  <c r="B195" i="7"/>
  <c r="C195" i="7"/>
  <c r="AI196" i="7"/>
  <c r="AH197" i="7"/>
  <c r="AG145" i="7"/>
  <c r="B196" i="7" l="1"/>
  <c r="C196" i="7"/>
  <c r="A196" i="7"/>
  <c r="AI197" i="7"/>
  <c r="AH198" i="7"/>
  <c r="AG146" i="7"/>
  <c r="C197" i="7" l="1"/>
  <c r="B197" i="7"/>
  <c r="A197" i="7"/>
  <c r="AI198" i="7"/>
  <c r="AH199" i="7"/>
  <c r="AG147" i="7"/>
  <c r="A198" i="7" l="1"/>
  <c r="C198" i="7"/>
  <c r="B198" i="7"/>
  <c r="AH200" i="7"/>
  <c r="AI199" i="7"/>
  <c r="AG148" i="7"/>
  <c r="AH201" i="7" l="1"/>
  <c r="AI200" i="7"/>
  <c r="A199" i="7"/>
  <c r="B199" i="7"/>
  <c r="C199" i="7"/>
  <c r="AG149" i="7"/>
  <c r="B200" i="7" l="1"/>
  <c r="C200" i="7"/>
  <c r="A200" i="7"/>
  <c r="AI201" i="7"/>
  <c r="AH202" i="7"/>
  <c r="AG150" i="7"/>
  <c r="C201" i="7" l="1"/>
  <c r="B201" i="7"/>
  <c r="A201" i="7"/>
  <c r="AI202" i="7"/>
  <c r="AH203" i="7"/>
  <c r="AG151" i="7"/>
  <c r="A202" i="7" l="1"/>
  <c r="C202" i="7"/>
  <c r="B202" i="7"/>
  <c r="AI203" i="7"/>
  <c r="AH204" i="7"/>
  <c r="AG152" i="7"/>
  <c r="A203" i="7" l="1"/>
  <c r="B203" i="7"/>
  <c r="C203" i="7"/>
  <c r="AH205" i="7"/>
  <c r="AI204" i="7"/>
  <c r="AG153" i="7"/>
  <c r="AI205" i="7" l="1"/>
  <c r="AH206" i="7"/>
  <c r="B204" i="7"/>
  <c r="A204" i="7"/>
  <c r="AG154" i="7"/>
  <c r="AH207" i="7" l="1"/>
  <c r="AI206" i="7"/>
  <c r="A205" i="7"/>
  <c r="B205" i="7"/>
  <c r="AG155" i="7"/>
  <c r="B206" i="7" l="1"/>
  <c r="A206" i="7"/>
  <c r="AH208" i="7"/>
  <c r="AI207" i="7"/>
  <c r="AG156" i="7"/>
  <c r="A207" i="7" l="1"/>
  <c r="B207" i="7"/>
  <c r="AI208" i="7"/>
  <c r="AH209" i="7"/>
  <c r="AG157" i="7"/>
  <c r="AI209" i="7" l="1"/>
  <c r="AH210" i="7"/>
  <c r="B208" i="7"/>
  <c r="A208" i="7"/>
  <c r="AG158" i="7"/>
  <c r="AI210" i="7" l="1"/>
  <c r="AH211" i="7"/>
  <c r="A209" i="7"/>
  <c r="B209" i="7"/>
  <c r="AG159" i="7"/>
  <c r="AH212" i="7" l="1"/>
  <c r="AI211" i="7"/>
  <c r="B210" i="7"/>
  <c r="A210" i="7"/>
  <c r="AG160" i="7"/>
  <c r="A211" i="7" l="1"/>
  <c r="B211" i="7"/>
  <c r="AH213" i="7"/>
  <c r="AI212" i="7"/>
  <c r="AG161" i="7"/>
  <c r="B212" i="7" l="1"/>
  <c r="A212" i="7"/>
  <c r="AI213" i="7"/>
  <c r="AH214" i="7"/>
  <c r="AG162" i="7"/>
  <c r="AI214" i="7" l="1"/>
  <c r="AH215" i="7"/>
  <c r="A213" i="7"/>
  <c r="B213" i="7"/>
  <c r="AG163" i="7"/>
  <c r="AH216" i="7" l="1"/>
  <c r="AI215" i="7"/>
  <c r="B214" i="7"/>
  <c r="A214" i="7"/>
  <c r="AG164" i="7"/>
  <c r="A215" i="7" l="1"/>
  <c r="B215" i="7"/>
  <c r="AH217" i="7"/>
  <c r="AI216" i="7"/>
  <c r="AG165" i="7"/>
  <c r="B216" i="7" l="1"/>
  <c r="A216" i="7"/>
  <c r="AH218" i="7"/>
  <c r="AI217" i="7"/>
  <c r="AG166" i="7"/>
  <c r="A217" i="7" l="1"/>
  <c r="B217" i="7"/>
  <c r="AH219" i="7"/>
  <c r="AI218" i="7"/>
  <c r="AG167" i="7"/>
  <c r="B218" i="7" l="1"/>
  <c r="A218" i="7"/>
  <c r="AI219" i="7"/>
  <c r="AH220" i="7"/>
  <c r="AG168" i="7"/>
  <c r="AH221" i="7" l="1"/>
  <c r="AI220" i="7"/>
  <c r="A219" i="7"/>
  <c r="B219" i="7"/>
  <c r="AG169" i="7"/>
  <c r="B220" i="7" l="1"/>
  <c r="A220" i="7"/>
  <c r="AH222" i="7"/>
  <c r="AI221" i="7"/>
  <c r="AG170" i="7"/>
  <c r="A221" i="7" l="1"/>
  <c r="B221" i="7"/>
  <c r="AI222" i="7"/>
  <c r="AH223" i="7"/>
  <c r="AG171" i="7"/>
  <c r="AI223" i="7" l="1"/>
  <c r="AH224" i="7"/>
  <c r="B222" i="7"/>
  <c r="A222" i="7"/>
  <c r="AG172" i="7"/>
  <c r="AI224" i="7" l="1"/>
  <c r="AH225" i="7"/>
  <c r="A223" i="7"/>
  <c r="B223" i="7"/>
  <c r="AG173" i="7"/>
  <c r="AH226" i="7" l="1"/>
  <c r="AI225" i="7"/>
  <c r="B224" i="7"/>
  <c r="A224" i="7"/>
  <c r="AG174" i="7"/>
  <c r="A225" i="7" l="1"/>
  <c r="B225" i="7"/>
  <c r="AI226" i="7"/>
  <c r="AH227" i="7"/>
  <c r="AG175" i="7"/>
  <c r="AI227" i="7" l="1"/>
  <c r="AH228" i="7"/>
  <c r="B226" i="7"/>
  <c r="A226" i="7"/>
  <c r="AG176" i="7"/>
  <c r="AH229" i="7" l="1"/>
  <c r="AI228" i="7"/>
  <c r="A227" i="7"/>
  <c r="B227" i="7"/>
  <c r="AG177" i="7"/>
  <c r="B228" i="7" l="1"/>
  <c r="A228" i="7"/>
  <c r="AH230" i="7"/>
  <c r="AI229" i="7"/>
  <c r="AG178" i="7"/>
  <c r="A229" i="7" l="1"/>
  <c r="B229" i="7"/>
  <c r="AH231" i="7"/>
  <c r="AI230" i="7"/>
  <c r="AG179" i="7"/>
  <c r="B230" i="7" l="1"/>
  <c r="A230" i="7"/>
  <c r="AI231" i="7"/>
  <c r="AH232" i="7"/>
  <c r="AG180" i="7"/>
  <c r="AH233" i="7" l="1"/>
  <c r="AI232" i="7"/>
  <c r="C231" i="7"/>
  <c r="A231" i="7"/>
  <c r="B231" i="7"/>
  <c r="AG181" i="7"/>
  <c r="A232" i="7" l="1"/>
  <c r="B232" i="7"/>
  <c r="C232" i="7"/>
  <c r="AH234" i="7"/>
  <c r="AI233" i="7"/>
  <c r="AG182" i="7"/>
  <c r="AH235" i="7" l="1"/>
  <c r="AI234" i="7"/>
  <c r="B233" i="7"/>
  <c r="A233" i="7"/>
  <c r="C233" i="7"/>
  <c r="AG183" i="7"/>
  <c r="C234" i="7" l="1"/>
  <c r="B234" i="7"/>
  <c r="A234" i="7"/>
  <c r="AI235" i="7"/>
  <c r="AH236" i="7"/>
  <c r="AG184" i="7"/>
  <c r="C235" i="7" l="1"/>
  <c r="A235" i="7"/>
  <c r="B235" i="7"/>
  <c r="AH237" i="7"/>
  <c r="AI236" i="7"/>
  <c r="AG185" i="7"/>
  <c r="AH238" i="7" l="1"/>
  <c r="AI237" i="7"/>
  <c r="A236" i="7"/>
  <c r="B236" i="7"/>
  <c r="C236" i="7"/>
  <c r="AG186" i="7"/>
  <c r="B237" i="7" l="1"/>
  <c r="A237" i="7"/>
  <c r="C237" i="7"/>
  <c r="AI238" i="7"/>
  <c r="AH239" i="7"/>
  <c r="AG187" i="7"/>
  <c r="C238" i="7" l="1"/>
  <c r="B238" i="7"/>
  <c r="A238" i="7"/>
  <c r="AH240" i="7"/>
  <c r="AI239" i="7"/>
  <c r="AG188" i="7"/>
  <c r="AI240" i="7" l="1"/>
  <c r="AH241" i="7"/>
  <c r="C239" i="7"/>
  <c r="B239" i="7"/>
  <c r="A239" i="7"/>
  <c r="AG189" i="7"/>
  <c r="AH242" i="7" l="1"/>
  <c r="AI241" i="7"/>
  <c r="A240" i="7"/>
  <c r="C240" i="7"/>
  <c r="B240" i="7"/>
  <c r="AG190" i="7"/>
  <c r="B241" i="7" l="1"/>
  <c r="A241" i="7"/>
  <c r="C241" i="7"/>
  <c r="AI242" i="7"/>
  <c r="AH243" i="7"/>
  <c r="AG191" i="7"/>
  <c r="C242" i="7" l="1"/>
  <c r="B242" i="7"/>
  <c r="A242" i="7"/>
  <c r="AI243" i="7"/>
  <c r="AH244" i="7"/>
  <c r="AG192" i="7"/>
  <c r="C243" i="7" l="1"/>
  <c r="B243" i="7"/>
  <c r="A243" i="7"/>
  <c r="AH245" i="7"/>
  <c r="AI244" i="7"/>
  <c r="AG193" i="7"/>
  <c r="AH246" i="7" l="1"/>
  <c r="AI245" i="7"/>
  <c r="A244" i="7"/>
  <c r="C244" i="7"/>
  <c r="B244" i="7"/>
  <c r="AG194" i="7"/>
  <c r="B245" i="7" l="1"/>
  <c r="A245" i="7"/>
  <c r="C245" i="7"/>
  <c r="AH247" i="7"/>
  <c r="AI246" i="7"/>
  <c r="AG195" i="7"/>
  <c r="AI247" i="7" l="1"/>
  <c r="AH248" i="7"/>
  <c r="C246" i="7"/>
  <c r="B246" i="7"/>
  <c r="A246" i="7"/>
  <c r="AG196" i="7"/>
  <c r="AH249" i="7" l="1"/>
  <c r="AI248" i="7"/>
  <c r="C247" i="7"/>
  <c r="B247" i="7"/>
  <c r="A247" i="7"/>
  <c r="AG197" i="7"/>
  <c r="A248" i="7" l="1"/>
  <c r="C248" i="7"/>
  <c r="B248" i="7"/>
  <c r="AH250" i="7"/>
  <c r="AI249" i="7"/>
  <c r="AG198" i="7"/>
  <c r="AH251" i="7" l="1"/>
  <c r="AI250" i="7"/>
  <c r="B249" i="7"/>
  <c r="A249" i="7"/>
  <c r="C249" i="7"/>
  <c r="AG199" i="7"/>
  <c r="C250" i="7" l="1"/>
  <c r="B250" i="7"/>
  <c r="A250" i="7"/>
  <c r="AI251" i="7"/>
  <c r="AH252" i="7"/>
  <c r="AG200" i="7"/>
  <c r="A251" i="7" l="1"/>
  <c r="C251" i="7"/>
  <c r="B251" i="7"/>
  <c r="AI252" i="7"/>
  <c r="AH253" i="7"/>
  <c r="AG201" i="7"/>
  <c r="A252" i="7" l="1"/>
  <c r="C252" i="7"/>
  <c r="B252" i="7"/>
  <c r="AI253" i="7"/>
  <c r="AH254" i="7"/>
  <c r="AG202" i="7"/>
  <c r="AI254" i="7" l="1"/>
  <c r="AH255" i="7"/>
  <c r="B253" i="7"/>
  <c r="C253" i="7"/>
  <c r="A253" i="7"/>
  <c r="AG203" i="7"/>
  <c r="AI255" i="7" l="1"/>
  <c r="AH256" i="7"/>
  <c r="C254" i="7"/>
  <c r="B254" i="7"/>
  <c r="A254" i="7"/>
  <c r="AG204" i="7"/>
  <c r="AI256" i="7" l="1"/>
  <c r="AH257" i="7"/>
  <c r="C255" i="7"/>
  <c r="B255" i="7"/>
  <c r="A255" i="7"/>
  <c r="AG205" i="7"/>
  <c r="AH258" i="7" l="1"/>
  <c r="AI257" i="7"/>
  <c r="A256" i="7"/>
  <c r="B256" i="7"/>
  <c r="C256" i="7"/>
  <c r="AG206" i="7"/>
  <c r="B257" i="7" l="1"/>
  <c r="C257" i="7"/>
  <c r="A257" i="7"/>
  <c r="AI258" i="7"/>
  <c r="AH259" i="7"/>
  <c r="AG207" i="7"/>
  <c r="C258" i="7" l="1"/>
  <c r="A258" i="7"/>
  <c r="B258" i="7"/>
  <c r="AI259" i="7"/>
  <c r="AH260" i="7"/>
  <c r="AG208" i="7"/>
  <c r="C259" i="7" l="1"/>
  <c r="B259" i="7"/>
  <c r="A259" i="7"/>
  <c r="AH261" i="7"/>
  <c r="AI260" i="7"/>
  <c r="AG209" i="7"/>
  <c r="AH262" i="7" l="1"/>
  <c r="AI261" i="7"/>
  <c r="A260" i="7"/>
  <c r="C260" i="7"/>
  <c r="B260" i="7"/>
  <c r="AG210" i="7"/>
  <c r="B261" i="7" l="1"/>
  <c r="C261" i="7"/>
  <c r="A261" i="7"/>
  <c r="AH263" i="7"/>
  <c r="AI262" i="7"/>
  <c r="AG211" i="7"/>
  <c r="AI263" i="7" l="1"/>
  <c r="AH264" i="7"/>
  <c r="C262" i="7"/>
  <c r="B262" i="7"/>
  <c r="A262" i="7"/>
  <c r="AG212" i="7"/>
  <c r="AH265" i="7" l="1"/>
  <c r="AI264" i="7"/>
  <c r="B263" i="7"/>
  <c r="A263" i="7"/>
  <c r="C263" i="7"/>
  <c r="AG213" i="7"/>
  <c r="A264" i="7" l="1"/>
  <c r="C264" i="7"/>
  <c r="B264" i="7"/>
  <c r="AH266" i="7"/>
  <c r="AI265" i="7"/>
  <c r="AG214" i="7"/>
  <c r="AH267" i="7" l="1"/>
  <c r="AI266" i="7"/>
  <c r="B265" i="7"/>
  <c r="A265" i="7"/>
  <c r="C265" i="7"/>
  <c r="AG215" i="7"/>
  <c r="C266" i="7" l="1"/>
  <c r="B266" i="7"/>
  <c r="A266" i="7"/>
  <c r="AI267" i="7"/>
  <c r="AH268" i="7"/>
  <c r="AG216" i="7"/>
  <c r="A267" i="7" l="1"/>
  <c r="C267" i="7"/>
  <c r="B267" i="7"/>
  <c r="AH269" i="7"/>
  <c r="AI268" i="7"/>
  <c r="AG217" i="7"/>
  <c r="AH270" i="7" l="1"/>
  <c r="AI269" i="7"/>
  <c r="A268" i="7"/>
  <c r="C268" i="7"/>
  <c r="B268" i="7"/>
  <c r="AG218" i="7"/>
  <c r="B269" i="7" l="1"/>
  <c r="C269" i="7"/>
  <c r="A269" i="7"/>
  <c r="AI270" i="7"/>
  <c r="AH271" i="7"/>
  <c r="AG219" i="7"/>
  <c r="C270" i="7" l="1"/>
  <c r="B270" i="7"/>
  <c r="A270" i="7"/>
  <c r="AI271" i="7"/>
  <c r="AH272" i="7"/>
  <c r="AG220" i="7"/>
  <c r="C271" i="7" l="1"/>
  <c r="B271" i="7"/>
  <c r="A271" i="7"/>
  <c r="AI272" i="7"/>
  <c r="AH273" i="7"/>
  <c r="AG221" i="7"/>
  <c r="A272" i="7" l="1"/>
  <c r="B272" i="7"/>
  <c r="C272" i="7"/>
  <c r="AH274" i="7"/>
  <c r="AI273" i="7"/>
  <c r="AG222" i="7"/>
  <c r="AI274" i="7" l="1"/>
  <c r="AH275" i="7"/>
  <c r="B273" i="7"/>
  <c r="C273" i="7"/>
  <c r="A273" i="7"/>
  <c r="AG223" i="7"/>
  <c r="AI275" i="7" l="1"/>
  <c r="AH276" i="7"/>
  <c r="C274" i="7"/>
  <c r="A274" i="7"/>
  <c r="B274" i="7"/>
  <c r="AG224" i="7"/>
  <c r="AH277" i="7" l="1"/>
  <c r="AI276" i="7"/>
  <c r="C275" i="7"/>
  <c r="B275" i="7"/>
  <c r="A275" i="7"/>
  <c r="AG225" i="7"/>
  <c r="A276" i="7" l="1"/>
  <c r="C276" i="7"/>
  <c r="B276" i="7"/>
  <c r="AH278" i="7"/>
  <c r="AI277" i="7"/>
  <c r="AG226" i="7"/>
  <c r="AH279" i="7" l="1"/>
  <c r="AI278" i="7"/>
  <c r="B277" i="7"/>
  <c r="C277" i="7"/>
  <c r="A277" i="7"/>
  <c r="AG227" i="7"/>
  <c r="C278" i="7" l="1"/>
  <c r="B278" i="7"/>
  <c r="A278" i="7"/>
  <c r="AI279" i="7"/>
  <c r="AH280" i="7"/>
  <c r="AG228" i="7"/>
  <c r="B279" i="7" l="1"/>
  <c r="A279" i="7"/>
  <c r="C279" i="7"/>
  <c r="AI280" i="7"/>
  <c r="AH281" i="7"/>
  <c r="AG229" i="7"/>
  <c r="A280" i="7" l="1"/>
  <c r="C280" i="7"/>
  <c r="B280" i="7"/>
  <c r="AI281" i="7"/>
  <c r="AH282" i="7"/>
  <c r="AG230" i="7"/>
  <c r="B281" i="7" l="1"/>
  <c r="A281" i="7"/>
  <c r="C281" i="7"/>
  <c r="AI282" i="7"/>
  <c r="AH283" i="7"/>
  <c r="AG231" i="7"/>
  <c r="C282" i="7" l="1"/>
  <c r="B282" i="7"/>
  <c r="A282" i="7"/>
  <c r="AI283" i="7"/>
  <c r="AH284" i="7"/>
  <c r="AG232" i="7"/>
  <c r="A283" i="7" l="1"/>
  <c r="C283" i="7"/>
  <c r="B283" i="7"/>
  <c r="AH285" i="7"/>
  <c r="AI284" i="7"/>
  <c r="AG233" i="7"/>
  <c r="AH286" i="7" l="1"/>
  <c r="AI285" i="7"/>
  <c r="A284" i="7"/>
  <c r="C284" i="7"/>
  <c r="B284" i="7"/>
  <c r="AG234" i="7"/>
  <c r="B285" i="7" l="1"/>
  <c r="C285" i="7"/>
  <c r="A285" i="7"/>
  <c r="AH287" i="7"/>
  <c r="AI286" i="7"/>
  <c r="AG235" i="7"/>
  <c r="AI287" i="7" l="1"/>
  <c r="AH288" i="7"/>
  <c r="C286" i="7"/>
  <c r="B286" i="7"/>
  <c r="A286" i="7"/>
  <c r="AG236" i="7"/>
  <c r="AH289" i="7" l="1"/>
  <c r="AI288" i="7"/>
  <c r="C287" i="7"/>
  <c r="B287" i="7"/>
  <c r="A287" i="7"/>
  <c r="AG237" i="7"/>
  <c r="A288" i="7" l="1"/>
  <c r="B288" i="7"/>
  <c r="C288" i="7"/>
  <c r="AH290" i="7"/>
  <c r="AI289" i="7"/>
  <c r="AG238" i="7"/>
  <c r="AI290" i="7" l="1"/>
  <c r="AH291" i="7"/>
  <c r="B289" i="7"/>
  <c r="C289" i="7"/>
  <c r="A289" i="7"/>
  <c r="AG239" i="7"/>
  <c r="AI291" i="7" l="1"/>
  <c r="AH292" i="7"/>
  <c r="C290" i="7"/>
  <c r="A290" i="7"/>
  <c r="B290" i="7"/>
  <c r="AG240" i="7"/>
  <c r="AH293" i="7" l="1"/>
  <c r="AI292" i="7"/>
  <c r="C291" i="7"/>
  <c r="B291" i="7"/>
  <c r="A291" i="7"/>
  <c r="AG241" i="7"/>
  <c r="A292" i="7" l="1"/>
  <c r="C292" i="7"/>
  <c r="B292" i="7"/>
  <c r="AI293" i="7"/>
  <c r="AH294" i="7"/>
  <c r="AG242" i="7"/>
  <c r="B293" i="7" l="1"/>
  <c r="C293" i="7"/>
  <c r="A293" i="7"/>
  <c r="AH295" i="7"/>
  <c r="AI294" i="7"/>
  <c r="AG243" i="7"/>
  <c r="AI295" i="7" l="1"/>
  <c r="AH296" i="7"/>
  <c r="C294" i="7"/>
  <c r="B294" i="7"/>
  <c r="A294" i="7"/>
  <c r="AG244" i="7"/>
  <c r="AI296" i="7" l="1"/>
  <c r="AH297" i="7"/>
  <c r="B295" i="7"/>
  <c r="A295" i="7"/>
  <c r="C295" i="7"/>
  <c r="AG245" i="7"/>
  <c r="AH298" i="7" l="1"/>
  <c r="AI297" i="7"/>
  <c r="A296" i="7"/>
  <c r="C296" i="7"/>
  <c r="B296" i="7"/>
  <c r="AG246" i="7"/>
  <c r="B297" i="7" l="1"/>
  <c r="A297" i="7"/>
  <c r="C297" i="7"/>
  <c r="AH299" i="7"/>
  <c r="AI298" i="7"/>
  <c r="AG247" i="7"/>
  <c r="AI299" i="7" l="1"/>
  <c r="AH300" i="7"/>
  <c r="C298" i="7"/>
  <c r="B298" i="7"/>
  <c r="A298" i="7"/>
  <c r="AG248" i="7"/>
  <c r="AH301" i="7" l="1"/>
  <c r="AI300" i="7"/>
  <c r="A299" i="7"/>
  <c r="C299" i="7"/>
  <c r="B299" i="7"/>
  <c r="AG249" i="7"/>
  <c r="A300" i="7" l="1"/>
  <c r="C300" i="7"/>
  <c r="B300" i="7"/>
  <c r="AH302" i="7"/>
  <c r="AI301" i="7"/>
  <c r="AG250" i="7"/>
  <c r="AI302" i="7" l="1"/>
  <c r="AH303" i="7"/>
  <c r="B301" i="7"/>
  <c r="C301" i="7"/>
  <c r="A301" i="7"/>
  <c r="AG251" i="7"/>
  <c r="AI303" i="7" l="1"/>
  <c r="AH304" i="7"/>
  <c r="C302" i="7"/>
  <c r="B302" i="7"/>
  <c r="A302" i="7"/>
  <c r="AG252" i="7"/>
  <c r="AI304" i="7" l="1"/>
  <c r="AH305" i="7"/>
  <c r="C303" i="7"/>
  <c r="B303" i="7"/>
  <c r="A303" i="7"/>
  <c r="AG253" i="7"/>
  <c r="AI305" i="7" l="1"/>
  <c r="AH306" i="7"/>
  <c r="A304" i="7"/>
  <c r="B304" i="7"/>
  <c r="C304" i="7"/>
  <c r="AG254" i="7"/>
  <c r="AI306" i="7" l="1"/>
  <c r="AH307" i="7"/>
  <c r="B305" i="7"/>
  <c r="C305" i="7"/>
  <c r="A305" i="7"/>
  <c r="AG255" i="7"/>
  <c r="AI307" i="7" l="1"/>
  <c r="AH308" i="7"/>
  <c r="C306" i="7"/>
  <c r="A306" i="7"/>
  <c r="B306" i="7"/>
  <c r="AG256" i="7"/>
  <c r="AH309" i="7" l="1"/>
  <c r="AI308" i="7"/>
  <c r="C307" i="7"/>
  <c r="B307" i="7"/>
  <c r="A307" i="7"/>
  <c r="AG257" i="7"/>
  <c r="A308" i="7" l="1"/>
  <c r="C308" i="7"/>
  <c r="B308" i="7"/>
  <c r="AH310" i="7"/>
  <c r="AI309" i="7"/>
  <c r="AG258" i="7"/>
  <c r="AH311" i="7" l="1"/>
  <c r="AI310" i="7"/>
  <c r="B309" i="7"/>
  <c r="C309" i="7"/>
  <c r="A309" i="7"/>
  <c r="AG259" i="7"/>
  <c r="C310" i="7" l="1"/>
  <c r="B310" i="7"/>
  <c r="A310" i="7"/>
  <c r="AI311" i="7"/>
  <c r="AH312" i="7"/>
  <c r="AG260" i="7"/>
  <c r="B311" i="7" l="1"/>
  <c r="A311" i="7"/>
  <c r="C311" i="7"/>
  <c r="AH313" i="7"/>
  <c r="AI312" i="7"/>
  <c r="AG261" i="7"/>
  <c r="AI313" i="7" l="1"/>
  <c r="AH314" i="7"/>
  <c r="A312" i="7"/>
  <c r="C312" i="7"/>
  <c r="B312" i="7"/>
  <c r="AG262" i="7"/>
  <c r="AI314" i="7" l="1"/>
  <c r="AH315" i="7"/>
  <c r="B313" i="7"/>
  <c r="A313" i="7"/>
  <c r="C313" i="7"/>
  <c r="AG263" i="7"/>
  <c r="AI315" i="7" l="1"/>
  <c r="AH316" i="7"/>
  <c r="C314" i="7"/>
  <c r="B314" i="7"/>
  <c r="A314" i="7"/>
  <c r="AG264" i="7"/>
  <c r="AH317" i="7" l="1"/>
  <c r="AI316" i="7"/>
  <c r="A315" i="7"/>
  <c r="C315" i="7"/>
  <c r="B315" i="7"/>
  <c r="AG265" i="7"/>
  <c r="A316" i="7" l="1"/>
  <c r="C316" i="7"/>
  <c r="B316" i="7"/>
  <c r="AH318" i="7"/>
  <c r="AI317" i="7"/>
  <c r="AG266" i="7"/>
  <c r="AI318" i="7" l="1"/>
  <c r="AH319" i="7"/>
  <c r="B317" i="7"/>
  <c r="C317" i="7"/>
  <c r="A317" i="7"/>
  <c r="AG267" i="7"/>
  <c r="AI319" i="7" l="1"/>
  <c r="AH320" i="7"/>
  <c r="C318" i="7"/>
  <c r="B318" i="7"/>
  <c r="A318" i="7"/>
  <c r="AG268" i="7"/>
  <c r="AI320" i="7" l="1"/>
  <c r="AH321" i="7"/>
  <c r="C319" i="7"/>
  <c r="B319" i="7"/>
  <c r="A319" i="7"/>
  <c r="AG269" i="7"/>
  <c r="AH322" i="7" l="1"/>
  <c r="AI321" i="7"/>
  <c r="A320" i="7"/>
  <c r="B320" i="7"/>
  <c r="C320" i="7"/>
  <c r="AG270" i="7"/>
  <c r="B321" i="7" l="1"/>
  <c r="C321" i="7"/>
  <c r="A321" i="7"/>
  <c r="AI322" i="7"/>
  <c r="AH323" i="7"/>
  <c r="AG271" i="7"/>
  <c r="C322" i="7" l="1"/>
  <c r="A322" i="7"/>
  <c r="B322" i="7"/>
  <c r="AI323" i="7"/>
  <c r="AH324" i="7"/>
  <c r="AG272" i="7"/>
  <c r="C323" i="7" l="1"/>
  <c r="B323" i="7"/>
  <c r="A323" i="7"/>
  <c r="AH325" i="7"/>
  <c r="AI324" i="7"/>
  <c r="AG273" i="7"/>
  <c r="AH326" i="7" l="1"/>
  <c r="AI325" i="7"/>
  <c r="A324" i="7"/>
  <c r="C324" i="7"/>
  <c r="B324" i="7"/>
  <c r="AG274" i="7"/>
  <c r="B325" i="7" l="1"/>
  <c r="C325" i="7"/>
  <c r="A325" i="7"/>
  <c r="AH327" i="7"/>
  <c r="AI326" i="7"/>
  <c r="AG275" i="7"/>
  <c r="AI327" i="7" l="1"/>
  <c r="AH328" i="7"/>
  <c r="C326" i="7"/>
  <c r="B326" i="7"/>
  <c r="A326" i="7"/>
  <c r="AG276" i="7"/>
  <c r="AH329" i="7" l="1"/>
  <c r="AI328" i="7"/>
  <c r="B327" i="7"/>
  <c r="A327" i="7"/>
  <c r="C327" i="7"/>
  <c r="AG277" i="7"/>
  <c r="A328" i="7" l="1"/>
  <c r="C328" i="7"/>
  <c r="B328" i="7"/>
  <c r="AH330" i="7"/>
  <c r="AI329" i="7"/>
  <c r="AG278" i="7"/>
  <c r="AH331" i="7" l="1"/>
  <c r="AI330" i="7"/>
  <c r="B329" i="7"/>
  <c r="A329" i="7"/>
  <c r="C329" i="7"/>
  <c r="AG279" i="7"/>
  <c r="C330" i="7" l="1"/>
  <c r="B330" i="7"/>
  <c r="A330" i="7"/>
  <c r="AI331" i="7"/>
  <c r="AH332" i="7"/>
  <c r="AG280" i="7"/>
  <c r="A331" i="7" l="1"/>
  <c r="C331" i="7"/>
  <c r="B331" i="7"/>
  <c r="AH333" i="7"/>
  <c r="AI332" i="7"/>
  <c r="AG281" i="7"/>
  <c r="AI333" i="7" l="1"/>
  <c r="AH334" i="7"/>
  <c r="A332" i="7"/>
  <c r="C332" i="7"/>
  <c r="B332" i="7"/>
  <c r="AG282" i="7"/>
  <c r="AI334" i="7" l="1"/>
  <c r="AH335" i="7"/>
  <c r="B333" i="7"/>
  <c r="C333" i="7"/>
  <c r="A333" i="7"/>
  <c r="AG283" i="7"/>
  <c r="AI335" i="7" l="1"/>
  <c r="AH336" i="7"/>
  <c r="C334" i="7"/>
  <c r="B334" i="7"/>
  <c r="A334" i="7"/>
  <c r="AG284" i="7"/>
  <c r="AI336" i="7" l="1"/>
  <c r="AH337" i="7"/>
  <c r="C335" i="7"/>
  <c r="B335" i="7"/>
  <c r="A335" i="7"/>
  <c r="AG285" i="7"/>
  <c r="AH338" i="7" l="1"/>
  <c r="AI337" i="7"/>
  <c r="A336" i="7"/>
  <c r="B336" i="7"/>
  <c r="C336" i="7"/>
  <c r="AG286" i="7"/>
  <c r="B337" i="7" l="1"/>
  <c r="C337" i="7"/>
  <c r="A337" i="7"/>
  <c r="AI338" i="7"/>
  <c r="AH339" i="7"/>
  <c r="AG287" i="7"/>
  <c r="C338" i="7" l="1"/>
  <c r="A338" i="7"/>
  <c r="B338" i="7"/>
  <c r="AI339" i="7"/>
  <c r="AH340" i="7"/>
  <c r="AG288" i="7"/>
  <c r="C339" i="7" l="1"/>
  <c r="B339" i="7"/>
  <c r="A339" i="7"/>
  <c r="AH341" i="7"/>
  <c r="AI340" i="7"/>
  <c r="AG289" i="7"/>
  <c r="AH342" i="7" l="1"/>
  <c r="AI341" i="7"/>
  <c r="A340" i="7"/>
  <c r="C340" i="7"/>
  <c r="B340" i="7"/>
  <c r="AG290" i="7"/>
  <c r="B341" i="7" l="1"/>
  <c r="C341" i="7"/>
  <c r="A341" i="7"/>
  <c r="AH343" i="7"/>
  <c r="AI342" i="7"/>
  <c r="AG291" i="7"/>
  <c r="AI343" i="7" l="1"/>
  <c r="AH344" i="7"/>
  <c r="C342" i="7"/>
  <c r="B342" i="7"/>
  <c r="A342" i="7"/>
  <c r="AG292" i="7"/>
  <c r="AH345" i="7" l="1"/>
  <c r="AI344" i="7"/>
  <c r="B343" i="7"/>
  <c r="A343" i="7"/>
  <c r="C343" i="7"/>
  <c r="AG293" i="7"/>
  <c r="A344" i="7" l="1"/>
  <c r="C344" i="7"/>
  <c r="B344" i="7"/>
  <c r="AH346" i="7"/>
  <c r="AI345" i="7"/>
  <c r="AG294" i="7"/>
  <c r="AH347" i="7" l="1"/>
  <c r="AI346" i="7"/>
  <c r="B345" i="7"/>
  <c r="A345" i="7"/>
  <c r="C345" i="7"/>
  <c r="AG295" i="7"/>
  <c r="C346" i="7" l="1"/>
  <c r="B346" i="7"/>
  <c r="A346" i="7"/>
  <c r="AI347" i="7"/>
  <c r="AH348" i="7"/>
  <c r="AG296" i="7"/>
  <c r="A347" i="7" l="1"/>
  <c r="C347" i="7"/>
  <c r="B347" i="7"/>
  <c r="AH349" i="7"/>
  <c r="AI348" i="7"/>
  <c r="AG297" i="7"/>
  <c r="AI349" i="7" l="1"/>
  <c r="AH350" i="7"/>
  <c r="A348" i="7"/>
  <c r="C348" i="7"/>
  <c r="B348" i="7"/>
  <c r="AG298" i="7"/>
  <c r="AI350" i="7" l="1"/>
  <c r="AH351" i="7"/>
  <c r="B349" i="7"/>
  <c r="C349" i="7"/>
  <c r="A349" i="7"/>
  <c r="AG299" i="7"/>
  <c r="AI351" i="7" l="1"/>
  <c r="AH352" i="7"/>
  <c r="C350" i="7"/>
  <c r="B350" i="7"/>
  <c r="A350" i="7"/>
  <c r="AG300" i="7"/>
  <c r="AI352" i="7" l="1"/>
  <c r="AH353" i="7"/>
  <c r="C351" i="7"/>
  <c r="B351" i="7"/>
  <c r="A351" i="7"/>
  <c r="AG301" i="7"/>
  <c r="AH354" i="7" l="1"/>
  <c r="AI353" i="7"/>
  <c r="A352" i="7"/>
  <c r="B352" i="7"/>
  <c r="C352" i="7"/>
  <c r="AG302" i="7"/>
  <c r="B353" i="7" l="1"/>
  <c r="C353" i="7"/>
  <c r="A353" i="7"/>
  <c r="AI354" i="7"/>
  <c r="AH355" i="7"/>
  <c r="AG303" i="7"/>
  <c r="C354" i="7" l="1"/>
  <c r="A354" i="7"/>
  <c r="B354" i="7"/>
  <c r="AI355" i="7"/>
  <c r="AH356" i="7"/>
  <c r="AG304" i="7"/>
  <c r="C355" i="7" l="1"/>
  <c r="B355" i="7"/>
  <c r="A355" i="7"/>
  <c r="AH357" i="7"/>
  <c r="AI356" i="7"/>
  <c r="AG305" i="7"/>
  <c r="AH358" i="7" l="1"/>
  <c r="AI357" i="7"/>
  <c r="A356" i="7"/>
  <c r="C356" i="7"/>
  <c r="B356" i="7"/>
  <c r="AG306" i="7"/>
  <c r="B357" i="7" l="1"/>
  <c r="C357" i="7"/>
  <c r="A357" i="7"/>
  <c r="AH359" i="7"/>
  <c r="AI358" i="7"/>
  <c r="AG307" i="7"/>
  <c r="AI359" i="7" l="1"/>
  <c r="AH360" i="7"/>
  <c r="C358" i="7"/>
  <c r="B358" i="7"/>
  <c r="A358" i="7"/>
  <c r="AG308" i="7"/>
  <c r="AH361" i="7" l="1"/>
  <c r="AI360" i="7"/>
  <c r="B359" i="7"/>
  <c r="A359" i="7"/>
  <c r="C359" i="7"/>
  <c r="AG309" i="7"/>
  <c r="A360" i="7" l="1"/>
  <c r="C360" i="7"/>
  <c r="B360" i="7"/>
  <c r="AH362" i="7"/>
  <c r="AI361" i="7"/>
  <c r="AG310" i="7"/>
  <c r="AH363" i="7" l="1"/>
  <c r="AI362" i="7"/>
  <c r="B361" i="7"/>
  <c r="A361" i="7"/>
  <c r="C361" i="7"/>
  <c r="AG311" i="7"/>
  <c r="C362" i="7" l="1"/>
  <c r="B362" i="7"/>
  <c r="A362" i="7"/>
  <c r="AI363" i="7"/>
  <c r="AH364" i="7"/>
  <c r="AG312" i="7"/>
  <c r="A363" i="7" l="1"/>
  <c r="C363" i="7"/>
  <c r="B363" i="7"/>
  <c r="AH365" i="7"/>
  <c r="AI364" i="7"/>
  <c r="AG313" i="7"/>
  <c r="AH366" i="7" l="1"/>
  <c r="AI365" i="7"/>
  <c r="A364" i="7"/>
  <c r="C364" i="7"/>
  <c r="B364" i="7"/>
  <c r="AG314" i="7"/>
  <c r="B365" i="7" l="1"/>
  <c r="C365" i="7"/>
  <c r="A365" i="7"/>
  <c r="AI366" i="7"/>
  <c r="AH367" i="7"/>
  <c r="AG315" i="7"/>
  <c r="C366" i="7" l="1"/>
  <c r="B366" i="7"/>
  <c r="A366" i="7"/>
  <c r="AI367" i="7"/>
  <c r="AH368" i="7"/>
  <c r="AG316" i="7"/>
  <c r="C367" i="7" l="1"/>
  <c r="B367" i="7"/>
  <c r="A367" i="7"/>
  <c r="AH369" i="7"/>
  <c r="AI368" i="7"/>
  <c r="AG317" i="7"/>
  <c r="AH370" i="7" l="1"/>
  <c r="AI369" i="7"/>
  <c r="A368" i="7"/>
  <c r="B368" i="7"/>
  <c r="C368" i="7"/>
  <c r="AG318" i="7"/>
  <c r="B369" i="7" l="1"/>
  <c r="C369" i="7"/>
  <c r="A369" i="7"/>
  <c r="AI370" i="7"/>
  <c r="AH371" i="7"/>
  <c r="AG319" i="7"/>
  <c r="C370" i="7" l="1"/>
  <c r="A370" i="7"/>
  <c r="B370" i="7"/>
  <c r="AI371" i="7"/>
  <c r="AH372" i="7"/>
  <c r="AG320" i="7"/>
  <c r="C371" i="7" l="1"/>
  <c r="B371" i="7"/>
  <c r="A371" i="7"/>
  <c r="AH373" i="7"/>
  <c r="AI372" i="7"/>
  <c r="AG321" i="7"/>
  <c r="AH374" i="7" l="1"/>
  <c r="AI373" i="7"/>
  <c r="A372" i="7"/>
  <c r="C372" i="7"/>
  <c r="B372" i="7"/>
  <c r="AG322" i="7"/>
  <c r="B373" i="7" l="1"/>
  <c r="C373" i="7"/>
  <c r="A373" i="7"/>
  <c r="AH375" i="7"/>
  <c r="AI374" i="7"/>
  <c r="AG323" i="7"/>
  <c r="AH376" i="7" l="1"/>
  <c r="AI375" i="7"/>
  <c r="C374" i="7"/>
  <c r="B374" i="7"/>
  <c r="A374" i="7"/>
  <c r="AG324" i="7"/>
  <c r="B375" i="7" l="1"/>
  <c r="A375" i="7"/>
  <c r="C375" i="7"/>
  <c r="AH377" i="7"/>
  <c r="AI376" i="7"/>
  <c r="AG325" i="7"/>
  <c r="AH378" i="7" l="1"/>
  <c r="AI377" i="7"/>
  <c r="A376" i="7"/>
  <c r="C376" i="7"/>
  <c r="B376" i="7"/>
  <c r="AG326" i="7"/>
  <c r="B377" i="7" l="1"/>
  <c r="A377" i="7"/>
  <c r="C377" i="7"/>
  <c r="AH379" i="7"/>
  <c r="AI378" i="7"/>
  <c r="AG327" i="7"/>
  <c r="AH380" i="7" l="1"/>
  <c r="AI379" i="7"/>
  <c r="C378" i="7"/>
  <c r="B378" i="7"/>
  <c r="A378" i="7"/>
  <c r="AG328" i="7"/>
  <c r="A379" i="7" l="1"/>
  <c r="C379" i="7"/>
  <c r="B379" i="7"/>
  <c r="AH381" i="7"/>
  <c r="AI380" i="7"/>
  <c r="AG329" i="7"/>
  <c r="AH382" i="7" l="1"/>
  <c r="AI381" i="7"/>
  <c r="A380" i="7"/>
  <c r="C380" i="7"/>
  <c r="B380" i="7"/>
  <c r="AG330" i="7"/>
  <c r="B381" i="7" l="1"/>
  <c r="C381" i="7"/>
  <c r="A381" i="7"/>
  <c r="AI382" i="7"/>
  <c r="AH383" i="7"/>
  <c r="AG331" i="7"/>
  <c r="C382" i="7" l="1"/>
  <c r="B382" i="7"/>
  <c r="A382" i="7"/>
  <c r="AH384" i="7"/>
  <c r="AI383" i="7"/>
  <c r="AG332" i="7"/>
  <c r="AI384" i="7" l="1"/>
  <c r="AH385" i="7"/>
  <c r="C383" i="7"/>
  <c r="B383" i="7"/>
  <c r="A383" i="7"/>
  <c r="AG333" i="7"/>
  <c r="AH386" i="7" l="1"/>
  <c r="AI385" i="7"/>
  <c r="A384" i="7"/>
  <c r="B384" i="7"/>
  <c r="C384" i="7"/>
  <c r="AG334" i="7"/>
  <c r="B385" i="7" l="1"/>
  <c r="C385" i="7"/>
  <c r="A385" i="7"/>
  <c r="AI386" i="7"/>
  <c r="AH387" i="7"/>
  <c r="AG335" i="7"/>
  <c r="C386" i="7" l="1"/>
  <c r="A386" i="7"/>
  <c r="B386" i="7"/>
  <c r="AI387" i="7"/>
  <c r="AH388" i="7"/>
  <c r="AG336" i="7"/>
  <c r="C387" i="7" l="1"/>
  <c r="B387" i="7"/>
  <c r="A387" i="7"/>
  <c r="AH389" i="7"/>
  <c r="AI388" i="7"/>
  <c r="AG337" i="7"/>
  <c r="AH390" i="7" l="1"/>
  <c r="AI389" i="7"/>
  <c r="A388" i="7"/>
  <c r="C388" i="7"/>
  <c r="B388" i="7"/>
  <c r="AG338" i="7"/>
  <c r="B389" i="7" l="1"/>
  <c r="C389" i="7"/>
  <c r="A389" i="7"/>
  <c r="AH391" i="7"/>
  <c r="AI390" i="7"/>
  <c r="AG339" i="7"/>
  <c r="AI391" i="7" l="1"/>
  <c r="AH392" i="7"/>
  <c r="C390" i="7"/>
  <c r="B390" i="7"/>
  <c r="A390" i="7"/>
  <c r="AG340" i="7"/>
  <c r="AH393" i="7" l="1"/>
  <c r="AI392" i="7"/>
  <c r="B391" i="7"/>
  <c r="A391" i="7"/>
  <c r="C391" i="7"/>
  <c r="AG341" i="7"/>
  <c r="B392" i="7" l="1"/>
  <c r="A392" i="7"/>
  <c r="C392" i="7"/>
  <c r="AH394" i="7"/>
  <c r="AI393" i="7"/>
  <c r="AG342" i="7"/>
  <c r="AH395" i="7" l="1"/>
  <c r="AI394" i="7"/>
  <c r="C393" i="7"/>
  <c r="B393" i="7"/>
  <c r="A393" i="7"/>
  <c r="AG343" i="7"/>
  <c r="B394" i="7" l="1"/>
  <c r="C394" i="7"/>
  <c r="A394" i="7"/>
  <c r="AI395" i="7"/>
  <c r="AH396" i="7"/>
  <c r="AG344" i="7"/>
  <c r="C395" i="7" l="1"/>
  <c r="B395" i="7"/>
  <c r="A395" i="7"/>
  <c r="AH397" i="7"/>
  <c r="AI396" i="7"/>
  <c r="AG345" i="7"/>
  <c r="AH398" i="7" l="1"/>
  <c r="AI397" i="7"/>
  <c r="B396" i="7"/>
  <c r="C396" i="7"/>
  <c r="A396" i="7"/>
  <c r="AG346" i="7"/>
  <c r="C397" i="7" l="1"/>
  <c r="B397" i="7"/>
  <c r="A397" i="7"/>
  <c r="AI398" i="7"/>
  <c r="AH399" i="7"/>
  <c r="AG347" i="7"/>
  <c r="B398" i="7" l="1"/>
  <c r="C398" i="7"/>
  <c r="A398" i="7"/>
  <c r="AH400" i="7"/>
  <c r="AI399" i="7"/>
  <c r="AG348" i="7"/>
  <c r="AI400" i="7" l="1"/>
  <c r="AH401" i="7"/>
  <c r="C399" i="7"/>
  <c r="B399" i="7"/>
  <c r="A399" i="7"/>
  <c r="AG349" i="7"/>
  <c r="AI401" i="7" l="1"/>
  <c r="AH402" i="7"/>
  <c r="B400" i="7"/>
  <c r="C400" i="7"/>
  <c r="A400" i="7"/>
  <c r="AG350" i="7"/>
  <c r="AI402" i="7" l="1"/>
  <c r="AH403" i="7"/>
  <c r="C401" i="7"/>
  <c r="B401" i="7"/>
  <c r="A401" i="7"/>
  <c r="AG351" i="7"/>
  <c r="AI403" i="7" l="1"/>
  <c r="AH404" i="7"/>
  <c r="B402" i="7"/>
  <c r="C402" i="7"/>
  <c r="A402" i="7"/>
  <c r="AG352" i="7"/>
  <c r="AH405" i="7" l="1"/>
  <c r="AI404" i="7"/>
  <c r="C403" i="7"/>
  <c r="B403" i="7"/>
  <c r="A403" i="7"/>
  <c r="AG353" i="7"/>
  <c r="C404" i="7" l="1"/>
  <c r="B404" i="7"/>
  <c r="A404" i="7"/>
  <c r="AH406" i="7"/>
  <c r="AI405" i="7"/>
  <c r="AG354" i="7"/>
  <c r="AH407" i="7" l="1"/>
  <c r="AI406" i="7"/>
  <c r="C405" i="7"/>
  <c r="B405" i="7"/>
  <c r="A405" i="7"/>
  <c r="AG355" i="7"/>
  <c r="C406" i="7" l="1"/>
  <c r="B406" i="7"/>
  <c r="A406" i="7"/>
  <c r="AI407" i="7"/>
  <c r="AH408" i="7"/>
  <c r="AG356" i="7"/>
  <c r="C407" i="7" l="1"/>
  <c r="B407" i="7"/>
  <c r="A407" i="7"/>
  <c r="AI408" i="7"/>
  <c r="AH409" i="7"/>
  <c r="AG357" i="7"/>
  <c r="C408" i="7" l="1"/>
  <c r="B408" i="7"/>
  <c r="A408" i="7"/>
  <c r="AH410" i="7"/>
  <c r="AI409" i="7"/>
  <c r="AG358" i="7"/>
  <c r="AH411" i="7" l="1"/>
  <c r="AI410" i="7"/>
  <c r="C409" i="7"/>
  <c r="B409" i="7"/>
  <c r="A409" i="7"/>
  <c r="AG359" i="7"/>
  <c r="C410" i="7" l="1"/>
  <c r="B410" i="7"/>
  <c r="A410" i="7"/>
  <c r="AI411" i="7"/>
  <c r="AH412" i="7"/>
  <c r="AG360" i="7"/>
  <c r="C411" i="7" l="1"/>
  <c r="B411" i="7"/>
  <c r="A411" i="7"/>
  <c r="AH413" i="7"/>
  <c r="AI412" i="7"/>
  <c r="AG361" i="7"/>
  <c r="AH414" i="7" l="1"/>
  <c r="AI413" i="7"/>
  <c r="C412" i="7"/>
  <c r="B412" i="7"/>
  <c r="A412" i="7"/>
  <c r="AG362" i="7"/>
  <c r="C413" i="7" l="1"/>
  <c r="B413" i="7"/>
  <c r="A413" i="7"/>
  <c r="AI414" i="7"/>
  <c r="AH415" i="7"/>
  <c r="AG363" i="7"/>
  <c r="C414" i="7" l="1"/>
  <c r="B414" i="7"/>
  <c r="A414" i="7"/>
  <c r="AI415" i="7"/>
  <c r="AH416" i="7"/>
  <c r="AG364" i="7"/>
  <c r="C415" i="7" l="1"/>
  <c r="B415" i="7"/>
  <c r="A415" i="7"/>
  <c r="AI416" i="7"/>
  <c r="AH417" i="7"/>
  <c r="AG365" i="7"/>
  <c r="C416" i="7" l="1"/>
  <c r="B416" i="7"/>
  <c r="A416" i="7"/>
  <c r="AI417" i="7"/>
  <c r="AH418" i="7"/>
  <c r="AG366" i="7"/>
  <c r="C417" i="7" l="1"/>
  <c r="B417" i="7"/>
  <c r="A417" i="7"/>
  <c r="AI418" i="7"/>
  <c r="AH419" i="7"/>
  <c r="AG367" i="7"/>
  <c r="C418" i="7" l="1"/>
  <c r="B418" i="7"/>
  <c r="A418" i="7"/>
  <c r="AI419" i="7"/>
  <c r="AH420" i="7"/>
  <c r="AG368" i="7"/>
  <c r="C419" i="7" l="1"/>
  <c r="B419" i="7"/>
  <c r="A419" i="7"/>
  <c r="AI420" i="7"/>
  <c r="AH421" i="7"/>
  <c r="AG369" i="7"/>
  <c r="C420" i="7" l="1"/>
  <c r="B420" i="7"/>
  <c r="A420" i="7"/>
  <c r="AI421" i="7"/>
  <c r="AH422" i="7"/>
  <c r="AG370" i="7"/>
  <c r="C421" i="7" l="1"/>
  <c r="B421" i="7"/>
  <c r="A421" i="7"/>
  <c r="AH423" i="7"/>
  <c r="AI422" i="7"/>
  <c r="AG371" i="7"/>
  <c r="AI423" i="7" l="1"/>
  <c r="AH424" i="7"/>
  <c r="C422" i="7"/>
  <c r="B422" i="7"/>
  <c r="A422" i="7"/>
  <c r="AG372" i="7"/>
  <c r="AH425" i="7" l="1"/>
  <c r="AI424" i="7"/>
  <c r="C423" i="7"/>
  <c r="B423" i="7"/>
  <c r="A423" i="7"/>
  <c r="AG373" i="7"/>
  <c r="C424" i="7" l="1"/>
  <c r="B424" i="7"/>
  <c r="A424" i="7"/>
  <c r="AH426" i="7"/>
  <c r="AI425" i="7"/>
  <c r="AG374" i="7"/>
  <c r="AH427" i="7" l="1"/>
  <c r="AI426" i="7"/>
  <c r="C425" i="7"/>
  <c r="B425" i="7"/>
  <c r="A425" i="7"/>
  <c r="AG375" i="7"/>
  <c r="C426" i="7" l="1"/>
  <c r="B426" i="7"/>
  <c r="A426" i="7"/>
  <c r="AI427" i="7"/>
  <c r="AH428" i="7"/>
  <c r="AG376" i="7"/>
  <c r="C427" i="7" l="1"/>
  <c r="B427" i="7"/>
  <c r="A427" i="7"/>
  <c r="AI428" i="7"/>
  <c r="AH429" i="7"/>
  <c r="AG377" i="7"/>
  <c r="C428" i="7" l="1"/>
  <c r="B428" i="7"/>
  <c r="A428" i="7"/>
  <c r="AH430" i="7"/>
  <c r="AI429" i="7"/>
  <c r="AG378" i="7"/>
  <c r="AH431" i="7" l="1"/>
  <c r="AI430" i="7"/>
  <c r="C429" i="7"/>
  <c r="B429" i="7"/>
  <c r="A429" i="7"/>
  <c r="AG379" i="7"/>
  <c r="C430" i="7" l="1"/>
  <c r="B430" i="7"/>
  <c r="A430" i="7"/>
  <c r="AH432" i="7"/>
  <c r="AI431" i="7"/>
  <c r="AG380" i="7"/>
  <c r="AI432" i="7" l="1"/>
  <c r="AH433" i="7"/>
  <c r="C431" i="7"/>
  <c r="B431" i="7"/>
  <c r="A431" i="7"/>
  <c r="AG381" i="7"/>
  <c r="AI433" i="7" l="1"/>
  <c r="AH434" i="7"/>
  <c r="C432" i="7"/>
  <c r="B432" i="7"/>
  <c r="A432" i="7"/>
  <c r="AG382" i="7"/>
  <c r="AI434" i="7" l="1"/>
  <c r="AH435" i="7"/>
  <c r="C433" i="7"/>
  <c r="B433" i="7"/>
  <c r="A433" i="7"/>
  <c r="AG383" i="7"/>
  <c r="AH436" i="7" l="1"/>
  <c r="AI435" i="7"/>
  <c r="C434" i="7"/>
  <c r="B434" i="7"/>
  <c r="A434" i="7"/>
  <c r="AG384" i="7"/>
  <c r="C435" i="7" l="1"/>
  <c r="B435" i="7"/>
  <c r="A435" i="7"/>
  <c r="AH437" i="7"/>
  <c r="AI436" i="7"/>
  <c r="AG385" i="7"/>
  <c r="AI437" i="7" l="1"/>
  <c r="AH438" i="7"/>
  <c r="C436" i="7"/>
  <c r="B436" i="7"/>
  <c r="A436" i="7"/>
  <c r="AG386" i="7"/>
  <c r="AI438" i="7" l="1"/>
  <c r="AH439" i="7"/>
  <c r="C437" i="7"/>
  <c r="B437" i="7"/>
  <c r="A437" i="7"/>
  <c r="AG387" i="7"/>
  <c r="AH440" i="7" l="1"/>
  <c r="AI439" i="7"/>
  <c r="C438" i="7"/>
  <c r="B438" i="7"/>
  <c r="A438" i="7"/>
  <c r="AG388" i="7"/>
  <c r="C439" i="7" l="1"/>
  <c r="B439" i="7"/>
  <c r="A439" i="7"/>
  <c r="AH441" i="7"/>
  <c r="AI440" i="7"/>
  <c r="AG389" i="7"/>
  <c r="AI441" i="7" l="1"/>
  <c r="AH442" i="7"/>
  <c r="C440" i="7"/>
  <c r="B440" i="7"/>
  <c r="A440" i="7"/>
  <c r="AG390" i="7"/>
  <c r="AH443" i="7" l="1"/>
  <c r="AI442" i="7"/>
  <c r="B441" i="7"/>
  <c r="C441" i="7"/>
  <c r="A441" i="7"/>
  <c r="AG391" i="7"/>
  <c r="C442" i="7" l="1"/>
  <c r="B442" i="7"/>
  <c r="A442" i="7"/>
  <c r="AH444" i="7"/>
  <c r="AI443" i="7"/>
  <c r="AG392" i="7"/>
  <c r="AH445" i="7" l="1"/>
  <c r="AI444" i="7"/>
  <c r="B443" i="7"/>
  <c r="C443" i="7"/>
  <c r="A443" i="7"/>
  <c r="AG393" i="7"/>
  <c r="C444" i="7" l="1"/>
  <c r="B444" i="7"/>
  <c r="A444" i="7"/>
  <c r="AI445" i="7"/>
  <c r="AH446" i="7"/>
  <c r="AG394" i="7"/>
  <c r="B445" i="7" l="1"/>
  <c r="C445" i="7"/>
  <c r="A445" i="7"/>
  <c r="AI446" i="7"/>
  <c r="AH447" i="7"/>
  <c r="AG395" i="7"/>
  <c r="C446" i="7" l="1"/>
  <c r="B446" i="7"/>
  <c r="A446" i="7"/>
  <c r="AH448" i="7"/>
  <c r="AI447" i="7"/>
  <c r="AG396" i="7"/>
  <c r="AH449" i="7" l="1"/>
  <c r="AI448" i="7"/>
  <c r="A447" i="7"/>
  <c r="C447" i="7"/>
  <c r="B447" i="7"/>
  <c r="AG397" i="7"/>
  <c r="B448" i="7" l="1"/>
  <c r="A448" i="7"/>
  <c r="C448" i="7"/>
  <c r="AI449" i="7"/>
  <c r="AH450" i="7"/>
  <c r="AG398" i="7"/>
  <c r="C449" i="7" l="1"/>
  <c r="B449" i="7"/>
  <c r="A449" i="7"/>
  <c r="AH451" i="7"/>
  <c r="AI450" i="7"/>
  <c r="AG399" i="7"/>
  <c r="AH452" i="7" l="1"/>
  <c r="AI451" i="7"/>
  <c r="C450" i="7"/>
  <c r="B450" i="7"/>
  <c r="A450" i="7"/>
  <c r="AG400" i="7"/>
  <c r="A451" i="7" l="1"/>
  <c r="C451" i="7"/>
  <c r="B451" i="7"/>
  <c r="AH453" i="7"/>
  <c r="AI452" i="7"/>
  <c r="AG401" i="7"/>
  <c r="AI453" i="7" l="1"/>
  <c r="AH454" i="7"/>
  <c r="B452" i="7"/>
  <c r="A452" i="7"/>
  <c r="C452" i="7"/>
  <c r="AG402" i="7"/>
  <c r="AI454" i="7" l="1"/>
  <c r="AH455" i="7"/>
  <c r="C453" i="7"/>
  <c r="B453" i="7"/>
  <c r="A453" i="7"/>
  <c r="AG403" i="7"/>
  <c r="AI455" i="7" l="1"/>
  <c r="AH456" i="7"/>
  <c r="C454" i="7"/>
  <c r="B454" i="7"/>
  <c r="A454" i="7"/>
  <c r="AG404" i="7"/>
  <c r="AH457" i="7" l="1"/>
  <c r="AI456" i="7"/>
  <c r="A455" i="7"/>
  <c r="C455" i="7"/>
  <c r="B455" i="7"/>
  <c r="AG405" i="7"/>
  <c r="B456" i="7" l="1"/>
  <c r="A456" i="7"/>
  <c r="C456" i="7"/>
  <c r="AI457" i="7"/>
  <c r="AH458" i="7"/>
  <c r="AG406" i="7"/>
  <c r="C457" i="7" l="1"/>
  <c r="B457" i="7"/>
  <c r="A457" i="7"/>
  <c r="AH459" i="7"/>
  <c r="AI458" i="7"/>
  <c r="AG407" i="7"/>
  <c r="AH460" i="7" l="1"/>
  <c r="AI459" i="7"/>
  <c r="C458" i="7"/>
  <c r="B458" i="7"/>
  <c r="A458" i="7"/>
  <c r="AG408" i="7"/>
  <c r="A459" i="7" l="1"/>
  <c r="C459" i="7"/>
  <c r="B459" i="7"/>
  <c r="AH461" i="7"/>
  <c r="AI460" i="7"/>
  <c r="AG409" i="7"/>
  <c r="AH462" i="7" l="1"/>
  <c r="AI461" i="7"/>
  <c r="B460" i="7"/>
  <c r="A460" i="7"/>
  <c r="C460" i="7"/>
  <c r="AG410" i="7"/>
  <c r="C461" i="7" l="1"/>
  <c r="B461" i="7"/>
  <c r="A461" i="7"/>
  <c r="AI462" i="7"/>
  <c r="AH463" i="7"/>
  <c r="AG411" i="7"/>
  <c r="C462" i="7" l="1"/>
  <c r="B462" i="7"/>
  <c r="A462" i="7"/>
  <c r="AH464" i="7"/>
  <c r="AI463" i="7"/>
  <c r="AG412" i="7"/>
  <c r="AH465" i="7" l="1"/>
  <c r="AI464" i="7"/>
  <c r="A463" i="7"/>
  <c r="C463" i="7"/>
  <c r="B463" i="7"/>
  <c r="AG413" i="7"/>
  <c r="B464" i="7" l="1"/>
  <c r="A464" i="7"/>
  <c r="C464" i="7"/>
  <c r="AI465" i="7"/>
  <c r="AH466" i="7"/>
  <c r="AG414" i="7"/>
  <c r="C465" i="7" l="1"/>
  <c r="B465" i="7"/>
  <c r="A465" i="7"/>
  <c r="AI466" i="7"/>
  <c r="AH467" i="7"/>
  <c r="AG415" i="7"/>
  <c r="C466" i="7" l="1"/>
  <c r="B466" i="7"/>
  <c r="A466" i="7"/>
  <c r="AH468" i="7"/>
  <c r="AI467" i="7"/>
  <c r="AG416" i="7"/>
  <c r="AH469" i="7" l="1"/>
  <c r="AI468" i="7"/>
  <c r="A467" i="7"/>
  <c r="C467" i="7"/>
  <c r="B467" i="7"/>
  <c r="AG417" i="7"/>
  <c r="B468" i="7" l="1"/>
  <c r="A468" i="7"/>
  <c r="C468" i="7"/>
  <c r="AI469" i="7"/>
  <c r="AH470" i="7"/>
  <c r="AG418" i="7"/>
  <c r="C469" i="7" l="1"/>
  <c r="B469" i="7"/>
  <c r="A469" i="7"/>
  <c r="AI470" i="7"/>
  <c r="AH471" i="7"/>
  <c r="AG419" i="7"/>
  <c r="C470" i="7" l="1"/>
  <c r="B470" i="7"/>
  <c r="A470" i="7"/>
  <c r="AH472" i="7"/>
  <c r="AI471" i="7"/>
  <c r="AG420" i="7"/>
  <c r="AH473" i="7" l="1"/>
  <c r="AI472" i="7"/>
  <c r="A471" i="7"/>
  <c r="C471" i="7"/>
  <c r="B471" i="7"/>
  <c r="AG421" i="7"/>
  <c r="B472" i="7" l="1"/>
  <c r="A472" i="7"/>
  <c r="C472" i="7"/>
  <c r="AH474" i="7"/>
  <c r="AI473" i="7"/>
  <c r="AG422" i="7"/>
  <c r="AH475" i="7" l="1"/>
  <c r="AI474" i="7"/>
  <c r="C473" i="7"/>
  <c r="B473" i="7"/>
  <c r="A473" i="7"/>
  <c r="AG423" i="7"/>
  <c r="C474" i="7" l="1"/>
  <c r="B474" i="7"/>
  <c r="A474" i="7"/>
  <c r="AH476" i="7"/>
  <c r="AI475" i="7"/>
  <c r="AG424" i="7"/>
  <c r="AI476" i="7" l="1"/>
  <c r="AH477" i="7"/>
  <c r="C475" i="7"/>
  <c r="B475" i="7"/>
  <c r="A475" i="7"/>
  <c r="AG425" i="7"/>
  <c r="AI477" i="7" l="1"/>
  <c r="AH478" i="7"/>
  <c r="C476" i="7"/>
  <c r="B476" i="7"/>
  <c r="A476" i="7"/>
  <c r="AG426" i="7"/>
  <c r="AH479" i="7" l="1"/>
  <c r="AI478" i="7"/>
  <c r="C477" i="7"/>
  <c r="B477" i="7"/>
  <c r="A477" i="7"/>
  <c r="AG427" i="7"/>
  <c r="C478" i="7" l="1"/>
  <c r="B478" i="7"/>
  <c r="A478" i="7"/>
  <c r="AH480" i="7"/>
  <c r="AI479" i="7"/>
  <c r="AG428" i="7"/>
  <c r="AI480" i="7" l="1"/>
  <c r="AH481" i="7"/>
  <c r="C479" i="7"/>
  <c r="B479" i="7"/>
  <c r="A479" i="7"/>
  <c r="AG429" i="7"/>
  <c r="AI481" i="7" l="1"/>
  <c r="AH482" i="7"/>
  <c r="C480" i="7"/>
  <c r="B480" i="7"/>
  <c r="A480" i="7"/>
  <c r="AG430" i="7"/>
  <c r="AH483" i="7" l="1"/>
  <c r="AI482" i="7"/>
  <c r="C481" i="7"/>
  <c r="B481" i="7"/>
  <c r="A481" i="7"/>
  <c r="AG431" i="7"/>
  <c r="C482" i="7" l="1"/>
  <c r="B482" i="7"/>
  <c r="A482" i="7"/>
  <c r="AH484" i="7"/>
  <c r="AI483" i="7"/>
  <c r="AG432" i="7"/>
  <c r="AI484" i="7" l="1"/>
  <c r="AH485" i="7"/>
  <c r="C483" i="7"/>
  <c r="B483" i="7"/>
  <c r="A483" i="7"/>
  <c r="AG433" i="7"/>
  <c r="AI485" i="7" l="1"/>
  <c r="AH486" i="7"/>
  <c r="C484" i="7"/>
  <c r="B484" i="7"/>
  <c r="A484" i="7"/>
  <c r="AG434" i="7"/>
  <c r="AH487" i="7" l="1"/>
  <c r="AI486" i="7"/>
  <c r="C485" i="7"/>
  <c r="B485" i="7"/>
  <c r="A485" i="7"/>
  <c r="AG435" i="7"/>
  <c r="C486" i="7" l="1"/>
  <c r="B486" i="7"/>
  <c r="A486" i="7"/>
  <c r="AH488" i="7"/>
  <c r="AI487" i="7"/>
  <c r="AG436" i="7"/>
  <c r="AI488" i="7" l="1"/>
  <c r="AH489" i="7"/>
  <c r="C487" i="7"/>
  <c r="B487" i="7"/>
  <c r="A487" i="7"/>
  <c r="AG437" i="7"/>
  <c r="AI489" i="7" l="1"/>
  <c r="AH490" i="7"/>
  <c r="C488" i="7"/>
  <c r="B488" i="7"/>
  <c r="A488" i="7"/>
  <c r="AG438" i="7"/>
  <c r="AH491" i="7" l="1"/>
  <c r="AI490" i="7"/>
  <c r="C489" i="7"/>
  <c r="B489" i="7"/>
  <c r="A489" i="7"/>
  <c r="AG439" i="7"/>
  <c r="C490" i="7" l="1"/>
  <c r="B490" i="7"/>
  <c r="A490" i="7"/>
  <c r="AH492" i="7"/>
  <c r="AI491" i="7"/>
  <c r="AG440" i="7"/>
  <c r="AI492" i="7" l="1"/>
  <c r="AH493" i="7"/>
  <c r="C491" i="7"/>
  <c r="B491" i="7"/>
  <c r="A491" i="7"/>
  <c r="AG441" i="7"/>
  <c r="AI493" i="7" l="1"/>
  <c r="AH494" i="7"/>
  <c r="C492" i="7"/>
  <c r="B492" i="7"/>
  <c r="A492" i="7"/>
  <c r="AG442" i="7"/>
  <c r="AH495" i="7" l="1"/>
  <c r="AI494" i="7"/>
  <c r="C493" i="7"/>
  <c r="B493" i="7"/>
  <c r="A493" i="7"/>
  <c r="AG443" i="7"/>
  <c r="C494" i="7" l="1"/>
  <c r="B494" i="7"/>
  <c r="A494" i="7"/>
  <c r="AH496" i="7"/>
  <c r="AI495" i="7"/>
  <c r="AG444" i="7"/>
  <c r="AI496" i="7" l="1"/>
  <c r="AH497" i="7"/>
  <c r="C495" i="7"/>
  <c r="B495" i="7"/>
  <c r="A495" i="7"/>
  <c r="AG445" i="7"/>
  <c r="AI497" i="7" l="1"/>
  <c r="AH498" i="7"/>
  <c r="C496" i="7"/>
  <c r="B496" i="7"/>
  <c r="A496" i="7"/>
  <c r="AG446" i="7"/>
  <c r="AH499" i="7" l="1"/>
  <c r="AI498" i="7"/>
  <c r="C497" i="7"/>
  <c r="B497" i="7"/>
  <c r="A497" i="7"/>
  <c r="AG447" i="7"/>
  <c r="C498" i="7" l="1"/>
  <c r="B498" i="7"/>
  <c r="A498" i="7"/>
  <c r="AH500" i="7"/>
  <c r="AI499" i="7"/>
  <c r="AG448" i="7"/>
  <c r="AI500" i="7" l="1"/>
  <c r="AH501" i="7"/>
  <c r="C499" i="7"/>
  <c r="B499" i="7"/>
  <c r="A499" i="7"/>
  <c r="AG449" i="7"/>
  <c r="AH502" i="7" l="1"/>
  <c r="AI501" i="7"/>
  <c r="C500" i="7"/>
  <c r="B500" i="7"/>
  <c r="A500" i="7"/>
  <c r="AG450" i="7"/>
  <c r="C501" i="7" l="1"/>
  <c r="B501" i="7"/>
  <c r="A501" i="7"/>
  <c r="AH503" i="7"/>
  <c r="AI502" i="7"/>
  <c r="AG451" i="7"/>
  <c r="T501" i="7" l="1"/>
  <c r="U501" i="7"/>
  <c r="S501" i="7"/>
  <c r="E501" i="7" s="1"/>
  <c r="V501" i="7"/>
  <c r="W501" i="7"/>
  <c r="X501" i="7"/>
  <c r="Y501" i="7"/>
  <c r="AH504" i="7"/>
  <c r="AI503" i="7"/>
  <c r="C502" i="7"/>
  <c r="B502" i="7"/>
  <c r="A502" i="7"/>
  <c r="AG452" i="7"/>
  <c r="U502" i="7" l="1"/>
  <c r="S502" i="7"/>
  <c r="E502" i="7" s="1"/>
  <c r="T502" i="7"/>
  <c r="V502" i="7"/>
  <c r="W502" i="7"/>
  <c r="X502" i="7"/>
  <c r="Y502" i="7"/>
  <c r="F501" i="7"/>
  <c r="C503" i="7"/>
  <c r="B503" i="7"/>
  <c r="A503" i="7"/>
  <c r="AI504" i="7"/>
  <c r="AH505" i="7"/>
  <c r="AG453" i="7"/>
  <c r="G501" i="7" l="1"/>
  <c r="T503" i="7"/>
  <c r="U503" i="7"/>
  <c r="S503" i="7"/>
  <c r="E503" i="7" s="1"/>
  <c r="V503" i="7"/>
  <c r="W503" i="7"/>
  <c r="X503" i="7"/>
  <c r="Y503" i="7"/>
  <c r="F502" i="7"/>
  <c r="C504" i="7"/>
  <c r="B504" i="7"/>
  <c r="A504" i="7"/>
  <c r="AH506" i="7"/>
  <c r="AI505" i="7"/>
  <c r="AG454" i="7"/>
  <c r="G502" i="7" l="1"/>
  <c r="H501" i="7"/>
  <c r="S504" i="7"/>
  <c r="E504" i="7" s="1"/>
  <c r="T504" i="7"/>
  <c r="U504" i="7"/>
  <c r="V504" i="7"/>
  <c r="W504" i="7"/>
  <c r="X504" i="7"/>
  <c r="Y504" i="7"/>
  <c r="F503" i="7"/>
  <c r="AH507" i="7"/>
  <c r="AI506" i="7"/>
  <c r="C505" i="7"/>
  <c r="B505" i="7"/>
  <c r="A505" i="7"/>
  <c r="AG455" i="7"/>
  <c r="I501" i="7" l="1"/>
  <c r="G503" i="7"/>
  <c r="H502" i="7"/>
  <c r="T505" i="7"/>
  <c r="S505" i="7"/>
  <c r="E505" i="7" s="1"/>
  <c r="U505" i="7"/>
  <c r="V505" i="7"/>
  <c r="W505" i="7"/>
  <c r="X505" i="7"/>
  <c r="Y505" i="7"/>
  <c r="F504" i="7"/>
  <c r="C506" i="7"/>
  <c r="B506" i="7"/>
  <c r="A506" i="7"/>
  <c r="AI507" i="7"/>
  <c r="AH508" i="7"/>
  <c r="AG456" i="7"/>
  <c r="G504" i="7" l="1"/>
  <c r="J501" i="7"/>
  <c r="I502" i="7"/>
  <c r="H503" i="7"/>
  <c r="T506" i="7"/>
  <c r="U506" i="7"/>
  <c r="S506" i="7"/>
  <c r="E506" i="7" s="1"/>
  <c r="V506" i="7"/>
  <c r="W506" i="7"/>
  <c r="X506" i="7"/>
  <c r="Y506" i="7"/>
  <c r="F505" i="7"/>
  <c r="C507" i="7"/>
  <c r="B507" i="7"/>
  <c r="A507" i="7"/>
  <c r="AI508" i="7"/>
  <c r="AH509" i="7"/>
  <c r="AG457" i="7"/>
  <c r="G505" i="7" l="1"/>
  <c r="J502" i="7"/>
  <c r="I503" i="7"/>
  <c r="K501" i="7"/>
  <c r="H504" i="7"/>
  <c r="U507" i="7"/>
  <c r="S507" i="7"/>
  <c r="E507" i="7" s="1"/>
  <c r="T507" i="7"/>
  <c r="V507" i="7"/>
  <c r="W507" i="7"/>
  <c r="X507" i="7"/>
  <c r="Y507" i="7"/>
  <c r="F506" i="7"/>
  <c r="C508" i="7"/>
  <c r="B508" i="7"/>
  <c r="A508" i="7"/>
  <c r="AI509" i="7"/>
  <c r="AH510" i="7"/>
  <c r="AG458" i="7"/>
  <c r="I504" i="7" l="1"/>
  <c r="G506" i="7"/>
  <c r="K502" i="7"/>
  <c r="J503" i="7"/>
  <c r="H505" i="7"/>
  <c r="U508" i="7"/>
  <c r="S508" i="7"/>
  <c r="E508" i="7" s="1"/>
  <c r="T508" i="7"/>
  <c r="V508" i="7"/>
  <c r="W508" i="7"/>
  <c r="X508" i="7"/>
  <c r="Y508" i="7"/>
  <c r="F507" i="7"/>
  <c r="C509" i="7"/>
  <c r="B509" i="7"/>
  <c r="A509" i="7"/>
  <c r="AH511" i="7"/>
  <c r="AI510" i="7"/>
  <c r="AG459" i="7"/>
  <c r="G507" i="7" l="1"/>
  <c r="I505" i="7"/>
  <c r="F508" i="7"/>
  <c r="K503" i="7"/>
  <c r="H506" i="7"/>
  <c r="J504" i="7"/>
  <c r="U509" i="7"/>
  <c r="S509" i="7"/>
  <c r="E509" i="7" s="1"/>
  <c r="T509" i="7"/>
  <c r="V509" i="7"/>
  <c r="W509" i="7"/>
  <c r="X509" i="7"/>
  <c r="Y509" i="7"/>
  <c r="AI511" i="7"/>
  <c r="AH512" i="7"/>
  <c r="C510" i="7"/>
  <c r="B510" i="7"/>
  <c r="A510" i="7"/>
  <c r="AG460" i="7"/>
  <c r="K504" i="7" l="1"/>
  <c r="H507" i="7"/>
  <c r="J505" i="7"/>
  <c r="I506" i="7"/>
  <c r="G508" i="7"/>
  <c r="S510" i="7"/>
  <c r="E510" i="7" s="1"/>
  <c r="T510" i="7"/>
  <c r="U510" i="7"/>
  <c r="V510" i="7"/>
  <c r="W510" i="7"/>
  <c r="X510" i="7"/>
  <c r="Y510" i="7"/>
  <c r="F509" i="7"/>
  <c r="AI512" i="7"/>
  <c r="AH513" i="7"/>
  <c r="C511" i="7"/>
  <c r="B511" i="7"/>
  <c r="A511" i="7"/>
  <c r="AG461" i="7"/>
  <c r="G509" i="7" l="1"/>
  <c r="H508" i="7"/>
  <c r="I507" i="7"/>
  <c r="J506" i="7"/>
  <c r="K506" i="7" s="1"/>
  <c r="K505" i="7"/>
  <c r="F510" i="7"/>
  <c r="T511" i="7"/>
  <c r="U511" i="7"/>
  <c r="S511" i="7"/>
  <c r="E511" i="7" s="1"/>
  <c r="V511" i="7"/>
  <c r="W511" i="7"/>
  <c r="X511" i="7"/>
  <c r="Y511" i="7"/>
  <c r="AH514" i="7"/>
  <c r="AI513" i="7"/>
  <c r="C512" i="7"/>
  <c r="B512" i="7"/>
  <c r="A512" i="7"/>
  <c r="AG462" i="7"/>
  <c r="I508" i="7" l="1"/>
  <c r="J507" i="7"/>
  <c r="H509" i="7"/>
  <c r="G510" i="7"/>
  <c r="F511" i="7"/>
  <c r="S512" i="7"/>
  <c r="E512" i="7" s="1"/>
  <c r="T512" i="7"/>
  <c r="U512" i="7"/>
  <c r="V512" i="7"/>
  <c r="W512" i="7"/>
  <c r="X512" i="7"/>
  <c r="Y512" i="7"/>
  <c r="C513" i="7"/>
  <c r="B513" i="7"/>
  <c r="A513" i="7"/>
  <c r="AH515" i="7"/>
  <c r="AI514" i="7"/>
  <c r="AG463" i="7"/>
  <c r="K507" i="7" l="1"/>
  <c r="G511" i="7"/>
  <c r="H510" i="7"/>
  <c r="I509" i="7"/>
  <c r="J508" i="7"/>
  <c r="F512" i="7"/>
  <c r="S513" i="7"/>
  <c r="E513" i="7" s="1"/>
  <c r="T513" i="7"/>
  <c r="U513" i="7"/>
  <c r="V513" i="7"/>
  <c r="W513" i="7"/>
  <c r="X513" i="7"/>
  <c r="Y513" i="7"/>
  <c r="AH516" i="7"/>
  <c r="AI515" i="7"/>
  <c r="C514" i="7"/>
  <c r="B514" i="7"/>
  <c r="A514" i="7"/>
  <c r="AG464" i="7"/>
  <c r="K508" i="7" l="1"/>
  <c r="J509" i="7"/>
  <c r="H511" i="7"/>
  <c r="G512" i="7"/>
  <c r="I510" i="7"/>
  <c r="F513" i="7"/>
  <c r="S514" i="7"/>
  <c r="E514" i="7" s="1"/>
  <c r="T514" i="7"/>
  <c r="U514" i="7"/>
  <c r="V514" i="7"/>
  <c r="W514" i="7"/>
  <c r="X514" i="7"/>
  <c r="Y514" i="7"/>
  <c r="C515" i="7"/>
  <c r="B515" i="7"/>
  <c r="A515" i="7"/>
  <c r="AI516" i="7"/>
  <c r="AH517" i="7"/>
  <c r="AG465" i="7"/>
  <c r="H512" i="7" l="1"/>
  <c r="K509" i="7"/>
  <c r="J510" i="7"/>
  <c r="I511" i="7"/>
  <c r="G513" i="7"/>
  <c r="F514" i="7"/>
  <c r="T515" i="7"/>
  <c r="U515" i="7"/>
  <c r="S515" i="7"/>
  <c r="E515" i="7" s="1"/>
  <c r="V515" i="7"/>
  <c r="W515" i="7"/>
  <c r="X515" i="7"/>
  <c r="Y515" i="7"/>
  <c r="C516" i="7"/>
  <c r="B516" i="7"/>
  <c r="A516" i="7"/>
  <c r="AH518" i="7"/>
  <c r="AI517" i="7"/>
  <c r="AG466" i="7"/>
  <c r="J511" i="7" l="1"/>
  <c r="K510" i="7"/>
  <c r="G514" i="7"/>
  <c r="H513" i="7"/>
  <c r="I512" i="7"/>
  <c r="T516" i="7"/>
  <c r="U516" i="7"/>
  <c r="S516" i="7"/>
  <c r="E516" i="7" s="1"/>
  <c r="V516" i="7"/>
  <c r="W516" i="7"/>
  <c r="X516" i="7"/>
  <c r="Y516" i="7"/>
  <c r="F515" i="7"/>
  <c r="AH519" i="7"/>
  <c r="AI518" i="7"/>
  <c r="C517" i="7"/>
  <c r="B517" i="7"/>
  <c r="A517" i="7"/>
  <c r="AG467" i="7"/>
  <c r="I513" i="7" l="1"/>
  <c r="G515" i="7"/>
  <c r="J512" i="7"/>
  <c r="K511" i="7"/>
  <c r="H514" i="7"/>
  <c r="F516" i="7"/>
  <c r="U517" i="7"/>
  <c r="S517" i="7"/>
  <c r="E517" i="7" s="1"/>
  <c r="T517" i="7"/>
  <c r="V517" i="7"/>
  <c r="W517" i="7"/>
  <c r="X517" i="7"/>
  <c r="Y517" i="7"/>
  <c r="C518" i="7"/>
  <c r="B518" i="7"/>
  <c r="A518" i="7"/>
  <c r="AH520" i="7"/>
  <c r="AI519" i="7"/>
  <c r="AG468" i="7"/>
  <c r="K512" i="7" l="1"/>
  <c r="G516" i="7"/>
  <c r="H515" i="7"/>
  <c r="I514" i="7"/>
  <c r="J513" i="7"/>
  <c r="S518" i="7"/>
  <c r="E518" i="7" s="1"/>
  <c r="T518" i="7"/>
  <c r="U518" i="7"/>
  <c r="V518" i="7"/>
  <c r="W518" i="7"/>
  <c r="X518" i="7"/>
  <c r="Y518" i="7"/>
  <c r="F517" i="7"/>
  <c r="AI520" i="7"/>
  <c r="AH521" i="7"/>
  <c r="C519" i="7"/>
  <c r="B519" i="7"/>
  <c r="A519" i="7"/>
  <c r="AG469" i="7"/>
  <c r="J514" i="7" l="1"/>
  <c r="G517" i="7"/>
  <c r="H516" i="7"/>
  <c r="K513" i="7"/>
  <c r="I515" i="7"/>
  <c r="F518" i="7"/>
  <c r="S519" i="7"/>
  <c r="E519" i="7" s="1"/>
  <c r="T519" i="7"/>
  <c r="U519" i="7"/>
  <c r="V519" i="7"/>
  <c r="W519" i="7"/>
  <c r="X519" i="7"/>
  <c r="Y519" i="7"/>
  <c r="AH522" i="7"/>
  <c r="AI521" i="7"/>
  <c r="C520" i="7"/>
  <c r="B520" i="7"/>
  <c r="A520" i="7"/>
  <c r="AG470" i="7"/>
  <c r="G518" i="7" l="1"/>
  <c r="H517" i="7"/>
  <c r="J515" i="7"/>
  <c r="I516" i="7"/>
  <c r="K514" i="7"/>
  <c r="T520" i="7"/>
  <c r="U520" i="7"/>
  <c r="S520" i="7"/>
  <c r="E520" i="7" s="1"/>
  <c r="V520" i="7"/>
  <c r="W520" i="7"/>
  <c r="X520" i="7"/>
  <c r="Y520" i="7"/>
  <c r="F519" i="7"/>
  <c r="C521" i="7"/>
  <c r="B521" i="7"/>
  <c r="A521" i="7"/>
  <c r="AH523" i="7"/>
  <c r="AI522" i="7"/>
  <c r="AG471" i="7"/>
  <c r="J516" i="7" l="1"/>
  <c r="I517" i="7"/>
  <c r="G519" i="7"/>
  <c r="K515" i="7"/>
  <c r="H518" i="7"/>
  <c r="U521" i="7"/>
  <c r="S521" i="7"/>
  <c r="E521" i="7" s="1"/>
  <c r="T521" i="7"/>
  <c r="V521" i="7"/>
  <c r="W521" i="7"/>
  <c r="X521" i="7"/>
  <c r="Y521" i="7"/>
  <c r="F520" i="7"/>
  <c r="AI523" i="7"/>
  <c r="AH524" i="7"/>
  <c r="C522" i="7"/>
  <c r="B522" i="7"/>
  <c r="A522" i="7"/>
  <c r="AG472" i="7"/>
  <c r="J517" i="7" l="1"/>
  <c r="G520" i="7"/>
  <c r="I518" i="7"/>
  <c r="H519" i="7"/>
  <c r="K516" i="7"/>
  <c r="U522" i="7"/>
  <c r="S522" i="7"/>
  <c r="E522" i="7" s="1"/>
  <c r="T522" i="7"/>
  <c r="V522" i="7"/>
  <c r="W522" i="7"/>
  <c r="X522" i="7"/>
  <c r="Y522" i="7"/>
  <c r="F521" i="7"/>
  <c r="AI524" i="7"/>
  <c r="AH525" i="7"/>
  <c r="C523" i="7"/>
  <c r="B523" i="7"/>
  <c r="A523" i="7"/>
  <c r="AG473" i="7"/>
  <c r="I519" i="7" l="1"/>
  <c r="G521" i="7"/>
  <c r="J518" i="7"/>
  <c r="K517" i="7"/>
  <c r="H520" i="7"/>
  <c r="F522" i="7"/>
  <c r="S523" i="7"/>
  <c r="E523" i="7" s="1"/>
  <c r="T523" i="7"/>
  <c r="U523" i="7"/>
  <c r="V523" i="7"/>
  <c r="W523" i="7"/>
  <c r="X523" i="7"/>
  <c r="Y523" i="7"/>
  <c r="AI525" i="7"/>
  <c r="AH526" i="7"/>
  <c r="C524" i="7"/>
  <c r="B524" i="7"/>
  <c r="A524" i="7"/>
  <c r="AG474" i="7"/>
  <c r="G522" i="7" l="1"/>
  <c r="H521" i="7"/>
  <c r="I520" i="7"/>
  <c r="K518" i="7"/>
  <c r="J519" i="7"/>
  <c r="S524" i="7"/>
  <c r="E524" i="7" s="1"/>
  <c r="T524" i="7"/>
  <c r="U524" i="7"/>
  <c r="V524" i="7"/>
  <c r="W524" i="7"/>
  <c r="X524" i="7"/>
  <c r="Y524" i="7"/>
  <c r="F523" i="7"/>
  <c r="AH527" i="7"/>
  <c r="AI526" i="7"/>
  <c r="C525" i="7"/>
  <c r="B525" i="7"/>
  <c r="A525" i="7"/>
  <c r="AG475" i="7"/>
  <c r="G523" i="7" l="1"/>
  <c r="I521" i="7"/>
  <c r="K519" i="7"/>
  <c r="J520" i="7"/>
  <c r="H522" i="7"/>
  <c r="F524" i="7"/>
  <c r="S525" i="7"/>
  <c r="E525" i="7" s="1"/>
  <c r="T525" i="7"/>
  <c r="U525" i="7"/>
  <c r="V525" i="7"/>
  <c r="W525" i="7"/>
  <c r="X525" i="7"/>
  <c r="Y525" i="7"/>
  <c r="C526" i="7"/>
  <c r="B526" i="7"/>
  <c r="A526" i="7"/>
  <c r="AI527" i="7"/>
  <c r="AH528" i="7"/>
  <c r="AG476" i="7"/>
  <c r="G524" i="7" l="1"/>
  <c r="K520" i="7"/>
  <c r="J521" i="7"/>
  <c r="I522" i="7"/>
  <c r="H523" i="7"/>
  <c r="T526" i="7"/>
  <c r="U526" i="7"/>
  <c r="S526" i="7"/>
  <c r="E526" i="7" s="1"/>
  <c r="V526" i="7"/>
  <c r="W526" i="7"/>
  <c r="X526" i="7"/>
  <c r="Y526" i="7"/>
  <c r="F525" i="7"/>
  <c r="C527" i="7"/>
  <c r="B527" i="7"/>
  <c r="A527" i="7"/>
  <c r="AI528" i="7"/>
  <c r="AH529" i="7"/>
  <c r="AG477" i="7"/>
  <c r="I523" i="7" l="1"/>
  <c r="J522" i="7"/>
  <c r="G525" i="7"/>
  <c r="K521" i="7"/>
  <c r="H524" i="7"/>
  <c r="F526" i="7"/>
  <c r="E527" i="7"/>
  <c r="C528" i="7"/>
  <c r="B528" i="7"/>
  <c r="A528" i="7"/>
  <c r="AH530" i="7"/>
  <c r="AI529" i="7"/>
  <c r="AG478" i="7"/>
  <c r="G526" i="7" l="1"/>
  <c r="K522" i="7"/>
  <c r="H525" i="7"/>
  <c r="I524" i="7"/>
  <c r="J523" i="7"/>
  <c r="F527" i="7"/>
  <c r="T528" i="7"/>
  <c r="U528" i="7"/>
  <c r="S528" i="7"/>
  <c r="E528" i="7" s="1"/>
  <c r="V528" i="7"/>
  <c r="W528" i="7"/>
  <c r="X528" i="7"/>
  <c r="Y528" i="7"/>
  <c r="AI530" i="7"/>
  <c r="AH531" i="7"/>
  <c r="C529" i="7"/>
  <c r="B529" i="7"/>
  <c r="A529" i="7"/>
  <c r="AG479" i="7"/>
  <c r="K523" i="7" l="1"/>
  <c r="I525" i="7"/>
  <c r="J524" i="7"/>
  <c r="H526" i="7"/>
  <c r="G527" i="7"/>
  <c r="F528" i="7"/>
  <c r="S529" i="7"/>
  <c r="E529" i="7" s="1"/>
  <c r="T529" i="7"/>
  <c r="U529" i="7"/>
  <c r="V529" i="7"/>
  <c r="W529" i="7"/>
  <c r="X529" i="7"/>
  <c r="Y529" i="7"/>
  <c r="AH532" i="7"/>
  <c r="AI531" i="7"/>
  <c r="C530" i="7"/>
  <c r="B530" i="7"/>
  <c r="A530" i="7"/>
  <c r="AG480" i="7"/>
  <c r="I526" i="7" l="1"/>
  <c r="H527" i="7"/>
  <c r="G528" i="7"/>
  <c r="J525" i="7"/>
  <c r="K524" i="7"/>
  <c r="F529" i="7"/>
  <c r="S530" i="7"/>
  <c r="E530" i="7" s="1"/>
  <c r="T530" i="7"/>
  <c r="U530" i="7"/>
  <c r="V530" i="7"/>
  <c r="W530" i="7"/>
  <c r="X530" i="7"/>
  <c r="Y530" i="7"/>
  <c r="C531" i="7"/>
  <c r="B531" i="7"/>
  <c r="A531" i="7"/>
  <c r="AI532" i="7"/>
  <c r="AH533" i="7"/>
  <c r="AG481" i="7"/>
  <c r="K525" i="7" l="1"/>
  <c r="G529" i="7"/>
  <c r="H528" i="7"/>
  <c r="J526" i="7"/>
  <c r="I527" i="7"/>
  <c r="F530" i="7"/>
  <c r="S531" i="7"/>
  <c r="E531" i="7" s="1"/>
  <c r="T531" i="7"/>
  <c r="U531" i="7"/>
  <c r="V531" i="7"/>
  <c r="W531" i="7"/>
  <c r="X531" i="7"/>
  <c r="Y531" i="7"/>
  <c r="C532" i="7"/>
  <c r="B532" i="7"/>
  <c r="A532" i="7"/>
  <c r="AH534" i="7"/>
  <c r="AI533" i="7"/>
  <c r="AG482" i="7"/>
  <c r="G530" i="7" l="1"/>
  <c r="I528" i="7"/>
  <c r="H529" i="7"/>
  <c r="K526" i="7"/>
  <c r="J527" i="7"/>
  <c r="F531" i="7"/>
  <c r="S532" i="7"/>
  <c r="E532" i="7" s="1"/>
  <c r="T532" i="7"/>
  <c r="U532" i="7"/>
  <c r="V532" i="7"/>
  <c r="W532" i="7"/>
  <c r="X532" i="7"/>
  <c r="Y532" i="7"/>
  <c r="AH535" i="7"/>
  <c r="AI534" i="7"/>
  <c r="C533" i="7"/>
  <c r="B533" i="7"/>
  <c r="A533" i="7"/>
  <c r="AG483" i="7"/>
  <c r="J528" i="7" l="1"/>
  <c r="K527" i="7"/>
  <c r="I529" i="7"/>
  <c r="G531" i="7"/>
  <c r="H530" i="7"/>
  <c r="F532" i="7"/>
  <c r="S533" i="7"/>
  <c r="E533" i="7" s="1"/>
  <c r="T533" i="7"/>
  <c r="U533" i="7"/>
  <c r="V533" i="7"/>
  <c r="W533" i="7"/>
  <c r="X533" i="7"/>
  <c r="Y533" i="7"/>
  <c r="C534" i="7"/>
  <c r="B534" i="7"/>
  <c r="A534" i="7"/>
  <c r="AH536" i="7"/>
  <c r="AI535" i="7"/>
  <c r="AG484" i="7"/>
  <c r="G532" i="7" l="1"/>
  <c r="H531" i="7"/>
  <c r="I530" i="7"/>
  <c r="J529" i="7"/>
  <c r="K528" i="7"/>
  <c r="F533" i="7"/>
  <c r="S534" i="7"/>
  <c r="E534" i="7" s="1"/>
  <c r="T534" i="7"/>
  <c r="U534" i="7"/>
  <c r="V534" i="7"/>
  <c r="W534" i="7"/>
  <c r="X534" i="7"/>
  <c r="Y534" i="7"/>
  <c r="AI536" i="7"/>
  <c r="AH537" i="7"/>
  <c r="C535" i="7"/>
  <c r="B535" i="7"/>
  <c r="A535" i="7"/>
  <c r="AG485" i="7"/>
  <c r="J530" i="7" l="1"/>
  <c r="G533" i="7"/>
  <c r="I531" i="7"/>
  <c r="K529" i="7"/>
  <c r="H532" i="7"/>
  <c r="S535" i="7"/>
  <c r="E535" i="7" s="1"/>
  <c r="T535" i="7"/>
  <c r="U535" i="7"/>
  <c r="V535" i="7"/>
  <c r="W535" i="7"/>
  <c r="X535" i="7"/>
  <c r="Y535" i="7"/>
  <c r="F534" i="7"/>
  <c r="AH538" i="7"/>
  <c r="AI537" i="7"/>
  <c r="C536" i="7"/>
  <c r="B536" i="7"/>
  <c r="A536" i="7"/>
  <c r="AG486" i="7"/>
  <c r="I532" i="7" l="1"/>
  <c r="H533" i="7"/>
  <c r="J531" i="7"/>
  <c r="G534" i="7"/>
  <c r="K530" i="7"/>
  <c r="S536" i="7"/>
  <c r="E536" i="7" s="1"/>
  <c r="T536" i="7"/>
  <c r="U536" i="7"/>
  <c r="V536" i="7"/>
  <c r="W536" i="7"/>
  <c r="X536" i="7"/>
  <c r="Y536" i="7"/>
  <c r="F535" i="7"/>
  <c r="C537" i="7"/>
  <c r="B537" i="7"/>
  <c r="A537" i="7"/>
  <c r="AH539" i="7"/>
  <c r="AI538" i="7"/>
  <c r="AG487" i="7"/>
  <c r="G535" i="7" l="1"/>
  <c r="H534" i="7"/>
  <c r="J532" i="7"/>
  <c r="K531" i="7"/>
  <c r="I533" i="7"/>
  <c r="U537" i="7"/>
  <c r="S537" i="7"/>
  <c r="E537" i="7" s="1"/>
  <c r="T537" i="7"/>
  <c r="V537" i="7"/>
  <c r="W537" i="7"/>
  <c r="X537" i="7"/>
  <c r="Y537" i="7"/>
  <c r="F536" i="7"/>
  <c r="AI539" i="7"/>
  <c r="AH540" i="7"/>
  <c r="C538" i="7"/>
  <c r="B538" i="7"/>
  <c r="A538" i="7"/>
  <c r="AG488" i="7"/>
  <c r="J533" i="7" l="1"/>
  <c r="K532" i="7"/>
  <c r="I534" i="7"/>
  <c r="H535" i="7"/>
  <c r="G536" i="7"/>
  <c r="F537" i="7"/>
  <c r="U538" i="7"/>
  <c r="S538" i="7"/>
  <c r="E538" i="7" s="1"/>
  <c r="T538" i="7"/>
  <c r="V538" i="7"/>
  <c r="W538" i="7"/>
  <c r="X538" i="7"/>
  <c r="Y538" i="7"/>
  <c r="AI540" i="7"/>
  <c r="AH541" i="7"/>
  <c r="C539" i="7"/>
  <c r="B539" i="7"/>
  <c r="A539" i="7"/>
  <c r="AG489" i="7"/>
  <c r="G537" i="7" l="1"/>
  <c r="J534" i="7"/>
  <c r="I535" i="7"/>
  <c r="H536" i="7"/>
  <c r="K533" i="7"/>
  <c r="F538" i="7"/>
  <c r="U539" i="7"/>
  <c r="S539" i="7"/>
  <c r="E539" i="7" s="1"/>
  <c r="T539" i="7"/>
  <c r="V539" i="7"/>
  <c r="W539" i="7"/>
  <c r="X539" i="7"/>
  <c r="Y539" i="7"/>
  <c r="AI541" i="7"/>
  <c r="AH542" i="7"/>
  <c r="C540" i="7"/>
  <c r="B540" i="7"/>
  <c r="A540" i="7"/>
  <c r="AG490" i="7"/>
  <c r="I536" i="7" l="1"/>
  <c r="K534" i="7"/>
  <c r="J535" i="7"/>
  <c r="G538" i="7"/>
  <c r="H537" i="7"/>
  <c r="F539" i="7"/>
  <c r="U540" i="7"/>
  <c r="S540" i="7"/>
  <c r="E540" i="7" s="1"/>
  <c r="T540" i="7"/>
  <c r="V540" i="7"/>
  <c r="W540" i="7"/>
  <c r="X540" i="7"/>
  <c r="Y540" i="7"/>
  <c r="AH543" i="7"/>
  <c r="AI542" i="7"/>
  <c r="C541" i="7"/>
  <c r="B541" i="7"/>
  <c r="A541" i="7"/>
  <c r="AG491" i="7"/>
  <c r="I537" i="7" l="1"/>
  <c r="K535" i="7"/>
  <c r="G539" i="7"/>
  <c r="H538" i="7"/>
  <c r="J536" i="7"/>
  <c r="F540" i="7"/>
  <c r="T541" i="7"/>
  <c r="U541" i="7"/>
  <c r="S541" i="7"/>
  <c r="E541" i="7" s="1"/>
  <c r="V541" i="7"/>
  <c r="W541" i="7"/>
  <c r="X541" i="7"/>
  <c r="Y541" i="7"/>
  <c r="B542" i="7"/>
  <c r="C542" i="7"/>
  <c r="A542" i="7"/>
  <c r="AI543" i="7"/>
  <c r="AH544" i="7"/>
  <c r="AG492" i="7"/>
  <c r="I538" i="7" l="1"/>
  <c r="K536" i="7"/>
  <c r="H539" i="7"/>
  <c r="G540" i="7"/>
  <c r="J537" i="7"/>
  <c r="T542" i="7"/>
  <c r="U542" i="7"/>
  <c r="S542" i="7"/>
  <c r="E542" i="7" s="1"/>
  <c r="V542" i="7"/>
  <c r="W542" i="7"/>
  <c r="X542" i="7"/>
  <c r="Y542" i="7"/>
  <c r="F541" i="7"/>
  <c r="C543" i="7"/>
  <c r="B543" i="7"/>
  <c r="A543" i="7"/>
  <c r="AI544" i="7"/>
  <c r="AH545" i="7"/>
  <c r="AG493" i="7"/>
  <c r="G541" i="7" l="1"/>
  <c r="K537" i="7"/>
  <c r="I539" i="7"/>
  <c r="H540" i="7"/>
  <c r="J538" i="7"/>
  <c r="F542" i="7"/>
  <c r="T543" i="7"/>
  <c r="U543" i="7"/>
  <c r="S543" i="7"/>
  <c r="E543" i="7" s="1"/>
  <c r="V543" i="7"/>
  <c r="W543" i="7"/>
  <c r="X543" i="7"/>
  <c r="Y543" i="7"/>
  <c r="B544" i="7"/>
  <c r="C544" i="7"/>
  <c r="A544" i="7"/>
  <c r="AH546" i="7"/>
  <c r="AI545" i="7"/>
  <c r="AG494" i="7"/>
  <c r="G542" i="7" l="1"/>
  <c r="I540" i="7"/>
  <c r="K538" i="7"/>
  <c r="J539" i="7"/>
  <c r="H541" i="7"/>
  <c r="T544" i="7"/>
  <c r="U544" i="7"/>
  <c r="S544" i="7"/>
  <c r="E544" i="7" s="1"/>
  <c r="V544" i="7"/>
  <c r="W544" i="7"/>
  <c r="X544" i="7"/>
  <c r="Y544" i="7"/>
  <c r="F543" i="7"/>
  <c r="AH547" i="7"/>
  <c r="AI546" i="7"/>
  <c r="C545" i="7"/>
  <c r="B545" i="7"/>
  <c r="A545" i="7"/>
  <c r="AG495" i="7"/>
  <c r="K539" i="7" l="1"/>
  <c r="J540" i="7"/>
  <c r="G543" i="7"/>
  <c r="I541" i="7"/>
  <c r="H542" i="7"/>
  <c r="F544" i="7"/>
  <c r="S545" i="7"/>
  <c r="E545" i="7" s="1"/>
  <c r="T545" i="7"/>
  <c r="U545" i="7"/>
  <c r="V545" i="7"/>
  <c r="W545" i="7"/>
  <c r="X545" i="7"/>
  <c r="Y545" i="7"/>
  <c r="B546" i="7"/>
  <c r="C546" i="7"/>
  <c r="A546" i="7"/>
  <c r="AH548" i="7"/>
  <c r="AI547" i="7"/>
  <c r="AG496" i="7"/>
  <c r="J541" i="7" l="1"/>
  <c r="K540" i="7"/>
  <c r="G544" i="7"/>
  <c r="I542" i="7"/>
  <c r="H543" i="7"/>
  <c r="S546" i="7"/>
  <c r="E546" i="7" s="1"/>
  <c r="T546" i="7"/>
  <c r="U546" i="7"/>
  <c r="V546" i="7"/>
  <c r="W546" i="7"/>
  <c r="X546" i="7"/>
  <c r="Y546" i="7"/>
  <c r="F545" i="7"/>
  <c r="AI548" i="7"/>
  <c r="AH549" i="7"/>
  <c r="B547" i="7"/>
  <c r="C547" i="7"/>
  <c r="A547" i="7"/>
  <c r="AG497" i="7"/>
  <c r="G545" i="7" l="1"/>
  <c r="J542" i="7"/>
  <c r="I543" i="7"/>
  <c r="H544" i="7"/>
  <c r="K541" i="7"/>
  <c r="F546" i="7"/>
  <c r="S547" i="7"/>
  <c r="E547" i="7" s="1"/>
  <c r="T547" i="7"/>
  <c r="U547" i="7"/>
  <c r="V547" i="7"/>
  <c r="W547" i="7"/>
  <c r="X547" i="7"/>
  <c r="Y547" i="7"/>
  <c r="AH550" i="7"/>
  <c r="AI549" i="7"/>
  <c r="B548" i="7"/>
  <c r="C548" i="7"/>
  <c r="A548" i="7"/>
  <c r="AG498" i="7"/>
  <c r="K542" i="7" l="1"/>
  <c r="G546" i="7"/>
  <c r="I544" i="7"/>
  <c r="J543" i="7"/>
  <c r="H545" i="7"/>
  <c r="F547" i="7"/>
  <c r="S548" i="7"/>
  <c r="E548" i="7" s="1"/>
  <c r="T548" i="7"/>
  <c r="U548" i="7"/>
  <c r="V548" i="7"/>
  <c r="W548" i="7"/>
  <c r="X548" i="7"/>
  <c r="Y548" i="7"/>
  <c r="C549" i="7"/>
  <c r="B549" i="7"/>
  <c r="A549" i="7"/>
  <c r="AH551" i="7"/>
  <c r="AI550" i="7"/>
  <c r="AG499" i="7"/>
  <c r="H546" i="7" l="1"/>
  <c r="G547" i="7"/>
  <c r="K543" i="7"/>
  <c r="I545" i="7"/>
  <c r="J544" i="7"/>
  <c r="F548" i="7"/>
  <c r="S549" i="7"/>
  <c r="E549" i="7" s="1"/>
  <c r="T549" i="7"/>
  <c r="U549" i="7"/>
  <c r="V549" i="7"/>
  <c r="W549" i="7"/>
  <c r="X549" i="7"/>
  <c r="Y549" i="7"/>
  <c r="AH552" i="7"/>
  <c r="AI551" i="7"/>
  <c r="B550" i="7"/>
  <c r="C550" i="7"/>
  <c r="A550" i="7"/>
  <c r="AG500" i="7"/>
  <c r="J545" i="7" l="1"/>
  <c r="H547" i="7"/>
  <c r="G548" i="7"/>
  <c r="K544" i="7"/>
  <c r="I546" i="7"/>
  <c r="S550" i="7"/>
  <c r="E550" i="7" s="1"/>
  <c r="T550" i="7"/>
  <c r="U550" i="7"/>
  <c r="V550" i="7"/>
  <c r="W550" i="7"/>
  <c r="X550" i="7"/>
  <c r="Y550" i="7"/>
  <c r="F549" i="7"/>
  <c r="C551" i="7"/>
  <c r="B551" i="7"/>
  <c r="A551" i="7"/>
  <c r="AI552" i="7"/>
  <c r="AH553" i="7"/>
  <c r="AG501" i="7"/>
  <c r="G549" i="7" l="1"/>
  <c r="I547" i="7"/>
  <c r="J546" i="7"/>
  <c r="H548" i="7"/>
  <c r="K545" i="7"/>
  <c r="F550" i="7"/>
  <c r="S551" i="7"/>
  <c r="E551" i="7" s="1"/>
  <c r="T551" i="7"/>
  <c r="U551" i="7"/>
  <c r="V551" i="7"/>
  <c r="W551" i="7"/>
  <c r="X551" i="7"/>
  <c r="Y551" i="7"/>
  <c r="B552" i="7"/>
  <c r="C552" i="7"/>
  <c r="A552" i="7"/>
  <c r="AH554" i="7"/>
  <c r="AI553" i="7"/>
  <c r="AG502" i="7"/>
  <c r="G550" i="7" l="1"/>
  <c r="I548" i="7"/>
  <c r="J547" i="7"/>
  <c r="K546" i="7"/>
  <c r="H549" i="7"/>
  <c r="F551" i="7"/>
  <c r="S552" i="7"/>
  <c r="E552" i="7" s="1"/>
  <c r="T552" i="7"/>
  <c r="U552" i="7"/>
  <c r="V552" i="7"/>
  <c r="W552" i="7"/>
  <c r="X552" i="7"/>
  <c r="Y552" i="7"/>
  <c r="AH555" i="7"/>
  <c r="AI554" i="7"/>
  <c r="C553" i="7"/>
  <c r="B553" i="7"/>
  <c r="A553" i="7"/>
  <c r="AG503" i="7"/>
  <c r="G551" i="7" l="1"/>
  <c r="J548" i="7"/>
  <c r="I549" i="7"/>
  <c r="K547" i="7"/>
  <c r="H550" i="7"/>
  <c r="F552" i="7"/>
  <c r="T553" i="7"/>
  <c r="U553" i="7"/>
  <c r="S553" i="7"/>
  <c r="E553" i="7" s="1"/>
  <c r="V553" i="7"/>
  <c r="W553" i="7"/>
  <c r="X553" i="7"/>
  <c r="Y553" i="7"/>
  <c r="B554" i="7"/>
  <c r="C554" i="7"/>
  <c r="A554" i="7"/>
  <c r="AI555" i="7"/>
  <c r="AH556" i="7"/>
  <c r="AG504" i="7"/>
  <c r="G552" i="7" l="1"/>
  <c r="K548" i="7"/>
  <c r="I550" i="7"/>
  <c r="J549" i="7"/>
  <c r="H551" i="7"/>
  <c r="F553" i="7"/>
  <c r="E554" i="7"/>
  <c r="B555" i="7"/>
  <c r="C555" i="7"/>
  <c r="A555" i="7"/>
  <c r="AI556" i="7"/>
  <c r="AH557" i="7"/>
  <c r="AG505" i="7"/>
  <c r="H552" i="7" l="1"/>
  <c r="G553" i="7"/>
  <c r="K549" i="7"/>
  <c r="I551" i="7"/>
  <c r="J550" i="7"/>
  <c r="T555" i="7"/>
  <c r="U555" i="7"/>
  <c r="S555" i="7"/>
  <c r="E555" i="7" s="1"/>
  <c r="V555" i="7"/>
  <c r="W555" i="7"/>
  <c r="X555" i="7"/>
  <c r="Y555" i="7"/>
  <c r="F554" i="7"/>
  <c r="B556" i="7"/>
  <c r="C556" i="7"/>
  <c r="A556" i="7"/>
  <c r="AI557" i="7"/>
  <c r="AH558" i="7"/>
  <c r="AG506" i="7"/>
  <c r="J551" i="7" l="1"/>
  <c r="H553" i="7"/>
  <c r="G554" i="7"/>
  <c r="K550" i="7"/>
  <c r="I552" i="7"/>
  <c r="F555" i="7"/>
  <c r="E447" i="7"/>
  <c r="U556" i="7"/>
  <c r="S556" i="7"/>
  <c r="E556" i="7" s="1"/>
  <c r="T556" i="7"/>
  <c r="V556" i="7"/>
  <c r="W556" i="7"/>
  <c r="X556" i="7"/>
  <c r="Y556" i="7"/>
  <c r="C557" i="7"/>
  <c r="B557" i="7"/>
  <c r="A557" i="7"/>
  <c r="AH559" i="7"/>
  <c r="AI558" i="7"/>
  <c r="AG507" i="7"/>
  <c r="G555" i="7" l="1"/>
  <c r="F447" i="7"/>
  <c r="I553" i="7"/>
  <c r="H554" i="7"/>
  <c r="J552" i="7"/>
  <c r="K551" i="7"/>
  <c r="Z447" i="7"/>
  <c r="F556" i="7"/>
  <c r="E448" i="7"/>
  <c r="S557" i="7"/>
  <c r="E557" i="7" s="1"/>
  <c r="T557" i="7"/>
  <c r="U557" i="7"/>
  <c r="V557" i="7"/>
  <c r="W557" i="7"/>
  <c r="X557" i="7"/>
  <c r="Y557" i="7"/>
  <c r="F474" i="7"/>
  <c r="AI559" i="7"/>
  <c r="AH560" i="7"/>
  <c r="B558" i="7"/>
  <c r="C558" i="7"/>
  <c r="A558" i="7"/>
  <c r="AG508" i="7"/>
  <c r="G556" i="7" l="1"/>
  <c r="F448" i="7"/>
  <c r="K552" i="7"/>
  <c r="J553" i="7"/>
  <c r="I554" i="7"/>
  <c r="H555" i="7"/>
  <c r="G447" i="7"/>
  <c r="G474" i="7" s="1"/>
  <c r="F557" i="7"/>
  <c r="E449" i="7"/>
  <c r="Z448" i="7"/>
  <c r="AA447" i="7"/>
  <c r="S558" i="7"/>
  <c r="E558" i="7" s="1"/>
  <c r="T558" i="7"/>
  <c r="U558" i="7"/>
  <c r="V558" i="7"/>
  <c r="W558" i="7"/>
  <c r="X558" i="7"/>
  <c r="Y558" i="7"/>
  <c r="AI560" i="7"/>
  <c r="AH561" i="7"/>
  <c r="C559" i="7"/>
  <c r="B559" i="7"/>
  <c r="A559" i="7"/>
  <c r="AG509" i="7"/>
  <c r="I555" i="7" l="1"/>
  <c r="H447" i="7"/>
  <c r="K553" i="7"/>
  <c r="J554" i="7"/>
  <c r="G557" i="7"/>
  <c r="F449" i="7"/>
  <c r="H556" i="7"/>
  <c r="G448" i="7"/>
  <c r="F475" i="7"/>
  <c r="AA448" i="7"/>
  <c r="AB447" i="7"/>
  <c r="F558" i="7"/>
  <c r="E450" i="7"/>
  <c r="F476" i="7"/>
  <c r="Z449" i="7"/>
  <c r="S559" i="7"/>
  <c r="E559" i="7" s="1"/>
  <c r="T559" i="7"/>
  <c r="U559" i="7"/>
  <c r="V559" i="7"/>
  <c r="W559" i="7"/>
  <c r="X559" i="7"/>
  <c r="Y559" i="7"/>
  <c r="AH562" i="7"/>
  <c r="AI561" i="7"/>
  <c r="B560" i="7"/>
  <c r="C560" i="7"/>
  <c r="A560" i="7"/>
  <c r="AG510" i="7"/>
  <c r="H557" i="7" l="1"/>
  <c r="G449" i="7"/>
  <c r="H476" i="7" s="1"/>
  <c r="I556" i="7"/>
  <c r="H448" i="7"/>
  <c r="H475" i="7" s="1"/>
  <c r="G476" i="7"/>
  <c r="K554" i="7"/>
  <c r="H474" i="7"/>
  <c r="J555" i="7"/>
  <c r="I447" i="7"/>
  <c r="G558" i="7"/>
  <c r="F450" i="7"/>
  <c r="G475" i="7"/>
  <c r="Z450" i="7"/>
  <c r="F477" i="7"/>
  <c r="AB448" i="7"/>
  <c r="F559" i="7"/>
  <c r="E451" i="7"/>
  <c r="AC447" i="7"/>
  <c r="S560" i="7"/>
  <c r="E560" i="7" s="1"/>
  <c r="T560" i="7"/>
  <c r="U560" i="7"/>
  <c r="V560" i="7"/>
  <c r="W560" i="7"/>
  <c r="X560" i="7"/>
  <c r="Y560" i="7"/>
  <c r="AA449" i="7"/>
  <c r="C561" i="7"/>
  <c r="B561" i="7"/>
  <c r="A561" i="7"/>
  <c r="AH563" i="7"/>
  <c r="AI562" i="7"/>
  <c r="AG511" i="7"/>
  <c r="H558" i="7" l="1"/>
  <c r="G450" i="7"/>
  <c r="K555" i="7"/>
  <c r="J447" i="7"/>
  <c r="J556" i="7"/>
  <c r="I448" i="7"/>
  <c r="G559" i="7"/>
  <c r="F451" i="7"/>
  <c r="G478" i="7" s="1"/>
  <c r="I474" i="7"/>
  <c r="I557" i="7"/>
  <c r="H449" i="7"/>
  <c r="I476" i="7" s="1"/>
  <c r="AE447" i="7"/>
  <c r="F560" i="7"/>
  <c r="E452" i="7"/>
  <c r="F478" i="7"/>
  <c r="Z451" i="7"/>
  <c r="AC448" i="7"/>
  <c r="AB449" i="7"/>
  <c r="T561" i="7"/>
  <c r="U561" i="7"/>
  <c r="S561" i="7"/>
  <c r="E561" i="7" s="1"/>
  <c r="V561" i="7"/>
  <c r="W561" i="7"/>
  <c r="X561" i="7"/>
  <c r="Y561" i="7"/>
  <c r="AD447" i="7"/>
  <c r="AA450" i="7"/>
  <c r="AH564" i="7"/>
  <c r="AI563" i="7"/>
  <c r="B562" i="7"/>
  <c r="C562" i="7"/>
  <c r="A562" i="7"/>
  <c r="AG512" i="7"/>
  <c r="G560" i="7" l="1"/>
  <c r="F452" i="7"/>
  <c r="H559" i="7"/>
  <c r="G451" i="7"/>
  <c r="H478" i="7" s="1"/>
  <c r="K447" i="7"/>
  <c r="K474" i="7" s="1"/>
  <c r="G477" i="7"/>
  <c r="K556" i="7"/>
  <c r="K448" i="7" s="1"/>
  <c r="AF448" i="7" s="1"/>
  <c r="J448" i="7"/>
  <c r="J475" i="7" s="1"/>
  <c r="I475" i="7"/>
  <c r="I558" i="7"/>
  <c r="H450" i="7"/>
  <c r="H477" i="7" s="1"/>
  <c r="J557" i="7"/>
  <c r="I449" i="7"/>
  <c r="J476" i="7" s="1"/>
  <c r="J474" i="7"/>
  <c r="AD448" i="7"/>
  <c r="F561" i="7"/>
  <c r="E453" i="7"/>
  <c r="T562" i="7"/>
  <c r="U562" i="7"/>
  <c r="S562" i="7"/>
  <c r="E562" i="7" s="1"/>
  <c r="V562" i="7"/>
  <c r="W562" i="7"/>
  <c r="X562" i="7"/>
  <c r="Y562" i="7"/>
  <c r="AF447" i="7"/>
  <c r="Z452" i="7"/>
  <c r="AC449" i="7"/>
  <c r="F479" i="7"/>
  <c r="AA451" i="7"/>
  <c r="AB450" i="7"/>
  <c r="B563" i="7"/>
  <c r="C563" i="7"/>
  <c r="A563" i="7"/>
  <c r="AI564" i="7"/>
  <c r="AH565" i="7"/>
  <c r="AG513" i="7"/>
  <c r="J558" i="7" l="1"/>
  <c r="I450" i="7"/>
  <c r="I477" i="7" s="1"/>
  <c r="I559" i="7"/>
  <c r="H451" i="7"/>
  <c r="G561" i="7"/>
  <c r="F453" i="7"/>
  <c r="F480" i="7" s="1"/>
  <c r="K557" i="7"/>
  <c r="J449" i="7"/>
  <c r="K475" i="7"/>
  <c r="AE448" i="7"/>
  <c r="H560" i="7"/>
  <c r="G452" i="7"/>
  <c r="Z453" i="7"/>
  <c r="AD449" i="7"/>
  <c r="AC450" i="7"/>
  <c r="AA452" i="7"/>
  <c r="U563" i="7"/>
  <c r="S563" i="7"/>
  <c r="E563" i="7" s="1"/>
  <c r="T563" i="7"/>
  <c r="V563" i="7"/>
  <c r="W563" i="7"/>
  <c r="X563" i="7"/>
  <c r="Y563" i="7"/>
  <c r="F562" i="7"/>
  <c r="E454" i="7"/>
  <c r="AB451" i="7"/>
  <c r="B564" i="7"/>
  <c r="C564" i="7"/>
  <c r="A564" i="7"/>
  <c r="AH566" i="7"/>
  <c r="AI565" i="7"/>
  <c r="AG514" i="7"/>
  <c r="K476" i="7" l="1"/>
  <c r="AE449" i="7"/>
  <c r="I478" i="7"/>
  <c r="I560" i="7"/>
  <c r="H452" i="7"/>
  <c r="K449" i="7"/>
  <c r="J559" i="7"/>
  <c r="I451" i="7"/>
  <c r="G479" i="7"/>
  <c r="G562" i="7"/>
  <c r="F454" i="7"/>
  <c r="F481" i="7" s="1"/>
  <c r="H561" i="7"/>
  <c r="G453" i="7"/>
  <c r="G480" i="7" s="1"/>
  <c r="K558" i="7"/>
  <c r="K450" i="7" s="1"/>
  <c r="J450" i="7"/>
  <c r="F563" i="7"/>
  <c r="E455" i="7"/>
  <c r="Z455" i="7" s="1"/>
  <c r="S564" i="7"/>
  <c r="E564" i="7" s="1"/>
  <c r="T564" i="7"/>
  <c r="U564" i="7"/>
  <c r="V564" i="7"/>
  <c r="W564" i="7"/>
  <c r="X564" i="7"/>
  <c r="Y564" i="7"/>
  <c r="AA453" i="7"/>
  <c r="AC451" i="7"/>
  <c r="AD450" i="7"/>
  <c r="Z454" i="7"/>
  <c r="AB452" i="7"/>
  <c r="AH567" i="7"/>
  <c r="AI566" i="7"/>
  <c r="C565" i="7"/>
  <c r="B565" i="7"/>
  <c r="A565" i="7"/>
  <c r="AG515" i="7"/>
  <c r="AF449" i="7" l="1"/>
  <c r="G563" i="7"/>
  <c r="F455" i="7"/>
  <c r="H562" i="7"/>
  <c r="G454" i="7"/>
  <c r="J478" i="7"/>
  <c r="H479" i="7"/>
  <c r="K477" i="7"/>
  <c r="AE450" i="7"/>
  <c r="I561" i="7"/>
  <c r="H453" i="7"/>
  <c r="J477" i="7"/>
  <c r="K559" i="7"/>
  <c r="K451" i="7" s="1"/>
  <c r="AF451" i="7" s="1"/>
  <c r="J451" i="7"/>
  <c r="J560" i="7"/>
  <c r="I452" i="7"/>
  <c r="I479" i="7" s="1"/>
  <c r="AD451" i="7"/>
  <c r="S565" i="7"/>
  <c r="E565" i="7" s="1"/>
  <c r="T565" i="7"/>
  <c r="U565" i="7"/>
  <c r="V565" i="7"/>
  <c r="W565" i="7"/>
  <c r="X565" i="7"/>
  <c r="Y565" i="7"/>
  <c r="AF450" i="7"/>
  <c r="AB453" i="7"/>
  <c r="AC452" i="7"/>
  <c r="AA454" i="7"/>
  <c r="AB454" i="7"/>
  <c r="F564" i="7"/>
  <c r="E456" i="7"/>
  <c r="B566" i="7"/>
  <c r="C566" i="7"/>
  <c r="A566" i="7"/>
  <c r="AH568" i="7"/>
  <c r="AI567" i="7"/>
  <c r="AG516" i="7"/>
  <c r="K560" i="7" l="1"/>
  <c r="K452" i="7" s="1"/>
  <c r="J452" i="7"/>
  <c r="H563" i="7"/>
  <c r="G455" i="7"/>
  <c r="G482" i="7" s="1"/>
  <c r="G481" i="7"/>
  <c r="G564" i="7"/>
  <c r="F456" i="7"/>
  <c r="K478" i="7"/>
  <c r="AE451" i="7"/>
  <c r="J561" i="7"/>
  <c r="I453" i="7"/>
  <c r="I562" i="7"/>
  <c r="H454" i="7"/>
  <c r="J479" i="7"/>
  <c r="H480" i="7"/>
  <c r="F482" i="7"/>
  <c r="AA455" i="7"/>
  <c r="AD452" i="7"/>
  <c r="T566" i="7"/>
  <c r="U566" i="7"/>
  <c r="S566" i="7"/>
  <c r="E566" i="7" s="1"/>
  <c r="V566" i="7"/>
  <c r="W566" i="7"/>
  <c r="X566" i="7"/>
  <c r="Y566" i="7"/>
  <c r="Z456" i="7"/>
  <c r="F483" i="7"/>
  <c r="AC453" i="7"/>
  <c r="F565" i="7"/>
  <c r="E457" i="7"/>
  <c r="AI568" i="7"/>
  <c r="AH569" i="7"/>
  <c r="C567" i="7"/>
  <c r="B567" i="7"/>
  <c r="A567" i="7"/>
  <c r="AG517" i="7"/>
  <c r="K479" i="7" l="1"/>
  <c r="G565" i="7"/>
  <c r="F457" i="7"/>
  <c r="H481" i="7"/>
  <c r="K561" i="7"/>
  <c r="J453" i="7"/>
  <c r="J480" i="7" s="1"/>
  <c r="H564" i="7"/>
  <c r="G456" i="7"/>
  <c r="G483" i="7" s="1"/>
  <c r="I563" i="7"/>
  <c r="H455" i="7"/>
  <c r="J562" i="7"/>
  <c r="I454" i="7"/>
  <c r="AE452" i="7"/>
  <c r="I480" i="7"/>
  <c r="AC454" i="7"/>
  <c r="U567" i="7"/>
  <c r="S567" i="7"/>
  <c r="E567" i="7" s="1"/>
  <c r="T567" i="7"/>
  <c r="V567" i="7"/>
  <c r="W567" i="7"/>
  <c r="X567" i="7"/>
  <c r="Y567" i="7"/>
  <c r="Z457" i="7"/>
  <c r="AD453" i="7"/>
  <c r="AF452" i="7"/>
  <c r="AA456" i="7"/>
  <c r="F566" i="7"/>
  <c r="E458" i="7"/>
  <c r="AB455" i="7"/>
  <c r="AH570" i="7"/>
  <c r="AI569" i="7"/>
  <c r="B568" i="7"/>
  <c r="C568" i="7"/>
  <c r="A568" i="7"/>
  <c r="AG518" i="7"/>
  <c r="G566" i="7" l="1"/>
  <c r="F458" i="7"/>
  <c r="J563" i="7"/>
  <c r="I455" i="7"/>
  <c r="I482" i="7" s="1"/>
  <c r="K453" i="7"/>
  <c r="I481" i="7"/>
  <c r="K562" i="7"/>
  <c r="K454" i="7" s="1"/>
  <c r="AF454" i="7" s="1"/>
  <c r="J454" i="7"/>
  <c r="I564" i="7"/>
  <c r="H456" i="7"/>
  <c r="H565" i="7"/>
  <c r="G457" i="7"/>
  <c r="K480" i="7"/>
  <c r="AE453" i="7"/>
  <c r="H482" i="7"/>
  <c r="Z458" i="7"/>
  <c r="AA457" i="7"/>
  <c r="F484" i="7"/>
  <c r="AC455" i="7"/>
  <c r="S568" i="7"/>
  <c r="E568" i="7" s="1"/>
  <c r="T568" i="7"/>
  <c r="U568" i="7"/>
  <c r="V568" i="7"/>
  <c r="W568" i="7"/>
  <c r="X568" i="7"/>
  <c r="Y568" i="7"/>
  <c r="AB456" i="7"/>
  <c r="AD454" i="7"/>
  <c r="F567" i="7"/>
  <c r="E459" i="7"/>
  <c r="C569" i="7"/>
  <c r="B569" i="7"/>
  <c r="A569" i="7"/>
  <c r="AH571" i="7"/>
  <c r="AI570" i="7"/>
  <c r="AG519" i="7"/>
  <c r="J564" i="7" l="1"/>
  <c r="I456" i="7"/>
  <c r="I483" i="7" s="1"/>
  <c r="I565" i="7"/>
  <c r="H457" i="7"/>
  <c r="H484" i="7" s="1"/>
  <c r="K481" i="7"/>
  <c r="AE454" i="7"/>
  <c r="J481" i="7"/>
  <c r="K563" i="7"/>
  <c r="K455" i="7" s="1"/>
  <c r="AF455" i="7" s="1"/>
  <c r="J455" i="7"/>
  <c r="J482" i="7" s="1"/>
  <c r="G567" i="7"/>
  <c r="F459" i="7"/>
  <c r="H483" i="7"/>
  <c r="G484" i="7"/>
  <c r="AF453" i="7"/>
  <c r="H566" i="7"/>
  <c r="G458" i="7"/>
  <c r="G485" i="7" s="1"/>
  <c r="S569" i="7"/>
  <c r="E569" i="7" s="1"/>
  <c r="T569" i="7"/>
  <c r="U569" i="7"/>
  <c r="V569" i="7"/>
  <c r="W569" i="7"/>
  <c r="X569" i="7"/>
  <c r="Y569" i="7"/>
  <c r="Z459" i="7"/>
  <c r="AD455" i="7"/>
  <c r="AC456" i="7"/>
  <c r="AB457" i="7"/>
  <c r="F568" i="7"/>
  <c r="E460" i="7"/>
  <c r="AA458" i="7"/>
  <c r="F485" i="7"/>
  <c r="AI571" i="7"/>
  <c r="AH572" i="7"/>
  <c r="B570" i="7"/>
  <c r="C570" i="7"/>
  <c r="A570" i="7"/>
  <c r="AG520" i="7"/>
  <c r="AB458" i="7" l="1"/>
  <c r="J565" i="7"/>
  <c r="I457" i="7"/>
  <c r="I484" i="7" s="1"/>
  <c r="F486" i="7"/>
  <c r="H567" i="7"/>
  <c r="G459" i="7"/>
  <c r="G486" i="7" s="1"/>
  <c r="G568" i="7"/>
  <c r="F460" i="7"/>
  <c r="G487" i="7" s="1"/>
  <c r="I566" i="7"/>
  <c r="H458" i="7"/>
  <c r="H485" i="7" s="1"/>
  <c r="K482" i="7"/>
  <c r="AE455" i="7"/>
  <c r="K564" i="7"/>
  <c r="K456" i="7" s="1"/>
  <c r="J456" i="7"/>
  <c r="S570" i="7"/>
  <c r="E570" i="7" s="1"/>
  <c r="T570" i="7"/>
  <c r="U570" i="7"/>
  <c r="V570" i="7"/>
  <c r="W570" i="7"/>
  <c r="X570" i="7"/>
  <c r="Y570" i="7"/>
  <c r="AC457" i="7"/>
  <c r="AD456" i="7"/>
  <c r="F569" i="7"/>
  <c r="E461" i="7"/>
  <c r="Z460" i="7"/>
  <c r="F487" i="7"/>
  <c r="AA459" i="7"/>
  <c r="AI572" i="7"/>
  <c r="AH573" i="7"/>
  <c r="B571" i="7"/>
  <c r="C571" i="7"/>
  <c r="A571" i="7"/>
  <c r="AG521" i="7"/>
  <c r="G569" i="7" l="1"/>
  <c r="F461" i="7"/>
  <c r="G488" i="7" s="1"/>
  <c r="K483" i="7"/>
  <c r="AE456" i="7"/>
  <c r="H568" i="7"/>
  <c r="G460" i="7"/>
  <c r="AF456" i="7"/>
  <c r="J483" i="7"/>
  <c r="J566" i="7"/>
  <c r="I458" i="7"/>
  <c r="I567" i="7"/>
  <c r="H459" i="7"/>
  <c r="K565" i="7"/>
  <c r="K457" i="7" s="1"/>
  <c r="J457" i="7"/>
  <c r="AA460" i="7"/>
  <c r="F570" i="7"/>
  <c r="E462" i="7"/>
  <c r="AD457" i="7"/>
  <c r="S571" i="7"/>
  <c r="E571" i="7" s="1"/>
  <c r="T571" i="7"/>
  <c r="U571" i="7"/>
  <c r="V571" i="7"/>
  <c r="W571" i="7"/>
  <c r="X571" i="7"/>
  <c r="Y571" i="7"/>
  <c r="AC458" i="7"/>
  <c r="AB459" i="7"/>
  <c r="F488" i="7"/>
  <c r="Z461" i="7"/>
  <c r="AF457" i="7"/>
  <c r="AI573" i="7"/>
  <c r="AH574" i="7"/>
  <c r="B572" i="7"/>
  <c r="C572" i="7"/>
  <c r="A572" i="7"/>
  <c r="AG522" i="7"/>
  <c r="K484" i="7" l="1"/>
  <c r="AE457" i="7"/>
  <c r="J484" i="7"/>
  <c r="I485" i="7"/>
  <c r="G570" i="7"/>
  <c r="F462" i="7"/>
  <c r="H486" i="7"/>
  <c r="K566" i="7"/>
  <c r="K458" i="7" s="1"/>
  <c r="AF458" i="7" s="1"/>
  <c r="J458" i="7"/>
  <c r="J567" i="7"/>
  <c r="I459" i="7"/>
  <c r="I568" i="7"/>
  <c r="H460" i="7"/>
  <c r="H569" i="7"/>
  <c r="G461" i="7"/>
  <c r="H488" i="7" s="1"/>
  <c r="AD458" i="7"/>
  <c r="F571" i="7"/>
  <c r="E463" i="7"/>
  <c r="AA461" i="7"/>
  <c r="AC459" i="7"/>
  <c r="S572" i="7"/>
  <c r="E572" i="7" s="1"/>
  <c r="T572" i="7"/>
  <c r="U572" i="7"/>
  <c r="V572" i="7"/>
  <c r="W572" i="7"/>
  <c r="X572" i="7"/>
  <c r="Y572" i="7"/>
  <c r="AB460" i="7"/>
  <c r="Z462" i="7"/>
  <c r="AH575" i="7"/>
  <c r="AI574" i="7"/>
  <c r="C573" i="7"/>
  <c r="B573" i="7"/>
  <c r="A573" i="7"/>
  <c r="AG523" i="7"/>
  <c r="H487" i="7" l="1"/>
  <c r="I569" i="7"/>
  <c r="H461" i="7"/>
  <c r="K567" i="7"/>
  <c r="K459" i="7" s="1"/>
  <c r="AF459" i="7" s="1"/>
  <c r="J459" i="7"/>
  <c r="J486" i="7" s="1"/>
  <c r="G571" i="7"/>
  <c r="F463" i="7"/>
  <c r="F490" i="7" s="1"/>
  <c r="K485" i="7"/>
  <c r="AE458" i="7"/>
  <c r="J568" i="7"/>
  <c r="I460" i="7"/>
  <c r="I487" i="7" s="1"/>
  <c r="H570" i="7"/>
  <c r="G462" i="7"/>
  <c r="G489" i="7" s="1"/>
  <c r="I486" i="7"/>
  <c r="J485" i="7"/>
  <c r="S573" i="7"/>
  <c r="E573" i="7" s="1"/>
  <c r="T573" i="7"/>
  <c r="U573" i="7"/>
  <c r="V573" i="7"/>
  <c r="W573" i="7"/>
  <c r="X573" i="7"/>
  <c r="Y573" i="7"/>
  <c r="AA462" i="7"/>
  <c r="F489" i="7"/>
  <c r="AB462" i="7"/>
  <c r="AC460" i="7"/>
  <c r="F572" i="7"/>
  <c r="E464" i="7"/>
  <c r="Z464" i="7" s="1"/>
  <c r="AD459" i="7"/>
  <c r="AB461" i="7"/>
  <c r="Z463" i="7"/>
  <c r="B574" i="7"/>
  <c r="C574" i="7"/>
  <c r="A574" i="7"/>
  <c r="AI575" i="7"/>
  <c r="AH576" i="7"/>
  <c r="AG524" i="7"/>
  <c r="G572" i="7" l="1"/>
  <c r="F464" i="7"/>
  <c r="I570" i="7"/>
  <c r="H462" i="7"/>
  <c r="H489" i="7" s="1"/>
  <c r="K486" i="7"/>
  <c r="AE459" i="7"/>
  <c r="K568" i="7"/>
  <c r="K460" i="7" s="1"/>
  <c r="AF460" i="7" s="1"/>
  <c r="J460" i="7"/>
  <c r="J487" i="7" s="1"/>
  <c r="H571" i="7"/>
  <c r="G463" i="7"/>
  <c r="G490" i="7" s="1"/>
  <c r="J569" i="7"/>
  <c r="I461" i="7"/>
  <c r="S574" i="7"/>
  <c r="E574" i="7" s="1"/>
  <c r="T574" i="7"/>
  <c r="U574" i="7"/>
  <c r="V574" i="7"/>
  <c r="W574" i="7"/>
  <c r="X574" i="7"/>
  <c r="Y574" i="7"/>
  <c r="AA463" i="7"/>
  <c r="AD460" i="7"/>
  <c r="AC461" i="7"/>
  <c r="F573" i="7"/>
  <c r="E465" i="7"/>
  <c r="C575" i="7"/>
  <c r="B575" i="7"/>
  <c r="A575" i="7"/>
  <c r="AI576" i="7"/>
  <c r="AH577" i="7"/>
  <c r="AG525" i="7"/>
  <c r="I571" i="7" l="1"/>
  <c r="H463" i="7"/>
  <c r="H490" i="7" s="1"/>
  <c r="G573" i="7"/>
  <c r="F465" i="7"/>
  <c r="I488" i="7"/>
  <c r="J570" i="7"/>
  <c r="I462" i="7"/>
  <c r="K569" i="7"/>
  <c r="K461" i="7" s="1"/>
  <c r="AF461" i="7" s="1"/>
  <c r="J461" i="7"/>
  <c r="J488" i="7" s="1"/>
  <c r="K487" i="7"/>
  <c r="AE460" i="7"/>
  <c r="H572" i="7"/>
  <c r="G464" i="7"/>
  <c r="G491" i="7" s="1"/>
  <c r="F491" i="7"/>
  <c r="AA464" i="7"/>
  <c r="AD461" i="7"/>
  <c r="Z465" i="7"/>
  <c r="F574" i="7"/>
  <c r="E466" i="7"/>
  <c r="AB463" i="7"/>
  <c r="S575" i="7"/>
  <c r="E575" i="7" s="1"/>
  <c r="T575" i="7"/>
  <c r="U575" i="7"/>
  <c r="V575" i="7"/>
  <c r="W575" i="7"/>
  <c r="X575" i="7"/>
  <c r="Y575" i="7"/>
  <c r="AC462" i="7"/>
  <c r="B576" i="7"/>
  <c r="C576" i="7"/>
  <c r="A576" i="7"/>
  <c r="AH578" i="7"/>
  <c r="AI577" i="7"/>
  <c r="AG526" i="7"/>
  <c r="I489" i="7" l="1"/>
  <c r="G574" i="7"/>
  <c r="F466" i="7"/>
  <c r="K488" i="7"/>
  <c r="AE461" i="7"/>
  <c r="I572" i="7"/>
  <c r="H464" i="7"/>
  <c r="K570" i="7"/>
  <c r="K462" i="7" s="1"/>
  <c r="AF462" i="7" s="1"/>
  <c r="J462" i="7"/>
  <c r="J489" i="7" s="1"/>
  <c r="H573" i="7"/>
  <c r="G465" i="7"/>
  <c r="G492" i="7" s="1"/>
  <c r="J571" i="7"/>
  <c r="I463" i="7"/>
  <c r="AD462" i="7"/>
  <c r="S576" i="7"/>
  <c r="E576" i="7" s="1"/>
  <c r="T576" i="7"/>
  <c r="U576" i="7"/>
  <c r="V576" i="7"/>
  <c r="W576" i="7"/>
  <c r="X576" i="7"/>
  <c r="Y576" i="7"/>
  <c r="AA465" i="7"/>
  <c r="Z466" i="7"/>
  <c r="AA466" i="7"/>
  <c r="AC463" i="7"/>
  <c r="F575" i="7"/>
  <c r="E467" i="7"/>
  <c r="AB464" i="7"/>
  <c r="F492" i="7"/>
  <c r="AH579" i="7"/>
  <c r="AI578" i="7"/>
  <c r="C577" i="7"/>
  <c r="B577" i="7"/>
  <c r="A577" i="7"/>
  <c r="AG527" i="7"/>
  <c r="K571" i="7" l="1"/>
  <c r="K463" i="7" s="1"/>
  <c r="J463" i="7"/>
  <c r="AE463" i="7" s="1"/>
  <c r="G575" i="7"/>
  <c r="F467" i="7"/>
  <c r="I573" i="7"/>
  <c r="H465" i="7"/>
  <c r="J572" i="7"/>
  <c r="I464" i="7"/>
  <c r="K489" i="7"/>
  <c r="AE462" i="7"/>
  <c r="I490" i="7"/>
  <c r="H574" i="7"/>
  <c r="G466" i="7"/>
  <c r="G493" i="7" s="1"/>
  <c r="H491" i="7"/>
  <c r="AB465" i="7"/>
  <c r="T577" i="7"/>
  <c r="U577" i="7"/>
  <c r="S577" i="7"/>
  <c r="E577" i="7" s="1"/>
  <c r="V577" i="7"/>
  <c r="W577" i="7"/>
  <c r="X577" i="7"/>
  <c r="Y577" i="7"/>
  <c r="AD463" i="7"/>
  <c r="Z467" i="7"/>
  <c r="F494" i="7"/>
  <c r="AC464" i="7"/>
  <c r="F493" i="7"/>
  <c r="F576" i="7"/>
  <c r="E468" i="7"/>
  <c r="B578" i="7"/>
  <c r="C578" i="7"/>
  <c r="A578" i="7"/>
  <c r="AI579" i="7"/>
  <c r="AH580" i="7"/>
  <c r="AG528" i="7"/>
  <c r="J490" i="7" l="1"/>
  <c r="I574" i="7"/>
  <c r="H466" i="7"/>
  <c r="J573" i="7"/>
  <c r="I465" i="7"/>
  <c r="I492" i="7" s="1"/>
  <c r="H575" i="7"/>
  <c r="G467" i="7"/>
  <c r="I491" i="7"/>
  <c r="G576" i="7"/>
  <c r="F468" i="7"/>
  <c r="F495" i="7" s="1"/>
  <c r="K572" i="7"/>
  <c r="K464" i="7" s="1"/>
  <c r="AF464" i="7" s="1"/>
  <c r="J464" i="7"/>
  <c r="H492" i="7"/>
  <c r="K490" i="7"/>
  <c r="AF463" i="7"/>
  <c r="AD464" i="7"/>
  <c r="AC465" i="7"/>
  <c r="AB466" i="7"/>
  <c r="Z468" i="7"/>
  <c r="U578" i="7"/>
  <c r="S578" i="7"/>
  <c r="E578" i="7" s="1"/>
  <c r="T578" i="7"/>
  <c r="V578" i="7"/>
  <c r="W578" i="7"/>
  <c r="X578" i="7"/>
  <c r="Y578" i="7"/>
  <c r="F577" i="7"/>
  <c r="E469" i="7"/>
  <c r="AA467" i="7"/>
  <c r="B579" i="7"/>
  <c r="C579" i="7"/>
  <c r="A579" i="7"/>
  <c r="AI580" i="7"/>
  <c r="AH581" i="7"/>
  <c r="AG529" i="7"/>
  <c r="G494" i="7" l="1"/>
  <c r="H576" i="7"/>
  <c r="G468" i="7"/>
  <c r="I575" i="7"/>
  <c r="H467" i="7"/>
  <c r="H494" i="7" s="1"/>
  <c r="K491" i="7"/>
  <c r="AE464" i="7"/>
  <c r="H493" i="7"/>
  <c r="G577" i="7"/>
  <c r="F469" i="7"/>
  <c r="G496" i="7" s="1"/>
  <c r="J491" i="7"/>
  <c r="K573" i="7"/>
  <c r="K465" i="7" s="1"/>
  <c r="AF465" i="7" s="1"/>
  <c r="J465" i="7"/>
  <c r="J492" i="7" s="1"/>
  <c r="J574" i="7"/>
  <c r="I466" i="7"/>
  <c r="I493" i="7" s="1"/>
  <c r="F496" i="7"/>
  <c r="Z469" i="7"/>
  <c r="AA468" i="7"/>
  <c r="AB467" i="7"/>
  <c r="F578" i="7"/>
  <c r="E470" i="7"/>
  <c r="AC466" i="7"/>
  <c r="S579" i="7"/>
  <c r="E579" i="7" s="1"/>
  <c r="T579" i="7"/>
  <c r="U579" i="7"/>
  <c r="V579" i="7"/>
  <c r="W579" i="7"/>
  <c r="X579" i="7"/>
  <c r="Y579" i="7"/>
  <c r="AD465" i="7"/>
  <c r="B580" i="7"/>
  <c r="C580" i="7"/>
  <c r="A580" i="7"/>
  <c r="AH582" i="7"/>
  <c r="AI581" i="7"/>
  <c r="AG530" i="7"/>
  <c r="I576" i="7" l="1"/>
  <c r="H468" i="7"/>
  <c r="H495" i="7" s="1"/>
  <c r="G578" i="7"/>
  <c r="F470" i="7"/>
  <c r="F497" i="7" s="1"/>
  <c r="K574" i="7"/>
  <c r="K466" i="7" s="1"/>
  <c r="AF466" i="7" s="1"/>
  <c r="J466" i="7"/>
  <c r="J493" i="7" s="1"/>
  <c r="J575" i="7"/>
  <c r="I467" i="7"/>
  <c r="K492" i="7"/>
  <c r="AE465" i="7"/>
  <c r="H577" i="7"/>
  <c r="G469" i="7"/>
  <c r="H496" i="7" s="1"/>
  <c r="G495" i="7"/>
  <c r="S580" i="7"/>
  <c r="E580" i="7" s="1"/>
  <c r="T580" i="7"/>
  <c r="U580" i="7"/>
  <c r="V580" i="7"/>
  <c r="W580" i="7"/>
  <c r="X580" i="7"/>
  <c r="Y580" i="7"/>
  <c r="AA469" i="7"/>
  <c r="AC467" i="7"/>
  <c r="F579" i="7"/>
  <c r="E471" i="7"/>
  <c r="AB468" i="7"/>
  <c r="Z470" i="7"/>
  <c r="AD466" i="7"/>
  <c r="AH583" i="7"/>
  <c r="AI582" i="7"/>
  <c r="C581" i="7"/>
  <c r="B581" i="7"/>
  <c r="A581" i="7"/>
  <c r="AG531" i="7"/>
  <c r="G579" i="7" l="1"/>
  <c r="F471" i="7"/>
  <c r="K575" i="7"/>
  <c r="K467" i="7" s="1"/>
  <c r="AF467" i="7" s="1"/>
  <c r="J467" i="7"/>
  <c r="J494" i="7" s="1"/>
  <c r="H578" i="7"/>
  <c r="G470" i="7"/>
  <c r="I494" i="7"/>
  <c r="K493" i="7"/>
  <c r="AE466" i="7"/>
  <c r="I577" i="7"/>
  <c r="H469" i="7"/>
  <c r="I496" i="7" s="1"/>
  <c r="J576" i="7"/>
  <c r="I468" i="7"/>
  <c r="AD467" i="7"/>
  <c r="AA470" i="7"/>
  <c r="AC468" i="7"/>
  <c r="AB469" i="7"/>
  <c r="Z471" i="7"/>
  <c r="F580" i="7"/>
  <c r="E472" i="7"/>
  <c r="E581" i="7"/>
  <c r="B582" i="7"/>
  <c r="C582" i="7"/>
  <c r="A582" i="7"/>
  <c r="AH584" i="7"/>
  <c r="AI583" i="7"/>
  <c r="AG532" i="7"/>
  <c r="G580" i="7" l="1"/>
  <c r="F472" i="7"/>
  <c r="I495" i="7"/>
  <c r="G497" i="7"/>
  <c r="K576" i="7"/>
  <c r="K468" i="7" s="1"/>
  <c r="AF468" i="7" s="1"/>
  <c r="J468" i="7"/>
  <c r="J495" i="7" s="1"/>
  <c r="I578" i="7"/>
  <c r="H470" i="7"/>
  <c r="H497" i="7" s="1"/>
  <c r="K494" i="7"/>
  <c r="AE467" i="7"/>
  <c r="J577" i="7"/>
  <c r="I469" i="7"/>
  <c r="J496" i="7" s="1"/>
  <c r="H579" i="7"/>
  <c r="G471" i="7"/>
  <c r="AC469" i="7"/>
  <c r="AA471" i="7"/>
  <c r="F499" i="7"/>
  <c r="Z472" i="7"/>
  <c r="E473" i="7"/>
  <c r="AB470" i="7"/>
  <c r="F581" i="7"/>
  <c r="F498" i="7"/>
  <c r="AD468" i="7"/>
  <c r="AI584" i="7"/>
  <c r="AH585" i="7"/>
  <c r="C583" i="7"/>
  <c r="B583" i="7"/>
  <c r="A583" i="7"/>
  <c r="AG533" i="7"/>
  <c r="G498" i="7" l="1"/>
  <c r="J578" i="7"/>
  <c r="I470" i="7"/>
  <c r="H580" i="7"/>
  <c r="G472" i="7"/>
  <c r="G581" i="7"/>
  <c r="I579" i="7"/>
  <c r="H471" i="7"/>
  <c r="K495" i="7"/>
  <c r="AE468" i="7"/>
  <c r="K577" i="7"/>
  <c r="K469" i="7" s="1"/>
  <c r="AF469" i="7" s="1"/>
  <c r="J469" i="7"/>
  <c r="G499" i="7"/>
  <c r="F473" i="7"/>
  <c r="AC470" i="7"/>
  <c r="L473" i="7"/>
  <c r="L472" i="7" s="1"/>
  <c r="F500" i="7"/>
  <c r="AD469" i="7"/>
  <c r="AB471" i="7"/>
  <c r="AA472" i="7"/>
  <c r="AH586" i="7"/>
  <c r="AI585" i="7"/>
  <c r="B584" i="7"/>
  <c r="C584" i="7"/>
  <c r="A584" i="7"/>
  <c r="AG534" i="7"/>
  <c r="J579" i="7" l="1"/>
  <c r="I471" i="7"/>
  <c r="I498" i="7" s="1"/>
  <c r="I497" i="7"/>
  <c r="K578" i="7"/>
  <c r="K470" i="7" s="1"/>
  <c r="AF470" i="7" s="1"/>
  <c r="J470" i="7"/>
  <c r="J497" i="7" s="1"/>
  <c r="G473" i="7"/>
  <c r="K496" i="7"/>
  <c r="AE469" i="7"/>
  <c r="I580" i="7"/>
  <c r="H472" i="7"/>
  <c r="H499" i="7" s="1"/>
  <c r="H581" i="7"/>
  <c r="H498" i="7"/>
  <c r="G500" i="7"/>
  <c r="M473" i="7"/>
  <c r="M472" i="7" s="1"/>
  <c r="L471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AB472" i="7"/>
  <c r="AD470" i="7"/>
  <c r="AC471" i="7"/>
  <c r="C585" i="7"/>
  <c r="B585" i="7"/>
  <c r="A585" i="7"/>
  <c r="AH587" i="7"/>
  <c r="AI586" i="7"/>
  <c r="AG535" i="7"/>
  <c r="J580" i="7" l="1"/>
  <c r="I472" i="7"/>
  <c r="I499" i="7" s="1"/>
  <c r="I581" i="7"/>
  <c r="K497" i="7"/>
  <c r="AE470" i="7"/>
  <c r="H473" i="7"/>
  <c r="K579" i="7"/>
  <c r="K471" i="7" s="1"/>
  <c r="AF471" i="7" s="1"/>
  <c r="J471" i="7"/>
  <c r="N473" i="7"/>
  <c r="H500" i="7"/>
  <c r="AD471" i="7"/>
  <c r="AC472" i="7"/>
  <c r="M450" i="7"/>
  <c r="M447" i="7"/>
  <c r="M448" i="7"/>
  <c r="M449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6" i="7"/>
  <c r="M465" i="7"/>
  <c r="M467" i="7"/>
  <c r="M468" i="7"/>
  <c r="M469" i="7"/>
  <c r="M470" i="7"/>
  <c r="M471" i="7"/>
  <c r="AI587" i="7"/>
  <c r="AH588" i="7"/>
  <c r="B586" i="7"/>
  <c r="C586" i="7"/>
  <c r="A586" i="7"/>
  <c r="AG536" i="7"/>
  <c r="K498" i="7" l="1"/>
  <c r="AE471" i="7"/>
  <c r="J498" i="7"/>
  <c r="I473" i="7"/>
  <c r="K580" i="7"/>
  <c r="J472" i="7"/>
  <c r="J499" i="7" s="1"/>
  <c r="J581" i="7"/>
  <c r="N471" i="7"/>
  <c r="N447" i="7"/>
  <c r="N448" i="7"/>
  <c r="N449" i="7"/>
  <c r="N450" i="7"/>
  <c r="N451" i="7"/>
  <c r="N452" i="7"/>
  <c r="N453" i="7"/>
  <c r="N454" i="7"/>
  <c r="N455" i="7"/>
  <c r="N456" i="7"/>
  <c r="N458" i="7"/>
  <c r="N457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2" i="7"/>
  <c r="O473" i="7"/>
  <c r="I500" i="7"/>
  <c r="AD472" i="7"/>
  <c r="P473" i="7" s="1"/>
  <c r="AI588" i="7"/>
  <c r="AH589" i="7"/>
  <c r="B587" i="7"/>
  <c r="C587" i="7"/>
  <c r="A587" i="7"/>
  <c r="AG537" i="7"/>
  <c r="J500" i="7" l="1"/>
  <c r="AE472" i="7"/>
  <c r="Q473" i="7" s="1"/>
  <c r="Q447" i="7" s="1"/>
  <c r="J473" i="7"/>
  <c r="K472" i="7"/>
  <c r="K473" i="7" s="1"/>
  <c r="K581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P472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O472" i="7"/>
  <c r="P471" i="7"/>
  <c r="AI589" i="7"/>
  <c r="AH590" i="7"/>
  <c r="B588" i="7"/>
  <c r="C588" i="7"/>
  <c r="A588" i="7"/>
  <c r="AG538" i="7"/>
  <c r="AF472" i="7" l="1"/>
  <c r="R473" i="7" s="1"/>
  <c r="Q472" i="7"/>
  <c r="Q470" i="7"/>
  <c r="Q462" i="7"/>
  <c r="Q453" i="7"/>
  <c r="Q451" i="7"/>
  <c r="Q466" i="7"/>
  <c r="Q458" i="7"/>
  <c r="Q450" i="7"/>
  <c r="Q467" i="7"/>
  <c r="Q459" i="7"/>
  <c r="Q471" i="7"/>
  <c r="Q463" i="7"/>
  <c r="Q455" i="7"/>
  <c r="Q448" i="7"/>
  <c r="Q469" i="7"/>
  <c r="Q465" i="7"/>
  <c r="Q461" i="7"/>
  <c r="Q457" i="7"/>
  <c r="Q454" i="7"/>
  <c r="Q449" i="7"/>
  <c r="Q468" i="7"/>
  <c r="Q464" i="7"/>
  <c r="Q460" i="7"/>
  <c r="Q456" i="7"/>
  <c r="Q452" i="7"/>
  <c r="K499" i="7"/>
  <c r="AH591" i="7"/>
  <c r="AI590" i="7"/>
  <c r="C589" i="7"/>
  <c r="B589" i="7"/>
  <c r="A589" i="7"/>
  <c r="AG539" i="7"/>
  <c r="K500" i="7" l="1"/>
  <c r="R471" i="7"/>
  <c r="R448" i="7"/>
  <c r="R449" i="7"/>
  <c r="R447" i="7"/>
  <c r="R451" i="7"/>
  <c r="R450" i="7"/>
  <c r="R453" i="7"/>
  <c r="R454" i="7"/>
  <c r="R452" i="7"/>
  <c r="R455" i="7"/>
  <c r="R456" i="7"/>
  <c r="R458" i="7"/>
  <c r="R457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2" i="7"/>
  <c r="B590" i="7"/>
  <c r="C590" i="7"/>
  <c r="A590" i="7"/>
  <c r="AI591" i="7"/>
  <c r="AH592" i="7"/>
  <c r="AG540" i="7"/>
  <c r="C591" i="7" l="1"/>
  <c r="B591" i="7"/>
  <c r="A591" i="7"/>
  <c r="AI592" i="7"/>
  <c r="AH593" i="7"/>
  <c r="AG541" i="7"/>
  <c r="B592" i="7" l="1"/>
  <c r="C592" i="7"/>
  <c r="A592" i="7"/>
  <c r="AH594" i="7"/>
  <c r="AI593" i="7"/>
  <c r="AG542" i="7"/>
  <c r="AH595" i="7" l="1"/>
  <c r="AI594" i="7"/>
  <c r="C593" i="7"/>
  <c r="B593" i="7"/>
  <c r="A593" i="7"/>
  <c r="AG543" i="7"/>
  <c r="B594" i="7" l="1"/>
  <c r="C594" i="7"/>
  <c r="A594" i="7"/>
  <c r="AH596" i="7"/>
  <c r="AI595" i="7"/>
  <c r="AG544" i="7"/>
  <c r="AI596" i="7" l="1"/>
  <c r="AH597" i="7"/>
  <c r="B595" i="7"/>
  <c r="C595" i="7"/>
  <c r="A595" i="7"/>
  <c r="AG545" i="7"/>
  <c r="AH598" i="7" l="1"/>
  <c r="AI597" i="7"/>
  <c r="B596" i="7"/>
  <c r="C596" i="7"/>
  <c r="X677" i="7" s="1"/>
  <c r="W677" i="7" s="1"/>
  <c r="V677" i="7" s="1"/>
  <c r="U677" i="7" s="1"/>
  <c r="T677" i="7" s="1"/>
  <c r="S677" i="7" s="1"/>
  <c r="A596" i="7"/>
  <c r="AG546" i="7"/>
  <c r="C597" i="7" l="1"/>
  <c r="B597" i="7"/>
  <c r="A597" i="7"/>
  <c r="AH599" i="7"/>
  <c r="AI598" i="7"/>
  <c r="AG547" i="7"/>
  <c r="AH600" i="7" l="1"/>
  <c r="AI599" i="7"/>
  <c r="B598" i="7"/>
  <c r="C598" i="7"/>
  <c r="A598" i="7"/>
  <c r="AG548" i="7"/>
  <c r="C599" i="7" l="1"/>
  <c r="B599" i="7"/>
  <c r="A599" i="7"/>
  <c r="AI600" i="7"/>
  <c r="AH601" i="7"/>
  <c r="AG549" i="7"/>
  <c r="B600" i="7" l="1"/>
  <c r="C600" i="7"/>
  <c r="A600" i="7"/>
  <c r="AH602" i="7"/>
  <c r="AI601" i="7"/>
  <c r="AG550" i="7"/>
  <c r="AH603" i="7" l="1"/>
  <c r="AI602" i="7"/>
  <c r="C601" i="7"/>
  <c r="B601" i="7"/>
  <c r="A601" i="7"/>
  <c r="AG551" i="7"/>
  <c r="B602" i="7" l="1"/>
  <c r="C602" i="7"/>
  <c r="A602" i="7"/>
  <c r="AI603" i="7"/>
  <c r="AH604" i="7"/>
  <c r="AG552" i="7"/>
  <c r="B603" i="7" l="1"/>
  <c r="C603" i="7"/>
  <c r="A603" i="7"/>
  <c r="AI604" i="7"/>
  <c r="AH605" i="7"/>
  <c r="AG553" i="7"/>
  <c r="B604" i="7" l="1"/>
  <c r="C604" i="7"/>
  <c r="A604" i="7"/>
  <c r="AI605" i="7"/>
  <c r="AH606" i="7"/>
  <c r="AG554" i="7"/>
  <c r="C605" i="7" l="1"/>
  <c r="B605" i="7"/>
  <c r="A605" i="7"/>
  <c r="AH607" i="7"/>
  <c r="AI606" i="7"/>
  <c r="AG555" i="7"/>
  <c r="AI607" i="7" l="1"/>
  <c r="AH608" i="7"/>
  <c r="B606" i="7"/>
  <c r="C606" i="7"/>
  <c r="X687" i="7" s="1"/>
  <c r="W687" i="7" s="1"/>
  <c r="V687" i="7" s="1"/>
  <c r="U687" i="7" s="1"/>
  <c r="T687" i="7" s="1"/>
  <c r="S687" i="7" s="1"/>
  <c r="A606" i="7"/>
  <c r="AG556" i="7"/>
  <c r="AH609" i="7" l="1"/>
  <c r="AI608" i="7"/>
  <c r="C607" i="7"/>
  <c r="B607" i="7"/>
  <c r="A607" i="7"/>
  <c r="AG557" i="7"/>
  <c r="B608" i="7" l="1"/>
  <c r="C608" i="7"/>
  <c r="A608" i="7"/>
  <c r="AI609" i="7"/>
  <c r="AH610" i="7"/>
  <c r="AG558" i="7"/>
  <c r="C609" i="7" l="1"/>
  <c r="B609" i="7"/>
  <c r="A609" i="7"/>
  <c r="AH611" i="7"/>
  <c r="AI610" i="7"/>
  <c r="AG559" i="7"/>
  <c r="AH612" i="7" l="1"/>
  <c r="AI611" i="7"/>
  <c r="B610" i="7"/>
  <c r="C610" i="7"/>
  <c r="A610" i="7"/>
  <c r="AG560" i="7"/>
  <c r="B611" i="7" l="1"/>
  <c r="C611" i="7"/>
  <c r="A611" i="7"/>
  <c r="AI612" i="7"/>
  <c r="AH613" i="7"/>
  <c r="AG561" i="7"/>
  <c r="B612" i="7" l="1"/>
  <c r="C612" i="7"/>
  <c r="A612" i="7"/>
  <c r="AH614" i="7"/>
  <c r="AI613" i="7"/>
  <c r="AG562" i="7"/>
  <c r="AH615" i="7" l="1"/>
  <c r="AI614" i="7"/>
  <c r="C613" i="7"/>
  <c r="B613" i="7"/>
  <c r="A613" i="7"/>
  <c r="AG563" i="7"/>
  <c r="B614" i="7" l="1"/>
  <c r="C614" i="7"/>
  <c r="A614" i="7"/>
  <c r="AH616" i="7"/>
  <c r="AI615" i="7"/>
  <c r="AG564" i="7"/>
  <c r="AI616" i="7" l="1"/>
  <c r="AH617" i="7"/>
  <c r="C615" i="7"/>
  <c r="B615" i="7"/>
  <c r="A615" i="7"/>
  <c r="AG565" i="7"/>
  <c r="AH618" i="7" l="1"/>
  <c r="AI617" i="7"/>
  <c r="B616" i="7"/>
  <c r="C616" i="7"/>
  <c r="A616" i="7"/>
  <c r="AG566" i="7"/>
  <c r="C617" i="7" l="1"/>
  <c r="B617" i="7"/>
  <c r="A617" i="7"/>
  <c r="AH619" i="7"/>
  <c r="AI618" i="7"/>
  <c r="AG567" i="7"/>
  <c r="AI619" i="7" l="1"/>
  <c r="AH620" i="7"/>
  <c r="B618" i="7"/>
  <c r="C618" i="7"/>
  <c r="A618" i="7"/>
  <c r="AG568" i="7"/>
  <c r="AI620" i="7" l="1"/>
  <c r="AH621" i="7"/>
  <c r="B619" i="7"/>
  <c r="C619" i="7"/>
  <c r="A619" i="7"/>
  <c r="AG569" i="7"/>
  <c r="AI621" i="7" l="1"/>
  <c r="AH622" i="7"/>
  <c r="B620" i="7"/>
  <c r="C620" i="7"/>
  <c r="A620" i="7"/>
  <c r="AG570" i="7"/>
  <c r="AH623" i="7" l="1"/>
  <c r="AI622" i="7"/>
  <c r="C621" i="7"/>
  <c r="B621" i="7"/>
  <c r="A621" i="7"/>
  <c r="AG571" i="7"/>
  <c r="B622" i="7" l="1"/>
  <c r="C622" i="7"/>
  <c r="A622" i="7"/>
  <c r="AI623" i="7"/>
  <c r="AH624" i="7"/>
  <c r="AG572" i="7"/>
  <c r="C623" i="7" l="1"/>
  <c r="B623" i="7"/>
  <c r="A623" i="7"/>
  <c r="AI624" i="7"/>
  <c r="AH625" i="7"/>
  <c r="AG573" i="7"/>
  <c r="B624" i="7" l="1"/>
  <c r="C624" i="7"/>
  <c r="A624" i="7"/>
  <c r="AH626" i="7"/>
  <c r="AI625" i="7"/>
  <c r="AG574" i="7"/>
  <c r="AH627" i="7" l="1"/>
  <c r="AI626" i="7"/>
  <c r="C625" i="7"/>
  <c r="B625" i="7"/>
  <c r="A625" i="7"/>
  <c r="AG575" i="7"/>
  <c r="B626" i="7" l="1"/>
  <c r="C626" i="7"/>
  <c r="A626" i="7"/>
  <c r="AH628" i="7"/>
  <c r="AI627" i="7"/>
  <c r="AG576" i="7"/>
  <c r="AI628" i="7" l="1"/>
  <c r="AH629" i="7"/>
  <c r="B627" i="7"/>
  <c r="C627" i="7"/>
  <c r="A627" i="7"/>
  <c r="AG577" i="7"/>
  <c r="AI629" i="7" l="1"/>
  <c r="AH630" i="7"/>
  <c r="B628" i="7"/>
  <c r="C628" i="7"/>
  <c r="A628" i="7"/>
  <c r="AG578" i="7"/>
  <c r="AI630" i="7" l="1"/>
  <c r="AH631" i="7"/>
  <c r="C629" i="7"/>
  <c r="B629" i="7"/>
  <c r="A629" i="7"/>
  <c r="AG579" i="7"/>
  <c r="AH632" i="7" l="1"/>
  <c r="AI631" i="7"/>
  <c r="B630" i="7"/>
  <c r="C630" i="7"/>
  <c r="A630" i="7"/>
  <c r="AG580" i="7"/>
  <c r="C631" i="7" l="1"/>
  <c r="B631" i="7"/>
  <c r="A631" i="7"/>
  <c r="AI632" i="7"/>
  <c r="AH633" i="7"/>
  <c r="AG581" i="7"/>
  <c r="B632" i="7" l="1"/>
  <c r="C632" i="7"/>
  <c r="A632" i="7"/>
  <c r="AI633" i="7"/>
  <c r="AH634" i="7"/>
  <c r="AG582" i="7"/>
  <c r="C633" i="7" l="1"/>
  <c r="B633" i="7"/>
  <c r="A633" i="7"/>
  <c r="AH635" i="7"/>
  <c r="AI634" i="7"/>
  <c r="AG583" i="7"/>
  <c r="AI635" i="7" l="1"/>
  <c r="AH636" i="7"/>
  <c r="B634" i="7"/>
  <c r="C634" i="7"/>
  <c r="A634" i="7"/>
  <c r="AG584" i="7"/>
  <c r="AI636" i="7" l="1"/>
  <c r="AH637" i="7"/>
  <c r="B635" i="7"/>
  <c r="C635" i="7"/>
  <c r="A635" i="7"/>
  <c r="AG585" i="7"/>
  <c r="AH638" i="7" l="1"/>
  <c r="AI637" i="7"/>
  <c r="B636" i="7"/>
  <c r="C636" i="7"/>
  <c r="A636" i="7"/>
  <c r="AG586" i="7"/>
  <c r="C637" i="7" l="1"/>
  <c r="B637" i="7"/>
  <c r="A637" i="7"/>
  <c r="AI638" i="7"/>
  <c r="AH639" i="7"/>
  <c r="AG587" i="7"/>
  <c r="B638" i="7" l="1"/>
  <c r="C638" i="7"/>
  <c r="A638" i="7"/>
  <c r="AH640" i="7"/>
  <c r="AI639" i="7"/>
  <c r="AG588" i="7"/>
  <c r="AH641" i="7" l="1"/>
  <c r="AI640" i="7"/>
  <c r="C639" i="7"/>
  <c r="B639" i="7"/>
  <c r="A639" i="7"/>
  <c r="AG589" i="7"/>
  <c r="B640" i="7" l="1"/>
  <c r="C640" i="7"/>
  <c r="A640" i="7"/>
  <c r="AI641" i="7"/>
  <c r="AH642" i="7"/>
  <c r="AG590" i="7"/>
  <c r="C641" i="7" l="1"/>
  <c r="B641" i="7"/>
  <c r="A641" i="7"/>
  <c r="AH643" i="7"/>
  <c r="AI642" i="7"/>
  <c r="AG591" i="7"/>
  <c r="AH644" i="7" l="1"/>
  <c r="AI643" i="7"/>
  <c r="B642" i="7"/>
  <c r="C642" i="7"/>
  <c r="A642" i="7"/>
  <c r="AG592" i="7"/>
  <c r="B643" i="7" l="1"/>
  <c r="C643" i="7"/>
  <c r="A643" i="7"/>
  <c r="AH645" i="7"/>
  <c r="AI644" i="7"/>
  <c r="AG593" i="7"/>
  <c r="AI645" i="7" l="1"/>
  <c r="AH646" i="7"/>
  <c r="B644" i="7"/>
  <c r="C644" i="7"/>
  <c r="A644" i="7"/>
  <c r="AG594" i="7"/>
  <c r="AI646" i="7" l="1"/>
  <c r="AH647" i="7"/>
  <c r="C645" i="7"/>
  <c r="B645" i="7"/>
  <c r="A645" i="7"/>
  <c r="AG595" i="7"/>
  <c r="AI647" i="7" l="1"/>
  <c r="AH648" i="7"/>
  <c r="B646" i="7"/>
  <c r="C646" i="7"/>
  <c r="A646" i="7"/>
  <c r="AG596" i="7"/>
  <c r="AI648" i="7" l="1"/>
  <c r="AH649" i="7"/>
  <c r="C647" i="7"/>
  <c r="B647" i="7"/>
  <c r="A647" i="7"/>
  <c r="AG597" i="7"/>
  <c r="AI649" i="7" l="1"/>
  <c r="AH650" i="7"/>
  <c r="B648" i="7"/>
  <c r="C648" i="7"/>
  <c r="A648" i="7"/>
  <c r="AG598" i="7"/>
  <c r="AI650" i="7" l="1"/>
  <c r="AH651" i="7"/>
  <c r="C649" i="7"/>
  <c r="B649" i="7"/>
  <c r="A649" i="7"/>
  <c r="AG599" i="7"/>
  <c r="AH652" i="7" l="1"/>
  <c r="AI651" i="7"/>
  <c r="B650" i="7"/>
  <c r="C650" i="7"/>
  <c r="A650" i="7"/>
  <c r="AG600" i="7"/>
  <c r="B651" i="7" l="1"/>
  <c r="C651" i="7"/>
  <c r="A651" i="7"/>
  <c r="AI652" i="7"/>
  <c r="AH653" i="7"/>
  <c r="AG601" i="7"/>
  <c r="B652" i="7" l="1"/>
  <c r="C652" i="7"/>
  <c r="A652" i="7"/>
  <c r="AI653" i="7"/>
  <c r="AH654" i="7"/>
  <c r="AG602" i="7"/>
  <c r="C653" i="7" l="1"/>
  <c r="B653" i="7"/>
  <c r="A653" i="7"/>
  <c r="AH655" i="7"/>
  <c r="AI654" i="7"/>
  <c r="AG603" i="7"/>
  <c r="AH656" i="7" l="1"/>
  <c r="AI655" i="7"/>
  <c r="B654" i="7"/>
  <c r="C654" i="7"/>
  <c r="A654" i="7"/>
  <c r="AG604" i="7"/>
  <c r="C655" i="7" l="1"/>
  <c r="B655" i="7"/>
  <c r="A655" i="7"/>
  <c r="AH657" i="7"/>
  <c r="AI656" i="7"/>
  <c r="AG605" i="7"/>
  <c r="AI657" i="7" l="1"/>
  <c r="AH658" i="7"/>
  <c r="B656" i="7"/>
  <c r="C656" i="7"/>
  <c r="A656" i="7"/>
  <c r="AG606" i="7"/>
  <c r="AH659" i="7" l="1"/>
  <c r="AI658" i="7"/>
  <c r="C657" i="7"/>
  <c r="B657" i="7"/>
  <c r="A657" i="7"/>
  <c r="AG607" i="7"/>
  <c r="B658" i="7" l="1"/>
  <c r="C658" i="7"/>
  <c r="A658" i="7"/>
  <c r="AH660" i="7"/>
  <c r="AI659" i="7"/>
  <c r="AG608" i="7"/>
  <c r="AH661" i="7" l="1"/>
  <c r="AI660" i="7"/>
  <c r="B659" i="7"/>
  <c r="C659" i="7"/>
  <c r="A659" i="7"/>
  <c r="AG609" i="7"/>
  <c r="B660" i="7" l="1"/>
  <c r="C660" i="7"/>
  <c r="A660" i="7"/>
  <c r="AI661" i="7"/>
  <c r="AH662" i="7"/>
  <c r="AG610" i="7"/>
  <c r="C661" i="7" l="1"/>
  <c r="B661" i="7"/>
  <c r="A661" i="7"/>
  <c r="AI662" i="7"/>
  <c r="AH663" i="7"/>
  <c r="AG611" i="7"/>
  <c r="B662" i="7" l="1"/>
  <c r="C662" i="7"/>
  <c r="A662" i="7"/>
  <c r="AH664" i="7"/>
  <c r="AI663" i="7"/>
  <c r="AG612" i="7"/>
  <c r="AI664" i="7" l="1"/>
  <c r="AH665" i="7"/>
  <c r="B663" i="7"/>
  <c r="A663" i="7"/>
  <c r="AG613" i="7"/>
  <c r="AI665" i="7" l="1"/>
  <c r="AH666" i="7"/>
  <c r="B664" i="7"/>
  <c r="A664" i="7"/>
  <c r="AG614" i="7"/>
  <c r="AI666" i="7" l="1"/>
  <c r="AH667" i="7"/>
  <c r="B665" i="7"/>
  <c r="A665" i="7"/>
  <c r="AG615" i="7"/>
  <c r="AH668" i="7" l="1"/>
  <c r="AI667" i="7"/>
  <c r="B666" i="7"/>
  <c r="A666" i="7"/>
  <c r="AG616" i="7"/>
  <c r="B667" i="7" l="1"/>
  <c r="A667" i="7"/>
  <c r="AH669" i="7"/>
  <c r="AI668" i="7"/>
  <c r="AG617" i="7"/>
  <c r="B668" i="7" l="1"/>
  <c r="A668" i="7"/>
  <c r="AI669" i="7"/>
  <c r="AH670" i="7"/>
  <c r="AG618" i="7"/>
  <c r="AH671" i="7" l="1"/>
  <c r="AI670" i="7"/>
  <c r="B669" i="7"/>
  <c r="A669" i="7"/>
  <c r="AG619" i="7"/>
  <c r="B670" i="7" l="1"/>
  <c r="A670" i="7"/>
  <c r="AH672" i="7"/>
  <c r="AI671" i="7"/>
  <c r="AG620" i="7"/>
  <c r="B671" i="7" l="1"/>
  <c r="A671" i="7"/>
  <c r="AH673" i="7"/>
  <c r="AI672" i="7"/>
  <c r="AG621" i="7"/>
  <c r="B672" i="7" l="1"/>
  <c r="A672" i="7"/>
  <c r="AI673" i="7"/>
  <c r="AH674" i="7"/>
  <c r="AG622" i="7"/>
  <c r="AH675" i="7" l="1"/>
  <c r="AI674" i="7"/>
  <c r="B673" i="7"/>
  <c r="A673" i="7"/>
  <c r="AG623" i="7"/>
  <c r="B674" i="7" l="1"/>
  <c r="A674" i="7"/>
  <c r="AH676" i="7"/>
  <c r="AI675" i="7"/>
  <c r="AG624" i="7"/>
  <c r="B675" i="7" l="1"/>
  <c r="A675" i="7"/>
  <c r="AI676" i="7"/>
  <c r="AH677" i="7"/>
  <c r="AG625" i="7"/>
  <c r="AI677" i="7" l="1"/>
  <c r="AH678" i="7"/>
  <c r="B676" i="7"/>
  <c r="A676" i="7"/>
  <c r="AG626" i="7"/>
  <c r="AI678" i="7" l="1"/>
  <c r="AH679" i="7"/>
  <c r="B677" i="7"/>
  <c r="A677" i="7"/>
  <c r="AG627" i="7"/>
  <c r="AH680" i="7" l="1"/>
  <c r="AI679" i="7"/>
  <c r="B678" i="7"/>
  <c r="A678" i="7"/>
  <c r="AG628" i="7"/>
  <c r="B679" i="7" l="1"/>
  <c r="A679" i="7"/>
  <c r="AI680" i="7"/>
  <c r="AH681" i="7"/>
  <c r="AG629" i="7"/>
  <c r="AI681" i="7" l="1"/>
  <c r="AH682" i="7"/>
  <c r="B680" i="7"/>
  <c r="A680" i="7"/>
  <c r="AG630" i="7"/>
  <c r="AH683" i="7" l="1"/>
  <c r="AI682" i="7"/>
  <c r="B681" i="7"/>
  <c r="A681" i="7"/>
  <c r="AG631" i="7"/>
  <c r="B682" i="7" l="1"/>
  <c r="A682" i="7"/>
  <c r="AH684" i="7"/>
  <c r="AI683" i="7"/>
  <c r="AG632" i="7"/>
  <c r="B683" i="7" l="1"/>
  <c r="A683" i="7"/>
  <c r="AH685" i="7"/>
  <c r="AI684" i="7"/>
  <c r="AG633" i="7"/>
  <c r="B684" i="7" l="1"/>
  <c r="A684" i="7"/>
  <c r="AI685" i="7"/>
  <c r="AH686" i="7"/>
  <c r="AG634" i="7"/>
  <c r="AH687" i="7" l="1"/>
  <c r="AI686" i="7"/>
  <c r="B685" i="7"/>
  <c r="A685" i="7"/>
  <c r="AG635" i="7"/>
  <c r="B686" i="7" l="1"/>
  <c r="A686" i="7"/>
  <c r="AH688" i="7"/>
  <c r="AI687" i="7"/>
  <c r="AG636" i="7"/>
  <c r="B687" i="7" l="1"/>
  <c r="A687" i="7"/>
  <c r="AH689" i="7"/>
  <c r="AI688" i="7"/>
  <c r="AG637" i="7"/>
  <c r="B688" i="7" l="1"/>
  <c r="A688" i="7"/>
  <c r="AI689" i="7"/>
  <c r="AH690" i="7"/>
  <c r="AG638" i="7"/>
  <c r="AH691" i="7" l="1"/>
  <c r="AI690" i="7"/>
  <c r="B689" i="7"/>
  <c r="A689" i="7"/>
  <c r="AG639" i="7"/>
  <c r="C690" i="7" l="1"/>
  <c r="B690" i="7"/>
  <c r="A690" i="7"/>
  <c r="AH692" i="7"/>
  <c r="AI691" i="7"/>
  <c r="AG640" i="7"/>
  <c r="AH693" i="7" l="1"/>
  <c r="AI692" i="7"/>
  <c r="C691" i="7"/>
  <c r="B691" i="7"/>
  <c r="A691" i="7"/>
  <c r="AG641" i="7"/>
  <c r="C692" i="7" l="1"/>
  <c r="B692" i="7"/>
  <c r="A692" i="7"/>
  <c r="AI693" i="7"/>
  <c r="AH694" i="7"/>
  <c r="AG642" i="7"/>
  <c r="C693" i="7" l="1"/>
  <c r="B693" i="7"/>
  <c r="A693" i="7"/>
  <c r="AI694" i="7"/>
  <c r="AH695" i="7"/>
  <c r="AG643" i="7"/>
  <c r="B694" i="7" l="1"/>
  <c r="C694" i="7"/>
  <c r="A694" i="7"/>
  <c r="AH696" i="7"/>
  <c r="AI695" i="7"/>
  <c r="AG644" i="7"/>
  <c r="AH697" i="7" l="1"/>
  <c r="AI696" i="7"/>
  <c r="C695" i="7"/>
  <c r="B695" i="7"/>
  <c r="A695" i="7"/>
  <c r="AG645" i="7"/>
  <c r="C696" i="7" l="1"/>
  <c r="B696" i="7"/>
  <c r="A696" i="7"/>
  <c r="AI697" i="7"/>
  <c r="AH698" i="7"/>
  <c r="AG646" i="7"/>
  <c r="C697" i="7" l="1"/>
  <c r="B697" i="7"/>
  <c r="A697" i="7"/>
  <c r="AH699" i="7"/>
  <c r="AI698" i="7"/>
  <c r="AG647" i="7"/>
  <c r="AI699" i="7" l="1"/>
  <c r="AH700" i="7"/>
  <c r="C698" i="7"/>
  <c r="B698" i="7"/>
  <c r="A698" i="7"/>
  <c r="AG648" i="7"/>
  <c r="AI700" i="7" l="1"/>
  <c r="AH701" i="7"/>
  <c r="C699" i="7"/>
  <c r="B699" i="7"/>
  <c r="A699" i="7"/>
  <c r="AG649" i="7"/>
  <c r="AH702" i="7" l="1"/>
  <c r="AI701" i="7"/>
  <c r="C700" i="7"/>
  <c r="B700" i="7"/>
  <c r="A700" i="7"/>
  <c r="AG650" i="7"/>
  <c r="C701" i="7" l="1"/>
  <c r="B701" i="7"/>
  <c r="A701" i="7"/>
  <c r="AI702" i="7"/>
  <c r="AH703" i="7"/>
  <c r="AG651" i="7"/>
  <c r="B702" i="7" l="1"/>
  <c r="C702" i="7"/>
  <c r="A702" i="7"/>
  <c r="AH704" i="7"/>
  <c r="AI703" i="7"/>
  <c r="AG652" i="7"/>
  <c r="AI704" i="7" l="1"/>
  <c r="AH705" i="7"/>
  <c r="C703" i="7"/>
  <c r="B703" i="7"/>
  <c r="A703" i="7"/>
  <c r="AG653" i="7"/>
  <c r="AI705" i="7" l="1"/>
  <c r="AH706" i="7"/>
  <c r="C704" i="7"/>
  <c r="B704" i="7"/>
  <c r="A704" i="7"/>
  <c r="AG654" i="7"/>
  <c r="AH707" i="7" l="1"/>
  <c r="AI706" i="7"/>
  <c r="C705" i="7"/>
  <c r="B705" i="7"/>
  <c r="A705" i="7"/>
  <c r="AG655" i="7"/>
  <c r="C706" i="7" l="1"/>
  <c r="B706" i="7"/>
  <c r="A706" i="7"/>
  <c r="AH708" i="7"/>
  <c r="AI707" i="7"/>
  <c r="AG656" i="7"/>
  <c r="AI708" i="7" l="1"/>
  <c r="AH709" i="7"/>
  <c r="C707" i="7"/>
  <c r="B707" i="7"/>
  <c r="A707" i="7"/>
  <c r="AG657" i="7"/>
  <c r="AI709" i="7" l="1"/>
  <c r="AH710" i="7"/>
  <c r="C708" i="7"/>
  <c r="B708" i="7"/>
  <c r="A708" i="7"/>
  <c r="AG658" i="7"/>
  <c r="AI710" i="7" l="1"/>
  <c r="AH711" i="7"/>
  <c r="C709" i="7"/>
  <c r="B709" i="7"/>
  <c r="A709" i="7"/>
  <c r="AG659" i="7"/>
  <c r="AH712" i="7" l="1"/>
  <c r="AI711" i="7"/>
  <c r="B710" i="7"/>
  <c r="C710" i="7"/>
  <c r="A710" i="7"/>
  <c r="AG660" i="7"/>
  <c r="C711" i="7" l="1"/>
  <c r="B711" i="7"/>
  <c r="A711" i="7"/>
  <c r="AH713" i="7"/>
  <c r="AI712" i="7"/>
  <c r="AG661" i="7"/>
  <c r="AI713" i="7" l="1"/>
  <c r="AH714" i="7"/>
  <c r="C712" i="7"/>
  <c r="B712" i="7"/>
  <c r="A712" i="7"/>
  <c r="AG662" i="7"/>
  <c r="AH715" i="7" l="1"/>
  <c r="AI714" i="7"/>
  <c r="C713" i="7"/>
  <c r="B713" i="7"/>
  <c r="A713" i="7"/>
  <c r="AG663" i="7"/>
  <c r="C714" i="7" l="1"/>
  <c r="B714" i="7"/>
  <c r="A714" i="7"/>
  <c r="AH716" i="7"/>
  <c r="AI715" i="7"/>
  <c r="AG664" i="7"/>
  <c r="AH717" i="7" l="1"/>
  <c r="AI716" i="7"/>
  <c r="C715" i="7"/>
  <c r="B715" i="7"/>
  <c r="A715" i="7"/>
  <c r="AG665" i="7"/>
  <c r="C716" i="7" l="1"/>
  <c r="B716" i="7"/>
  <c r="A716" i="7"/>
  <c r="AI717" i="7"/>
  <c r="AH718" i="7"/>
  <c r="AG666" i="7"/>
  <c r="B717" i="7" l="1"/>
  <c r="A717" i="7"/>
  <c r="AI718" i="7"/>
  <c r="AH719" i="7"/>
  <c r="AG667" i="7"/>
  <c r="AH720" i="7" l="1"/>
  <c r="AI719" i="7"/>
  <c r="B718" i="7"/>
  <c r="A718" i="7"/>
  <c r="AG668" i="7"/>
  <c r="B719" i="7" l="1"/>
  <c r="A719" i="7"/>
  <c r="AI720" i="7"/>
  <c r="AH721" i="7"/>
  <c r="AG669" i="7"/>
  <c r="AI721" i="7" l="1"/>
  <c r="AH722" i="7"/>
  <c r="B720" i="7"/>
  <c r="A720" i="7"/>
  <c r="AG670" i="7"/>
  <c r="AH723" i="7" l="1"/>
  <c r="AI722" i="7"/>
  <c r="B721" i="7"/>
  <c r="A721" i="7"/>
  <c r="AG671" i="7"/>
  <c r="B722" i="7" l="1"/>
  <c r="A722" i="7"/>
  <c r="AH724" i="7"/>
  <c r="AI723" i="7"/>
  <c r="AG672" i="7"/>
  <c r="B723" i="7" l="1"/>
  <c r="A723" i="7"/>
  <c r="AH725" i="7"/>
  <c r="AI724" i="7"/>
  <c r="AG673" i="7"/>
  <c r="B724" i="7" l="1"/>
  <c r="A724" i="7"/>
  <c r="AI725" i="7"/>
  <c r="AH726" i="7"/>
  <c r="AG674" i="7"/>
  <c r="AI726" i="7" l="1"/>
  <c r="AH727" i="7"/>
  <c r="B725" i="7"/>
  <c r="A725" i="7"/>
  <c r="AG675" i="7"/>
  <c r="AH728" i="7" l="1"/>
  <c r="AI727" i="7"/>
  <c r="B726" i="7"/>
  <c r="A726" i="7"/>
  <c r="AG676" i="7"/>
  <c r="B727" i="7" l="1"/>
  <c r="A727" i="7"/>
  <c r="AH729" i="7"/>
  <c r="AI728" i="7"/>
  <c r="AG677" i="7"/>
  <c r="B728" i="7" l="1"/>
  <c r="A728" i="7"/>
  <c r="AI729" i="7"/>
  <c r="AH730" i="7"/>
  <c r="AG678" i="7"/>
  <c r="AH731" i="7" l="1"/>
  <c r="AI730" i="7"/>
  <c r="B729" i="7"/>
  <c r="A729" i="7"/>
  <c r="AG679" i="7"/>
  <c r="B730" i="7" l="1"/>
  <c r="A730" i="7"/>
  <c r="AH732" i="7"/>
  <c r="AI731" i="7"/>
  <c r="AG680" i="7"/>
  <c r="B731" i="7" l="1"/>
  <c r="A731" i="7"/>
  <c r="AH733" i="7"/>
  <c r="AI732" i="7"/>
  <c r="AG681" i="7"/>
  <c r="B732" i="7" l="1"/>
  <c r="A732" i="7"/>
  <c r="AI733" i="7"/>
  <c r="AH734" i="7"/>
  <c r="AG682" i="7"/>
  <c r="AI734" i="7" l="1"/>
  <c r="AH735" i="7"/>
  <c r="B733" i="7"/>
  <c r="A733" i="7"/>
  <c r="AG683" i="7"/>
  <c r="AH736" i="7" l="1"/>
  <c r="AI735" i="7"/>
  <c r="B734" i="7"/>
  <c r="A734" i="7"/>
  <c r="AG684" i="7"/>
  <c r="B735" i="7" l="1"/>
  <c r="A735" i="7"/>
  <c r="AI736" i="7"/>
  <c r="AH737" i="7"/>
  <c r="AG685" i="7"/>
  <c r="AI737" i="7" l="1"/>
  <c r="AH738" i="7"/>
  <c r="B736" i="7"/>
  <c r="A736" i="7"/>
  <c r="AG686" i="7"/>
  <c r="AH739" i="7" l="1"/>
  <c r="AI738" i="7"/>
  <c r="B737" i="7"/>
  <c r="A737" i="7"/>
  <c r="AG687" i="7"/>
  <c r="B738" i="7" l="1"/>
  <c r="A738" i="7"/>
  <c r="AH740" i="7"/>
  <c r="AI739" i="7"/>
  <c r="AG688" i="7"/>
  <c r="B739" i="7" l="1"/>
  <c r="A739" i="7"/>
  <c r="AI740" i="7"/>
  <c r="AH741" i="7"/>
  <c r="AG689" i="7"/>
  <c r="AI741" i="7" l="1"/>
  <c r="AH742" i="7"/>
  <c r="B740" i="7"/>
  <c r="A740" i="7"/>
  <c r="AG690" i="7"/>
  <c r="AI742" i="7" l="1"/>
  <c r="AH743" i="7"/>
  <c r="B741" i="7"/>
  <c r="A741" i="7"/>
  <c r="AG691" i="7"/>
  <c r="AH744" i="7" l="1"/>
  <c r="AI743" i="7"/>
  <c r="B742" i="7"/>
  <c r="A742" i="7"/>
  <c r="AG692" i="7"/>
  <c r="B743" i="7" l="1"/>
  <c r="A743" i="7"/>
  <c r="AH745" i="7"/>
  <c r="AI744" i="7"/>
  <c r="AG693" i="7"/>
  <c r="C744" i="7" l="1"/>
  <c r="B744" i="7"/>
  <c r="A744" i="7"/>
  <c r="AI745" i="7"/>
  <c r="AH746" i="7"/>
  <c r="AG694" i="7"/>
  <c r="B745" i="7" l="1"/>
  <c r="C745" i="7"/>
  <c r="A745" i="7"/>
  <c r="AH747" i="7"/>
  <c r="AI746" i="7"/>
  <c r="AG695" i="7"/>
  <c r="AH748" i="7" l="1"/>
  <c r="AI747" i="7"/>
  <c r="C746" i="7"/>
  <c r="B746" i="7"/>
  <c r="A746" i="7"/>
  <c r="AG696" i="7"/>
  <c r="B747" i="7" l="1"/>
  <c r="C747" i="7"/>
  <c r="A747" i="7"/>
  <c r="AH749" i="7"/>
  <c r="AI748" i="7"/>
  <c r="AG697" i="7"/>
  <c r="AH750" i="7" l="1"/>
  <c r="AI749" i="7"/>
  <c r="C748" i="7"/>
  <c r="B748" i="7"/>
  <c r="A748" i="7"/>
  <c r="AG698" i="7"/>
  <c r="B749" i="7" l="1"/>
  <c r="C749" i="7"/>
  <c r="A749" i="7"/>
  <c r="AI750" i="7"/>
  <c r="AH751" i="7"/>
  <c r="AG699" i="7"/>
  <c r="B750" i="7" l="1"/>
  <c r="C750" i="7"/>
  <c r="A750" i="7"/>
  <c r="AH752" i="7"/>
  <c r="AI751" i="7"/>
  <c r="AG700" i="7"/>
  <c r="AI752" i="7" l="1"/>
  <c r="AH753" i="7"/>
  <c r="B751" i="7"/>
  <c r="C751" i="7"/>
  <c r="A751" i="7"/>
  <c r="AG701" i="7"/>
  <c r="AI753" i="7" l="1"/>
  <c r="AH754" i="7"/>
  <c r="C752" i="7"/>
  <c r="B752" i="7"/>
  <c r="A752" i="7"/>
  <c r="AG702" i="7"/>
  <c r="AH755" i="7" l="1"/>
  <c r="AI754" i="7"/>
  <c r="B753" i="7"/>
  <c r="C753" i="7"/>
  <c r="A753" i="7"/>
  <c r="AG703" i="7"/>
  <c r="C754" i="7" l="1"/>
  <c r="B754" i="7"/>
  <c r="A754" i="7"/>
  <c r="AH756" i="7"/>
  <c r="AI755" i="7"/>
  <c r="AG704" i="7"/>
  <c r="AH757" i="7" l="1"/>
  <c r="AI756" i="7"/>
  <c r="B755" i="7"/>
  <c r="C755" i="7"/>
  <c r="A755" i="7"/>
  <c r="AG705" i="7"/>
  <c r="C756" i="7" l="1"/>
  <c r="B756" i="7"/>
  <c r="A756" i="7"/>
  <c r="AI757" i="7"/>
  <c r="AH758" i="7"/>
  <c r="AG706" i="7"/>
  <c r="B757" i="7" l="1"/>
  <c r="C757" i="7"/>
  <c r="A757" i="7"/>
  <c r="AI758" i="7"/>
  <c r="AH759" i="7"/>
  <c r="AG707" i="7"/>
  <c r="B758" i="7" l="1"/>
  <c r="C758" i="7"/>
  <c r="A758" i="7"/>
  <c r="AH760" i="7"/>
  <c r="AI759" i="7"/>
  <c r="AG708" i="7"/>
  <c r="AH761" i="7" l="1"/>
  <c r="AI760" i="7"/>
  <c r="B759" i="7"/>
  <c r="C759" i="7"/>
  <c r="A759" i="7"/>
  <c r="AG709" i="7"/>
  <c r="C760" i="7" l="1"/>
  <c r="B760" i="7"/>
  <c r="A760" i="7"/>
  <c r="AI761" i="7"/>
  <c r="AH762" i="7"/>
  <c r="AG710" i="7"/>
  <c r="B761" i="7" l="1"/>
  <c r="C761" i="7"/>
  <c r="A761" i="7"/>
  <c r="AH763" i="7"/>
  <c r="AI762" i="7"/>
  <c r="AG711" i="7"/>
  <c r="AH764" i="7" l="1"/>
  <c r="AI763" i="7"/>
  <c r="C762" i="7"/>
  <c r="B762" i="7"/>
  <c r="A762" i="7"/>
  <c r="AG712" i="7"/>
  <c r="B763" i="7" l="1"/>
  <c r="C763" i="7"/>
  <c r="A763" i="7"/>
  <c r="AH765" i="7"/>
  <c r="AI764" i="7"/>
  <c r="AG713" i="7"/>
  <c r="AI765" i="7" l="1"/>
  <c r="AH766" i="7"/>
  <c r="C764" i="7"/>
  <c r="B764" i="7"/>
  <c r="A764" i="7"/>
  <c r="AG714" i="7"/>
  <c r="AH767" i="7" l="1"/>
  <c r="AI766" i="7"/>
  <c r="B765" i="7"/>
  <c r="C765" i="7"/>
  <c r="A765" i="7"/>
  <c r="AG715" i="7"/>
  <c r="B766" i="7" l="1"/>
  <c r="C766" i="7"/>
  <c r="A766" i="7"/>
  <c r="AH768" i="7"/>
  <c r="AI767" i="7"/>
  <c r="AG716" i="7"/>
  <c r="AI768" i="7" l="1"/>
  <c r="AH769" i="7"/>
  <c r="B767" i="7"/>
  <c r="C767" i="7"/>
  <c r="A767" i="7"/>
  <c r="AG717" i="7"/>
  <c r="AI769" i="7" l="1"/>
  <c r="AH770" i="7"/>
  <c r="C768" i="7"/>
  <c r="B768" i="7"/>
  <c r="A768" i="7"/>
  <c r="AG718" i="7"/>
  <c r="AI770" i="7" l="1"/>
  <c r="AH771" i="7"/>
  <c r="B769" i="7"/>
  <c r="C769" i="7"/>
  <c r="A769" i="7"/>
  <c r="AG719" i="7"/>
  <c r="AH772" i="7" l="1"/>
  <c r="AI771" i="7"/>
  <c r="C770" i="7"/>
  <c r="B770" i="7"/>
  <c r="A770" i="7"/>
  <c r="AG720" i="7"/>
  <c r="A771" i="7" l="1"/>
  <c r="B771" i="7"/>
  <c r="C771" i="7"/>
  <c r="AI772" i="7"/>
  <c r="AH773" i="7"/>
  <c r="AG721" i="7"/>
  <c r="B772" i="7" l="1"/>
  <c r="C772" i="7"/>
  <c r="A772" i="7"/>
  <c r="AI773" i="7"/>
  <c r="AH774" i="7"/>
  <c r="AG722" i="7"/>
  <c r="C773" i="7" l="1"/>
  <c r="A773" i="7"/>
  <c r="B773" i="7"/>
  <c r="AH775" i="7"/>
  <c r="AI774" i="7"/>
  <c r="AG723" i="7"/>
  <c r="AH776" i="7" l="1"/>
  <c r="AI775" i="7"/>
  <c r="C774" i="7"/>
  <c r="B774" i="7"/>
  <c r="A774" i="7"/>
  <c r="AG724" i="7"/>
  <c r="A775" i="7" l="1"/>
  <c r="C775" i="7"/>
  <c r="B775" i="7"/>
  <c r="AH777" i="7"/>
  <c r="AI776" i="7"/>
  <c r="AG725" i="7"/>
  <c r="AH778" i="7" l="1"/>
  <c r="AI777" i="7"/>
  <c r="C776" i="7"/>
  <c r="B776" i="7"/>
  <c r="A776" i="7"/>
  <c r="AG726" i="7"/>
  <c r="A777" i="7" l="1"/>
  <c r="C777" i="7"/>
  <c r="B777" i="7"/>
  <c r="AH779" i="7"/>
  <c r="AI778" i="7"/>
  <c r="AG727" i="7"/>
  <c r="AH780" i="7" l="1"/>
  <c r="AI779" i="7"/>
  <c r="B778" i="7"/>
  <c r="A778" i="7"/>
  <c r="C778" i="7"/>
  <c r="AG728" i="7"/>
  <c r="C779" i="7" l="1"/>
  <c r="B779" i="7"/>
  <c r="A779" i="7"/>
  <c r="AI780" i="7"/>
  <c r="AH781" i="7"/>
  <c r="AG729" i="7"/>
  <c r="C780" i="7" l="1"/>
  <c r="B780" i="7"/>
  <c r="A780" i="7"/>
  <c r="AH782" i="7"/>
  <c r="AI781" i="7"/>
  <c r="AG730" i="7"/>
  <c r="AH783" i="7" l="1"/>
  <c r="AI782" i="7"/>
  <c r="A781" i="7"/>
  <c r="C781" i="7"/>
  <c r="B781" i="7"/>
  <c r="AG731" i="7"/>
  <c r="B782" i="7" l="1"/>
  <c r="A782" i="7"/>
  <c r="C782" i="7"/>
  <c r="AH784" i="7"/>
  <c r="AI783" i="7"/>
  <c r="AG732" i="7"/>
  <c r="AI784" i="7" l="1"/>
  <c r="AH785" i="7"/>
  <c r="C783" i="7"/>
  <c r="B783" i="7"/>
  <c r="A783" i="7"/>
  <c r="AG733" i="7"/>
  <c r="AI785" i="7" l="1"/>
  <c r="AH786" i="7"/>
  <c r="C784" i="7"/>
  <c r="B784" i="7"/>
  <c r="A784" i="7"/>
  <c r="AG734" i="7"/>
  <c r="AI786" i="7" l="1"/>
  <c r="AH787" i="7"/>
  <c r="A785" i="7"/>
  <c r="C785" i="7"/>
  <c r="B785" i="7"/>
  <c r="AG735" i="7"/>
  <c r="AH788" i="7" l="1"/>
  <c r="AI787" i="7"/>
  <c r="B786" i="7"/>
  <c r="A786" i="7"/>
  <c r="C786" i="7"/>
  <c r="AG736" i="7"/>
  <c r="C787" i="7" l="1"/>
  <c r="B787" i="7"/>
  <c r="A787" i="7"/>
  <c r="AI788" i="7"/>
  <c r="AH789" i="7"/>
  <c r="AG737" i="7"/>
  <c r="C788" i="7" l="1"/>
  <c r="B788" i="7"/>
  <c r="A788" i="7"/>
  <c r="AI789" i="7"/>
  <c r="AH790" i="7"/>
  <c r="AG738" i="7"/>
  <c r="A789" i="7" l="1"/>
  <c r="C789" i="7"/>
  <c r="B789" i="7"/>
  <c r="AH791" i="7"/>
  <c r="AI790" i="7"/>
  <c r="AG739" i="7"/>
  <c r="AH792" i="7" l="1"/>
  <c r="AI791" i="7"/>
  <c r="B790" i="7"/>
  <c r="A790" i="7"/>
  <c r="C790" i="7"/>
  <c r="AG740" i="7"/>
  <c r="C791" i="7" l="1"/>
  <c r="B791" i="7"/>
  <c r="A791" i="7"/>
  <c r="AH793" i="7"/>
  <c r="AI792" i="7"/>
  <c r="AG741" i="7"/>
  <c r="AI793" i="7" l="1"/>
  <c r="AH794" i="7"/>
  <c r="C792" i="7"/>
  <c r="B792" i="7"/>
  <c r="A792" i="7"/>
  <c r="AG742" i="7"/>
  <c r="AH795" i="7" l="1"/>
  <c r="AI794" i="7"/>
  <c r="C793" i="7"/>
  <c r="A793" i="7"/>
  <c r="B793" i="7"/>
  <c r="AG743" i="7"/>
  <c r="C794" i="7" l="1"/>
  <c r="B794" i="7"/>
  <c r="A794" i="7"/>
  <c r="AH796" i="7"/>
  <c r="AI795" i="7"/>
  <c r="AG744" i="7"/>
  <c r="AH797" i="7" l="1"/>
  <c r="AI796" i="7"/>
  <c r="A795" i="7"/>
  <c r="C795" i="7"/>
  <c r="B795" i="7"/>
  <c r="AG745" i="7"/>
  <c r="B796" i="7" l="1"/>
  <c r="C796" i="7"/>
  <c r="A796" i="7"/>
  <c r="AI797" i="7"/>
  <c r="AH798" i="7"/>
  <c r="AG746" i="7"/>
  <c r="C797" i="7" l="1"/>
  <c r="B797" i="7"/>
  <c r="A797" i="7"/>
  <c r="AH799" i="7"/>
  <c r="AI798" i="7"/>
  <c r="AG747" i="7"/>
  <c r="AH800" i="7" l="1"/>
  <c r="AI799" i="7"/>
  <c r="B798" i="7"/>
  <c r="A798" i="7"/>
  <c r="C798" i="7"/>
  <c r="AG748" i="7"/>
  <c r="A799" i="7" l="1"/>
  <c r="C799" i="7"/>
  <c r="B799" i="7"/>
  <c r="AI800" i="7"/>
  <c r="AH801" i="7"/>
  <c r="AG749" i="7"/>
  <c r="B800" i="7" l="1"/>
  <c r="A800" i="7"/>
  <c r="C800" i="7"/>
  <c r="AI801" i="7"/>
  <c r="AH802" i="7"/>
  <c r="AG750" i="7"/>
  <c r="C801" i="7" l="1"/>
  <c r="B801" i="7"/>
  <c r="A801" i="7"/>
  <c r="AI802" i="7"/>
  <c r="AH803" i="7"/>
  <c r="AG751" i="7"/>
  <c r="A802" i="7" l="1"/>
  <c r="C802" i="7"/>
  <c r="B802" i="7"/>
  <c r="AH804" i="7"/>
  <c r="AI803" i="7"/>
  <c r="AG752" i="7"/>
  <c r="AI804" i="7" l="1"/>
  <c r="AH805" i="7"/>
  <c r="A803" i="7"/>
  <c r="C803" i="7"/>
  <c r="B803" i="7"/>
  <c r="AG753" i="7"/>
  <c r="AI805" i="7" l="1"/>
  <c r="AH806" i="7"/>
  <c r="B804" i="7"/>
  <c r="C804" i="7"/>
  <c r="A804" i="7"/>
  <c r="AG754" i="7"/>
  <c r="AH807" i="7" l="1"/>
  <c r="AI806" i="7"/>
  <c r="C805" i="7"/>
  <c r="B805" i="7"/>
  <c r="A805" i="7"/>
  <c r="AG755" i="7"/>
  <c r="C806" i="7" l="1"/>
  <c r="B806" i="7"/>
  <c r="A806" i="7"/>
  <c r="AH808" i="7"/>
  <c r="AI807" i="7"/>
  <c r="AG756" i="7"/>
  <c r="AH809" i="7" l="1"/>
  <c r="AI808" i="7"/>
  <c r="A807" i="7"/>
  <c r="B807" i="7"/>
  <c r="C807" i="7"/>
  <c r="AG757" i="7"/>
  <c r="B808" i="7" l="1"/>
  <c r="C808" i="7"/>
  <c r="A808" i="7"/>
  <c r="AI809" i="7"/>
  <c r="AH810" i="7"/>
  <c r="AG758" i="7"/>
  <c r="C809" i="7" l="1"/>
  <c r="A809" i="7"/>
  <c r="B809" i="7"/>
  <c r="AH811" i="7"/>
  <c r="AI810" i="7"/>
  <c r="AG759" i="7"/>
  <c r="AH812" i="7" l="1"/>
  <c r="AI811" i="7"/>
  <c r="C810" i="7"/>
  <c r="B810" i="7"/>
  <c r="A810" i="7"/>
  <c r="AG760" i="7"/>
  <c r="A811" i="7" l="1"/>
  <c r="C811" i="7"/>
  <c r="B811" i="7"/>
  <c r="AH813" i="7"/>
  <c r="AI812" i="7"/>
  <c r="AG761" i="7"/>
  <c r="AI813" i="7" l="1"/>
  <c r="AH814" i="7"/>
  <c r="B812" i="7"/>
  <c r="C812" i="7"/>
  <c r="A812" i="7"/>
  <c r="AG762" i="7"/>
  <c r="AH815" i="7" l="1"/>
  <c r="AI814" i="7"/>
  <c r="C813" i="7"/>
  <c r="B813" i="7"/>
  <c r="A813" i="7"/>
  <c r="AG763" i="7"/>
  <c r="B814" i="7" l="1"/>
  <c r="A814" i="7"/>
  <c r="C814" i="7"/>
  <c r="AI815" i="7"/>
  <c r="AH816" i="7"/>
  <c r="AG764" i="7"/>
  <c r="A815" i="7" l="1"/>
  <c r="C815" i="7"/>
  <c r="B815" i="7"/>
  <c r="AH817" i="7"/>
  <c r="AI816" i="7"/>
  <c r="AG765" i="7"/>
  <c r="AI817" i="7" l="1"/>
  <c r="AH818" i="7"/>
  <c r="B816" i="7"/>
  <c r="A816" i="7"/>
  <c r="C816" i="7"/>
  <c r="AG766" i="7"/>
  <c r="AH819" i="7" l="1"/>
  <c r="AI818" i="7"/>
  <c r="C817" i="7"/>
  <c r="B817" i="7"/>
  <c r="A817" i="7"/>
  <c r="AG767" i="7"/>
  <c r="A818" i="7" l="1"/>
  <c r="C818" i="7"/>
  <c r="B818" i="7"/>
  <c r="AI819" i="7"/>
  <c r="AH820" i="7"/>
  <c r="AG768" i="7"/>
  <c r="A819" i="7" l="1"/>
  <c r="C819" i="7"/>
  <c r="B819" i="7"/>
  <c r="AI820" i="7"/>
  <c r="AH821" i="7"/>
  <c r="AG769" i="7"/>
  <c r="B820" i="7" l="1"/>
  <c r="C820" i="7"/>
  <c r="A820" i="7"/>
  <c r="AI821" i="7"/>
  <c r="AH822" i="7"/>
  <c r="AG770" i="7"/>
  <c r="C821" i="7" l="1"/>
  <c r="B821" i="7"/>
  <c r="A821" i="7"/>
  <c r="AH823" i="7"/>
  <c r="AI822" i="7"/>
  <c r="AG771" i="7"/>
  <c r="AH824" i="7" l="1"/>
  <c r="AI823" i="7"/>
  <c r="C822" i="7"/>
  <c r="B822" i="7"/>
  <c r="A822" i="7"/>
  <c r="AG772" i="7"/>
  <c r="A823" i="7" l="1"/>
  <c r="B823" i="7"/>
  <c r="C823" i="7"/>
  <c r="AH825" i="7"/>
  <c r="AI824" i="7"/>
  <c r="AG773" i="7"/>
  <c r="AH826" i="7" l="1"/>
  <c r="AI825" i="7"/>
  <c r="B824" i="7"/>
  <c r="C824" i="7"/>
  <c r="A824" i="7"/>
  <c r="AG774" i="7"/>
  <c r="A825" i="7" l="1"/>
  <c r="B825" i="7"/>
  <c r="AH827" i="7"/>
  <c r="AI826" i="7"/>
  <c r="AG775" i="7"/>
  <c r="A826" i="7" l="1"/>
  <c r="B826" i="7"/>
  <c r="AH828" i="7"/>
  <c r="AI827" i="7"/>
  <c r="AG776" i="7"/>
  <c r="B827" i="7" l="1"/>
  <c r="A827" i="7"/>
  <c r="AH829" i="7"/>
  <c r="AI828" i="7"/>
  <c r="AG777" i="7"/>
  <c r="A828" i="7" l="1"/>
  <c r="B828" i="7"/>
  <c r="AI829" i="7"/>
  <c r="AH830" i="7"/>
  <c r="AG778" i="7"/>
  <c r="AH831" i="7" l="1"/>
  <c r="AI830" i="7"/>
  <c r="B829" i="7"/>
  <c r="A829" i="7"/>
  <c r="AG779" i="7"/>
  <c r="A830" i="7" l="1"/>
  <c r="B830" i="7"/>
  <c r="AH832" i="7"/>
  <c r="AI831" i="7"/>
  <c r="AG780" i="7"/>
  <c r="B831" i="7" l="1"/>
  <c r="A831" i="7"/>
  <c r="AI832" i="7"/>
  <c r="AH833" i="7"/>
  <c r="AG781" i="7"/>
  <c r="AI833" i="7" l="1"/>
  <c r="AH834" i="7"/>
  <c r="A832" i="7"/>
  <c r="B832" i="7"/>
  <c r="AG782" i="7"/>
  <c r="AI834" i="7" l="1"/>
  <c r="AH835" i="7"/>
  <c r="A833" i="7"/>
  <c r="B833" i="7"/>
  <c r="AG783" i="7"/>
  <c r="AH836" i="7" l="1"/>
  <c r="AI835" i="7"/>
  <c r="A834" i="7"/>
  <c r="B834" i="7"/>
  <c r="AG784" i="7"/>
  <c r="B835" i="7" l="1"/>
  <c r="A835" i="7"/>
  <c r="AI836" i="7"/>
  <c r="AH837" i="7"/>
  <c r="AG785" i="7"/>
  <c r="AI837" i="7" l="1"/>
  <c r="AH838" i="7"/>
  <c r="A836" i="7"/>
  <c r="B836" i="7"/>
  <c r="AG786" i="7"/>
  <c r="AH839" i="7" l="1"/>
  <c r="AI838" i="7"/>
  <c r="B837" i="7"/>
  <c r="A837" i="7"/>
  <c r="AG787" i="7"/>
  <c r="A838" i="7" l="1"/>
  <c r="B838" i="7"/>
  <c r="AH840" i="7"/>
  <c r="AI839" i="7"/>
  <c r="AG788" i="7"/>
  <c r="B839" i="7" l="1"/>
  <c r="A839" i="7"/>
  <c r="AH841" i="7"/>
  <c r="AI840" i="7"/>
  <c r="AG789" i="7"/>
  <c r="A840" i="7" l="1"/>
  <c r="B840" i="7"/>
  <c r="AI841" i="7"/>
  <c r="AH842" i="7"/>
  <c r="AG790" i="7"/>
  <c r="AH843" i="7" l="1"/>
  <c r="AI842" i="7"/>
  <c r="B841" i="7"/>
  <c r="A841" i="7"/>
  <c r="AG791" i="7"/>
  <c r="A842" i="7" l="1"/>
  <c r="B842" i="7"/>
  <c r="AH844" i="7"/>
  <c r="AI843" i="7"/>
  <c r="AG792" i="7"/>
  <c r="B843" i="7" l="1"/>
  <c r="A843" i="7"/>
  <c r="AH845" i="7"/>
  <c r="AI844" i="7"/>
  <c r="AG793" i="7"/>
  <c r="A844" i="7" l="1"/>
  <c r="B844" i="7"/>
  <c r="AI845" i="7"/>
  <c r="AH846" i="7"/>
  <c r="AG794" i="7"/>
  <c r="AH847" i="7" l="1"/>
  <c r="AI846" i="7"/>
  <c r="B845" i="7"/>
  <c r="A845" i="7"/>
  <c r="AG795" i="7"/>
  <c r="A846" i="7" l="1"/>
  <c r="B846" i="7"/>
  <c r="AH848" i="7"/>
  <c r="AI847" i="7"/>
  <c r="AG796" i="7"/>
  <c r="A847" i="7" l="1"/>
  <c r="B847" i="7"/>
  <c r="AH849" i="7"/>
  <c r="AI848" i="7"/>
  <c r="AG797" i="7"/>
  <c r="A848" i="7" l="1"/>
  <c r="B848" i="7"/>
  <c r="AI849" i="7"/>
  <c r="AH850" i="7"/>
  <c r="AG798" i="7"/>
  <c r="AH851" i="7" l="1"/>
  <c r="AI850" i="7"/>
  <c r="B849" i="7"/>
  <c r="A849" i="7"/>
  <c r="AG799" i="7"/>
  <c r="A850" i="7" l="1"/>
  <c r="B850" i="7"/>
  <c r="AH852" i="7"/>
  <c r="AI851" i="7"/>
  <c r="AG800" i="7"/>
  <c r="B851" i="7" l="1"/>
  <c r="A851" i="7"/>
  <c r="AI852" i="7"/>
  <c r="AH853" i="7"/>
  <c r="AG801" i="7"/>
  <c r="AI853" i="7" l="1"/>
  <c r="AH854" i="7"/>
  <c r="B852" i="7"/>
  <c r="A852" i="7"/>
  <c r="AG802" i="7"/>
  <c r="AI854" i="7" l="1"/>
  <c r="AH855" i="7"/>
  <c r="B853" i="7"/>
  <c r="A853" i="7"/>
  <c r="AG803" i="7"/>
  <c r="AH856" i="7" l="1"/>
  <c r="AI855" i="7"/>
  <c r="B854" i="7"/>
  <c r="A854" i="7"/>
  <c r="AG804" i="7"/>
  <c r="B855" i="7" l="1"/>
  <c r="A855" i="7"/>
  <c r="AI856" i="7"/>
  <c r="AH857" i="7"/>
  <c r="AG805" i="7"/>
  <c r="AI857" i="7" l="1"/>
  <c r="AH858" i="7"/>
  <c r="B856" i="7"/>
  <c r="A856" i="7"/>
  <c r="AG806" i="7"/>
  <c r="AH859" i="7" l="1"/>
  <c r="AI858" i="7"/>
  <c r="B857" i="7"/>
  <c r="A857" i="7"/>
  <c r="AG807" i="7"/>
  <c r="B858" i="7" l="1"/>
  <c r="A858" i="7"/>
  <c r="AH860" i="7"/>
  <c r="AI859" i="7"/>
  <c r="AG808" i="7"/>
  <c r="B859" i="7" l="1"/>
  <c r="A859" i="7"/>
  <c r="AH861" i="7"/>
  <c r="AI860" i="7"/>
  <c r="AG809" i="7"/>
  <c r="B860" i="7" l="1"/>
  <c r="A860" i="7"/>
  <c r="AI861" i="7"/>
  <c r="AH862" i="7"/>
  <c r="AG810" i="7"/>
  <c r="AH863" i="7" l="1"/>
  <c r="AI862" i="7"/>
  <c r="B861" i="7"/>
  <c r="A861" i="7"/>
  <c r="AG811" i="7"/>
  <c r="B862" i="7" l="1"/>
  <c r="A862" i="7"/>
  <c r="AI863" i="7"/>
  <c r="AH864" i="7"/>
  <c r="AG812" i="7"/>
  <c r="AH865" i="7" l="1"/>
  <c r="AI864" i="7"/>
  <c r="B863" i="7"/>
  <c r="A863" i="7"/>
  <c r="AG813" i="7"/>
  <c r="B864" i="7" l="1"/>
  <c r="A864" i="7"/>
  <c r="AI865" i="7"/>
  <c r="AH866" i="7"/>
  <c r="AG814" i="7"/>
  <c r="AH867" i="7" l="1"/>
  <c r="AI866" i="7"/>
  <c r="B865" i="7"/>
  <c r="A865" i="7"/>
  <c r="AG815" i="7"/>
  <c r="B866" i="7" l="1"/>
  <c r="A866" i="7"/>
  <c r="AH868" i="7"/>
  <c r="AI867" i="7"/>
  <c r="AG816" i="7"/>
  <c r="B867" i="7" l="1"/>
  <c r="A867" i="7"/>
  <c r="AH869" i="7"/>
  <c r="AI868" i="7"/>
  <c r="AG817" i="7"/>
  <c r="B868" i="7" l="1"/>
  <c r="A868" i="7"/>
  <c r="AI869" i="7"/>
  <c r="AH870" i="7"/>
  <c r="AG818" i="7"/>
  <c r="AI870" i="7" l="1"/>
  <c r="AH871" i="7"/>
  <c r="B869" i="7"/>
  <c r="A869" i="7"/>
  <c r="AG819" i="7"/>
  <c r="AH872" i="7" l="1"/>
  <c r="AI871" i="7"/>
  <c r="B870" i="7"/>
  <c r="A870" i="7"/>
  <c r="AG820" i="7"/>
  <c r="B871" i="7" l="1"/>
  <c r="A871" i="7"/>
  <c r="AI872" i="7"/>
  <c r="AH873" i="7"/>
  <c r="AG821" i="7"/>
  <c r="AI873" i="7" l="1"/>
  <c r="AH874" i="7"/>
  <c r="B872" i="7"/>
  <c r="A872" i="7"/>
  <c r="AG822" i="7"/>
  <c r="AH875" i="7" l="1"/>
  <c r="AI874" i="7"/>
  <c r="B873" i="7"/>
  <c r="A873" i="7"/>
  <c r="AG823" i="7"/>
  <c r="B874" i="7" l="1"/>
  <c r="A874" i="7"/>
  <c r="AH876" i="7"/>
  <c r="AI875" i="7"/>
  <c r="AG824" i="7"/>
  <c r="B875" i="7" l="1"/>
  <c r="A875" i="7"/>
  <c r="AI876" i="7"/>
  <c r="AH877" i="7"/>
  <c r="AG825" i="7"/>
  <c r="AI877" i="7" l="1"/>
  <c r="AH878" i="7"/>
  <c r="B876" i="7"/>
  <c r="A876" i="7"/>
  <c r="AG826" i="7"/>
  <c r="AI878" i="7" l="1"/>
  <c r="AH879" i="7"/>
  <c r="B877" i="7"/>
  <c r="A877" i="7"/>
  <c r="AG827" i="7"/>
  <c r="AH880" i="7" l="1"/>
  <c r="AI879" i="7"/>
  <c r="B878" i="7"/>
  <c r="A878" i="7"/>
  <c r="AG828" i="7"/>
  <c r="B879" i="7" l="1"/>
  <c r="A879" i="7"/>
  <c r="AH881" i="7"/>
  <c r="AI880" i="7"/>
  <c r="AG829" i="7"/>
  <c r="B880" i="7" l="1"/>
  <c r="A880" i="7"/>
  <c r="AI881" i="7"/>
  <c r="AH882" i="7"/>
  <c r="AG830" i="7"/>
  <c r="AH883" i="7" l="1"/>
  <c r="AI882" i="7"/>
  <c r="B881" i="7"/>
  <c r="A881" i="7"/>
  <c r="AG831" i="7"/>
  <c r="B882" i="7" l="1"/>
  <c r="A882" i="7"/>
  <c r="AH884" i="7"/>
  <c r="AI883" i="7"/>
  <c r="AG832" i="7"/>
  <c r="B883" i="7" l="1"/>
  <c r="A883" i="7"/>
  <c r="AH885" i="7"/>
  <c r="AI884" i="7"/>
  <c r="AG833" i="7"/>
  <c r="B884" i="7" l="1"/>
  <c r="A884" i="7"/>
  <c r="AI885" i="7"/>
  <c r="AH886" i="7"/>
  <c r="AG834" i="7"/>
  <c r="AI886" i="7" l="1"/>
  <c r="AH887" i="7"/>
  <c r="B885" i="7"/>
  <c r="A885" i="7"/>
  <c r="AG835" i="7"/>
  <c r="AH888" i="7" l="1"/>
  <c r="AI887" i="7"/>
  <c r="B886" i="7"/>
  <c r="A886" i="7"/>
  <c r="AG836" i="7"/>
  <c r="B887" i="7" l="1"/>
  <c r="A887" i="7"/>
  <c r="AI888" i="7"/>
  <c r="AH889" i="7"/>
  <c r="AG837" i="7"/>
  <c r="AI889" i="7" l="1"/>
  <c r="AH890" i="7"/>
  <c r="B888" i="7"/>
  <c r="A888" i="7"/>
  <c r="AG838" i="7"/>
  <c r="AI890" i="7" l="1"/>
  <c r="AH891" i="7"/>
  <c r="B889" i="7"/>
  <c r="A889" i="7"/>
  <c r="AG839" i="7"/>
  <c r="AH892" i="7" l="1"/>
  <c r="AI891" i="7"/>
  <c r="B890" i="7"/>
  <c r="A890" i="7"/>
  <c r="AG840" i="7"/>
  <c r="B891" i="7" l="1"/>
  <c r="A891" i="7"/>
  <c r="AI892" i="7"/>
  <c r="AH893" i="7"/>
  <c r="AG841" i="7"/>
  <c r="AI893" i="7" l="1"/>
  <c r="AH894" i="7"/>
  <c r="B892" i="7"/>
  <c r="A892" i="7"/>
  <c r="AG842" i="7"/>
  <c r="AH895" i="7" l="1"/>
  <c r="AI894" i="7"/>
  <c r="B893" i="7"/>
  <c r="A893" i="7"/>
  <c r="AG843" i="7"/>
  <c r="B894" i="7" l="1"/>
  <c r="A894" i="7"/>
  <c r="AH896" i="7"/>
  <c r="AI895" i="7"/>
  <c r="AG844" i="7"/>
  <c r="B895" i="7" l="1"/>
  <c r="A895" i="7"/>
  <c r="AH897" i="7"/>
  <c r="AI896" i="7"/>
  <c r="AG845" i="7"/>
  <c r="B896" i="7" l="1"/>
  <c r="A896" i="7"/>
  <c r="AI897" i="7"/>
  <c r="AH898" i="7"/>
  <c r="AG846" i="7"/>
  <c r="AH899" i="7" l="1"/>
  <c r="AI898" i="7"/>
  <c r="B897" i="7"/>
  <c r="A897" i="7"/>
  <c r="AG847" i="7"/>
  <c r="B898" i="7" l="1"/>
  <c r="A898" i="7"/>
  <c r="AH900" i="7"/>
  <c r="AI899" i="7"/>
  <c r="AG848" i="7"/>
  <c r="B899" i="7" l="1"/>
  <c r="A899" i="7"/>
  <c r="AH901" i="7"/>
  <c r="AI900" i="7"/>
  <c r="AG849" i="7"/>
  <c r="B900" i="7" l="1"/>
  <c r="A900" i="7"/>
  <c r="AI901" i="7"/>
  <c r="AH902" i="7"/>
  <c r="AG850" i="7"/>
  <c r="AI902" i="7" l="1"/>
  <c r="AH903" i="7"/>
  <c r="B901" i="7"/>
  <c r="A901" i="7"/>
  <c r="AG851" i="7"/>
  <c r="AH904" i="7" l="1"/>
  <c r="AI903" i="7"/>
  <c r="B902" i="7"/>
  <c r="A902" i="7"/>
  <c r="AG852" i="7"/>
  <c r="B903" i="7" l="1"/>
  <c r="A903" i="7"/>
  <c r="AI904" i="7"/>
  <c r="AH905" i="7"/>
  <c r="AG853" i="7"/>
  <c r="AI905" i="7" l="1"/>
  <c r="AH906" i="7"/>
  <c r="B904" i="7"/>
  <c r="A904" i="7"/>
  <c r="AG854" i="7"/>
  <c r="AH907" i="7" l="1"/>
  <c r="AI906" i="7"/>
  <c r="B905" i="7"/>
  <c r="A905" i="7"/>
  <c r="AG855" i="7"/>
  <c r="C906" i="7" l="1"/>
  <c r="A906" i="7"/>
  <c r="B906" i="7"/>
  <c r="AH908" i="7"/>
  <c r="AI907" i="7"/>
  <c r="AG856" i="7"/>
  <c r="AH909" i="7" l="1"/>
  <c r="AI908" i="7"/>
  <c r="C907" i="7"/>
  <c r="B907" i="7"/>
  <c r="A907" i="7"/>
  <c r="AG857" i="7"/>
  <c r="A908" i="7" l="1"/>
  <c r="C908" i="7"/>
  <c r="B908" i="7"/>
  <c r="AI909" i="7"/>
  <c r="AH910" i="7"/>
  <c r="AG858" i="7"/>
  <c r="B909" i="7" l="1"/>
  <c r="C909" i="7"/>
  <c r="A909" i="7"/>
  <c r="AH911" i="7"/>
  <c r="AI910" i="7"/>
  <c r="AG859" i="7"/>
  <c r="AH912" i="7" l="1"/>
  <c r="AI911" i="7"/>
  <c r="C910" i="7"/>
  <c r="B910" i="7"/>
  <c r="A910" i="7"/>
  <c r="AG860" i="7"/>
  <c r="B911" i="7" l="1"/>
  <c r="A911" i="7"/>
  <c r="C911" i="7"/>
  <c r="AH913" i="7"/>
  <c r="AI912" i="7"/>
  <c r="AG861" i="7"/>
  <c r="AI913" i="7" l="1"/>
  <c r="AH914" i="7"/>
  <c r="A912" i="7"/>
  <c r="C912" i="7"/>
  <c r="B912" i="7"/>
  <c r="AG862" i="7"/>
  <c r="AH915" i="7" l="1"/>
  <c r="AI914" i="7"/>
  <c r="B913" i="7"/>
  <c r="A913" i="7"/>
  <c r="C913" i="7"/>
  <c r="AG863" i="7"/>
  <c r="C914" i="7" l="1"/>
  <c r="B914" i="7"/>
  <c r="A914" i="7"/>
  <c r="AH916" i="7"/>
  <c r="AI915" i="7"/>
  <c r="AG864" i="7"/>
  <c r="AI916" i="7" l="1"/>
  <c r="AH917" i="7"/>
  <c r="A915" i="7"/>
  <c r="C915" i="7"/>
  <c r="B915" i="7"/>
  <c r="AG865" i="7"/>
  <c r="AI917" i="7" l="1"/>
  <c r="AH918" i="7"/>
  <c r="A916" i="7"/>
  <c r="C916" i="7"/>
  <c r="B916" i="7"/>
  <c r="AG866" i="7"/>
  <c r="AI918" i="7" l="1"/>
  <c r="AH919" i="7"/>
  <c r="B917" i="7"/>
  <c r="C917" i="7"/>
  <c r="A917" i="7"/>
  <c r="AG867" i="7"/>
  <c r="AH920" i="7" l="1"/>
  <c r="AI919" i="7"/>
  <c r="C918" i="7"/>
  <c r="B918" i="7"/>
  <c r="A918" i="7"/>
  <c r="AG868" i="7"/>
  <c r="C919" i="7" l="1"/>
  <c r="B919" i="7"/>
  <c r="A919" i="7"/>
  <c r="AI920" i="7"/>
  <c r="AH921" i="7"/>
  <c r="AG869" i="7"/>
  <c r="A920" i="7" l="1"/>
  <c r="B920" i="7"/>
  <c r="C920" i="7"/>
  <c r="AI921" i="7"/>
  <c r="AH922" i="7"/>
  <c r="AG870" i="7"/>
  <c r="B921" i="7" l="1"/>
  <c r="C921" i="7"/>
  <c r="A921" i="7"/>
  <c r="AH923" i="7"/>
  <c r="AI922" i="7"/>
  <c r="AG871" i="7"/>
  <c r="AH924" i="7" l="1"/>
  <c r="AI923" i="7"/>
  <c r="C922" i="7"/>
  <c r="A922" i="7"/>
  <c r="B922" i="7"/>
  <c r="AG872" i="7"/>
  <c r="C923" i="7" l="1"/>
  <c r="B923" i="7"/>
  <c r="A923" i="7"/>
  <c r="AH925" i="7"/>
  <c r="AI924" i="7"/>
  <c r="AG873" i="7"/>
  <c r="AI925" i="7" l="1"/>
  <c r="AH926" i="7"/>
  <c r="A924" i="7"/>
  <c r="C924" i="7"/>
  <c r="B924" i="7"/>
  <c r="AG874" i="7"/>
  <c r="AH927" i="7" l="1"/>
  <c r="AI926" i="7"/>
  <c r="B925" i="7"/>
  <c r="C925" i="7"/>
  <c r="A925" i="7"/>
  <c r="AG875" i="7"/>
  <c r="C926" i="7" l="1"/>
  <c r="B926" i="7"/>
  <c r="A926" i="7"/>
  <c r="AH928" i="7"/>
  <c r="AI927" i="7"/>
  <c r="AG876" i="7"/>
  <c r="AH929" i="7" l="1"/>
  <c r="AI928" i="7"/>
  <c r="B927" i="7"/>
  <c r="A927" i="7"/>
  <c r="C927" i="7"/>
  <c r="AG877" i="7"/>
  <c r="A928" i="7" l="1"/>
  <c r="C928" i="7"/>
  <c r="B928" i="7"/>
  <c r="AI929" i="7"/>
  <c r="AH930" i="7"/>
  <c r="AG878" i="7"/>
  <c r="B929" i="7" l="1"/>
  <c r="A929" i="7"/>
  <c r="C929" i="7"/>
  <c r="AH931" i="7"/>
  <c r="AI930" i="7"/>
  <c r="AG879" i="7"/>
  <c r="AH932" i="7" l="1"/>
  <c r="AI931" i="7"/>
  <c r="C930" i="7"/>
  <c r="B930" i="7"/>
  <c r="A930" i="7"/>
  <c r="AG880" i="7"/>
  <c r="A931" i="7" l="1"/>
  <c r="C931" i="7"/>
  <c r="B931" i="7"/>
  <c r="AI932" i="7"/>
  <c r="AH933" i="7"/>
  <c r="AG881" i="7"/>
  <c r="A932" i="7" l="1"/>
  <c r="C932" i="7"/>
  <c r="B932" i="7"/>
  <c r="AI933" i="7"/>
  <c r="AH934" i="7"/>
  <c r="AG882" i="7"/>
  <c r="B933" i="7" l="1"/>
  <c r="A933" i="7"/>
  <c r="AI934" i="7"/>
  <c r="AH935" i="7"/>
  <c r="AG883" i="7"/>
  <c r="AH936" i="7" l="1"/>
  <c r="AI935" i="7"/>
  <c r="B934" i="7"/>
  <c r="A934" i="7"/>
  <c r="AG884" i="7"/>
  <c r="B935" i="7" l="1"/>
  <c r="A935" i="7"/>
  <c r="AI936" i="7"/>
  <c r="AH937" i="7"/>
  <c r="AG885" i="7"/>
  <c r="AI937" i="7" l="1"/>
  <c r="AH938" i="7"/>
  <c r="B936" i="7"/>
  <c r="A936" i="7"/>
  <c r="AG886" i="7"/>
  <c r="AI938" i="7" l="1"/>
  <c r="AH939" i="7"/>
  <c r="B937" i="7"/>
  <c r="A937" i="7"/>
  <c r="AG887" i="7"/>
  <c r="AH940" i="7" l="1"/>
  <c r="AI939" i="7"/>
  <c r="A938" i="7"/>
  <c r="B938" i="7"/>
  <c r="AG888" i="7"/>
  <c r="B939" i="7" l="1"/>
  <c r="A939" i="7"/>
  <c r="AH941" i="7"/>
  <c r="AI940" i="7"/>
  <c r="AG889" i="7"/>
  <c r="B940" i="7" l="1"/>
  <c r="A940" i="7"/>
  <c r="AI941" i="7"/>
  <c r="AH942" i="7"/>
  <c r="AG890" i="7"/>
  <c r="AH943" i="7" l="1"/>
  <c r="AI942" i="7"/>
  <c r="B941" i="7"/>
  <c r="A941" i="7"/>
  <c r="AG891" i="7"/>
  <c r="B942" i="7" l="1"/>
  <c r="A942" i="7"/>
  <c r="AH944" i="7"/>
  <c r="AI943" i="7"/>
  <c r="AG892" i="7"/>
  <c r="B943" i="7" l="1"/>
  <c r="A943" i="7"/>
  <c r="AH945" i="7"/>
  <c r="AI944" i="7"/>
  <c r="AG893" i="7"/>
  <c r="B944" i="7" l="1"/>
  <c r="A944" i="7"/>
  <c r="AI945" i="7"/>
  <c r="AH946" i="7"/>
  <c r="AG894" i="7"/>
  <c r="AI946" i="7" l="1"/>
  <c r="AH947" i="7"/>
  <c r="B945" i="7"/>
  <c r="A945" i="7"/>
  <c r="AG895" i="7"/>
  <c r="AH948" i="7" l="1"/>
  <c r="AI947" i="7"/>
  <c r="A946" i="7"/>
  <c r="B946" i="7"/>
  <c r="AG896" i="7"/>
  <c r="B947" i="7" l="1"/>
  <c r="A947" i="7"/>
  <c r="AI948" i="7"/>
  <c r="AH949" i="7"/>
  <c r="AG897" i="7"/>
  <c r="AI949" i="7" l="1"/>
  <c r="AH950" i="7"/>
  <c r="B948" i="7"/>
  <c r="A948" i="7"/>
  <c r="AG898" i="7"/>
  <c r="AH951" i="7" l="1"/>
  <c r="AI950" i="7"/>
  <c r="B949" i="7"/>
  <c r="A949" i="7"/>
  <c r="AG899" i="7"/>
  <c r="B950" i="7" l="1"/>
  <c r="A950" i="7"/>
  <c r="AH952" i="7"/>
  <c r="AI951" i="7"/>
  <c r="AG900" i="7"/>
  <c r="B951" i="7" l="1"/>
  <c r="A951" i="7"/>
  <c r="AH953" i="7"/>
  <c r="AI952" i="7"/>
  <c r="AG901" i="7"/>
  <c r="B952" i="7" l="1"/>
  <c r="A952" i="7"/>
  <c r="AI953" i="7"/>
  <c r="AH954" i="7"/>
  <c r="AG902" i="7"/>
  <c r="AH955" i="7" l="1"/>
  <c r="AI954" i="7"/>
  <c r="B953" i="7"/>
  <c r="A953" i="7"/>
  <c r="AG903" i="7"/>
  <c r="A954" i="7" l="1"/>
  <c r="B954" i="7"/>
  <c r="AH956" i="7"/>
  <c r="AI955" i="7"/>
  <c r="AG904" i="7"/>
  <c r="B955" i="7" l="1"/>
  <c r="A955" i="7"/>
  <c r="AH957" i="7"/>
  <c r="AI956" i="7"/>
  <c r="AG905" i="7"/>
  <c r="B956" i="7" l="1"/>
  <c r="A956" i="7"/>
  <c r="AI957" i="7"/>
  <c r="AH958" i="7"/>
  <c r="AG906" i="7"/>
  <c r="AH959" i="7" l="1"/>
  <c r="AI958" i="7"/>
  <c r="B957" i="7"/>
  <c r="A957" i="7"/>
  <c r="AG907" i="7"/>
  <c r="B958" i="7" l="1"/>
  <c r="A958" i="7"/>
  <c r="AH960" i="7"/>
  <c r="AI959" i="7"/>
  <c r="AG908" i="7"/>
  <c r="B959" i="7" l="1"/>
  <c r="A959" i="7"/>
  <c r="AI960" i="7"/>
  <c r="AH961" i="7"/>
  <c r="AG909" i="7"/>
  <c r="AI961" i="7" l="1"/>
  <c r="AH962" i="7"/>
  <c r="B960" i="7"/>
  <c r="A960" i="7"/>
  <c r="AG910" i="7"/>
  <c r="AI962" i="7" l="1"/>
  <c r="AH963" i="7"/>
  <c r="B961" i="7"/>
  <c r="A961" i="7"/>
  <c r="AG911" i="7"/>
  <c r="AH964" i="7" l="1"/>
  <c r="AI963" i="7"/>
  <c r="A962" i="7"/>
  <c r="B962" i="7"/>
  <c r="AG912" i="7"/>
  <c r="B963" i="7" l="1"/>
  <c r="A963" i="7"/>
  <c r="AI964" i="7"/>
  <c r="AH965" i="7"/>
  <c r="AG913" i="7"/>
  <c r="AI965" i="7" l="1"/>
  <c r="AH966" i="7"/>
  <c r="B964" i="7"/>
  <c r="A964" i="7"/>
  <c r="AG914" i="7"/>
  <c r="AH967" i="7" l="1"/>
  <c r="AI966" i="7"/>
  <c r="B965" i="7"/>
  <c r="A965" i="7"/>
  <c r="AG915" i="7"/>
  <c r="B966" i="7" l="1"/>
  <c r="A966" i="7"/>
  <c r="AH968" i="7"/>
  <c r="AI967" i="7"/>
  <c r="AG916" i="7"/>
  <c r="B967" i="7" l="1"/>
  <c r="A967" i="7"/>
  <c r="AH969" i="7"/>
  <c r="AI968" i="7"/>
  <c r="AG917" i="7"/>
  <c r="B968" i="7" l="1"/>
  <c r="A968" i="7"/>
  <c r="AI969" i="7"/>
  <c r="AH970" i="7"/>
  <c r="AG918" i="7"/>
  <c r="AH971" i="7" l="1"/>
  <c r="AI970" i="7"/>
  <c r="B969" i="7"/>
  <c r="A969" i="7"/>
  <c r="AG919" i="7"/>
  <c r="A970" i="7" l="1"/>
  <c r="B970" i="7"/>
  <c r="AH972" i="7"/>
  <c r="AI971" i="7"/>
  <c r="AG920" i="7"/>
  <c r="B971" i="7" l="1"/>
  <c r="A971" i="7"/>
  <c r="AH973" i="7"/>
  <c r="AI972" i="7"/>
  <c r="AG921" i="7"/>
  <c r="B972" i="7" l="1"/>
  <c r="A972" i="7"/>
  <c r="AI973" i="7"/>
  <c r="AH974" i="7"/>
  <c r="AG922" i="7"/>
  <c r="AH975" i="7" l="1"/>
  <c r="AI974" i="7"/>
  <c r="B973" i="7"/>
  <c r="A973" i="7"/>
  <c r="AG923" i="7"/>
  <c r="B974" i="7" l="1"/>
  <c r="A974" i="7"/>
  <c r="AH976" i="7"/>
  <c r="AI975" i="7"/>
  <c r="AG924" i="7"/>
  <c r="B975" i="7" l="1"/>
  <c r="A975" i="7"/>
  <c r="AI976" i="7"/>
  <c r="AH977" i="7"/>
  <c r="AG925" i="7"/>
  <c r="AI977" i="7" l="1"/>
  <c r="AH978" i="7"/>
  <c r="B976" i="7"/>
  <c r="A976" i="7"/>
  <c r="AG926" i="7"/>
  <c r="AI978" i="7" l="1"/>
  <c r="AH979" i="7"/>
  <c r="B977" i="7"/>
  <c r="A977" i="7"/>
  <c r="AG927" i="7"/>
  <c r="AH980" i="7" l="1"/>
  <c r="AI979" i="7"/>
  <c r="A978" i="7"/>
  <c r="B978" i="7"/>
  <c r="AG928" i="7"/>
  <c r="B979" i="7" l="1"/>
  <c r="A979" i="7"/>
  <c r="AI980" i="7"/>
  <c r="AH981" i="7"/>
  <c r="AG929" i="7"/>
  <c r="AI981" i="7" l="1"/>
  <c r="AH982" i="7"/>
  <c r="B980" i="7"/>
  <c r="A980" i="7"/>
  <c r="AG930" i="7"/>
  <c r="AH983" i="7" l="1"/>
  <c r="AI982" i="7"/>
  <c r="B981" i="7"/>
  <c r="A981" i="7"/>
  <c r="AG931" i="7"/>
  <c r="B982" i="7" l="1"/>
  <c r="A982" i="7"/>
  <c r="AH984" i="7"/>
  <c r="AI983" i="7"/>
  <c r="B983" i="7" l="1"/>
  <c r="A983" i="7"/>
  <c r="AH985" i="7"/>
  <c r="AI984" i="7"/>
  <c r="AG961" i="7"/>
  <c r="AG932" i="7"/>
  <c r="AG933" i="7"/>
  <c r="AG960" i="7"/>
  <c r="B984" i="7" l="1"/>
  <c r="A984" i="7"/>
  <c r="AI985" i="7"/>
  <c r="AH986" i="7"/>
  <c r="AG962" i="7"/>
  <c r="AG934" i="7"/>
  <c r="AH987" i="7" l="1"/>
  <c r="AI986" i="7"/>
  <c r="B985" i="7"/>
  <c r="A985" i="7"/>
  <c r="AG935" i="7"/>
  <c r="AG963" i="7"/>
  <c r="A986" i="7" l="1"/>
  <c r="B986" i="7"/>
  <c r="AI987" i="7"/>
  <c r="AH988" i="7"/>
  <c r="AG964" i="7"/>
  <c r="AG936" i="7"/>
  <c r="AH989" i="7" l="1"/>
  <c r="AI988" i="7"/>
  <c r="B987" i="7"/>
  <c r="C987" i="7"/>
  <c r="A987" i="7"/>
  <c r="AG937" i="7"/>
  <c r="AG965" i="7"/>
  <c r="C988" i="7" l="1"/>
  <c r="A988" i="7"/>
  <c r="B988" i="7"/>
  <c r="AI989" i="7"/>
  <c r="AH990" i="7"/>
  <c r="AG938" i="7"/>
  <c r="AG966" i="7"/>
  <c r="C989" i="7" l="1"/>
  <c r="B989" i="7"/>
  <c r="A989" i="7"/>
  <c r="AH991" i="7"/>
  <c r="AI990" i="7"/>
  <c r="AG967" i="7"/>
  <c r="AG939" i="7"/>
  <c r="AH992" i="7" l="1"/>
  <c r="AI991" i="7"/>
  <c r="A990" i="7"/>
  <c r="C990" i="7"/>
  <c r="B990" i="7"/>
  <c r="AG968" i="7"/>
  <c r="AG940" i="7"/>
  <c r="B991" i="7" l="1"/>
  <c r="C991" i="7"/>
  <c r="A991" i="7"/>
  <c r="AI992" i="7"/>
  <c r="AH993" i="7"/>
  <c r="AG941" i="7"/>
  <c r="AG969" i="7"/>
  <c r="C992" i="7" l="1"/>
  <c r="B992" i="7"/>
  <c r="A992" i="7"/>
  <c r="AI993" i="7"/>
  <c r="AH994" i="7"/>
  <c r="AG970" i="7"/>
  <c r="AG942" i="7"/>
  <c r="B993" i="7" l="1"/>
  <c r="A993" i="7"/>
  <c r="C993" i="7"/>
  <c r="AI994" i="7"/>
  <c r="AH995" i="7"/>
  <c r="AG943" i="7"/>
  <c r="AG971" i="7"/>
  <c r="A994" i="7" l="1"/>
  <c r="C994" i="7"/>
  <c r="B994" i="7"/>
  <c r="AH996" i="7"/>
  <c r="AI995" i="7"/>
  <c r="AG944" i="7"/>
  <c r="AG972" i="7"/>
  <c r="AI996" i="7" l="1"/>
  <c r="AH997" i="7"/>
  <c r="B995" i="7"/>
  <c r="A995" i="7"/>
  <c r="C995" i="7"/>
  <c r="AG973" i="7"/>
  <c r="AG945" i="7"/>
  <c r="AI997" i="7" l="1"/>
  <c r="AH998" i="7"/>
  <c r="C996" i="7"/>
  <c r="B996" i="7"/>
  <c r="A996" i="7"/>
  <c r="AG946" i="7"/>
  <c r="AG974" i="7"/>
  <c r="AH999" i="7" l="1"/>
  <c r="AI998" i="7"/>
  <c r="A997" i="7"/>
  <c r="C997" i="7"/>
  <c r="B997" i="7"/>
  <c r="AG975" i="7"/>
  <c r="AG947" i="7"/>
  <c r="A998" i="7" l="1"/>
  <c r="C998" i="7"/>
  <c r="B998" i="7"/>
  <c r="AH1000" i="7"/>
  <c r="AI999" i="7"/>
  <c r="AG948" i="7"/>
  <c r="AG976" i="7"/>
  <c r="AH1001" i="7" l="1"/>
  <c r="AI1000" i="7"/>
  <c r="B999" i="7"/>
  <c r="C999" i="7"/>
  <c r="A999" i="7"/>
  <c r="AG977" i="7"/>
  <c r="AG949" i="7"/>
  <c r="C1000" i="7" l="1"/>
  <c r="B1000" i="7"/>
  <c r="A1000" i="7"/>
  <c r="AI1001" i="7"/>
  <c r="AH1002" i="7"/>
  <c r="AG950" i="7"/>
  <c r="AG978" i="7"/>
  <c r="C1001" i="7" l="1"/>
  <c r="B1001" i="7"/>
  <c r="A1001" i="7"/>
  <c r="AH1003" i="7"/>
  <c r="AI1002" i="7"/>
  <c r="AG979" i="7"/>
  <c r="AG951" i="7"/>
  <c r="AI1003" i="7" l="1"/>
  <c r="AH1004" i="7"/>
  <c r="A1002" i="7"/>
  <c r="B1002" i="7"/>
  <c r="C1002" i="7"/>
  <c r="AG952" i="7"/>
  <c r="AG980" i="7"/>
  <c r="AI1004" i="7" l="1"/>
  <c r="AH1005" i="7"/>
  <c r="B1003" i="7"/>
  <c r="C1003" i="7"/>
  <c r="A1003" i="7"/>
  <c r="AG981" i="7"/>
  <c r="AG953" i="7"/>
  <c r="AH1006" i="7" l="1"/>
  <c r="AI1005" i="7"/>
  <c r="C1004" i="7"/>
  <c r="A1004" i="7"/>
  <c r="B1004" i="7"/>
  <c r="AG954" i="7"/>
  <c r="AG982" i="7"/>
  <c r="C1005" i="7" l="1"/>
  <c r="A1005" i="7"/>
  <c r="B1005" i="7"/>
  <c r="AH1007" i="7"/>
  <c r="AI1006" i="7"/>
  <c r="AG983" i="7"/>
  <c r="AG955" i="7"/>
  <c r="AH1008" i="7" l="1"/>
  <c r="AI1007" i="7"/>
  <c r="A1006" i="7"/>
  <c r="C1006" i="7"/>
  <c r="B1006" i="7"/>
  <c r="AG984" i="7"/>
  <c r="AG956" i="7"/>
  <c r="B1007" i="7" l="1"/>
  <c r="C1007" i="7"/>
  <c r="A1007" i="7"/>
  <c r="AI1008" i="7"/>
  <c r="AH1009" i="7"/>
  <c r="AG957" i="7"/>
  <c r="AG985" i="7"/>
  <c r="C1008" i="7" l="1"/>
  <c r="B1008" i="7"/>
  <c r="A1008" i="7"/>
  <c r="AH1010" i="7"/>
  <c r="AI1009" i="7"/>
  <c r="AG986" i="7"/>
  <c r="AG958" i="7"/>
  <c r="AH1011" i="7" l="1"/>
  <c r="AI1010" i="7"/>
  <c r="B1009" i="7"/>
  <c r="C1009" i="7"/>
  <c r="A1009" i="7"/>
  <c r="AG959" i="7"/>
  <c r="AG987" i="7"/>
  <c r="A1010" i="7" l="1"/>
  <c r="C1010" i="7"/>
  <c r="B1010" i="7"/>
  <c r="AH1012" i="7"/>
  <c r="AI1011" i="7"/>
  <c r="AG988" i="7"/>
  <c r="AI1012" i="7" l="1"/>
  <c r="AH1013" i="7"/>
  <c r="B1011" i="7"/>
  <c r="A1011" i="7"/>
  <c r="C1011" i="7"/>
  <c r="AG989" i="7"/>
  <c r="AH1014" i="7" l="1"/>
  <c r="AI1013" i="7"/>
  <c r="C1012" i="7"/>
  <c r="A1012" i="7"/>
  <c r="B1012" i="7"/>
  <c r="AG990" i="7"/>
  <c r="A1013" i="7" l="1"/>
  <c r="C1013" i="7"/>
  <c r="B1013" i="7"/>
  <c r="AH1015" i="7"/>
  <c r="AI1014" i="7"/>
  <c r="AG991" i="7"/>
  <c r="AH1016" i="7" l="1"/>
  <c r="AI1015" i="7"/>
  <c r="A1014" i="7"/>
  <c r="C1014" i="7"/>
  <c r="B1014" i="7"/>
  <c r="AG992" i="7"/>
  <c r="B1015" i="7" l="1"/>
  <c r="C1015" i="7"/>
  <c r="A1015" i="7"/>
  <c r="AI1016" i="7"/>
  <c r="AH1017" i="7"/>
  <c r="AG993" i="7"/>
  <c r="C1016" i="7" l="1"/>
  <c r="B1016" i="7"/>
  <c r="A1016" i="7"/>
  <c r="AI1017" i="7"/>
  <c r="AH1018" i="7"/>
  <c r="AG994" i="7"/>
  <c r="A1017" i="7" l="1"/>
  <c r="C1017" i="7"/>
  <c r="B1017" i="7"/>
  <c r="AH1019" i="7"/>
  <c r="AI1018" i="7"/>
  <c r="AG995" i="7"/>
  <c r="AI1019" i="7" l="1"/>
  <c r="AH1020" i="7"/>
  <c r="A1018" i="7"/>
  <c r="B1018" i="7"/>
  <c r="C1018" i="7"/>
  <c r="AG996" i="7"/>
  <c r="AI1020" i="7" l="1"/>
  <c r="AH1021" i="7"/>
  <c r="B1019" i="7"/>
  <c r="A1019" i="7"/>
  <c r="C1019" i="7"/>
  <c r="AG997" i="7"/>
  <c r="AH1022" i="7" l="1"/>
  <c r="AI1021" i="7"/>
  <c r="C1020" i="7"/>
  <c r="A1020" i="7"/>
  <c r="B1020" i="7"/>
  <c r="AG998" i="7"/>
  <c r="C1021" i="7" l="1"/>
  <c r="B1021" i="7"/>
  <c r="A1021" i="7"/>
  <c r="AH1023" i="7"/>
  <c r="AI1022" i="7"/>
  <c r="AG999" i="7"/>
  <c r="AI1023" i="7" l="1"/>
  <c r="AH1024" i="7"/>
  <c r="A1022" i="7"/>
  <c r="C1022" i="7"/>
  <c r="B1022" i="7"/>
  <c r="AG1000" i="7"/>
  <c r="AI1024" i="7" l="1"/>
  <c r="AH1025" i="7"/>
  <c r="B1023" i="7"/>
  <c r="C1023" i="7"/>
  <c r="A1023" i="7"/>
  <c r="AG1001" i="7"/>
  <c r="AH1026" i="7" l="1"/>
  <c r="AI1025" i="7"/>
  <c r="C1024" i="7"/>
  <c r="A1024" i="7"/>
  <c r="B1024" i="7"/>
  <c r="AG1002" i="7"/>
  <c r="B1025" i="7" l="1"/>
  <c r="C1025" i="7"/>
  <c r="A1025" i="7"/>
  <c r="AH1027" i="7"/>
  <c r="AI1026" i="7"/>
  <c r="AG1003" i="7"/>
  <c r="AH1028" i="7" l="1"/>
  <c r="AI1027" i="7"/>
  <c r="A1026" i="7"/>
  <c r="B1026" i="7"/>
  <c r="C1026" i="7"/>
  <c r="AG1004" i="7"/>
  <c r="B1027" i="7" l="1"/>
  <c r="A1027" i="7"/>
  <c r="C1027" i="7"/>
  <c r="AI1028" i="7"/>
  <c r="AH1029" i="7"/>
  <c r="AG1005" i="7"/>
  <c r="C1028" i="7" l="1"/>
  <c r="B1028" i="7"/>
  <c r="A1028" i="7"/>
  <c r="AH1030" i="7"/>
  <c r="AI1029" i="7"/>
  <c r="AG1006" i="7"/>
  <c r="AH1031" i="7" l="1"/>
  <c r="AI1030" i="7"/>
  <c r="A1029" i="7"/>
  <c r="C1029" i="7"/>
  <c r="B1029" i="7"/>
  <c r="AG1007" i="7"/>
  <c r="A1030" i="7" l="1"/>
  <c r="C1030" i="7"/>
  <c r="B1030" i="7"/>
  <c r="AH1032" i="7"/>
  <c r="AI1031" i="7"/>
  <c r="AG1008" i="7"/>
  <c r="AI1032" i="7" l="1"/>
  <c r="AH1033" i="7"/>
  <c r="B1031" i="7"/>
  <c r="A1031" i="7"/>
  <c r="C1031" i="7"/>
  <c r="AG1009" i="7"/>
  <c r="AI1033" i="7" l="1"/>
  <c r="AH1034" i="7"/>
  <c r="C1032" i="7"/>
  <c r="B1032" i="7"/>
  <c r="A1032" i="7"/>
  <c r="AG1010" i="7"/>
  <c r="AH1035" i="7" l="1"/>
  <c r="AI1034" i="7"/>
  <c r="B1033" i="7"/>
  <c r="A1033" i="7"/>
  <c r="C1033" i="7"/>
  <c r="AG1011" i="7"/>
  <c r="A1034" i="7" l="1"/>
  <c r="B1034" i="7"/>
  <c r="C1034" i="7"/>
  <c r="AI1035" i="7"/>
  <c r="AH1036" i="7"/>
  <c r="AG1012" i="7"/>
  <c r="B1035" i="7" l="1"/>
  <c r="C1035" i="7"/>
  <c r="A1035" i="7"/>
  <c r="AI1036" i="7"/>
  <c r="AH1037" i="7"/>
  <c r="AG1013" i="7"/>
  <c r="C1036" i="7" l="1"/>
  <c r="A1036" i="7"/>
  <c r="B1036" i="7"/>
  <c r="AI1037" i="7"/>
  <c r="AH1038" i="7"/>
  <c r="AG1014" i="7"/>
  <c r="C1037" i="7" l="1"/>
  <c r="B1037" i="7"/>
  <c r="A1037" i="7"/>
  <c r="AH1039" i="7"/>
  <c r="AI1038" i="7"/>
  <c r="AG1015" i="7"/>
  <c r="AI1039" i="7" l="1"/>
  <c r="AH1040" i="7"/>
  <c r="A1038" i="7"/>
  <c r="B1038" i="7"/>
  <c r="C1038" i="7"/>
  <c r="AG1016" i="7"/>
  <c r="AH1041" i="7" l="1"/>
  <c r="AI1040" i="7"/>
  <c r="B1039" i="7"/>
  <c r="C1039" i="7"/>
  <c r="A1039" i="7"/>
  <c r="AG1017" i="7"/>
  <c r="C1040" i="7" l="1"/>
  <c r="B1040" i="7"/>
  <c r="A1040" i="7"/>
  <c r="AI1041" i="7"/>
  <c r="AH1042" i="7"/>
  <c r="AG1018" i="7"/>
  <c r="C1041" i="7" l="1"/>
  <c r="B1041" i="7"/>
  <c r="A1041" i="7"/>
  <c r="AH1043" i="7"/>
  <c r="AI1042" i="7"/>
  <c r="AG1019" i="7"/>
  <c r="AI1043" i="7" l="1"/>
  <c r="AH1044" i="7"/>
  <c r="A1042" i="7"/>
  <c r="B1042" i="7"/>
  <c r="C1042" i="7"/>
  <c r="AG1020" i="7"/>
  <c r="AH1045" i="7" l="1"/>
  <c r="AI1044" i="7"/>
  <c r="B1043" i="7"/>
  <c r="C1043" i="7"/>
  <c r="A1043" i="7"/>
  <c r="AG1021" i="7"/>
  <c r="C1044" i="7" l="1"/>
  <c r="A1044" i="7"/>
  <c r="B1044" i="7"/>
  <c r="AI1045" i="7"/>
  <c r="AH1046" i="7"/>
  <c r="AG1022" i="7"/>
  <c r="C1045" i="7" l="1"/>
  <c r="B1045" i="7"/>
  <c r="A1045" i="7"/>
  <c r="AH1047" i="7"/>
  <c r="AI1046" i="7"/>
  <c r="AG1023" i="7"/>
  <c r="AH1048" i="7" l="1"/>
  <c r="AI1047" i="7"/>
  <c r="A1046" i="7"/>
  <c r="C1046" i="7"/>
  <c r="B1046" i="7"/>
  <c r="AG1024" i="7"/>
  <c r="B1047" i="7" l="1"/>
  <c r="C1047" i="7"/>
  <c r="A1047" i="7"/>
  <c r="AI1048" i="7"/>
  <c r="AH1049" i="7"/>
  <c r="AG1025" i="7"/>
  <c r="C1048" i="7" l="1"/>
  <c r="B1048" i="7"/>
  <c r="A1048" i="7"/>
  <c r="AI1049" i="7"/>
  <c r="AH1050" i="7"/>
  <c r="AG1026" i="7"/>
  <c r="B1049" i="7" l="1"/>
  <c r="A1049" i="7"/>
  <c r="C1049" i="7"/>
  <c r="AH1051" i="7"/>
  <c r="AI1050" i="7"/>
  <c r="AG1027" i="7"/>
  <c r="AI1051" i="7" l="1"/>
  <c r="AH1052" i="7"/>
  <c r="A1050" i="7"/>
  <c r="C1050" i="7"/>
  <c r="B1050" i="7"/>
  <c r="AG1028" i="7"/>
  <c r="AI1052" i="7" l="1"/>
  <c r="AH1053" i="7"/>
  <c r="B1051" i="7"/>
  <c r="A1051" i="7"/>
  <c r="C1051" i="7"/>
  <c r="AG1029" i="7"/>
  <c r="AH1054" i="7" l="1"/>
  <c r="AI1053" i="7"/>
  <c r="C1052" i="7"/>
  <c r="B1052" i="7"/>
  <c r="A1052" i="7"/>
  <c r="AG1030" i="7"/>
  <c r="A1053" i="7" l="1"/>
  <c r="C1053" i="7"/>
  <c r="B1053" i="7"/>
  <c r="AH1055" i="7"/>
  <c r="AI1054" i="7"/>
  <c r="AG1031" i="7"/>
  <c r="AH1056" i="7" l="1"/>
  <c r="AI1055" i="7"/>
  <c r="A1054" i="7"/>
  <c r="C1054" i="7"/>
  <c r="B1054" i="7"/>
  <c r="AG1032" i="7"/>
  <c r="B1055" i="7" l="1"/>
  <c r="C1055" i="7"/>
  <c r="A1055" i="7"/>
  <c r="AH1057" i="7"/>
  <c r="AI1056" i="7"/>
  <c r="AG1033" i="7"/>
  <c r="AI1057" i="7" l="1"/>
  <c r="AH1058" i="7"/>
  <c r="C1056" i="7"/>
  <c r="B1056" i="7"/>
  <c r="A1056" i="7"/>
  <c r="AG1034" i="7"/>
  <c r="AH1059" i="7" l="1"/>
  <c r="AI1058" i="7"/>
  <c r="C1057" i="7"/>
  <c r="B1057" i="7"/>
  <c r="A1057" i="7"/>
  <c r="AG1035" i="7"/>
  <c r="A1058" i="7" l="1"/>
  <c r="B1058" i="7"/>
  <c r="C1058" i="7"/>
  <c r="AI1059" i="7"/>
  <c r="AH1060" i="7"/>
  <c r="AG1036" i="7"/>
  <c r="B1059" i="7" l="1"/>
  <c r="C1059" i="7"/>
  <c r="A1059" i="7"/>
  <c r="AI1060" i="7"/>
  <c r="AH1061" i="7"/>
  <c r="AG1037" i="7"/>
  <c r="C1060" i="7" l="1"/>
  <c r="A1060" i="7"/>
  <c r="B1060" i="7"/>
  <c r="AH1062" i="7"/>
  <c r="AI1061" i="7"/>
  <c r="AG1038" i="7"/>
  <c r="C1061" i="7" l="1"/>
  <c r="B1061" i="7"/>
  <c r="A1061" i="7"/>
  <c r="AH1063" i="7"/>
  <c r="AI1062" i="7"/>
  <c r="AG1039" i="7"/>
  <c r="A1062" i="7" l="1"/>
  <c r="C1062" i="7"/>
  <c r="B1062" i="7"/>
  <c r="AH1064" i="7"/>
  <c r="AI1063" i="7"/>
  <c r="AG1040" i="7"/>
  <c r="AH1065" i="7" l="1"/>
  <c r="AI1064" i="7"/>
  <c r="B1063" i="7"/>
  <c r="C1063" i="7"/>
  <c r="A1063" i="7"/>
  <c r="AG1041" i="7"/>
  <c r="C1064" i="7" l="1"/>
  <c r="B1064" i="7"/>
  <c r="A1064" i="7"/>
  <c r="AI1065" i="7"/>
  <c r="AH1066" i="7"/>
  <c r="AG1042" i="7"/>
  <c r="B1065" i="7" l="1"/>
  <c r="A1065" i="7"/>
  <c r="C1065" i="7"/>
  <c r="AH1067" i="7"/>
  <c r="AI1066" i="7"/>
  <c r="AG1043" i="7"/>
  <c r="AI1067" i="7" l="1"/>
  <c r="AH1068" i="7"/>
  <c r="A1066" i="7"/>
  <c r="C1066" i="7"/>
  <c r="B1066" i="7"/>
  <c r="AG1044" i="7"/>
  <c r="AI1068" i="7" l="1"/>
  <c r="AH1069" i="7"/>
  <c r="B1067" i="7"/>
  <c r="A1067" i="7"/>
  <c r="C1067" i="7"/>
  <c r="AG1045" i="7"/>
  <c r="AH1070" i="7" l="1"/>
  <c r="AI1069" i="7"/>
  <c r="C1068" i="7"/>
  <c r="B1068" i="7"/>
  <c r="A1068" i="7"/>
  <c r="AG1068" i="7" s="1"/>
  <c r="AG1046" i="7"/>
  <c r="A1069" i="7" l="1"/>
  <c r="AG1069" i="7" s="1"/>
  <c r="C1069" i="7"/>
  <c r="B1069" i="7"/>
  <c r="AH1071" i="7"/>
  <c r="AI1070" i="7"/>
  <c r="AG1047" i="7"/>
  <c r="AH1072" i="7" l="1"/>
  <c r="AI1071" i="7"/>
  <c r="A1070" i="7"/>
  <c r="AG1070" i="7" s="1"/>
  <c r="C1070" i="7"/>
  <c r="B1070" i="7"/>
  <c r="AG1048" i="7"/>
  <c r="B1071" i="7" l="1"/>
  <c r="C1071" i="7"/>
  <c r="A1071" i="7"/>
  <c r="AG1071" i="7" s="1"/>
  <c r="AI1072" i="7"/>
  <c r="AH1073" i="7"/>
  <c r="AG1049" i="7"/>
  <c r="C1072" i="7" l="1"/>
  <c r="B1072" i="7"/>
  <c r="A1072" i="7"/>
  <c r="AG1072" i="7" s="1"/>
  <c r="AI1073" i="7"/>
  <c r="AH1074" i="7"/>
  <c r="AG1050" i="7"/>
  <c r="C1073" i="7" l="1"/>
  <c r="B1073" i="7"/>
  <c r="A1073" i="7"/>
  <c r="AG1073" i="7" s="1"/>
  <c r="AH1075" i="7"/>
  <c r="AI1074" i="7"/>
  <c r="AG1051" i="7"/>
  <c r="AI1075" i="7" l="1"/>
  <c r="AH1076" i="7"/>
  <c r="A1074" i="7"/>
  <c r="AG1074" i="7" s="1"/>
  <c r="B1074" i="7"/>
  <c r="C1074" i="7"/>
  <c r="AG1052" i="7"/>
  <c r="AI1076" i="7" l="1"/>
  <c r="AH1077" i="7"/>
  <c r="B1075" i="7"/>
  <c r="C1075" i="7"/>
  <c r="A1075" i="7"/>
  <c r="AG1075" i="7" s="1"/>
  <c r="AG1053" i="7"/>
  <c r="AH1078" i="7" l="1"/>
  <c r="AI1077" i="7"/>
  <c r="C1076" i="7"/>
  <c r="A1076" i="7"/>
  <c r="AG1076" i="7" s="1"/>
  <c r="B1076" i="7"/>
  <c r="AG1054" i="7"/>
  <c r="C1077" i="7" l="1"/>
  <c r="B1077" i="7"/>
  <c r="A1077" i="7"/>
  <c r="AG1077" i="7" s="1"/>
  <c r="AH1079" i="7"/>
  <c r="AI1078" i="7"/>
  <c r="AG1055" i="7"/>
  <c r="A1078" i="7" l="1"/>
  <c r="AG1078" i="7" s="1"/>
  <c r="C1078" i="7"/>
  <c r="B1078" i="7"/>
  <c r="AH1080" i="7"/>
  <c r="AI1079" i="7"/>
  <c r="AG1056" i="7"/>
  <c r="AI1080" i="7" l="1"/>
  <c r="AH1081" i="7"/>
  <c r="B1079" i="7"/>
  <c r="C1079" i="7"/>
  <c r="A1079" i="7"/>
  <c r="AG1079" i="7" s="1"/>
  <c r="AG1057" i="7"/>
  <c r="AH1082" i="7" l="1"/>
  <c r="AI1081" i="7"/>
  <c r="C1080" i="7"/>
  <c r="B1080" i="7"/>
  <c r="A1080" i="7"/>
  <c r="AG1080" i="7" s="1"/>
  <c r="AG1058" i="7"/>
  <c r="B1081" i="7" l="1"/>
  <c r="A1081" i="7"/>
  <c r="AG1081" i="7" s="1"/>
  <c r="C1081" i="7"/>
  <c r="AH1083" i="7"/>
  <c r="AI1082" i="7"/>
  <c r="AG1059" i="7"/>
  <c r="AH1084" i="7" l="1"/>
  <c r="AI1083" i="7"/>
  <c r="A1082" i="7"/>
  <c r="AG1082" i="7" s="1"/>
  <c r="C1082" i="7"/>
  <c r="B1082" i="7"/>
  <c r="AG1060" i="7"/>
  <c r="B1083" i="7" l="1"/>
  <c r="A1083" i="7"/>
  <c r="AG1083" i="7" s="1"/>
  <c r="C1083" i="7"/>
  <c r="AI1084" i="7"/>
  <c r="AH1085" i="7"/>
  <c r="AG1061" i="7"/>
  <c r="C1084" i="7" l="1"/>
  <c r="B1084" i="7"/>
  <c r="A1084" i="7"/>
  <c r="AG1084" i="7" s="1"/>
  <c r="AH1086" i="7"/>
  <c r="AI1085" i="7"/>
  <c r="AG1062" i="7"/>
  <c r="AH1087" i="7" l="1"/>
  <c r="AI1086" i="7"/>
  <c r="A1085" i="7"/>
  <c r="AG1085" i="7" s="1"/>
  <c r="C1085" i="7"/>
  <c r="B1085" i="7"/>
  <c r="AG1063" i="7"/>
  <c r="A1086" i="7" l="1"/>
  <c r="AG1086" i="7" s="1"/>
  <c r="C1086" i="7"/>
  <c r="B1086" i="7"/>
  <c r="AI1087" i="7"/>
  <c r="AH1088" i="7"/>
  <c r="AG1064" i="7"/>
  <c r="AI1088" i="7" l="1"/>
  <c r="AH1089" i="7"/>
  <c r="B1087" i="7"/>
  <c r="C1087" i="7"/>
  <c r="A1087" i="7"/>
  <c r="AG1087" i="7" s="1"/>
  <c r="AG1065" i="7"/>
  <c r="AI1089" i="7" l="1"/>
  <c r="AH1090" i="7"/>
  <c r="C1088" i="7"/>
  <c r="B1088" i="7"/>
  <c r="A1088" i="7"/>
  <c r="AG1088" i="7" s="1"/>
  <c r="AG1066" i="7"/>
  <c r="AH1091" i="7" l="1"/>
  <c r="AI1090" i="7"/>
  <c r="C1089" i="7"/>
  <c r="B1089" i="7"/>
  <c r="A1089" i="7"/>
  <c r="AG1089" i="7" s="1"/>
  <c r="AG1067" i="7"/>
  <c r="A1090" i="7" l="1"/>
  <c r="AG1090" i="7" s="1"/>
  <c r="B1090" i="7"/>
  <c r="C1090" i="7"/>
  <c r="AH1092" i="7"/>
  <c r="AI1091" i="7"/>
  <c r="AI1092" i="7" l="1"/>
  <c r="AH1093" i="7"/>
  <c r="B1091" i="7"/>
  <c r="C1091" i="7"/>
  <c r="A1091" i="7"/>
  <c r="AG1091" i="7" s="1"/>
  <c r="AH1094" i="7" l="1"/>
  <c r="AI1093" i="7"/>
  <c r="C1092" i="7"/>
  <c r="A1092" i="7"/>
  <c r="AG1092" i="7" s="1"/>
  <c r="B1092" i="7"/>
  <c r="C1093" i="7" l="1"/>
  <c r="B1093" i="7"/>
  <c r="A1093" i="7"/>
  <c r="AG1093" i="7" s="1"/>
  <c r="AH1095" i="7"/>
  <c r="AI1094" i="7"/>
  <c r="AH1096" i="7" l="1"/>
  <c r="AI1095" i="7"/>
  <c r="A1094" i="7"/>
  <c r="AG1094" i="7" s="1"/>
  <c r="C1094" i="7"/>
  <c r="B1094" i="7"/>
  <c r="B1095" i="7" l="1"/>
  <c r="C1095" i="7"/>
  <c r="A1095" i="7"/>
  <c r="AG1095" i="7" s="1"/>
  <c r="AI1096" i="7"/>
  <c r="AH1097" i="7"/>
  <c r="C1096" i="7" l="1"/>
  <c r="B1096" i="7"/>
  <c r="A1096" i="7"/>
  <c r="AG1096" i="7" s="1"/>
  <c r="AI1097" i="7"/>
  <c r="AH1098" i="7"/>
  <c r="B1097" i="7" l="1"/>
  <c r="A1097" i="7"/>
  <c r="AG1097" i="7" s="1"/>
  <c r="C1097" i="7"/>
  <c r="AI1098" i="7"/>
  <c r="AH1099" i="7"/>
  <c r="A1098" i="7" l="1"/>
  <c r="AG1098" i="7" s="1"/>
  <c r="C1098" i="7"/>
  <c r="B1098" i="7"/>
  <c r="AI1099" i="7"/>
  <c r="AH1100" i="7"/>
  <c r="AI1100" i="7" l="1"/>
  <c r="AH1101" i="7"/>
  <c r="B1099" i="7"/>
  <c r="A1099" i="7"/>
  <c r="AG1099" i="7" s="1"/>
  <c r="C1099" i="7"/>
  <c r="AH1102" i="7" l="1"/>
  <c r="AI1101" i="7"/>
  <c r="C1100" i="7"/>
  <c r="B1100" i="7"/>
  <c r="A1100" i="7"/>
  <c r="AG1100" i="7" s="1"/>
  <c r="A1101" i="7" l="1"/>
  <c r="AG1101" i="7" s="1"/>
  <c r="C1101" i="7"/>
  <c r="B1101" i="7"/>
  <c r="AI1102" i="7"/>
  <c r="AH1103" i="7"/>
  <c r="A1102" i="7" l="1"/>
  <c r="AG1102" i="7" s="1"/>
  <c r="C1102" i="7"/>
  <c r="B1102" i="7"/>
  <c r="AH1104" i="7"/>
  <c r="AI1103" i="7"/>
  <c r="B1103" i="7" l="1"/>
  <c r="C1103" i="7"/>
  <c r="A1103" i="7"/>
  <c r="AG1103" i="7" s="1"/>
  <c r="AI1104" i="7"/>
  <c r="AH1105" i="7"/>
  <c r="C1104" i="7" l="1"/>
  <c r="B1104" i="7"/>
  <c r="A1104" i="7"/>
  <c r="AG1104" i="7" s="1"/>
  <c r="AI1105" i="7"/>
  <c r="AH1106" i="7"/>
  <c r="C1105" i="7" l="1"/>
  <c r="B1105" i="7"/>
  <c r="A1105" i="7"/>
  <c r="AG1105" i="7" s="1"/>
  <c r="AH1107" i="7"/>
  <c r="AI1106" i="7"/>
  <c r="AH1108" i="7" l="1"/>
  <c r="AI1107" i="7"/>
  <c r="A1106" i="7"/>
  <c r="AG1106" i="7" s="1"/>
  <c r="B1106" i="7"/>
  <c r="C1106" i="7"/>
  <c r="B1107" i="7" l="1"/>
  <c r="C1107" i="7"/>
  <c r="A1107" i="7"/>
  <c r="AG1107" i="7" s="1"/>
  <c r="AI1108" i="7"/>
  <c r="AH1109" i="7"/>
  <c r="AI1109" i="7" l="1"/>
  <c r="AH1110" i="7"/>
  <c r="C1108" i="7"/>
  <c r="A1108" i="7"/>
  <c r="AG1108" i="7" s="1"/>
  <c r="B1108" i="7"/>
  <c r="AH1111" i="7" l="1"/>
  <c r="AI1110" i="7"/>
  <c r="C1109" i="7"/>
  <c r="B1109" i="7"/>
  <c r="A1109" i="7"/>
  <c r="AG1109" i="7" s="1"/>
  <c r="A1110" i="7" l="1"/>
  <c r="AG1110" i="7" s="1"/>
  <c r="C1110" i="7"/>
  <c r="B1110" i="7"/>
  <c r="AI1111" i="7"/>
  <c r="AH1112" i="7"/>
  <c r="B1111" i="7" l="1"/>
  <c r="C1111" i="7"/>
  <c r="A1111" i="7"/>
  <c r="AG1111" i="7" s="1"/>
  <c r="AH1113" i="7"/>
  <c r="AI1112" i="7"/>
  <c r="AI1113" i="7" l="1"/>
  <c r="AH1114" i="7"/>
  <c r="C1112" i="7"/>
  <c r="B1112" i="7"/>
  <c r="A1112" i="7"/>
  <c r="AG1112" i="7" s="1"/>
  <c r="AH1115" i="7" l="1"/>
  <c r="AI1114" i="7"/>
  <c r="B1113" i="7"/>
  <c r="A1113" i="7"/>
  <c r="AG1113" i="7" s="1"/>
  <c r="C1113" i="7"/>
  <c r="A1114" i="7" l="1"/>
  <c r="AG1114" i="7" s="1"/>
  <c r="C1114" i="7"/>
  <c r="B1114" i="7"/>
  <c r="AI1115" i="7"/>
  <c r="AH1116" i="7"/>
  <c r="B1115" i="7" l="1"/>
  <c r="A1115" i="7"/>
  <c r="AG1115" i="7" s="1"/>
  <c r="C1115" i="7"/>
  <c r="AI1116" i="7"/>
  <c r="AH1117" i="7"/>
  <c r="C1116" i="7" l="1"/>
  <c r="B1116" i="7"/>
  <c r="A1116" i="7"/>
  <c r="AG1116" i="7" s="1"/>
  <c r="AH1118" i="7"/>
  <c r="AI1117" i="7"/>
  <c r="AH1119" i="7" l="1"/>
  <c r="AI1118" i="7"/>
  <c r="A1117" i="7"/>
  <c r="AG1117" i="7" s="1"/>
  <c r="C1117" i="7"/>
  <c r="B1117" i="7"/>
  <c r="A1118" i="7" l="1"/>
  <c r="AG1118" i="7" s="1"/>
  <c r="C1118" i="7"/>
  <c r="B1118" i="7"/>
  <c r="AH1120" i="7"/>
  <c r="AI1119" i="7"/>
  <c r="AI1120" i="7" l="1"/>
  <c r="AH1121" i="7"/>
  <c r="B1119" i="7"/>
  <c r="C1119" i="7"/>
  <c r="A1119" i="7"/>
  <c r="AG1119" i="7" s="1"/>
  <c r="AH1122" i="7" l="1"/>
  <c r="AI1121" i="7"/>
  <c r="C1120" i="7"/>
  <c r="B1120" i="7"/>
  <c r="A1120" i="7"/>
  <c r="AG1120" i="7" s="1"/>
  <c r="A1121" i="7" l="1"/>
  <c r="AG1121" i="7" s="1"/>
  <c r="C1121" i="7"/>
  <c r="B1121" i="7"/>
  <c r="AH1123" i="7"/>
  <c r="AI1122" i="7"/>
  <c r="AI1123" i="7" l="1"/>
  <c r="AH1124" i="7"/>
  <c r="A1122" i="7"/>
  <c r="AG1122" i="7" s="1"/>
  <c r="C1122" i="7"/>
  <c r="B1122" i="7"/>
  <c r="AH1125" i="7" l="1"/>
  <c r="AI1124" i="7"/>
  <c r="B1123" i="7"/>
  <c r="C1123" i="7"/>
  <c r="A1123" i="7"/>
  <c r="AG1123" i="7" s="1"/>
  <c r="C1124" i="7" l="1"/>
  <c r="B1124" i="7"/>
  <c r="A1124" i="7"/>
  <c r="AG1124" i="7" s="1"/>
  <c r="AH1126" i="7"/>
  <c r="AI1125" i="7"/>
  <c r="AH1127" i="7" l="1"/>
  <c r="AI1126" i="7"/>
  <c r="C1125" i="7"/>
  <c r="B1125" i="7"/>
  <c r="A1125" i="7"/>
  <c r="AG1125" i="7" s="1"/>
  <c r="A1126" i="7" l="1"/>
  <c r="AG1126" i="7" s="1"/>
  <c r="B1126" i="7"/>
  <c r="C1126" i="7"/>
  <c r="AI1127" i="7"/>
  <c r="AH1128" i="7"/>
  <c r="B1127" i="7" l="1"/>
  <c r="C1127" i="7"/>
  <c r="A1127" i="7"/>
  <c r="AG1127" i="7" s="1"/>
  <c r="AI1128" i="7"/>
  <c r="AH1129" i="7"/>
  <c r="C1128" i="7" l="1"/>
  <c r="A1128" i="7"/>
  <c r="AG1128" i="7" s="1"/>
  <c r="B1128" i="7"/>
  <c r="AI1129" i="7"/>
  <c r="AH1130" i="7"/>
  <c r="C1129" i="7" l="1"/>
  <c r="B1129" i="7"/>
  <c r="A1129" i="7"/>
  <c r="AG1129" i="7" s="1"/>
  <c r="AH1131" i="7"/>
  <c r="AI1130" i="7"/>
  <c r="AI1131" i="7" l="1"/>
  <c r="AH1132" i="7"/>
  <c r="A1130" i="7"/>
  <c r="AG1130" i="7" s="1"/>
  <c r="C1130" i="7"/>
  <c r="B1130" i="7"/>
  <c r="AH1133" i="7" l="1"/>
  <c r="AI1132" i="7"/>
  <c r="B1131" i="7"/>
  <c r="C1131" i="7"/>
  <c r="A1131" i="7"/>
  <c r="AG1131" i="7" s="1"/>
  <c r="C1132" i="7" l="1"/>
  <c r="B1132" i="7"/>
  <c r="A1132" i="7"/>
  <c r="AG1132" i="7" s="1"/>
  <c r="AI1133" i="7"/>
  <c r="AH1134" i="7"/>
  <c r="B1133" i="7" l="1"/>
  <c r="A1133" i="7"/>
  <c r="AG1133" i="7" s="1"/>
  <c r="C1133" i="7"/>
  <c r="AI1134" i="7"/>
  <c r="AH1135" i="7"/>
  <c r="A1134" i="7" l="1"/>
  <c r="AG1134" i="7" s="1"/>
  <c r="C1134" i="7"/>
  <c r="B1134" i="7"/>
  <c r="AI1135" i="7"/>
  <c r="AH1136" i="7"/>
  <c r="B1135" i="7" l="1"/>
  <c r="A1135" i="7"/>
  <c r="AG1135" i="7" s="1"/>
  <c r="C1135" i="7"/>
  <c r="AH1137" i="7"/>
  <c r="AI1136" i="7"/>
  <c r="AH1138" i="7" l="1"/>
  <c r="AI1137" i="7"/>
  <c r="C1136" i="7"/>
  <c r="B1136" i="7"/>
  <c r="A1136" i="7"/>
  <c r="AG1136" i="7" s="1"/>
  <c r="A1137" i="7" l="1"/>
  <c r="AG1137" i="7" s="1"/>
  <c r="C1137" i="7"/>
  <c r="B1137" i="7"/>
  <c r="AI1138" i="7"/>
  <c r="AH1139" i="7"/>
  <c r="A1138" i="7" l="1"/>
  <c r="AG1138" i="7" s="1"/>
  <c r="C1138" i="7"/>
  <c r="B1138" i="7"/>
  <c r="AH1140" i="7"/>
  <c r="AI1139" i="7"/>
  <c r="AI1140" i="7" l="1"/>
  <c r="AH1141" i="7"/>
  <c r="B1139" i="7"/>
  <c r="C1139" i="7"/>
  <c r="A1139" i="7"/>
  <c r="AG1139" i="7" s="1"/>
  <c r="AI1141" i="7" l="1"/>
  <c r="AH1142" i="7"/>
  <c r="C1140" i="7"/>
  <c r="B1140" i="7"/>
  <c r="A1140" i="7"/>
  <c r="AG1140" i="7" s="1"/>
  <c r="AH1143" i="7" l="1"/>
  <c r="AI1142" i="7"/>
  <c r="C1141" i="7"/>
  <c r="B1141" i="7"/>
  <c r="A1141" i="7"/>
  <c r="AG1141" i="7" s="1"/>
  <c r="A1142" i="7" l="1"/>
  <c r="AG1142" i="7" s="1"/>
  <c r="B1142" i="7"/>
  <c r="C1142" i="7"/>
  <c r="AI1143" i="7"/>
  <c r="AH1144" i="7"/>
  <c r="B1143" i="7" l="1"/>
  <c r="C1143" i="7"/>
  <c r="A1143" i="7"/>
  <c r="AG1143" i="7" s="1"/>
  <c r="AH1145" i="7"/>
  <c r="AI1144" i="7"/>
  <c r="AH1146" i="7" l="1"/>
  <c r="AI1145" i="7"/>
  <c r="B1144" i="7"/>
  <c r="A1144" i="7"/>
  <c r="AG1144" i="7" s="1"/>
  <c r="C1144" i="7"/>
  <c r="C1145" i="7" l="1"/>
  <c r="A1145" i="7"/>
  <c r="AG1145" i="7" s="1"/>
  <c r="B1145" i="7"/>
  <c r="AI1146" i="7"/>
  <c r="AH1147" i="7"/>
  <c r="C1146" i="7" l="1"/>
  <c r="B1146" i="7"/>
  <c r="A1146" i="7"/>
  <c r="AG1146" i="7" s="1"/>
  <c r="AH1148" i="7"/>
  <c r="AI1147" i="7"/>
  <c r="AI1148" i="7" l="1"/>
  <c r="AH1149" i="7"/>
  <c r="A1147" i="7"/>
  <c r="AG1147" i="7" s="1"/>
  <c r="C1147" i="7"/>
  <c r="B1147" i="7"/>
  <c r="AH1150" i="7" l="1"/>
  <c r="AI1149" i="7"/>
  <c r="B1148" i="7"/>
  <c r="C1148" i="7"/>
  <c r="A1148" i="7"/>
  <c r="AG1148" i="7" s="1"/>
  <c r="C1149" i="7" l="1"/>
  <c r="A1149" i="7"/>
  <c r="AG1149" i="7" s="1"/>
  <c r="B1149" i="7"/>
  <c r="AI1150" i="7"/>
  <c r="AH1151" i="7"/>
  <c r="B1150" i="7" l="1"/>
  <c r="C1150" i="7"/>
  <c r="A1150" i="7"/>
  <c r="AG1150" i="7" s="1"/>
  <c r="AH1152" i="7"/>
  <c r="AI1151" i="7"/>
  <c r="AI1152" i="7" l="1"/>
  <c r="AH1153" i="7"/>
  <c r="A1151" i="7"/>
  <c r="AG1151" i="7" s="1"/>
  <c r="B1151" i="7"/>
  <c r="C1151" i="7"/>
  <c r="AI1153" i="7" l="1"/>
  <c r="AH1154" i="7"/>
  <c r="B1152" i="7"/>
  <c r="A1152" i="7"/>
  <c r="AG1152" i="7" s="1"/>
  <c r="C1152" i="7"/>
  <c r="AI1154" i="7" l="1"/>
  <c r="AH1155" i="7"/>
  <c r="C1153" i="7"/>
  <c r="B1153" i="7"/>
  <c r="A1153" i="7"/>
  <c r="AG1153" i="7" s="1"/>
  <c r="AH1156" i="7" l="1"/>
  <c r="AI1155" i="7"/>
  <c r="A1154" i="7"/>
  <c r="AG1154" i="7" s="1"/>
  <c r="C1154" i="7"/>
  <c r="B1154" i="7"/>
  <c r="A1155" i="7" l="1"/>
  <c r="AG1155" i="7" s="1"/>
  <c r="C1155" i="7"/>
  <c r="B1155" i="7"/>
  <c r="AI1156" i="7"/>
  <c r="AH1157" i="7"/>
  <c r="B1156" i="7" l="1"/>
  <c r="A1156" i="7"/>
  <c r="AG1156" i="7" s="1"/>
  <c r="C1156" i="7"/>
  <c r="AI1157" i="7"/>
  <c r="AH1158" i="7"/>
  <c r="C1157" i="7" l="1"/>
  <c r="B1157" i="7"/>
  <c r="A1157" i="7"/>
  <c r="AG1157" i="7" s="1"/>
  <c r="AH1159" i="7"/>
  <c r="AI1158" i="7"/>
  <c r="AH1160" i="7" l="1"/>
  <c r="AI1159" i="7"/>
  <c r="B1158" i="7"/>
  <c r="A1158" i="7"/>
  <c r="AG1158" i="7" s="1"/>
  <c r="C1158" i="7"/>
  <c r="A1159" i="7" l="1"/>
  <c r="AG1159" i="7" s="1"/>
  <c r="B1159" i="7"/>
  <c r="C1159" i="7"/>
  <c r="AI1160" i="7"/>
  <c r="AH1161" i="7"/>
  <c r="B1160" i="7" l="1"/>
  <c r="C1160" i="7"/>
  <c r="A1160" i="7"/>
  <c r="AG1160" i="7" s="1"/>
  <c r="AI1161" i="7"/>
  <c r="AH1162" i="7"/>
  <c r="C1161" i="7" l="1"/>
  <c r="A1161" i="7"/>
  <c r="AG1161" i="7" s="1"/>
  <c r="B1161" i="7"/>
  <c r="AH1163" i="7"/>
  <c r="AI1162" i="7"/>
  <c r="AH1164" i="7" l="1"/>
  <c r="AI1163" i="7"/>
  <c r="C1162" i="7"/>
  <c r="B1162" i="7"/>
  <c r="A1162" i="7"/>
  <c r="AG1162" i="7" s="1"/>
  <c r="A1163" i="7" l="1"/>
  <c r="AG1163" i="7" s="1"/>
  <c r="B1163" i="7"/>
  <c r="C1163" i="7"/>
  <c r="AH1165" i="7"/>
  <c r="AI1164" i="7"/>
  <c r="AI1165" i="7" l="1"/>
  <c r="AH1166" i="7"/>
  <c r="B1164" i="7"/>
  <c r="C1164" i="7"/>
  <c r="A1164" i="7"/>
  <c r="AG1164" i="7" s="1"/>
  <c r="AH1167" i="7" l="1"/>
  <c r="AI1166" i="7"/>
  <c r="C1165" i="7"/>
  <c r="B1165" i="7"/>
  <c r="A1165" i="7"/>
  <c r="AG1165" i="7" s="1"/>
  <c r="B1166" i="7" l="1"/>
  <c r="C1166" i="7"/>
  <c r="A1166" i="7"/>
  <c r="AG1166" i="7" s="1"/>
  <c r="AH1168" i="7"/>
  <c r="AI1167" i="7"/>
  <c r="AH1169" i="7" l="1"/>
  <c r="AI1168" i="7"/>
  <c r="A1167" i="7"/>
  <c r="AG1167" i="7" s="1"/>
  <c r="C1167" i="7"/>
  <c r="B1167" i="7"/>
  <c r="B1168" i="7" l="1"/>
  <c r="A1168" i="7"/>
  <c r="AG1168" i="7" s="1"/>
  <c r="C1168" i="7"/>
  <c r="AI1169" i="7"/>
  <c r="AH1170" i="7"/>
  <c r="C1169" i="7" l="1"/>
  <c r="B1169" i="7"/>
  <c r="A1169" i="7"/>
  <c r="AG1169" i="7" s="1"/>
  <c r="AI1170" i="7"/>
  <c r="AH1171" i="7"/>
  <c r="A1170" i="7" l="1"/>
  <c r="AG1170" i="7" s="1"/>
  <c r="B1170" i="7"/>
  <c r="C1170" i="7"/>
  <c r="AH1172" i="7"/>
  <c r="AI1171" i="7"/>
  <c r="AI1172" i="7" l="1"/>
  <c r="AH1173" i="7"/>
  <c r="A1171" i="7"/>
  <c r="AG1171" i="7" s="1"/>
  <c r="C1171" i="7"/>
  <c r="B1171" i="7"/>
  <c r="AI1173" i="7" l="1"/>
  <c r="AH1174" i="7"/>
  <c r="B1172" i="7"/>
  <c r="C1172" i="7"/>
  <c r="A1172" i="7"/>
  <c r="AG1172" i="7" s="1"/>
  <c r="AI1174" i="7" l="1"/>
  <c r="AH1175" i="7"/>
  <c r="C1173" i="7"/>
  <c r="B1173" i="7"/>
  <c r="A1173" i="7"/>
  <c r="AG1173" i="7" s="1"/>
  <c r="AH1176" i="7" l="1"/>
  <c r="AI1175" i="7"/>
  <c r="C1174" i="7"/>
  <c r="B1174" i="7"/>
  <c r="A1174" i="7"/>
  <c r="AG1174" i="7" s="1"/>
  <c r="A1175" i="7" l="1"/>
  <c r="AG1175" i="7" s="1"/>
  <c r="B1175" i="7"/>
  <c r="C1175" i="7"/>
  <c r="AI1176" i="7"/>
  <c r="AH1177" i="7"/>
  <c r="B1176" i="7" l="1"/>
  <c r="C1176" i="7"/>
  <c r="A1176" i="7"/>
  <c r="AG1176" i="7" s="1"/>
  <c r="AH1178" i="7"/>
  <c r="AI1177" i="7"/>
  <c r="AH1179" i="7" l="1"/>
  <c r="AI1178" i="7"/>
  <c r="C1177" i="7"/>
  <c r="A1177" i="7"/>
  <c r="AG1177" i="7" s="1"/>
  <c r="B1177" i="7"/>
  <c r="C1178" i="7" l="1"/>
  <c r="B1178" i="7"/>
  <c r="A1178" i="7"/>
  <c r="AG1178" i="7" s="1"/>
  <c r="AH1180" i="7"/>
  <c r="AI1179" i="7"/>
  <c r="AH1181" i="7" l="1"/>
  <c r="AI1180" i="7"/>
  <c r="A1179" i="7"/>
  <c r="AG1179" i="7" s="1"/>
  <c r="C1179" i="7"/>
  <c r="B1179" i="7"/>
  <c r="B1180" i="7" l="1"/>
  <c r="C1180" i="7"/>
  <c r="A1180" i="7"/>
  <c r="AG1180" i="7" s="1"/>
  <c r="AI1181" i="7"/>
  <c r="AH1182" i="7"/>
  <c r="C1181" i="7" l="1"/>
  <c r="B1181" i="7"/>
  <c r="A1181" i="7"/>
  <c r="AG1181" i="7" s="1"/>
  <c r="AH1183" i="7"/>
  <c r="AI1182" i="7"/>
  <c r="AI1183" i="7" l="1"/>
  <c r="AH1184" i="7"/>
  <c r="B1182" i="7"/>
  <c r="A1182" i="7"/>
  <c r="AG1182" i="7" s="1"/>
  <c r="C1182" i="7"/>
  <c r="AH1185" i="7" l="1"/>
  <c r="AI1184" i="7"/>
  <c r="A1183" i="7"/>
  <c r="AG1183" i="7" s="1"/>
  <c r="C1183" i="7"/>
  <c r="B1183" i="7"/>
  <c r="B1184" i="7" l="1"/>
  <c r="A1184" i="7"/>
  <c r="AG1184" i="7" s="1"/>
  <c r="C1184" i="7"/>
  <c r="AI1185" i="7"/>
  <c r="AH1186" i="7"/>
  <c r="C1185" i="7" l="1"/>
  <c r="A1185" i="7"/>
  <c r="AG1185" i="7" s="1"/>
  <c r="B1185" i="7"/>
  <c r="AH1187" i="7"/>
  <c r="AI1186" i="7"/>
  <c r="AI1187" i="7" l="1"/>
  <c r="AH1188" i="7"/>
  <c r="C1186" i="7"/>
  <c r="B1186" i="7"/>
  <c r="A1186" i="7"/>
  <c r="AG1186" i="7" s="1"/>
  <c r="AI1188" i="7" l="1"/>
  <c r="AH1189" i="7"/>
  <c r="A1187" i="7"/>
  <c r="AG1187" i="7" s="1"/>
  <c r="C1187" i="7"/>
  <c r="B1187" i="7"/>
  <c r="AH1190" i="7" l="1"/>
  <c r="AI1189" i="7"/>
  <c r="B1188" i="7"/>
  <c r="C1188" i="7"/>
  <c r="A1188" i="7"/>
  <c r="AG1188" i="7" s="1"/>
  <c r="C1189" i="7" l="1"/>
  <c r="B1189" i="7"/>
  <c r="A1189" i="7"/>
  <c r="AG1189" i="7" s="1"/>
  <c r="AH1191" i="7"/>
  <c r="AI1190" i="7"/>
  <c r="AI1191" i="7" l="1"/>
  <c r="AH1192" i="7"/>
  <c r="B1190" i="7"/>
  <c r="A1190" i="7"/>
  <c r="AG1190" i="7" s="1"/>
  <c r="C1190" i="7"/>
  <c r="AI1192" i="7" l="1"/>
  <c r="AH1193" i="7"/>
  <c r="A1191" i="7"/>
  <c r="AG1191" i="7" s="1"/>
  <c r="C1191" i="7"/>
  <c r="B1191" i="7"/>
  <c r="AI1193" i="7" l="1"/>
  <c r="AH1194" i="7"/>
  <c r="B1192" i="7"/>
  <c r="A1192" i="7"/>
  <c r="AG1192" i="7" s="1"/>
  <c r="C1192" i="7"/>
  <c r="AI1194" i="7" l="1"/>
  <c r="AH1195" i="7"/>
  <c r="C1193" i="7"/>
  <c r="B1193" i="7"/>
  <c r="A1193" i="7"/>
  <c r="AG1193" i="7" s="1"/>
  <c r="AH1196" i="7" l="1"/>
  <c r="AI1195" i="7"/>
  <c r="A1194" i="7"/>
  <c r="AG1194" i="7" s="1"/>
  <c r="C1194" i="7"/>
  <c r="B1194" i="7"/>
  <c r="A1195" i="7" l="1"/>
  <c r="AG1195" i="7" s="1"/>
  <c r="C1195" i="7"/>
  <c r="B1195" i="7"/>
  <c r="AH1197" i="7"/>
  <c r="AI1196" i="7"/>
  <c r="AI1197" i="7" l="1"/>
  <c r="AH1198" i="7"/>
  <c r="B1196" i="7"/>
  <c r="C1196" i="7"/>
  <c r="A1196" i="7"/>
  <c r="AG1196" i="7" s="1"/>
  <c r="AH1199" i="7" l="1"/>
  <c r="AI1198" i="7"/>
  <c r="C1197" i="7"/>
  <c r="B1197" i="7"/>
  <c r="A1197" i="7"/>
  <c r="AG1197" i="7" s="1"/>
  <c r="C1198" i="7" l="1"/>
  <c r="B1198" i="7"/>
  <c r="A1198" i="7"/>
  <c r="AG1198" i="7" s="1"/>
  <c r="AH1200" i="7"/>
  <c r="AI1199" i="7"/>
  <c r="AI1200" i="7" l="1"/>
  <c r="AH1201" i="7"/>
  <c r="A1199" i="7"/>
  <c r="AG1199" i="7" s="1"/>
  <c r="B1199" i="7"/>
  <c r="C1199" i="7"/>
  <c r="AI1201" i="7" l="1"/>
  <c r="AH1202" i="7"/>
  <c r="B1200" i="7"/>
  <c r="C1200" i="7"/>
  <c r="A1200" i="7"/>
  <c r="AG1200" i="7" s="1"/>
  <c r="AI1202" i="7" l="1"/>
  <c r="AH1203" i="7"/>
  <c r="C1201" i="7"/>
  <c r="A1201" i="7"/>
  <c r="AG1201" i="7" s="1"/>
  <c r="B1201" i="7"/>
  <c r="AI1203" i="7" l="1"/>
  <c r="AH1204" i="7"/>
  <c r="C1202" i="7"/>
  <c r="B1202" i="7"/>
  <c r="A1202" i="7"/>
  <c r="AG1202" i="7" s="1"/>
  <c r="AI1204" i="7" l="1"/>
  <c r="AH1205" i="7"/>
  <c r="A1203" i="7"/>
  <c r="AG1203" i="7" s="1"/>
  <c r="C1203" i="7"/>
  <c r="B1203" i="7"/>
  <c r="AH1206" i="7" l="1"/>
  <c r="AI1205" i="7"/>
  <c r="B1204" i="7"/>
  <c r="C1204" i="7"/>
  <c r="A1204" i="7"/>
  <c r="AG1204" i="7" s="1"/>
  <c r="C1205" i="7" l="1"/>
  <c r="B1205" i="7"/>
  <c r="A1205" i="7"/>
  <c r="AG1205" i="7" s="1"/>
  <c r="AH1207" i="7"/>
  <c r="AI1206" i="7"/>
  <c r="AH1208" i="7" l="1"/>
  <c r="AI1207" i="7"/>
  <c r="B1206" i="7"/>
  <c r="A1206" i="7"/>
  <c r="AG1206" i="7" s="1"/>
  <c r="C1206" i="7"/>
  <c r="A1207" i="7" l="1"/>
  <c r="AG1207" i="7" s="1"/>
  <c r="C1207" i="7"/>
  <c r="B1207" i="7"/>
  <c r="AH1209" i="7"/>
  <c r="AI1208" i="7"/>
  <c r="AI1209" i="7" l="1"/>
  <c r="AH1210" i="7"/>
  <c r="B1208" i="7"/>
  <c r="A1208" i="7"/>
  <c r="AG1208" i="7" s="1"/>
  <c r="C1208" i="7"/>
  <c r="AI1210" i="7" l="1"/>
  <c r="AH1211" i="7"/>
  <c r="C1209" i="7"/>
  <c r="B1209" i="7"/>
  <c r="A1209" i="7"/>
  <c r="AG1209" i="7" s="1"/>
  <c r="AH1212" i="7" l="1"/>
  <c r="AI1211" i="7"/>
  <c r="A1210" i="7"/>
  <c r="AG1210" i="7" s="1"/>
  <c r="C1210" i="7"/>
  <c r="B1210" i="7"/>
  <c r="A1211" i="7" l="1"/>
  <c r="AG1211" i="7" s="1"/>
  <c r="C1211" i="7"/>
  <c r="B1211" i="7"/>
  <c r="AH1213" i="7"/>
  <c r="AI1212" i="7"/>
  <c r="AI1213" i="7" l="1"/>
  <c r="AH1214" i="7"/>
  <c r="B1212" i="7"/>
  <c r="C1212" i="7"/>
  <c r="A1212" i="7"/>
  <c r="AG1212" i="7" s="1"/>
  <c r="AH1215" i="7" l="1"/>
  <c r="AI1214" i="7"/>
  <c r="C1213" i="7"/>
  <c r="B1213" i="7"/>
  <c r="A1213" i="7"/>
  <c r="AG1213" i="7" s="1"/>
  <c r="C1214" i="7" l="1"/>
  <c r="B1214" i="7"/>
  <c r="A1214" i="7"/>
  <c r="AG1214" i="7" s="1"/>
  <c r="AH1216" i="7"/>
  <c r="AI1215" i="7"/>
  <c r="AI1216" i="7" l="1"/>
  <c r="AH1217" i="7"/>
  <c r="A1215" i="7"/>
  <c r="AG1215" i="7" s="1"/>
  <c r="B1215" i="7"/>
  <c r="C1215" i="7"/>
  <c r="AI1217" i="7" l="1"/>
  <c r="AH1218" i="7"/>
  <c r="B1216" i="7"/>
  <c r="C1216" i="7"/>
  <c r="A1216" i="7"/>
  <c r="AG1216" i="7" s="1"/>
  <c r="AI1218" i="7" l="1"/>
  <c r="AH1219" i="7"/>
  <c r="C1217" i="7"/>
  <c r="A1217" i="7"/>
  <c r="AG1217" i="7" s="1"/>
  <c r="B1217" i="7"/>
  <c r="AI1219" i="7" l="1"/>
  <c r="AH1220" i="7"/>
  <c r="C1218" i="7"/>
  <c r="B1218" i="7"/>
  <c r="A1218" i="7"/>
  <c r="AG1218" i="7" s="1"/>
  <c r="AI1220" i="7" l="1"/>
  <c r="AH1221" i="7"/>
  <c r="A1219" i="7"/>
  <c r="AG1219" i="7" s="1"/>
  <c r="C1219" i="7"/>
  <c r="B1219" i="7"/>
  <c r="AH1222" i="7" l="1"/>
  <c r="AI1221" i="7"/>
  <c r="B1220" i="7"/>
  <c r="C1220" i="7"/>
  <c r="A1220" i="7"/>
  <c r="AG1220" i="7" s="1"/>
  <c r="C1221" i="7" l="1"/>
  <c r="B1221" i="7"/>
  <c r="A1221" i="7"/>
  <c r="AG1221" i="7" s="1"/>
  <c r="AH1223" i="7"/>
  <c r="AI1222" i="7"/>
  <c r="AI1223" i="7" l="1"/>
  <c r="AH1224" i="7"/>
  <c r="B1222" i="7"/>
  <c r="A1222" i="7"/>
  <c r="AG1222" i="7" s="1"/>
  <c r="C1222" i="7"/>
  <c r="AH1225" i="7" l="1"/>
  <c r="AI1224" i="7"/>
  <c r="A1223" i="7"/>
  <c r="AG1223" i="7" s="1"/>
  <c r="C1223" i="7"/>
  <c r="B1223" i="7"/>
  <c r="B1224" i="7" l="1"/>
  <c r="A1224" i="7"/>
  <c r="AG1224" i="7" s="1"/>
  <c r="C1224" i="7"/>
  <c r="AI1225" i="7"/>
  <c r="AH1226" i="7"/>
  <c r="C1225" i="7" l="1"/>
  <c r="B1225" i="7"/>
  <c r="A1225" i="7"/>
  <c r="AG1225" i="7" s="1"/>
  <c r="AI1226" i="7"/>
  <c r="AH1227" i="7"/>
  <c r="A1226" i="7" l="1"/>
  <c r="AG1226" i="7" s="1"/>
  <c r="C1226" i="7"/>
  <c r="B1226" i="7"/>
  <c r="AI1227" i="7"/>
  <c r="AH1228" i="7"/>
  <c r="A1227" i="7" l="1"/>
  <c r="AG1227" i="7" s="1"/>
  <c r="C1227" i="7"/>
  <c r="B1227" i="7"/>
  <c r="AI1228" i="7"/>
  <c r="AH1229" i="7"/>
  <c r="B1228" i="7" l="1"/>
  <c r="C1228" i="7"/>
  <c r="A1228" i="7"/>
  <c r="AG1228" i="7" s="1"/>
  <c r="AH1230" i="7"/>
  <c r="AI1229" i="7"/>
  <c r="AH1231" i="7" l="1"/>
  <c r="AI1230" i="7"/>
  <c r="C1229" i="7"/>
  <c r="B1229" i="7"/>
  <c r="A1229" i="7"/>
  <c r="AG1229" i="7" s="1"/>
  <c r="C1230" i="7" l="1"/>
  <c r="B1230" i="7"/>
  <c r="A1230" i="7"/>
  <c r="AG1230" i="7" s="1"/>
  <c r="AI1231" i="7"/>
  <c r="AH1232" i="7"/>
  <c r="A1231" i="7" l="1"/>
  <c r="AG1231" i="7" s="1"/>
  <c r="B1231" i="7"/>
  <c r="C1231" i="7"/>
  <c r="AH1233" i="7"/>
  <c r="AI1232" i="7"/>
  <c r="AI1233" i="7" l="1"/>
  <c r="AH1234" i="7"/>
  <c r="B1232" i="7"/>
  <c r="C1232" i="7"/>
  <c r="A1232" i="7"/>
  <c r="AG1232" i="7" s="1"/>
  <c r="AI1234" i="7" l="1"/>
  <c r="AH1235" i="7"/>
  <c r="C1233" i="7"/>
  <c r="A1233" i="7"/>
  <c r="AG1233" i="7" s="1"/>
  <c r="B1233" i="7"/>
  <c r="AI1235" i="7" l="1"/>
  <c r="AH1236" i="7"/>
  <c r="C1234" i="7"/>
  <c r="B1234" i="7"/>
  <c r="A1234" i="7"/>
  <c r="AG1234" i="7" s="1"/>
  <c r="AI1236" i="7" l="1"/>
  <c r="AH1237" i="7"/>
  <c r="A1235" i="7"/>
  <c r="AG1235" i="7" s="1"/>
  <c r="C1235" i="7"/>
  <c r="B1235" i="7"/>
  <c r="AH1238" i="7" l="1"/>
  <c r="AI1237" i="7"/>
  <c r="B1236" i="7"/>
  <c r="C1236" i="7"/>
  <c r="A1236" i="7"/>
  <c r="AG1236" i="7" s="1"/>
  <c r="C1237" i="7" l="1"/>
  <c r="B1237" i="7"/>
  <c r="A1237" i="7"/>
  <c r="AG1237" i="7" s="1"/>
  <c r="AH1239" i="7"/>
  <c r="AI1238" i="7"/>
  <c r="AH1240" i="7" l="1"/>
  <c r="AI1239" i="7"/>
  <c r="B1238" i="7"/>
  <c r="A1238" i="7"/>
  <c r="AG1238" i="7" s="1"/>
  <c r="C1238" i="7"/>
  <c r="A1239" i="7" l="1"/>
  <c r="AG1239" i="7" s="1"/>
  <c r="C1239" i="7"/>
  <c r="B1239" i="7"/>
  <c r="AI1240" i="7"/>
  <c r="AH1241" i="7"/>
  <c r="AH1242" i="7" l="1"/>
  <c r="AI1241" i="7"/>
  <c r="B1240" i="7"/>
  <c r="A1240" i="7"/>
  <c r="AG1240" i="7" s="1"/>
  <c r="C1240" i="7"/>
  <c r="C1241" i="7" l="1"/>
  <c r="B1241" i="7"/>
  <c r="A1241" i="7"/>
  <c r="AG1241" i="7" s="1"/>
  <c r="AI1242" i="7"/>
  <c r="AH1243" i="7"/>
  <c r="A1242" i="7" l="1"/>
  <c r="AG1242" i="7" s="1"/>
  <c r="C1242" i="7"/>
  <c r="B1242" i="7"/>
  <c r="AH1244" i="7"/>
  <c r="AI1243" i="7"/>
  <c r="A1243" i="7" l="1"/>
  <c r="AG1243" i="7" s="1"/>
  <c r="C1243" i="7"/>
  <c r="B1243" i="7"/>
  <c r="AI1244" i="7"/>
  <c r="AH1245" i="7"/>
  <c r="B1244" i="7" l="1"/>
  <c r="C1244" i="7"/>
  <c r="A1244" i="7"/>
  <c r="AG1244" i="7" s="1"/>
  <c r="AI1245" i="7"/>
  <c r="AH1246" i="7"/>
  <c r="C1245" i="7" l="1"/>
  <c r="B1245" i="7"/>
  <c r="A1245" i="7"/>
  <c r="AG1245" i="7" s="1"/>
  <c r="AH1247" i="7"/>
  <c r="AI1246" i="7"/>
  <c r="AH1248" i="7" l="1"/>
  <c r="AI1247" i="7"/>
  <c r="C1246" i="7"/>
  <c r="B1246" i="7"/>
  <c r="A1246" i="7"/>
  <c r="AG1246" i="7" s="1"/>
  <c r="A1247" i="7" l="1"/>
  <c r="AG1247" i="7" s="1"/>
  <c r="C1247" i="7"/>
  <c r="B1247" i="7"/>
  <c r="AH1249" i="7"/>
  <c r="AI1248" i="7"/>
  <c r="B1248" i="7" l="1"/>
  <c r="C1248" i="7"/>
  <c r="A1248" i="7"/>
  <c r="AG1248" i="7" s="1"/>
  <c r="AI1249" i="7"/>
  <c r="AH1250" i="7"/>
  <c r="C1249" i="7" l="1"/>
  <c r="B1249" i="7"/>
  <c r="A1249" i="7"/>
  <c r="AG1249" i="7" s="1"/>
  <c r="AI1250" i="7"/>
  <c r="AH1251" i="7"/>
  <c r="C1250" i="7" l="1"/>
  <c r="B1250" i="7"/>
  <c r="A1250" i="7"/>
  <c r="AG1250" i="7" s="1"/>
  <c r="AH1252" i="7"/>
  <c r="AI1251" i="7"/>
  <c r="A1251" i="7" l="1"/>
  <c r="AG1251" i="7" s="1"/>
  <c r="B1251" i="7"/>
  <c r="C1251" i="7"/>
  <c r="AI1252" i="7"/>
  <c r="AH1253" i="7"/>
  <c r="AH1254" i="7" l="1"/>
  <c r="AI1253" i="7"/>
  <c r="B1252" i="7"/>
  <c r="C1252" i="7"/>
  <c r="A1252" i="7"/>
  <c r="AG1252" i="7" s="1"/>
  <c r="C1253" i="7" l="1"/>
  <c r="A1253" i="7"/>
  <c r="AG1253" i="7" s="1"/>
  <c r="B1253" i="7"/>
  <c r="AH1255" i="7"/>
  <c r="AI1254" i="7"/>
  <c r="AH1256" i="7" l="1"/>
  <c r="AI1256" i="7" s="1"/>
  <c r="AI1255" i="7"/>
  <c r="C1254" i="7"/>
  <c r="B1254" i="7"/>
  <c r="A1254" i="7"/>
  <c r="AG1254" i="7" s="1"/>
  <c r="A1255" i="7" l="1"/>
  <c r="AG1255" i="7" s="1"/>
  <c r="C1255" i="7"/>
  <c r="B1255" i="7"/>
  <c r="C1256" i="7"/>
  <c r="B1256" i="7"/>
  <c r="A1256" i="7"/>
  <c r="AG1256" i="7" s="1"/>
  <c r="J45" i="3" l="1"/>
  <c r="J60" i="3"/>
  <c r="J40" i="3"/>
  <c r="J59" i="3"/>
  <c r="L825" i="7"/>
  <c r="Q141" i="7"/>
  <c r="P94" i="7"/>
  <c r="R83" i="7"/>
  <c r="P81" i="7"/>
  <c r="O93" i="7"/>
  <c r="N91" i="7"/>
  <c r="O87" i="7"/>
  <c r="N85" i="7"/>
  <c r="P82" i="7"/>
  <c r="N80" i="7"/>
  <c r="R85" i="7"/>
  <c r="Q82" i="7"/>
  <c r="Q83" i="7"/>
  <c r="P80" i="7"/>
  <c r="N77" i="7"/>
  <c r="P74" i="7"/>
  <c r="Q72" i="7"/>
  <c r="Q69" i="7"/>
  <c r="Q76" i="7"/>
  <c r="Q73" i="7"/>
  <c r="R73" i="7"/>
  <c r="P70" i="7"/>
  <c r="P92" i="7"/>
  <c r="O88" i="7"/>
  <c r="Q86" i="7"/>
  <c r="Q92" i="7"/>
  <c r="Q89" i="7"/>
  <c r="R89" i="7"/>
  <c r="P86" i="7"/>
  <c r="Q84" i="7"/>
  <c r="O81" i="7"/>
  <c r="N78" i="7"/>
  <c r="Q75" i="7"/>
  <c r="R69" i="7"/>
  <c r="N93" i="7"/>
  <c r="Q80" i="7"/>
  <c r="O77" i="7"/>
  <c r="N74" i="7"/>
  <c r="Q71" i="7"/>
  <c r="P93" i="7"/>
  <c r="O73" i="7"/>
  <c r="N71" i="7"/>
  <c r="R71" i="7"/>
  <c r="P69" i="7"/>
  <c r="Q93" i="7"/>
  <c r="R90" i="7"/>
  <c r="P87" i="7"/>
  <c r="R84" i="7"/>
  <c r="O82" i="7"/>
  <c r="R88" i="7"/>
  <c r="O86" i="7"/>
  <c r="R86" i="7"/>
  <c r="P83" i="7"/>
  <c r="R80" i="7"/>
  <c r="O78" i="7"/>
  <c r="O75" i="7"/>
  <c r="O72" i="7"/>
  <c r="P79" i="7"/>
  <c r="Q77" i="7"/>
  <c r="R77" i="7"/>
  <c r="N75" i="7"/>
  <c r="P71" i="7"/>
  <c r="N69" i="7"/>
  <c r="Q94" i="7"/>
  <c r="O91" i="7"/>
  <c r="P88" i="7"/>
  <c r="N82" i="7"/>
  <c r="Q79" i="7"/>
  <c r="N92" i="7"/>
  <c r="O90" i="7"/>
  <c r="Q87" i="7"/>
  <c r="P84" i="7"/>
  <c r="N81" i="7"/>
  <c r="P78" i="7"/>
  <c r="N86" i="7"/>
  <c r="N84" i="7"/>
  <c r="O83" i="7"/>
  <c r="Q81" i="7"/>
  <c r="R78" i="7"/>
  <c r="P76" i="7"/>
  <c r="R72" i="7"/>
  <c r="Q70" i="7"/>
  <c r="O92" i="7"/>
  <c r="R76" i="7"/>
  <c r="Q74" i="7"/>
  <c r="R74" i="7"/>
  <c r="P72" i="7"/>
  <c r="R93" i="7"/>
  <c r="P90" i="7"/>
  <c r="Q88" i="7"/>
  <c r="Q85" i="7"/>
  <c r="R92" i="7"/>
  <c r="Q90" i="7"/>
  <c r="N90" i="7"/>
  <c r="N88" i="7"/>
  <c r="O84" i="7"/>
  <c r="R82" i="7"/>
  <c r="R79" i="7"/>
  <c r="P77" i="7"/>
  <c r="N70" i="7"/>
  <c r="O80" i="7"/>
  <c r="Q78" i="7"/>
  <c r="R75" i="7"/>
  <c r="P73" i="7"/>
  <c r="O69" i="7"/>
  <c r="O94" i="7"/>
  <c r="Q91" i="7"/>
  <c r="N72" i="7"/>
  <c r="O70" i="7"/>
  <c r="R70" i="7"/>
  <c r="N94" i="7"/>
  <c r="R91" i="7"/>
  <c r="P89" i="7"/>
  <c r="O85" i="7"/>
  <c r="N83" i="7"/>
  <c r="O89" i="7"/>
  <c r="N87" i="7"/>
  <c r="R87" i="7"/>
  <c r="P85" i="7"/>
  <c r="R81" i="7"/>
  <c r="N79" i="7"/>
  <c r="P75" i="7"/>
  <c r="N73" i="7"/>
  <c r="O79" i="7"/>
  <c r="O76" i="7"/>
  <c r="N76" i="7"/>
  <c r="O74" i="7"/>
  <c r="O71" i="7"/>
  <c r="P91" i="7"/>
  <c r="N89" i="7"/>
  <c r="N95" i="7"/>
  <c r="R95" i="7"/>
  <c r="R94" i="7"/>
  <c r="O148" i="7"/>
  <c r="P95" i="7"/>
  <c r="O95" i="7"/>
  <c r="Q95" i="7"/>
  <c r="R139" i="7"/>
  <c r="P130" i="7"/>
  <c r="N124" i="7"/>
  <c r="P144" i="7"/>
  <c r="Q145" i="7"/>
  <c r="O139" i="7"/>
  <c r="R146" i="7"/>
  <c r="O136" i="7"/>
  <c r="Q127" i="7"/>
  <c r="O131" i="7"/>
  <c r="Q128" i="7"/>
  <c r="R125" i="7"/>
  <c r="R147" i="7"/>
  <c r="R144" i="7"/>
  <c r="O138" i="7"/>
  <c r="O132" i="7"/>
  <c r="Q130" i="7"/>
  <c r="N134" i="7"/>
  <c r="Q144" i="7"/>
  <c r="R141" i="7"/>
  <c r="Q138" i="7"/>
  <c r="N145" i="7"/>
  <c r="N139" i="7"/>
  <c r="N130" i="7"/>
  <c r="N136" i="7"/>
  <c r="R127" i="7"/>
  <c r="Q133" i="7"/>
  <c r="Q131" i="7"/>
  <c r="N128" i="7"/>
  <c r="O125" i="7"/>
  <c r="N146" i="7"/>
  <c r="Q142" i="7"/>
  <c r="P124" i="7"/>
  <c r="Q143" i="7"/>
  <c r="O137" i="7"/>
  <c r="P134" i="7"/>
  <c r="R131" i="7"/>
  <c r="R128" i="7"/>
  <c r="R135" i="7"/>
  <c r="P129" i="7"/>
  <c r="Q140" i="7"/>
  <c r="O147" i="7"/>
  <c r="N141" i="7"/>
  <c r="N138" i="7"/>
  <c r="N135" i="7"/>
  <c r="N129" i="7"/>
  <c r="P123" i="7"/>
  <c r="P145" i="7"/>
  <c r="N143" i="7"/>
  <c r="O130" i="7"/>
  <c r="P127" i="7"/>
  <c r="P125" i="7"/>
  <c r="Q135" i="7"/>
  <c r="O129" i="7"/>
  <c r="R123" i="7"/>
  <c r="O143" i="7"/>
  <c r="P139" i="7"/>
  <c r="O146" i="7"/>
  <c r="P143" i="7"/>
  <c r="O141" i="7"/>
  <c r="P138" i="7"/>
  <c r="R132" i="7"/>
  <c r="N126" i="7"/>
  <c r="Q137" i="7"/>
  <c r="P128" i="7"/>
  <c r="Q125" i="7"/>
  <c r="Q147" i="7"/>
  <c r="N144" i="7"/>
  <c r="P141" i="7"/>
  <c r="N148" i="7"/>
  <c r="P142" i="7"/>
  <c r="R129" i="7"/>
  <c r="P133" i="7"/>
  <c r="N127" i="7"/>
  <c r="O124" i="7"/>
  <c r="P147" i="7"/>
  <c r="N142" i="7"/>
  <c r="Q136" i="7"/>
  <c r="O127" i="7"/>
  <c r="O133" i="7"/>
  <c r="O123" i="7"/>
  <c r="R143" i="7"/>
  <c r="O140" i="7"/>
  <c r="R137" i="7"/>
  <c r="Q148" i="7"/>
  <c r="P135" i="7"/>
  <c r="R134" i="7"/>
  <c r="R124" i="7"/>
  <c r="Q134" i="7"/>
  <c r="P132" i="7"/>
  <c r="Q129" i="7"/>
  <c r="Q123" i="7"/>
  <c r="O145" i="7"/>
  <c r="Q139" i="7"/>
  <c r="Q126" i="7"/>
  <c r="N140" i="7"/>
  <c r="R138" i="7"/>
  <c r="O135" i="7"/>
  <c r="Q132" i="7"/>
  <c r="R126" i="7"/>
  <c r="N133" i="7"/>
  <c r="Q124" i="7"/>
  <c r="O142" i="7"/>
  <c r="P146" i="7"/>
  <c r="R140" i="7"/>
  <c r="P137" i="7"/>
  <c r="O134" i="7"/>
  <c r="P131" i="7"/>
  <c r="N125" i="7"/>
  <c r="P148" i="7"/>
  <c r="P140" i="7"/>
  <c r="R145" i="7"/>
  <c r="R136" i="7"/>
  <c r="N131" i="7"/>
  <c r="O128" i="7"/>
  <c r="O126" i="7"/>
  <c r="N132" i="7"/>
  <c r="P126" i="7"/>
  <c r="N123" i="7"/>
  <c r="Q146" i="7"/>
  <c r="N137" i="7"/>
  <c r="N147" i="7"/>
  <c r="O144" i="7"/>
  <c r="R142" i="7"/>
  <c r="P136" i="7"/>
  <c r="R130" i="7"/>
  <c r="R133" i="7"/>
  <c r="N149" i="7"/>
  <c r="Q149" i="7"/>
  <c r="R202" i="7"/>
  <c r="O149" i="7"/>
  <c r="R148" i="7"/>
  <c r="R149" i="7"/>
  <c r="P149" i="7"/>
  <c r="P187" i="7"/>
  <c r="P183" i="7"/>
  <c r="N181" i="7"/>
  <c r="N187" i="7"/>
  <c r="O179" i="7"/>
  <c r="Q194" i="7"/>
  <c r="Q191" i="7"/>
  <c r="P179" i="7"/>
  <c r="R186" i="7"/>
  <c r="R183" i="7"/>
  <c r="P199" i="7"/>
  <c r="O195" i="7"/>
  <c r="O191" i="7"/>
  <c r="Q186" i="7"/>
  <c r="O182" i="7"/>
  <c r="N193" i="7"/>
  <c r="Q189" i="7"/>
  <c r="R187" i="7"/>
  <c r="P181" i="7"/>
  <c r="P200" i="7"/>
  <c r="R196" i="7"/>
  <c r="N202" i="7"/>
  <c r="O197" i="7"/>
  <c r="N196" i="7"/>
  <c r="P193" i="7"/>
  <c r="P191" i="7"/>
  <c r="P197" i="7"/>
  <c r="P201" i="7"/>
  <c r="R197" i="7"/>
  <c r="O192" i="7"/>
  <c r="Q201" i="7"/>
  <c r="Q199" i="7"/>
  <c r="Q196" i="7"/>
  <c r="R194" i="7"/>
  <c r="Q200" i="7"/>
  <c r="R191" i="7"/>
  <c r="R188" i="7"/>
  <c r="N183" i="7"/>
  <c r="N179" i="7"/>
  <c r="N192" i="7"/>
  <c r="Q188" i="7"/>
  <c r="O199" i="7"/>
  <c r="O196" i="7"/>
  <c r="P184" i="7"/>
  <c r="R180" i="7"/>
  <c r="R201" i="7"/>
  <c r="N199" i="7"/>
  <c r="N195" i="7"/>
  <c r="Q182" i="7"/>
  <c r="Q179" i="7"/>
  <c r="R177" i="7"/>
  <c r="N200" i="7"/>
  <c r="Q193" i="7"/>
  <c r="P185" i="7"/>
  <c r="Q181" i="7"/>
  <c r="N189" i="7"/>
  <c r="R185" i="7"/>
  <c r="P186" i="7"/>
  <c r="P182" i="7"/>
  <c r="P180" i="7"/>
  <c r="O189" i="7"/>
  <c r="N178" i="7"/>
  <c r="Q187" i="7"/>
  <c r="Q178" i="7"/>
  <c r="P188" i="7"/>
  <c r="R189" i="7"/>
  <c r="N185" i="7"/>
  <c r="O183" i="7"/>
  <c r="O180" i="7"/>
  <c r="R181" i="7"/>
  <c r="O177" i="7"/>
  <c r="O201" i="7"/>
  <c r="Q195" i="7"/>
  <c r="Q192" i="7"/>
  <c r="N177" i="7"/>
  <c r="N201" i="7"/>
  <c r="N184" i="7"/>
  <c r="Q177" i="7"/>
  <c r="Q197" i="7"/>
  <c r="O193" i="7"/>
  <c r="Q185" i="7"/>
  <c r="O181" i="7"/>
  <c r="P195" i="7"/>
  <c r="P192" i="7"/>
  <c r="O190" i="7"/>
  <c r="O186" i="7"/>
  <c r="R198" i="7"/>
  <c r="O194" i="7"/>
  <c r="O202" i="7"/>
  <c r="N198" i="7"/>
  <c r="Q198" i="7"/>
  <c r="R195" i="7"/>
  <c r="R193" i="7"/>
  <c r="P202" i="7"/>
  <c r="Q190" i="7"/>
  <c r="O200" i="7"/>
  <c r="N191" i="7"/>
  <c r="R200" i="7"/>
  <c r="O198" i="7"/>
  <c r="P196" i="7"/>
  <c r="R192" i="7"/>
  <c r="N194" i="7"/>
  <c r="N190" i="7"/>
  <c r="N182" i="7"/>
  <c r="P178" i="7"/>
  <c r="R190" i="7"/>
  <c r="N186" i="7"/>
  <c r="N197" i="7"/>
  <c r="P190" i="7"/>
  <c r="R182" i="7"/>
  <c r="O178" i="7"/>
  <c r="P198" i="7"/>
  <c r="P194" i="7"/>
  <c r="N180" i="7"/>
  <c r="P177" i="7"/>
  <c r="R199" i="7"/>
  <c r="O187" i="7"/>
  <c r="O184" i="7"/>
  <c r="N188" i="7"/>
  <c r="R184" i="7"/>
  <c r="Q183" i="7"/>
  <c r="Q180" i="7"/>
  <c r="R178" i="7"/>
  <c r="Q184" i="7"/>
  <c r="O188" i="7"/>
  <c r="O185" i="7"/>
  <c r="R179" i="7"/>
  <c r="P189" i="7"/>
  <c r="P203" i="7"/>
  <c r="P256" i="7"/>
  <c r="Q202" i="7"/>
  <c r="R203" i="7"/>
  <c r="O203" i="7"/>
  <c r="Q203" i="7"/>
  <c r="N203" i="7"/>
  <c r="N283" i="7"/>
  <c r="O255" i="7"/>
  <c r="Q250" i="7"/>
  <c r="N249" i="7"/>
  <c r="R247" i="7"/>
  <c r="O237" i="7"/>
  <c r="P232" i="7"/>
  <c r="O243" i="7"/>
  <c r="N234" i="7"/>
  <c r="N245" i="7"/>
  <c r="N240" i="7"/>
  <c r="Q240" i="7"/>
  <c r="Q238" i="7"/>
  <c r="R256" i="7"/>
  <c r="R249" i="7"/>
  <c r="R234" i="7"/>
  <c r="O249" i="7"/>
  <c r="R238" i="7"/>
  <c r="N232" i="7"/>
  <c r="O242" i="7"/>
  <c r="P242" i="7"/>
  <c r="P233" i="7"/>
  <c r="R255" i="7"/>
  <c r="P251" i="7"/>
  <c r="O235" i="7"/>
  <c r="P239" i="7"/>
  <c r="R241" i="7"/>
  <c r="N235" i="7"/>
  <c r="R232" i="7"/>
  <c r="Q233" i="7"/>
  <c r="N247" i="7"/>
  <c r="O254" i="7"/>
  <c r="O251" i="7"/>
  <c r="N242" i="7"/>
  <c r="R248" i="7"/>
  <c r="O233" i="7"/>
  <c r="P241" i="7"/>
  <c r="N239" i="7"/>
  <c r="P248" i="7"/>
  <c r="N250" i="7"/>
  <c r="Q236" i="7"/>
  <c r="N243" i="7"/>
  <c r="N231" i="7"/>
  <c r="R237" i="7"/>
  <c r="O231" i="7"/>
  <c r="N238" i="7"/>
  <c r="R235" i="7"/>
  <c r="N236" i="7"/>
  <c r="P250" i="7"/>
  <c r="O245" i="7"/>
  <c r="P247" i="7"/>
  <c r="Q235" i="7"/>
  <c r="N253" i="7"/>
  <c r="O252" i="7"/>
  <c r="O250" i="7"/>
  <c r="R240" i="7"/>
  <c r="P235" i="7"/>
  <c r="Q247" i="7"/>
  <c r="P237" i="7"/>
  <c r="Q251" i="7"/>
  <c r="Q245" i="7"/>
  <c r="Q255" i="7"/>
  <c r="N255" i="7"/>
  <c r="P246" i="7"/>
  <c r="O240" i="7"/>
  <c r="Q248" i="7"/>
  <c r="P252" i="7"/>
  <c r="R254" i="7"/>
  <c r="N248" i="7"/>
  <c r="P245" i="7"/>
  <c r="R245" i="7"/>
  <c r="R236" i="7"/>
  <c r="P243" i="7"/>
  <c r="P240" i="7"/>
  <c r="P231" i="7"/>
  <c r="P255" i="7"/>
  <c r="P244" i="7"/>
  <c r="N251" i="7"/>
  <c r="Q249" i="7"/>
  <c r="R239" i="7"/>
  <c r="O253" i="7"/>
  <c r="Q232" i="7"/>
  <c r="R243" i="7"/>
  <c r="N241" i="7"/>
  <c r="Q253" i="7"/>
  <c r="Q241" i="7"/>
  <c r="O239" i="7"/>
  <c r="N233" i="7"/>
  <c r="P249" i="7"/>
  <c r="R253" i="7"/>
  <c r="R242" i="7"/>
  <c r="N237" i="7"/>
  <c r="O236" i="7"/>
  <c r="O234" i="7"/>
  <c r="R252" i="7"/>
  <c r="N246" i="7"/>
  <c r="Q231" i="7"/>
  <c r="P254" i="7"/>
  <c r="Q246" i="7"/>
  <c r="O232" i="7"/>
  <c r="N254" i="7"/>
  <c r="R251" i="7"/>
  <c r="N252" i="7"/>
  <c r="Q243" i="7"/>
  <c r="Q237" i="7"/>
  <c r="R244" i="7"/>
  <c r="P236" i="7"/>
  <c r="O248" i="7"/>
  <c r="N256" i="7"/>
  <c r="Q254" i="7"/>
  <c r="Q244" i="7"/>
  <c r="O238" i="7"/>
  <c r="R250" i="7"/>
  <c r="P253" i="7"/>
  <c r="Q252" i="7"/>
  <c r="O246" i="7"/>
  <c r="R246" i="7"/>
  <c r="N244" i="7"/>
  <c r="P234" i="7"/>
  <c r="Q242" i="7"/>
  <c r="P238" i="7"/>
  <c r="R233" i="7"/>
  <c r="O241" i="7"/>
  <c r="O247" i="7"/>
  <c r="Q239" i="7"/>
  <c r="Q234" i="7"/>
  <c r="R231" i="7"/>
  <c r="Q256" i="7"/>
  <c r="O244" i="7"/>
  <c r="Q283" i="7"/>
  <c r="P277" i="7"/>
  <c r="N266" i="7"/>
  <c r="O262" i="7"/>
  <c r="O281" i="7"/>
  <c r="N273" i="7"/>
  <c r="R279" i="7"/>
  <c r="P271" i="7"/>
  <c r="R267" i="7"/>
  <c r="N277" i="7"/>
  <c r="O259" i="7"/>
  <c r="Q261" i="7"/>
  <c r="O278" i="7"/>
  <c r="Q264" i="7"/>
  <c r="O260" i="7"/>
  <c r="N282" i="7"/>
  <c r="P274" i="7"/>
  <c r="O271" i="7"/>
  <c r="P260" i="7"/>
  <c r="R273" i="7"/>
  <c r="P264" i="7"/>
  <c r="O277" i="7"/>
  <c r="P272" i="7"/>
  <c r="Q265" i="7"/>
  <c r="N268" i="7"/>
  <c r="P263" i="7"/>
  <c r="Q258" i="7"/>
  <c r="R283" i="7"/>
  <c r="R276" i="7"/>
  <c r="Q267" i="7"/>
  <c r="R257" i="7"/>
  <c r="O263" i="7"/>
  <c r="P268" i="7"/>
  <c r="N258" i="7"/>
  <c r="N279" i="7"/>
  <c r="O275" i="7"/>
  <c r="P261" i="7"/>
  <c r="P269" i="7"/>
  <c r="P258" i="7"/>
  <c r="R282" i="7"/>
  <c r="N280" i="7"/>
  <c r="N276" i="7"/>
  <c r="Q272" i="7"/>
  <c r="O268" i="7"/>
  <c r="R274" i="7"/>
  <c r="N269" i="7"/>
  <c r="Q259" i="7"/>
  <c r="Q277" i="7"/>
  <c r="R272" i="7"/>
  <c r="Q262" i="7"/>
  <c r="Q260" i="7"/>
  <c r="O310" i="7"/>
  <c r="R265" i="7"/>
  <c r="N259" i="7"/>
  <c r="Q280" i="7"/>
  <c r="O264" i="7"/>
  <c r="R268" i="7"/>
  <c r="P278" i="7"/>
  <c r="R281" i="7"/>
  <c r="Q275" i="7"/>
  <c r="O265" i="7"/>
  <c r="N270" i="7"/>
  <c r="P266" i="7"/>
  <c r="P280" i="7"/>
  <c r="N264" i="7"/>
  <c r="N260" i="7"/>
  <c r="N281" i="7"/>
  <c r="R271" i="7"/>
  <c r="O266" i="7"/>
  <c r="Q257" i="7"/>
  <c r="Q274" i="7"/>
  <c r="O282" i="7"/>
  <c r="N271" i="7"/>
  <c r="O270" i="7"/>
  <c r="P262" i="7"/>
  <c r="O273" i="7"/>
  <c r="P259" i="7"/>
  <c r="R280" i="7"/>
  <c r="P257" i="7"/>
  <c r="P282" i="7"/>
  <c r="N272" i="7"/>
  <c r="Q263" i="7"/>
  <c r="O256" i="7"/>
  <c r="N274" i="7"/>
  <c r="P273" i="7"/>
  <c r="N262" i="7"/>
  <c r="Q279" i="7"/>
  <c r="R261" i="7"/>
  <c r="P275" i="7"/>
  <c r="R262" i="7"/>
  <c r="Q266" i="7"/>
  <c r="O261" i="7"/>
  <c r="N263" i="7"/>
  <c r="R259" i="7"/>
  <c r="R278" i="7"/>
  <c r="O257" i="7"/>
  <c r="O279" i="7"/>
  <c r="Q268" i="7"/>
  <c r="O267" i="7"/>
  <c r="R277" i="7"/>
  <c r="P281" i="7"/>
  <c r="N267" i="7"/>
  <c r="Q269" i="7"/>
  <c r="R264" i="7"/>
  <c r="P279" i="7"/>
  <c r="R269" i="7"/>
  <c r="R260" i="7"/>
  <c r="R266" i="7"/>
  <c r="O258" i="7"/>
  <c r="P283" i="7"/>
  <c r="R258" i="7"/>
  <c r="Q278" i="7"/>
  <c r="Q271" i="7"/>
  <c r="N257" i="7"/>
  <c r="Q270" i="7"/>
  <c r="P265" i="7"/>
  <c r="P276" i="7"/>
  <c r="O269" i="7"/>
  <c r="N261" i="7"/>
  <c r="R270" i="7"/>
  <c r="N275" i="7"/>
  <c r="O276" i="7"/>
  <c r="N265" i="7"/>
  <c r="Q282" i="7"/>
  <c r="Q273" i="7"/>
  <c r="N278" i="7"/>
  <c r="O274" i="7"/>
  <c r="Q276" i="7"/>
  <c r="O272" i="7"/>
  <c r="P270" i="7"/>
  <c r="R263" i="7"/>
  <c r="Q281" i="7"/>
  <c r="O280" i="7"/>
  <c r="R275" i="7"/>
  <c r="P267" i="7"/>
  <c r="N301" i="7"/>
  <c r="Q309" i="7"/>
  <c r="O285" i="7"/>
  <c r="O284" i="7"/>
  <c r="N288" i="7"/>
  <c r="R285" i="7"/>
  <c r="R305" i="7"/>
  <c r="O298" i="7"/>
  <c r="R306" i="7"/>
  <c r="O296" i="7"/>
  <c r="R299" i="7"/>
  <c r="N300" i="7"/>
  <c r="P310" i="7"/>
  <c r="N291" i="7"/>
  <c r="P288" i="7"/>
  <c r="Q299" i="7"/>
  <c r="N284" i="7"/>
  <c r="R294" i="7"/>
  <c r="P290" i="7"/>
  <c r="N289" i="7"/>
  <c r="N307" i="7"/>
  <c r="P304" i="7"/>
  <c r="N296" i="7"/>
  <c r="P296" i="7"/>
  <c r="N285" i="7"/>
  <c r="P307" i="7"/>
  <c r="O303" i="7"/>
  <c r="P285" i="7"/>
  <c r="Q307" i="7"/>
  <c r="P299" i="7"/>
  <c r="N292" i="7"/>
  <c r="R290" i="7"/>
  <c r="O299" i="7"/>
  <c r="N297" i="7"/>
  <c r="P293" i="7"/>
  <c r="P308" i="7"/>
  <c r="R292" i="7"/>
  <c r="Q301" i="7"/>
  <c r="P297" i="7"/>
  <c r="Q284" i="7"/>
  <c r="Q308" i="7"/>
  <c r="N295" i="7"/>
  <c r="R291" i="7"/>
  <c r="Q287" i="7"/>
  <c r="R302" i="7"/>
  <c r="N304" i="7"/>
  <c r="R301" i="7"/>
  <c r="N293" i="7"/>
  <c r="O283" i="7"/>
  <c r="N308" i="7"/>
  <c r="R307" i="7"/>
  <c r="Q303" i="7"/>
  <c r="Q286" i="7"/>
  <c r="Q291" i="7"/>
  <c r="O293" i="7"/>
  <c r="N309" i="7"/>
  <c r="R309" i="7"/>
  <c r="Q298" i="7"/>
  <c r="Q293" i="7"/>
  <c r="N302" i="7"/>
  <c r="N298" i="7"/>
  <c r="O294" i="7"/>
  <c r="P292" i="7"/>
  <c r="Q285" i="7"/>
  <c r="R303" i="7"/>
  <c r="Q292" i="7"/>
  <c r="N286" i="7"/>
  <c r="Q310" i="7"/>
  <c r="O306" i="7"/>
  <c r="O305" i="7"/>
  <c r="Q297" i="7"/>
  <c r="N290" i="7"/>
  <c r="P289" i="7"/>
  <c r="R289" i="7"/>
  <c r="R304" i="7"/>
  <c r="O300" i="7"/>
  <c r="P298" i="7"/>
  <c r="R295" i="7"/>
  <c r="O288" i="7"/>
  <c r="Q295" i="7"/>
  <c r="R296" i="7"/>
  <c r="N306" i="7"/>
  <c r="R293" i="7"/>
  <c r="O301" i="7"/>
  <c r="P291" i="7"/>
  <c r="O287" i="7"/>
  <c r="R298" i="7"/>
  <c r="O304" i="7"/>
  <c r="P286" i="7"/>
  <c r="R310" i="7"/>
  <c r="R287" i="7"/>
  <c r="Q289" i="7"/>
  <c r="O292" i="7"/>
  <c r="P284" i="7"/>
  <c r="P306" i="7"/>
  <c r="O295" i="7"/>
  <c r="O289" i="7"/>
  <c r="O309" i="7"/>
  <c r="O307" i="7"/>
  <c r="P287" i="7"/>
  <c r="Q305" i="7"/>
  <c r="Q304" i="7"/>
  <c r="R288" i="7"/>
  <c r="Q296" i="7"/>
  <c r="Q290" i="7"/>
  <c r="R284" i="7"/>
  <c r="P309" i="7"/>
  <c r="N305" i="7"/>
  <c r="Q294" i="7"/>
  <c r="P303" i="7"/>
  <c r="O302" i="7"/>
  <c r="N287" i="7"/>
  <c r="R297" i="7"/>
  <c r="R308" i="7"/>
  <c r="Q300" i="7"/>
  <c r="Q288" i="7"/>
  <c r="O297" i="7"/>
  <c r="O286" i="7"/>
  <c r="P305" i="7"/>
  <c r="N303" i="7"/>
  <c r="P300" i="7"/>
  <c r="P295" i="7"/>
  <c r="O291" i="7"/>
  <c r="O308" i="7"/>
  <c r="P301" i="7"/>
  <c r="R300" i="7"/>
  <c r="P302" i="7"/>
  <c r="N294" i="7"/>
  <c r="O290" i="7"/>
  <c r="Q302" i="7"/>
  <c r="P294" i="7"/>
  <c r="Q306" i="7"/>
  <c r="N299" i="7"/>
  <c r="R286" i="7"/>
  <c r="N318" i="7"/>
  <c r="N335" i="7"/>
  <c r="O319" i="7"/>
  <c r="N311" i="7"/>
  <c r="O312" i="7"/>
  <c r="P336" i="7"/>
  <c r="R334" i="7"/>
  <c r="N332" i="7"/>
  <c r="R322" i="7"/>
  <c r="R321" i="7"/>
  <c r="R316" i="7"/>
  <c r="Q337" i="7"/>
  <c r="O325" i="7"/>
  <c r="O315" i="7"/>
  <c r="N326" i="7"/>
  <c r="N337" i="7"/>
  <c r="N310" i="7"/>
  <c r="Q325" i="7"/>
  <c r="Q324" i="7"/>
  <c r="P333" i="7"/>
  <c r="O318" i="7"/>
  <c r="O311" i="7"/>
  <c r="Q319" i="7"/>
  <c r="P329" i="7"/>
  <c r="Q316" i="7"/>
  <c r="O320" i="7"/>
  <c r="Q327" i="7"/>
  <c r="Q311" i="7"/>
  <c r="N321" i="7"/>
  <c r="N328" i="7"/>
  <c r="O322" i="7"/>
  <c r="N329" i="7"/>
  <c r="P330" i="7"/>
  <c r="Q332" i="7"/>
  <c r="R331" i="7"/>
  <c r="N316" i="7"/>
  <c r="P364" i="7"/>
  <c r="N331" i="7"/>
  <c r="N324" i="7"/>
  <c r="P332" i="7"/>
  <c r="R314" i="7"/>
  <c r="P325" i="7"/>
  <c r="O317" i="7"/>
  <c r="R325" i="7"/>
  <c r="Q317" i="7"/>
  <c r="P334" i="7"/>
  <c r="N334" i="7"/>
  <c r="R329" i="7"/>
  <c r="N322" i="7"/>
  <c r="N317" i="7"/>
  <c r="O328" i="7"/>
  <c r="O329" i="7"/>
  <c r="Q320" i="7"/>
  <c r="P312" i="7"/>
  <c r="Q331" i="7"/>
  <c r="N320" i="7"/>
  <c r="O331" i="7"/>
  <c r="P314" i="7"/>
  <c r="Q329" i="7"/>
  <c r="Q318" i="7"/>
  <c r="Q334" i="7"/>
  <c r="Q322" i="7"/>
  <c r="O334" i="7"/>
  <c r="N313" i="7"/>
  <c r="P320" i="7"/>
  <c r="O313" i="7"/>
  <c r="O321" i="7"/>
  <c r="Q330" i="7"/>
  <c r="R317" i="7"/>
  <c r="R313" i="7"/>
  <c r="O337" i="7"/>
  <c r="P326" i="7"/>
  <c r="O326" i="7"/>
  <c r="R315" i="7"/>
  <c r="Q323" i="7"/>
  <c r="N330" i="7"/>
  <c r="O333" i="7"/>
  <c r="R320" i="7"/>
  <c r="O323" i="7"/>
  <c r="Q315" i="7"/>
  <c r="O335" i="7"/>
  <c r="R330" i="7"/>
  <c r="P311" i="7"/>
  <c r="R328" i="7"/>
  <c r="Q313" i="7"/>
  <c r="Q333" i="7"/>
  <c r="R323" i="7"/>
  <c r="R324" i="7"/>
  <c r="R319" i="7"/>
  <c r="N312" i="7"/>
  <c r="N333" i="7"/>
  <c r="P317" i="7"/>
  <c r="O327" i="7"/>
  <c r="P324" i="7"/>
  <c r="P315" i="7"/>
  <c r="N315" i="7"/>
  <c r="R335" i="7"/>
  <c r="Q314" i="7"/>
  <c r="N323" i="7"/>
  <c r="P322" i="7"/>
  <c r="O332" i="7"/>
  <c r="N314" i="7"/>
  <c r="P318" i="7"/>
  <c r="O330" i="7"/>
  <c r="R326" i="7"/>
  <c r="P327" i="7"/>
  <c r="R312" i="7"/>
  <c r="P323" i="7"/>
  <c r="P321" i="7"/>
  <c r="P335" i="7"/>
  <c r="R311" i="7"/>
  <c r="R333" i="7"/>
  <c r="Q321" i="7"/>
  <c r="N327" i="7"/>
  <c r="O336" i="7"/>
  <c r="P313" i="7"/>
  <c r="O324" i="7"/>
  <c r="Q326" i="7"/>
  <c r="Q312" i="7"/>
  <c r="R336" i="7"/>
  <c r="R332" i="7"/>
  <c r="N325" i="7"/>
  <c r="O316" i="7"/>
  <c r="Q336" i="7"/>
  <c r="Q328" i="7"/>
  <c r="O314" i="7"/>
  <c r="P328" i="7"/>
  <c r="N319" i="7"/>
  <c r="P316" i="7"/>
  <c r="N336" i="7"/>
  <c r="Q335" i="7"/>
  <c r="R318" i="7"/>
  <c r="P319" i="7"/>
  <c r="R327" i="7"/>
  <c r="P331" i="7"/>
  <c r="N342" i="7"/>
  <c r="O345" i="7"/>
  <c r="Q343" i="7"/>
  <c r="O349" i="7"/>
  <c r="P353" i="7"/>
  <c r="P356" i="7"/>
  <c r="P341" i="7"/>
  <c r="N347" i="7"/>
  <c r="R342" i="7"/>
  <c r="O351" i="7"/>
  <c r="N349" i="7"/>
  <c r="O339" i="7"/>
  <c r="O352" i="7"/>
  <c r="N343" i="7"/>
  <c r="N346" i="7"/>
  <c r="P354" i="7"/>
  <c r="O341" i="7"/>
  <c r="R358" i="7"/>
  <c r="R341" i="7"/>
  <c r="N352" i="7"/>
  <c r="P355" i="7"/>
  <c r="P346" i="7"/>
  <c r="Q349" i="7"/>
  <c r="P357" i="7"/>
  <c r="Q344" i="7"/>
  <c r="R348" i="7"/>
  <c r="O364" i="7"/>
  <c r="O354" i="7"/>
  <c r="R352" i="7"/>
  <c r="R345" i="7"/>
  <c r="R350" i="7"/>
  <c r="P349" i="7"/>
  <c r="O347" i="7"/>
  <c r="R347" i="7"/>
  <c r="Q355" i="7"/>
  <c r="R357" i="7"/>
  <c r="R355" i="7"/>
  <c r="N361" i="7"/>
  <c r="R343" i="7"/>
  <c r="Q340" i="7"/>
  <c r="R354" i="7"/>
  <c r="P360" i="7"/>
  <c r="Q354" i="7"/>
  <c r="Q364" i="7"/>
  <c r="P362" i="7"/>
  <c r="P352" i="7"/>
  <c r="O356" i="7"/>
  <c r="R359" i="7"/>
  <c r="O344" i="7"/>
  <c r="P338" i="7"/>
  <c r="Q353" i="7"/>
  <c r="Q348" i="7"/>
  <c r="N354" i="7"/>
  <c r="R349" i="7"/>
  <c r="O342" i="7"/>
  <c r="O359" i="7"/>
  <c r="N362" i="7"/>
  <c r="P347" i="7"/>
  <c r="R340" i="7"/>
  <c r="O357" i="7"/>
  <c r="R361" i="7"/>
  <c r="R344" i="7"/>
  <c r="Q342" i="7"/>
  <c r="P358" i="7"/>
  <c r="R364" i="7"/>
  <c r="P340" i="7"/>
  <c r="Q362" i="7"/>
  <c r="O360" i="7"/>
  <c r="R360" i="7"/>
  <c r="P351" i="7"/>
  <c r="P348" i="7"/>
  <c r="R346" i="7"/>
  <c r="O348" i="7"/>
  <c r="N356" i="7"/>
  <c r="O353" i="7"/>
  <c r="Q351" i="7"/>
  <c r="Q350" i="7"/>
  <c r="P345" i="7"/>
  <c r="N348" i="7"/>
  <c r="O346" i="7"/>
  <c r="R362" i="7"/>
  <c r="R337" i="7"/>
  <c r="Q347" i="7"/>
  <c r="O343" i="7"/>
  <c r="Q357" i="7"/>
  <c r="N350" i="7"/>
  <c r="Q361" i="7"/>
  <c r="R351" i="7"/>
  <c r="O362" i="7"/>
  <c r="O355" i="7"/>
  <c r="O350" i="7"/>
  <c r="Q346" i="7"/>
  <c r="Q360" i="7"/>
  <c r="R353" i="7"/>
  <c r="Q339" i="7"/>
  <c r="N357" i="7"/>
  <c r="N355" i="7"/>
  <c r="N345" i="7"/>
  <c r="N340" i="7"/>
  <c r="Q352" i="7"/>
  <c r="P350" i="7"/>
  <c r="P344" i="7"/>
  <c r="R338" i="7"/>
  <c r="N360" i="7"/>
  <c r="O358" i="7"/>
  <c r="P361" i="7"/>
  <c r="O340" i="7"/>
  <c r="P343" i="7"/>
  <c r="P363" i="7"/>
  <c r="N363" i="7"/>
  <c r="Q358" i="7"/>
  <c r="O361" i="7"/>
  <c r="Q359" i="7"/>
  <c r="N339" i="7"/>
  <c r="Q338" i="7"/>
  <c r="N359" i="7"/>
  <c r="Q356" i="7"/>
  <c r="N341" i="7"/>
  <c r="O363" i="7"/>
  <c r="Q345" i="7"/>
  <c r="N338" i="7"/>
  <c r="Q363" i="7"/>
  <c r="R339" i="7"/>
  <c r="P342" i="7"/>
  <c r="R363" i="7"/>
  <c r="P359" i="7"/>
  <c r="N344" i="7"/>
  <c r="P337" i="7"/>
  <c r="R391" i="7"/>
  <c r="N351" i="7"/>
  <c r="Q341" i="7"/>
  <c r="P339" i="7"/>
  <c r="N358" i="7"/>
  <c r="O338" i="7"/>
  <c r="N353" i="7"/>
  <c r="R356" i="7"/>
  <c r="O373" i="7"/>
  <c r="P369" i="7"/>
  <c r="R381" i="7"/>
  <c r="Q379" i="7"/>
  <c r="Q370" i="7"/>
  <c r="N364" i="7"/>
  <c r="R386" i="7"/>
  <c r="O374" i="7"/>
  <c r="R390" i="7"/>
  <c r="Q384" i="7"/>
  <c r="R371" i="7"/>
  <c r="P391" i="7"/>
  <c r="Q388" i="7"/>
  <c r="R385" i="7"/>
  <c r="N383" i="7"/>
  <c r="Q377" i="7"/>
  <c r="P377" i="7"/>
  <c r="N367" i="7"/>
  <c r="O388" i="7"/>
  <c r="R374" i="7"/>
  <c r="N373" i="7"/>
  <c r="P388" i="7"/>
  <c r="P387" i="7"/>
  <c r="Q367" i="7"/>
  <c r="N381" i="7"/>
  <c r="N371" i="7"/>
  <c r="P389" i="7"/>
  <c r="Q372" i="7"/>
  <c r="O369" i="7"/>
  <c r="R378" i="7"/>
  <c r="N377" i="7"/>
  <c r="R370" i="7"/>
  <c r="N384" i="7"/>
  <c r="O386" i="7"/>
  <c r="N382" i="7"/>
  <c r="N375" i="7"/>
  <c r="R382" i="7"/>
  <c r="P373" i="7"/>
  <c r="N376" i="7"/>
  <c r="Q365" i="7"/>
  <c r="Q387" i="7"/>
  <c r="R377" i="7"/>
  <c r="P372" i="7"/>
  <c r="P384" i="7"/>
  <c r="P370" i="7"/>
  <c r="Q373" i="7"/>
  <c r="R376" i="7"/>
  <c r="N366" i="7"/>
  <c r="Q390" i="7"/>
  <c r="P390" i="7"/>
  <c r="N380" i="7"/>
  <c r="Q375" i="7"/>
  <c r="O387" i="7"/>
  <c r="N386" i="7"/>
  <c r="Q376" i="7"/>
  <c r="R367" i="7"/>
  <c r="Q380" i="7"/>
  <c r="O368" i="7"/>
  <c r="P418" i="7"/>
  <c r="R384" i="7"/>
  <c r="O378" i="7"/>
  <c r="O385" i="7"/>
  <c r="P382" i="7"/>
  <c r="Q366" i="7"/>
  <c r="N390" i="7"/>
  <c r="R383" i="7"/>
  <c r="O365" i="7"/>
  <c r="N374" i="7"/>
  <c r="N368" i="7"/>
  <c r="R388" i="7"/>
  <c r="R372" i="7"/>
  <c r="R369" i="7"/>
  <c r="O367" i="7"/>
  <c r="P386" i="7"/>
  <c r="N391" i="7"/>
  <c r="P375" i="7"/>
  <c r="N385" i="7"/>
  <c r="P366" i="7"/>
  <c r="P383" i="7"/>
  <c r="Q386" i="7"/>
  <c r="Q389" i="7"/>
  <c r="R379" i="7"/>
  <c r="P378" i="7"/>
  <c r="Q368" i="7"/>
  <c r="N388" i="7"/>
  <c r="N369" i="7"/>
  <c r="R366" i="7"/>
  <c r="O389" i="7"/>
  <c r="O380" i="7"/>
  <c r="Q369" i="7"/>
  <c r="R380" i="7"/>
  <c r="N370" i="7"/>
  <c r="O366" i="7"/>
  <c r="R389" i="7"/>
  <c r="O377" i="7"/>
  <c r="P376" i="7"/>
  <c r="N379" i="7"/>
  <c r="O370" i="7"/>
  <c r="R373" i="7"/>
  <c r="N365" i="7"/>
  <c r="O371" i="7"/>
  <c r="R387" i="7"/>
  <c r="P381" i="7"/>
  <c r="R368" i="7"/>
  <c r="P367" i="7"/>
  <c r="Q385" i="7"/>
  <c r="O381" i="7"/>
  <c r="P380" i="7"/>
  <c r="Q374" i="7"/>
  <c r="N387" i="7"/>
  <c r="Q378" i="7"/>
  <c r="O372" i="7"/>
  <c r="N378" i="7"/>
  <c r="O376" i="7"/>
  <c r="N372" i="7"/>
  <c r="P371" i="7"/>
  <c r="R365" i="7"/>
  <c r="O391" i="7"/>
  <c r="Q381" i="7"/>
  <c r="O375" i="7"/>
  <c r="Q382" i="7"/>
  <c r="O379" i="7"/>
  <c r="R375" i="7"/>
  <c r="P374" i="7"/>
  <c r="O382" i="7"/>
  <c r="P368" i="7"/>
  <c r="O383" i="7"/>
  <c r="P379" i="7"/>
  <c r="P365" i="7"/>
  <c r="N389" i="7"/>
  <c r="O390" i="7"/>
  <c r="Q383" i="7"/>
  <c r="P385" i="7"/>
  <c r="Q371" i="7"/>
  <c r="O384" i="7"/>
  <c r="N407" i="7"/>
  <c r="N401" i="7"/>
  <c r="O405" i="7"/>
  <c r="Q402" i="7"/>
  <c r="Q404" i="7"/>
  <c r="Q396" i="7"/>
  <c r="N415" i="7"/>
  <c r="Q400" i="7"/>
  <c r="R394" i="7"/>
  <c r="R392" i="7"/>
  <c r="P401" i="7"/>
  <c r="P407" i="7"/>
  <c r="O402" i="7"/>
  <c r="N395" i="7"/>
  <c r="Q413" i="7"/>
  <c r="R412" i="7"/>
  <c r="P403" i="7"/>
  <c r="N397" i="7"/>
  <c r="P413" i="7"/>
  <c r="O412" i="7"/>
  <c r="Q398" i="7"/>
  <c r="Q395" i="7"/>
  <c r="P398" i="7"/>
  <c r="Q391" i="7"/>
  <c r="P415" i="7"/>
  <c r="P406" i="7"/>
  <c r="N413" i="7"/>
  <c r="Q403" i="7"/>
  <c r="N409" i="7"/>
  <c r="P400" i="7"/>
  <c r="R395" i="7"/>
  <c r="R402" i="7"/>
  <c r="P393" i="7"/>
  <c r="O396" i="7"/>
  <c r="N414" i="7"/>
  <c r="Q393" i="7"/>
  <c r="O410" i="7"/>
  <c r="R414" i="7"/>
  <c r="P417" i="7"/>
  <c r="O415" i="7"/>
  <c r="O393" i="7"/>
  <c r="N412" i="7"/>
  <c r="O413" i="7"/>
  <c r="R410" i="7"/>
  <c r="Q445" i="7"/>
  <c r="P397" i="7"/>
  <c r="P404" i="7"/>
  <c r="P395" i="7"/>
  <c r="R405" i="7"/>
  <c r="O408" i="7"/>
  <c r="Q399" i="7"/>
  <c r="Q416" i="7"/>
  <c r="N410" i="7"/>
  <c r="O400" i="7"/>
  <c r="R404" i="7"/>
  <c r="Q392" i="7"/>
  <c r="N411" i="7"/>
  <c r="R408" i="7"/>
  <c r="P414" i="7"/>
  <c r="P402" i="7"/>
  <c r="N408" i="7"/>
  <c r="N404" i="7"/>
  <c r="R398" i="7"/>
  <c r="Q417" i="7"/>
  <c r="Q410" i="7"/>
  <c r="R415" i="7"/>
  <c r="N406" i="7"/>
  <c r="P409" i="7"/>
  <c r="N403" i="7"/>
  <c r="R406" i="7"/>
  <c r="O398" i="7"/>
  <c r="N392" i="7"/>
  <c r="N398" i="7"/>
  <c r="N405" i="7"/>
  <c r="P396" i="7"/>
  <c r="N399" i="7"/>
  <c r="O394" i="7"/>
  <c r="R396" i="7"/>
  <c r="P410" i="7"/>
  <c r="N417" i="7"/>
  <c r="Q408" i="7"/>
  <c r="N418" i="7"/>
  <c r="N396" i="7"/>
  <c r="N402" i="7"/>
  <c r="Q397" i="7"/>
  <c r="P416" i="7"/>
  <c r="R417" i="7"/>
  <c r="O395" i="7"/>
  <c r="R397" i="7"/>
  <c r="R413" i="7"/>
  <c r="R399" i="7"/>
  <c r="O392" i="7"/>
  <c r="P405" i="7"/>
  <c r="N400" i="7"/>
  <c r="O417" i="7"/>
  <c r="O411" i="7"/>
  <c r="R401" i="7"/>
  <c r="O399" i="7"/>
  <c r="Q401" i="7"/>
  <c r="R393" i="7"/>
  <c r="P408" i="7"/>
  <c r="O397" i="7"/>
  <c r="R403" i="7"/>
  <c r="Q394" i="7"/>
  <c r="Q415" i="7"/>
  <c r="O404" i="7"/>
  <c r="R418" i="7"/>
  <c r="P392" i="7"/>
  <c r="Q406" i="7"/>
  <c r="R409" i="7"/>
  <c r="O416" i="7"/>
  <c r="R407" i="7"/>
  <c r="P411" i="7"/>
  <c r="N416" i="7"/>
  <c r="P394" i="7"/>
  <c r="R411" i="7"/>
  <c r="O409" i="7"/>
  <c r="P399" i="7"/>
  <c r="O414" i="7"/>
  <c r="O401" i="7"/>
  <c r="Q407" i="7"/>
  <c r="P412" i="7"/>
  <c r="Q405" i="7"/>
  <c r="Q412" i="7"/>
  <c r="O403" i="7"/>
  <c r="N393" i="7"/>
  <c r="R400" i="7"/>
  <c r="N394" i="7"/>
  <c r="O418" i="7"/>
  <c r="Q414" i="7"/>
  <c r="Q411" i="7"/>
  <c r="O406" i="7"/>
  <c r="Q409" i="7"/>
  <c r="R416" i="7"/>
  <c r="O407" i="7"/>
  <c r="P427" i="7"/>
  <c r="N432" i="7"/>
  <c r="R437" i="7"/>
  <c r="R442" i="7"/>
  <c r="N443" i="7"/>
  <c r="Q435" i="7"/>
  <c r="R425" i="7"/>
  <c r="P430" i="7"/>
  <c r="O422" i="7"/>
  <c r="R440" i="7"/>
  <c r="P433" i="7"/>
  <c r="R435" i="7"/>
  <c r="O433" i="7"/>
  <c r="O438" i="7"/>
  <c r="Q436" i="7"/>
  <c r="R424" i="7"/>
  <c r="N433" i="7"/>
  <c r="O425" i="7"/>
  <c r="Q444" i="7"/>
  <c r="O432" i="7"/>
  <c r="Q432" i="7"/>
  <c r="R423" i="7"/>
  <c r="N442" i="7"/>
  <c r="R444" i="7"/>
  <c r="O437" i="7"/>
  <c r="N436" i="7"/>
  <c r="Q421" i="7"/>
  <c r="Q443" i="7"/>
  <c r="R422" i="7"/>
  <c r="P422" i="7"/>
  <c r="N440" i="7"/>
  <c r="R432" i="7"/>
  <c r="O419" i="7"/>
  <c r="R426" i="7"/>
  <c r="Q439" i="7"/>
  <c r="N445" i="7"/>
  <c r="Q424" i="7"/>
  <c r="Q426" i="7"/>
  <c r="Q425" i="7"/>
  <c r="O430" i="7"/>
  <c r="O420" i="7"/>
  <c r="Q437" i="7"/>
  <c r="R443" i="7"/>
  <c r="N435" i="7"/>
  <c r="O428" i="7"/>
  <c r="O440" i="7"/>
  <c r="Q428" i="7"/>
  <c r="P442" i="7"/>
  <c r="N426" i="7"/>
  <c r="Q418" i="7"/>
  <c r="Q420" i="7"/>
  <c r="P443" i="7"/>
  <c r="R431" i="7"/>
  <c r="N419" i="7"/>
  <c r="N425" i="7"/>
  <c r="N444" i="7"/>
  <c r="O436" i="7"/>
  <c r="P426" i="7"/>
  <c r="R427" i="7"/>
  <c r="N423" i="7"/>
  <c r="R429" i="7"/>
  <c r="N434" i="7"/>
  <c r="O426" i="7"/>
  <c r="P435" i="7"/>
  <c r="O435" i="7"/>
  <c r="N421" i="7"/>
  <c r="Q427" i="7"/>
  <c r="R438" i="7"/>
  <c r="N437" i="7"/>
  <c r="Q438" i="7"/>
  <c r="R428" i="7"/>
  <c r="P432" i="7"/>
  <c r="O434" i="7"/>
  <c r="Q430" i="7"/>
  <c r="P440" i="7"/>
  <c r="O429" i="7"/>
  <c r="N441" i="7"/>
  <c r="N420" i="7"/>
  <c r="R439" i="7"/>
  <c r="P428" i="7"/>
  <c r="R433" i="7"/>
  <c r="P425" i="7"/>
  <c r="P445" i="7"/>
  <c r="O423" i="7"/>
  <c r="P438" i="7"/>
  <c r="P424" i="7"/>
  <c r="P444" i="7"/>
  <c r="O439" i="7"/>
  <c r="O442" i="7"/>
  <c r="P436" i="7"/>
  <c r="O441" i="7"/>
  <c r="P421" i="7"/>
  <c r="N439" i="7"/>
  <c r="N428" i="7"/>
  <c r="P439" i="7"/>
  <c r="Q429" i="7"/>
  <c r="R434" i="7"/>
  <c r="Q422" i="7"/>
  <c r="Q440" i="7"/>
  <c r="N424" i="7"/>
  <c r="P429" i="7"/>
  <c r="Q431" i="7"/>
  <c r="N430" i="7"/>
  <c r="P423" i="7"/>
  <c r="Q441" i="7"/>
  <c r="P431" i="7"/>
  <c r="O443" i="7"/>
  <c r="N427" i="7"/>
  <c r="R420" i="7"/>
  <c r="N422" i="7"/>
  <c r="R421" i="7"/>
  <c r="Q433" i="7"/>
  <c r="Q423" i="7"/>
  <c r="P441" i="7"/>
  <c r="P420" i="7"/>
  <c r="N438" i="7"/>
  <c r="O431" i="7"/>
  <c r="R436" i="7"/>
  <c r="P419" i="7"/>
  <c r="P437" i="7"/>
  <c r="N429" i="7"/>
  <c r="N431" i="7"/>
  <c r="O444" i="7"/>
  <c r="O424" i="7"/>
  <c r="P434" i="7"/>
  <c r="Q434" i="7"/>
  <c r="Q419" i="7"/>
  <c r="R441" i="7"/>
  <c r="O427" i="7"/>
  <c r="R419" i="7"/>
  <c r="Q442" i="7"/>
  <c r="R445" i="7"/>
  <c r="R430" i="7"/>
  <c r="O421" i="7"/>
  <c r="O446" i="7"/>
  <c r="P446" i="7"/>
  <c r="R446" i="7"/>
  <c r="O445" i="7"/>
  <c r="N446" i="7"/>
  <c r="Q446" i="7"/>
  <c r="R500" i="7"/>
  <c r="R494" i="7"/>
  <c r="R499" i="7"/>
  <c r="R478" i="7"/>
  <c r="R496" i="7"/>
  <c r="R475" i="7"/>
  <c r="R474" i="7"/>
  <c r="R484" i="7"/>
  <c r="R486" i="7"/>
  <c r="R495" i="7"/>
  <c r="R487" i="7"/>
  <c r="R489" i="7"/>
  <c r="R481" i="7"/>
  <c r="R483" i="7"/>
  <c r="R482" i="7"/>
  <c r="R480" i="7"/>
  <c r="R492" i="7"/>
  <c r="R491" i="7"/>
  <c r="R477" i="7"/>
  <c r="R497" i="7"/>
  <c r="R490" i="7"/>
  <c r="R479" i="7"/>
  <c r="R498" i="7"/>
  <c r="R488" i="7"/>
  <c r="R493" i="7"/>
  <c r="R485" i="7"/>
  <c r="R476" i="7"/>
  <c r="N475" i="7"/>
  <c r="P489" i="7"/>
  <c r="N498" i="7"/>
  <c r="P483" i="7"/>
  <c r="O490" i="7"/>
  <c r="P495" i="7"/>
  <c r="Q491" i="7"/>
  <c r="O492" i="7"/>
  <c r="O495" i="7"/>
  <c r="N489" i="7"/>
  <c r="O481" i="7"/>
  <c r="N483" i="7"/>
  <c r="N479" i="7"/>
  <c r="Q477" i="7"/>
  <c r="O487" i="7"/>
  <c r="P485" i="7"/>
  <c r="N486" i="7"/>
  <c r="Q495" i="7"/>
  <c r="P492" i="7"/>
  <c r="Q480" i="7"/>
  <c r="Q479" i="7"/>
  <c r="Q500" i="7"/>
  <c r="O488" i="7"/>
  <c r="P488" i="7"/>
  <c r="Q497" i="7"/>
  <c r="Q496" i="7"/>
  <c r="O489" i="7"/>
  <c r="P484" i="7"/>
  <c r="Q486" i="7"/>
  <c r="O491" i="7"/>
  <c r="P482" i="7"/>
  <c r="O496" i="7"/>
  <c r="P478" i="7"/>
  <c r="P477" i="7"/>
  <c r="N490" i="7"/>
  <c r="O474" i="7"/>
  <c r="P497" i="7"/>
  <c r="N481" i="7"/>
  <c r="O485" i="7"/>
  <c r="O486" i="7"/>
  <c r="N480" i="7"/>
  <c r="Q492" i="7"/>
  <c r="Q476" i="7"/>
  <c r="P486" i="7"/>
  <c r="Q494" i="7"/>
  <c r="Q482" i="7"/>
  <c r="Q490" i="7"/>
  <c r="Q478" i="7"/>
  <c r="O482" i="7"/>
  <c r="O484" i="7"/>
  <c r="P487" i="7"/>
  <c r="O494" i="7"/>
  <c r="N488" i="7"/>
  <c r="N491" i="7"/>
  <c r="Q474" i="7"/>
  <c r="Q481" i="7"/>
  <c r="P499" i="7"/>
  <c r="P493" i="7"/>
  <c r="P498" i="7"/>
  <c r="P476" i="7"/>
  <c r="Q485" i="7"/>
  <c r="N487" i="7"/>
  <c r="N485" i="7"/>
  <c r="Q483" i="7"/>
  <c r="P494" i="7"/>
  <c r="O483" i="7"/>
  <c r="N494" i="7"/>
  <c r="P500" i="7"/>
  <c r="Q487" i="7"/>
  <c r="O498" i="7"/>
  <c r="O476" i="7"/>
  <c r="O480" i="7"/>
  <c r="Q493" i="7"/>
  <c r="Q489" i="7"/>
  <c r="P480" i="7"/>
  <c r="N474" i="7"/>
  <c r="N484" i="7"/>
  <c r="P481" i="7"/>
  <c r="N482" i="7"/>
  <c r="N477" i="7"/>
  <c r="O478" i="7"/>
  <c r="O479" i="7"/>
  <c r="O475" i="7"/>
  <c r="O493" i="7"/>
  <c r="O477" i="7"/>
  <c r="P496" i="7"/>
  <c r="P491" i="7"/>
  <c r="P475" i="7"/>
  <c r="P474" i="7"/>
  <c r="N476" i="7"/>
  <c r="P490" i="7"/>
  <c r="N499" i="7"/>
  <c r="N495" i="7"/>
  <c r="N496" i="7"/>
  <c r="Q499" i="7"/>
  <c r="Q498" i="7"/>
  <c r="N497" i="7"/>
  <c r="P479" i="7"/>
  <c r="O499" i="7"/>
  <c r="Q488" i="7"/>
  <c r="O497" i="7"/>
  <c r="N478" i="7"/>
  <c r="N492" i="7"/>
  <c r="N500" i="7"/>
  <c r="Q484" i="7"/>
  <c r="Q475" i="7"/>
  <c r="O500" i="7"/>
  <c r="N493" i="7"/>
  <c r="P796" i="7"/>
  <c r="N761" i="7"/>
  <c r="Q761" i="7"/>
  <c r="O756" i="7"/>
  <c r="P755" i="7"/>
  <c r="R767" i="7"/>
  <c r="N763" i="7"/>
  <c r="Q748" i="7"/>
  <c r="R745" i="7"/>
  <c r="O752" i="7"/>
  <c r="R749" i="7"/>
  <c r="Q747" i="7"/>
  <c r="Q756" i="7"/>
  <c r="R756" i="7"/>
  <c r="Q764" i="7"/>
  <c r="R761" i="7"/>
  <c r="N755" i="7"/>
  <c r="N754" i="7"/>
  <c r="N749" i="7"/>
  <c r="Q749" i="7"/>
  <c r="P760" i="7"/>
  <c r="Q757" i="7"/>
  <c r="N767" i="7"/>
  <c r="N766" i="7"/>
  <c r="P746" i="7"/>
  <c r="R769" i="7"/>
  <c r="O767" i="7"/>
  <c r="N765" i="7"/>
  <c r="Q765" i="7"/>
  <c r="O750" i="7"/>
  <c r="R750" i="7"/>
  <c r="O758" i="7"/>
  <c r="Q754" i="7"/>
  <c r="O749" i="7"/>
  <c r="P745" i="7"/>
  <c r="R768" i="7"/>
  <c r="N768" i="7"/>
  <c r="Q753" i="7"/>
  <c r="O753" i="7"/>
  <c r="O761" i="7"/>
  <c r="N757" i="7"/>
  <c r="O765" i="7"/>
  <c r="P761" i="7"/>
  <c r="Q759" i="7"/>
  <c r="N756" i="7"/>
  <c r="P744" i="7"/>
  <c r="R765" i="7"/>
  <c r="P769" i="7"/>
  <c r="N751" i="7"/>
  <c r="N750" i="7"/>
  <c r="Q768" i="7"/>
  <c r="P767" i="7"/>
  <c r="O762" i="7"/>
  <c r="R762" i="7"/>
  <c r="P747" i="7"/>
  <c r="N746" i="7"/>
  <c r="R755" i="7"/>
  <c r="O751" i="7"/>
  <c r="R759" i="7"/>
  <c r="O755" i="7"/>
  <c r="P753" i="7"/>
  <c r="P749" i="7"/>
  <c r="P763" i="7"/>
  <c r="N762" i="7"/>
  <c r="Q744" i="7"/>
  <c r="R744" i="7"/>
  <c r="P762" i="7"/>
  <c r="P758" i="7"/>
  <c r="P756" i="7"/>
  <c r="N753" i="7"/>
  <c r="O766" i="7"/>
  <c r="R766" i="7"/>
  <c r="R748" i="7"/>
  <c r="R747" i="7"/>
  <c r="Q752" i="7"/>
  <c r="P751" i="7"/>
  <c r="O746" i="7"/>
  <c r="R746" i="7"/>
  <c r="R757" i="7"/>
  <c r="R753" i="7"/>
  <c r="R764" i="7"/>
  <c r="R763" i="7"/>
  <c r="Q755" i="7"/>
  <c r="P752" i="7"/>
  <c r="P750" i="7"/>
  <c r="Q746" i="7"/>
  <c r="O760" i="7"/>
  <c r="P759" i="7"/>
  <c r="Q767" i="7"/>
  <c r="O764" i="7"/>
  <c r="N745" i="7"/>
  <c r="Q745" i="7"/>
  <c r="P766" i="7"/>
  <c r="Q762" i="7"/>
  <c r="R751" i="7"/>
  <c r="N747" i="7"/>
  <c r="O757" i="7"/>
  <c r="P757" i="7"/>
  <c r="N748" i="7"/>
  <c r="P748" i="7"/>
  <c r="P768" i="7"/>
  <c r="P754" i="7"/>
  <c r="Q750" i="7"/>
  <c r="Q760" i="7"/>
  <c r="R760" i="7"/>
  <c r="N764" i="7"/>
  <c r="P764" i="7"/>
  <c r="N759" i="7"/>
  <c r="R758" i="7"/>
  <c r="O744" i="7"/>
  <c r="Q751" i="7"/>
  <c r="O748" i="7"/>
  <c r="N769" i="7"/>
  <c r="P765" i="7"/>
  <c r="Q763" i="7"/>
  <c r="O759" i="7"/>
  <c r="O747" i="7"/>
  <c r="N744" i="7"/>
  <c r="O754" i="7"/>
  <c r="R754" i="7"/>
  <c r="N758" i="7"/>
  <c r="Q758" i="7"/>
  <c r="R752" i="7"/>
  <c r="N752" i="7"/>
  <c r="O763" i="7"/>
  <c r="N760" i="7"/>
  <c r="O745" i="7"/>
  <c r="Q766" i="7"/>
  <c r="O768" i="7"/>
  <c r="P792" i="7"/>
  <c r="R784" i="7"/>
  <c r="R771" i="7"/>
  <c r="N792" i="7"/>
  <c r="P779" i="7"/>
  <c r="Q774" i="7"/>
  <c r="R795" i="7"/>
  <c r="N786" i="7"/>
  <c r="O784" i="7"/>
  <c r="O779" i="7"/>
  <c r="P775" i="7"/>
  <c r="O783" i="7"/>
  <c r="R770" i="7"/>
  <c r="P794" i="7"/>
  <c r="Q785" i="7"/>
  <c r="R772" i="7"/>
  <c r="Q794" i="7"/>
  <c r="P774" i="7"/>
  <c r="O769" i="7"/>
  <c r="R790" i="7"/>
  <c r="Q790" i="7"/>
  <c r="O781" i="7"/>
  <c r="Q771" i="7"/>
  <c r="N793" i="7"/>
  <c r="O777" i="7"/>
  <c r="Q772" i="7"/>
  <c r="N794" i="7"/>
  <c r="O770" i="7"/>
  <c r="N785" i="7"/>
  <c r="O782" i="7"/>
  <c r="N770" i="7"/>
  <c r="P785" i="7"/>
  <c r="R775" i="7"/>
  <c r="P793" i="7"/>
  <c r="O780" i="7"/>
  <c r="O775" i="7"/>
  <c r="Q781" i="7"/>
  <c r="Q776" i="7"/>
  <c r="O772" i="7"/>
  <c r="Q783" i="7"/>
  <c r="N775" i="7"/>
  <c r="O792" i="7"/>
  <c r="O787" i="7"/>
  <c r="P783" i="7"/>
  <c r="Q778" i="7"/>
  <c r="P770" i="7"/>
  <c r="Q792" i="7"/>
  <c r="O788" i="7"/>
  <c r="R796" i="7"/>
  <c r="P782" i="7"/>
  <c r="N777" i="7"/>
  <c r="R785" i="7"/>
  <c r="P777" i="7"/>
  <c r="P787" i="7"/>
  <c r="Q782" i="7"/>
  <c r="R778" i="7"/>
  <c r="N773" i="7"/>
  <c r="P784" i="7"/>
  <c r="R776" i="7"/>
  <c r="O790" i="7"/>
  <c r="N784" i="7"/>
  <c r="P776" i="7"/>
  <c r="Q796" i="7"/>
  <c r="R794" i="7"/>
  <c r="N776" i="7"/>
  <c r="Q787" i="7"/>
  <c r="N779" i="7"/>
  <c r="O793" i="7"/>
  <c r="Q788" i="7"/>
  <c r="O794" i="7"/>
  <c r="P788" i="7"/>
  <c r="O785" i="7"/>
  <c r="Q793" i="7"/>
  <c r="N788" i="7"/>
  <c r="P778" i="7"/>
  <c r="Q769" i="7"/>
  <c r="O791" i="7"/>
  <c r="R783" i="7"/>
  <c r="R774" i="7"/>
  <c r="N774" i="7"/>
  <c r="N778" i="7"/>
  <c r="N790" i="7"/>
  <c r="O774" i="7"/>
  <c r="O789" i="7"/>
  <c r="R773" i="7"/>
  <c r="O795" i="7"/>
  <c r="P791" i="7"/>
  <c r="Q786" i="7"/>
  <c r="Q773" i="7"/>
  <c r="O796" i="7"/>
  <c r="P789" i="7"/>
  <c r="Q775" i="7"/>
  <c r="N795" i="7"/>
  <c r="O778" i="7"/>
  <c r="R789" i="7"/>
  <c r="P781" i="7"/>
  <c r="R780" i="7"/>
  <c r="N789" i="7"/>
  <c r="O776" i="7"/>
  <c r="O771" i="7"/>
  <c r="R792" i="7"/>
  <c r="R779" i="7"/>
  <c r="N783" i="7"/>
  <c r="Q779" i="7"/>
  <c r="N771" i="7"/>
  <c r="Q770" i="7"/>
  <c r="Q780" i="7"/>
  <c r="R791" i="7"/>
  <c r="R782" i="7"/>
  <c r="N782" i="7"/>
  <c r="O773" i="7"/>
  <c r="P771" i="7"/>
  <c r="Q795" i="7"/>
  <c r="N787" i="7"/>
  <c r="R787" i="7"/>
  <c r="N791" i="7"/>
  <c r="R781" i="7"/>
  <c r="P773" i="7"/>
  <c r="R786" i="7"/>
  <c r="N781" i="7"/>
  <c r="Q823" i="7"/>
  <c r="P786" i="7"/>
  <c r="Q777" i="7"/>
  <c r="R777" i="7"/>
  <c r="O786" i="7"/>
  <c r="P780" i="7"/>
  <c r="R788" i="7"/>
  <c r="N780" i="7"/>
  <c r="P790" i="7"/>
  <c r="P772" i="7"/>
  <c r="P795" i="7"/>
  <c r="R793" i="7"/>
  <c r="N772" i="7"/>
  <c r="Q789" i="7"/>
  <c r="Q784" i="7"/>
  <c r="Q791" i="7"/>
  <c r="Q802" i="7"/>
  <c r="R822" i="7"/>
  <c r="N812" i="7"/>
  <c r="P821" i="7"/>
  <c r="Q807" i="7"/>
  <c r="R810" i="7"/>
  <c r="N813" i="7"/>
  <c r="O816" i="7"/>
  <c r="N811" i="7"/>
  <c r="P814" i="7"/>
  <c r="N802" i="7"/>
  <c r="R799" i="7"/>
  <c r="O819" i="7"/>
  <c r="N800" i="7"/>
  <c r="R823" i="7"/>
  <c r="R813" i="7"/>
  <c r="P817" i="7"/>
  <c r="R807" i="7"/>
  <c r="O822" i="7"/>
  <c r="R802" i="7"/>
  <c r="N818" i="7"/>
  <c r="P802" i="7"/>
  <c r="R821" i="7"/>
  <c r="N803" i="7"/>
  <c r="O809" i="7"/>
  <c r="Q814" i="7"/>
  <c r="R820" i="7"/>
  <c r="P812" i="7"/>
  <c r="R805" i="7"/>
  <c r="O810" i="7"/>
  <c r="Q800" i="7"/>
  <c r="P804" i="7"/>
  <c r="N810" i="7"/>
  <c r="O800" i="7"/>
  <c r="O811" i="7"/>
  <c r="Q815" i="7"/>
  <c r="R808" i="7"/>
  <c r="P800" i="7"/>
  <c r="O803" i="7"/>
  <c r="P820" i="7"/>
  <c r="P808" i="7"/>
  <c r="R801" i="7"/>
  <c r="O806" i="7"/>
  <c r="O799" i="7"/>
  <c r="N815" i="7"/>
  <c r="P811" i="7"/>
  <c r="P813" i="7"/>
  <c r="P806" i="7"/>
  <c r="P798" i="7"/>
  <c r="P819" i="7"/>
  <c r="N801" i="7"/>
  <c r="O804" i="7"/>
  <c r="O815" i="7"/>
  <c r="Q806" i="7"/>
  <c r="R815" i="7"/>
  <c r="N816" i="7"/>
  <c r="P822" i="7"/>
  <c r="N807" i="7"/>
  <c r="P810" i="7"/>
  <c r="P805" i="7"/>
  <c r="R818" i="7"/>
  <c r="Q822" i="7"/>
  <c r="R812" i="7"/>
  <c r="N806" i="7"/>
  <c r="Q817" i="7"/>
  <c r="O807" i="7"/>
  <c r="O797" i="7"/>
  <c r="O813" i="7"/>
  <c r="N808" i="7"/>
  <c r="N798" i="7"/>
  <c r="O821" i="7"/>
  <c r="Q813" i="7"/>
  <c r="Q816" i="7"/>
  <c r="N809" i="7"/>
  <c r="R803" i="7"/>
  <c r="Q821" i="7"/>
  <c r="R814" i="7"/>
  <c r="Q818" i="7"/>
  <c r="Q812" i="7"/>
  <c r="Q803" i="7"/>
  <c r="N821" i="7"/>
  <c r="O798" i="7"/>
  <c r="R819" i="7"/>
  <c r="Q811" i="7"/>
  <c r="R804" i="7"/>
  <c r="N814" i="7"/>
  <c r="O817" i="7"/>
  <c r="Q819" i="7"/>
  <c r="R797" i="7"/>
  <c r="Q801" i="7"/>
  <c r="Q804" i="7"/>
  <c r="P847" i="7"/>
  <c r="N820" i="7"/>
  <c r="N823" i="7"/>
  <c r="N817" i="7"/>
  <c r="P807" i="7"/>
  <c r="P809" i="7"/>
  <c r="O805" i="7"/>
  <c r="N819" i="7"/>
  <c r="P799" i="7"/>
  <c r="Q820" i="7"/>
  <c r="Q805" i="7"/>
  <c r="N796" i="7"/>
  <c r="N822" i="7"/>
  <c r="R811" i="7"/>
  <c r="N799" i="7"/>
  <c r="O808" i="7"/>
  <c r="P815" i="7"/>
  <c r="P801" i="7"/>
  <c r="P803" i="7"/>
  <c r="R798" i="7"/>
  <c r="O801" i="7"/>
  <c r="P816" i="7"/>
  <c r="R806" i="7"/>
  <c r="Q810" i="7"/>
  <c r="R800" i="7"/>
  <c r="N804" i="7"/>
  <c r="R817" i="7"/>
  <c r="Q809" i="7"/>
  <c r="Q797" i="7"/>
  <c r="N805" i="7"/>
  <c r="P797" i="7"/>
  <c r="R809" i="7"/>
  <c r="O814" i="7"/>
  <c r="R816" i="7"/>
  <c r="O802" i="7"/>
  <c r="Q808" i="7"/>
  <c r="N846" i="7"/>
  <c r="Q799" i="7"/>
  <c r="O820" i="7"/>
  <c r="P823" i="7"/>
  <c r="P818" i="7"/>
  <c r="N797" i="7"/>
  <c r="O812" i="7"/>
  <c r="O818" i="7"/>
  <c r="Q798" i="7"/>
  <c r="Q831" i="7"/>
  <c r="P834" i="7"/>
  <c r="O828" i="7"/>
  <c r="N849" i="7"/>
  <c r="P855" i="7"/>
  <c r="Q850" i="7"/>
  <c r="O826" i="7"/>
  <c r="P839" i="7"/>
  <c r="R844" i="7"/>
  <c r="Q843" i="7"/>
  <c r="R832" i="7"/>
  <c r="N837" i="7"/>
  <c r="N831" i="7"/>
  <c r="R825" i="7"/>
  <c r="N842" i="7"/>
  <c r="R840" i="7"/>
  <c r="O827" i="7"/>
  <c r="R846" i="7"/>
  <c r="P849" i="7"/>
  <c r="N850" i="7"/>
  <c r="P841" i="7"/>
  <c r="N839" i="7"/>
  <c r="Q829" i="7"/>
  <c r="Q846" i="7"/>
  <c r="R831" i="7"/>
  <c r="R830" i="7"/>
  <c r="O825" i="7"/>
  <c r="O837" i="7"/>
  <c r="P826" i="7"/>
  <c r="P831" i="7"/>
  <c r="O847" i="7"/>
  <c r="P825" i="7"/>
  <c r="P848" i="7"/>
  <c r="P836" i="7"/>
  <c r="O834" i="7"/>
  <c r="Q835" i="7"/>
  <c r="N828" i="7"/>
  <c r="N840" i="7"/>
  <c r="O829" i="7"/>
  <c r="P850" i="7"/>
  <c r="R836" i="7"/>
  <c r="N826" i="7"/>
  <c r="O832" i="7"/>
  <c r="Q839" i="7"/>
  <c r="P843" i="7"/>
  <c r="R834" i="7"/>
  <c r="O845" i="7"/>
  <c r="Q841" i="7"/>
  <c r="N827" i="7"/>
  <c r="P838" i="7"/>
  <c r="R849" i="7"/>
  <c r="Q840" i="7"/>
  <c r="N835" i="7"/>
  <c r="N825" i="7"/>
  <c r="Q836" i="7"/>
  <c r="Q830" i="7"/>
  <c r="R841" i="7"/>
  <c r="Q844" i="7"/>
  <c r="O843" i="7"/>
  <c r="O838" i="7"/>
  <c r="P828" i="7"/>
  <c r="R839" i="7"/>
  <c r="N844" i="7"/>
  <c r="O851" i="7"/>
  <c r="N832" i="7"/>
  <c r="R835" i="7"/>
  <c r="R847" i="7"/>
  <c r="Q834" i="7"/>
  <c r="O841" i="7"/>
  <c r="Q849" i="7"/>
  <c r="O842" i="7"/>
  <c r="R829" i="7"/>
  <c r="O849" i="7"/>
  <c r="O839" i="7"/>
  <c r="Q837" i="7"/>
  <c r="N847" i="7"/>
  <c r="Q833" i="7"/>
  <c r="P824" i="7"/>
  <c r="Q847" i="7"/>
  <c r="P845" i="7"/>
  <c r="P832" i="7"/>
  <c r="O840" i="7"/>
  <c r="P844" i="7"/>
  <c r="N843" i="7"/>
  <c r="N829" i="7"/>
  <c r="O848" i="7"/>
  <c r="Q838" i="7"/>
  <c r="R848" i="7"/>
  <c r="O835" i="7"/>
  <c r="R843" i="7"/>
  <c r="O824" i="7"/>
  <c r="R826" i="7"/>
  <c r="P840" i="7"/>
  <c r="Q845" i="7"/>
  <c r="N841" i="7"/>
  <c r="P877" i="7"/>
  <c r="P846" i="7"/>
  <c r="Q826" i="7"/>
  <c r="O833" i="7"/>
  <c r="R845" i="7"/>
  <c r="Q848" i="7"/>
  <c r="O831" i="7"/>
  <c r="N834" i="7"/>
  <c r="P842" i="7"/>
  <c r="P835" i="7"/>
  <c r="O850" i="7"/>
  <c r="R837" i="7"/>
  <c r="Q832" i="7"/>
  <c r="N830" i="7"/>
  <c r="O836" i="7"/>
  <c r="Q825" i="7"/>
  <c r="N845" i="7"/>
  <c r="N848" i="7"/>
  <c r="O830" i="7"/>
  <c r="Q828" i="7"/>
  <c r="Q842" i="7"/>
  <c r="N824" i="7"/>
  <c r="R833" i="7"/>
  <c r="R842" i="7"/>
  <c r="R828" i="7"/>
  <c r="R850" i="7"/>
  <c r="N838" i="7"/>
  <c r="N833" i="7"/>
  <c r="O823" i="7"/>
  <c r="P833" i="7"/>
  <c r="P827" i="7"/>
  <c r="P837" i="7"/>
  <c r="R827" i="7"/>
  <c r="R824" i="7"/>
  <c r="R838" i="7"/>
  <c r="O846" i="7"/>
  <c r="Q824" i="7"/>
  <c r="P829" i="7"/>
  <c r="N836" i="7"/>
  <c r="P830" i="7"/>
  <c r="Q827" i="7"/>
  <c r="O844" i="7"/>
  <c r="P864" i="7"/>
  <c r="R880" i="7"/>
  <c r="N853" i="7"/>
  <c r="N858" i="7"/>
  <c r="N876" i="7"/>
  <c r="R868" i="7"/>
  <c r="R873" i="7"/>
  <c r="Q866" i="7"/>
  <c r="O858" i="7"/>
  <c r="P851" i="7"/>
  <c r="N869" i="7"/>
  <c r="P861" i="7"/>
  <c r="O853" i="7"/>
  <c r="P875" i="7"/>
  <c r="O855" i="7"/>
  <c r="N863" i="7"/>
  <c r="Q871" i="7"/>
  <c r="N870" i="7"/>
  <c r="R872" i="7"/>
  <c r="Q865" i="7"/>
  <c r="P869" i="7"/>
  <c r="O862" i="7"/>
  <c r="R888" i="7"/>
  <c r="O854" i="7"/>
  <c r="R853" i="7"/>
  <c r="N872" i="7"/>
  <c r="Q875" i="7"/>
  <c r="Q861" i="7"/>
  <c r="N892" i="7"/>
  <c r="O863" i="7"/>
  <c r="R855" i="7"/>
  <c r="Q872" i="7"/>
  <c r="O865" i="7"/>
  <c r="P857" i="7"/>
  <c r="R862" i="7"/>
  <c r="P852" i="7"/>
  <c r="R874" i="7"/>
  <c r="R896" i="7"/>
  <c r="P866" i="7"/>
  <c r="P871" i="7"/>
  <c r="P854" i="7"/>
  <c r="P859" i="7"/>
  <c r="P860" i="7"/>
  <c r="Q904" i="7"/>
  <c r="R871" i="7"/>
  <c r="N860" i="7"/>
  <c r="R852" i="7"/>
  <c r="N874" i="7"/>
  <c r="N851" i="7"/>
  <c r="N866" i="7"/>
  <c r="R858" i="7"/>
  <c r="N867" i="7"/>
  <c r="P876" i="7"/>
  <c r="O861" i="7"/>
  <c r="Q863" i="7"/>
  <c r="O856" i="7"/>
  <c r="R877" i="7"/>
  <c r="N884" i="7"/>
  <c r="R860" i="7"/>
  <c r="Q853" i="7"/>
  <c r="N875" i="7"/>
  <c r="R904" i="7"/>
  <c r="Q867" i="7"/>
  <c r="O866" i="7"/>
  <c r="P881" i="7"/>
  <c r="Q852" i="7"/>
  <c r="O873" i="7"/>
  <c r="P868" i="7"/>
  <c r="P863" i="7"/>
  <c r="Q856" i="7"/>
  <c r="O870" i="7"/>
  <c r="O875" i="7"/>
  <c r="P865" i="7"/>
  <c r="N857" i="7"/>
  <c r="N862" i="7"/>
  <c r="N854" i="7"/>
  <c r="O867" i="7"/>
  <c r="P872" i="7"/>
  <c r="O864" i="7"/>
  <c r="Q873" i="7"/>
  <c r="Q855" i="7"/>
  <c r="R854" i="7"/>
  <c r="P873" i="7"/>
  <c r="N865" i="7"/>
  <c r="Q858" i="7"/>
  <c r="R857" i="7"/>
  <c r="R876" i="7"/>
  <c r="N871" i="7"/>
  <c r="Q864" i="7"/>
  <c r="R856" i="7"/>
  <c r="O874" i="7"/>
  <c r="R851" i="7"/>
  <c r="Q868" i="7"/>
  <c r="N861" i="7"/>
  <c r="N900" i="7"/>
  <c r="N873" i="7"/>
  <c r="R865" i="7"/>
  <c r="P858" i="7"/>
  <c r="N864" i="7"/>
  <c r="Q854" i="7"/>
  <c r="R859" i="7"/>
  <c r="R864" i="7"/>
  <c r="Q869" i="7"/>
  <c r="R861" i="7"/>
  <c r="Q857" i="7"/>
  <c r="O868" i="7"/>
  <c r="Q870" i="7"/>
  <c r="R875" i="7"/>
  <c r="P867" i="7"/>
  <c r="R863" i="7"/>
  <c r="N855" i="7"/>
  <c r="O860" i="7"/>
  <c r="P853" i="7"/>
  <c r="N868" i="7"/>
  <c r="R867" i="7"/>
  <c r="P856" i="7"/>
  <c r="Q876" i="7"/>
  <c r="R870" i="7"/>
  <c r="P870" i="7"/>
  <c r="Q862" i="7"/>
  <c r="O876" i="7"/>
  <c r="O869" i="7"/>
  <c r="O859" i="7"/>
  <c r="O857" i="7"/>
  <c r="Q859" i="7"/>
  <c r="O852" i="7"/>
  <c r="Q874" i="7"/>
  <c r="N856" i="7"/>
  <c r="Q877" i="7"/>
  <c r="O871" i="7"/>
  <c r="Q851" i="7"/>
  <c r="N859" i="7"/>
  <c r="P862" i="7"/>
  <c r="O877" i="7"/>
  <c r="R866" i="7"/>
  <c r="O872" i="7"/>
  <c r="Q860" i="7"/>
  <c r="N852" i="7"/>
  <c r="P874" i="7"/>
  <c r="R869" i="7"/>
  <c r="R903" i="7"/>
  <c r="O884" i="7"/>
  <c r="Q903" i="7"/>
  <c r="P893" i="7"/>
  <c r="O881" i="7"/>
  <c r="O890" i="7"/>
  <c r="R895" i="7"/>
  <c r="R883" i="7"/>
  <c r="Q893" i="7"/>
  <c r="O900" i="7"/>
  <c r="P900" i="7"/>
  <c r="O888" i="7"/>
  <c r="N894" i="7"/>
  <c r="O878" i="7"/>
  <c r="P892" i="7"/>
  <c r="Q899" i="7"/>
  <c r="P896" i="7"/>
  <c r="N887" i="7"/>
  <c r="R886" i="7"/>
  <c r="N891" i="7"/>
  <c r="N878" i="7"/>
  <c r="Q878" i="7"/>
  <c r="R901" i="7"/>
  <c r="R882" i="7"/>
  <c r="N899" i="7"/>
  <c r="N890" i="7"/>
  <c r="P902" i="7"/>
  <c r="R893" i="7"/>
  <c r="O889" i="7"/>
  <c r="R897" i="7"/>
  <c r="P884" i="7"/>
  <c r="P889" i="7"/>
  <c r="R894" i="7"/>
  <c r="O902" i="7"/>
  <c r="N877" i="7"/>
  <c r="Q883" i="7"/>
  <c r="O903" i="7"/>
  <c r="R884" i="7"/>
  <c r="P883" i="7"/>
  <c r="N901" i="7"/>
  <c r="N895" i="7"/>
  <c r="R885" i="7"/>
  <c r="R902" i="7"/>
  <c r="Q886" i="7"/>
  <c r="N882" i="7"/>
  <c r="R900" i="7"/>
  <c r="R899" i="7"/>
  <c r="N888" i="7"/>
  <c r="R878" i="7"/>
  <c r="P886" i="7"/>
  <c r="P878" i="7"/>
  <c r="R898" i="7"/>
  <c r="R889" i="7"/>
  <c r="O886" i="7"/>
  <c r="N903" i="7"/>
  <c r="Q890" i="7"/>
  <c r="P891" i="7"/>
  <c r="R887" i="7"/>
  <c r="P879" i="7"/>
  <c r="N880" i="7"/>
  <c r="N902" i="7"/>
  <c r="O880" i="7"/>
  <c r="Q897" i="7"/>
  <c r="N885" i="7"/>
  <c r="R879" i="7"/>
  <c r="Q889" i="7"/>
  <c r="N896" i="7"/>
  <c r="N879" i="7"/>
  <c r="O896" i="7"/>
  <c r="Q896" i="7"/>
  <c r="O897" i="7"/>
  <c r="O883" i="7"/>
  <c r="O898" i="7"/>
  <c r="Q891" i="7"/>
  <c r="P899" i="7"/>
  <c r="O891" i="7"/>
  <c r="R890" i="7"/>
  <c r="N881" i="7"/>
  <c r="Q884" i="7"/>
  <c r="O899" i="7"/>
  <c r="Q882" i="7"/>
  <c r="O892" i="7"/>
  <c r="Q902" i="7"/>
  <c r="R881" i="7"/>
  <c r="Q881" i="7"/>
  <c r="Q894" i="7"/>
  <c r="O904" i="7"/>
  <c r="Q900" i="7"/>
  <c r="R892" i="7"/>
  <c r="P885" i="7"/>
  <c r="O895" i="7"/>
  <c r="O885" i="7"/>
  <c r="Q892" i="7"/>
  <c r="N898" i="7"/>
  <c r="O893" i="7"/>
  <c r="Q880" i="7"/>
  <c r="P898" i="7"/>
  <c r="Q901" i="7"/>
  <c r="O882" i="7"/>
  <c r="O901" i="7"/>
  <c r="P880" i="7"/>
  <c r="Q887" i="7"/>
  <c r="P887" i="7"/>
  <c r="N904" i="7"/>
  <c r="R891" i="7"/>
  <c r="P895" i="7"/>
  <c r="Q879" i="7"/>
  <c r="O887" i="7"/>
  <c r="N883" i="7"/>
  <c r="P903" i="7"/>
  <c r="O879" i="7"/>
  <c r="O894" i="7"/>
  <c r="P897" i="7"/>
  <c r="Q888" i="7"/>
  <c r="Q895" i="7"/>
  <c r="P890" i="7"/>
  <c r="N886" i="7"/>
  <c r="P894" i="7"/>
  <c r="N893" i="7"/>
  <c r="P882" i="7"/>
  <c r="Q885" i="7"/>
  <c r="N889" i="7"/>
  <c r="P901" i="7"/>
  <c r="P888" i="7"/>
  <c r="N897" i="7"/>
  <c r="Q898" i="7"/>
  <c r="P904" i="7"/>
  <c r="O905" i="7"/>
  <c r="Q905" i="7"/>
  <c r="P905" i="7"/>
  <c r="R905" i="7"/>
  <c r="N905" i="7"/>
  <c r="M87" i="7"/>
  <c r="M78" i="7"/>
  <c r="M76" i="7"/>
  <c r="L94" i="7"/>
  <c r="L79" i="7"/>
  <c r="M135" i="7"/>
  <c r="M79" i="7"/>
  <c r="M75" i="7"/>
  <c r="L92" i="7"/>
  <c r="L76" i="7"/>
  <c r="L74" i="7"/>
  <c r="L71" i="7"/>
  <c r="M82" i="7"/>
  <c r="M125" i="7"/>
  <c r="M130" i="7"/>
  <c r="M132" i="7"/>
  <c r="M137" i="7"/>
  <c r="M139" i="7"/>
  <c r="M146" i="7"/>
  <c r="L87" i="7"/>
  <c r="L73" i="7"/>
  <c r="M91" i="7"/>
  <c r="M74" i="7"/>
  <c r="M148" i="7"/>
  <c r="M136" i="7"/>
  <c r="M124" i="7"/>
  <c r="M131" i="7"/>
  <c r="M133" i="7"/>
  <c r="M138" i="7"/>
  <c r="M140" i="7"/>
  <c r="M145" i="7"/>
  <c r="M80" i="7"/>
  <c r="M71" i="7"/>
  <c r="L72" i="7"/>
  <c r="M88" i="7"/>
  <c r="M128" i="7"/>
  <c r="L88" i="7"/>
  <c r="M89" i="7"/>
  <c r="L80" i="7"/>
  <c r="M69" i="7"/>
  <c r="M142" i="7"/>
  <c r="M72" i="7"/>
  <c r="L75" i="7"/>
  <c r="M77" i="7"/>
  <c r="M126" i="7"/>
  <c r="M144" i="7"/>
  <c r="M143" i="7"/>
  <c r="L91" i="7"/>
  <c r="M81" i="7"/>
  <c r="M129" i="7"/>
  <c r="M141" i="7"/>
  <c r="L86" i="7"/>
  <c r="M134" i="7"/>
  <c r="L77" i="7"/>
  <c r="L78" i="7"/>
  <c r="M70" i="7"/>
  <c r="L81" i="7"/>
  <c r="L83" i="7"/>
  <c r="L84" i="7"/>
  <c r="M86" i="7"/>
  <c r="L89" i="7"/>
  <c r="L69" i="7"/>
  <c r="M90" i="7"/>
  <c r="M73" i="7"/>
  <c r="M85" i="7"/>
  <c r="M94" i="7"/>
  <c r="L70" i="7"/>
  <c r="L93" i="7"/>
  <c r="L85" i="7"/>
  <c r="L82" i="7"/>
  <c r="L90" i="7"/>
  <c r="M127" i="7"/>
  <c r="M147" i="7"/>
  <c r="M83" i="7"/>
  <c r="M93" i="7"/>
  <c r="M92" i="7"/>
  <c r="M84" i="7"/>
  <c r="M123" i="7"/>
  <c r="M95" i="7"/>
  <c r="M149" i="7"/>
  <c r="L95" i="7"/>
  <c r="L123" i="7"/>
  <c r="L140" i="7"/>
  <c r="M188" i="7"/>
  <c r="M192" i="7"/>
  <c r="M202" i="7"/>
  <c r="L128" i="7"/>
  <c r="L142" i="7"/>
  <c r="M193" i="7"/>
  <c r="M195" i="7"/>
  <c r="M198" i="7"/>
  <c r="L130" i="7"/>
  <c r="L136" i="7"/>
  <c r="M194" i="7"/>
  <c r="M197" i="7"/>
  <c r="L133" i="7"/>
  <c r="L138" i="7"/>
  <c r="M183" i="7"/>
  <c r="L129" i="7"/>
  <c r="L127" i="7"/>
  <c r="L125" i="7"/>
  <c r="M178" i="7"/>
  <c r="M187" i="7"/>
  <c r="L143" i="7"/>
  <c r="M186" i="7"/>
  <c r="L139" i="7"/>
  <c r="M179" i="7"/>
  <c r="M181" i="7"/>
  <c r="M200" i="7"/>
  <c r="L132" i="7"/>
  <c r="L148" i="7"/>
  <c r="M184" i="7"/>
  <c r="L134" i="7"/>
  <c r="L141" i="7"/>
  <c r="M185" i="7"/>
  <c r="M190" i="7"/>
  <c r="L126" i="7"/>
  <c r="M182" i="7"/>
  <c r="M189" i="7"/>
  <c r="L144" i="7"/>
  <c r="M191" i="7"/>
  <c r="L124" i="7"/>
  <c r="L146" i="7"/>
  <c r="M196" i="7"/>
  <c r="M199" i="7"/>
  <c r="L131" i="7"/>
  <c r="L145" i="7"/>
  <c r="L147" i="7"/>
  <c r="M180" i="7"/>
  <c r="M201" i="7"/>
  <c r="L137" i="7"/>
  <c r="L135" i="7"/>
  <c r="M203" i="7"/>
  <c r="L149" i="7"/>
  <c r="M177" i="7"/>
  <c r="L185" i="7"/>
  <c r="L179" i="7"/>
  <c r="L196" i="7"/>
  <c r="L197" i="7"/>
  <c r="L195" i="7"/>
  <c r="L181" i="7"/>
  <c r="L182" i="7"/>
  <c r="L199" i="7"/>
  <c r="L187" i="7"/>
  <c r="L191" i="7"/>
  <c r="L180" i="7"/>
  <c r="L186" i="7"/>
  <c r="L198" i="7"/>
  <c r="L177" i="7"/>
  <c r="L200" i="7"/>
  <c r="L190" i="7"/>
  <c r="L178" i="7"/>
  <c r="L192" i="7"/>
  <c r="L189" i="7"/>
  <c r="L184" i="7"/>
  <c r="L201" i="7"/>
  <c r="L193" i="7"/>
  <c r="L188" i="7"/>
  <c r="L194" i="7"/>
  <c r="L202" i="7"/>
  <c r="L183" i="7"/>
  <c r="M242" i="7"/>
  <c r="L203" i="7"/>
  <c r="M251" i="7"/>
  <c r="L233" i="7"/>
  <c r="M244" i="7"/>
  <c r="L237" i="7"/>
  <c r="L245" i="7"/>
  <c r="M241" i="7"/>
  <c r="M239" i="7"/>
  <c r="M233" i="7"/>
  <c r="M255" i="7"/>
  <c r="L234" i="7"/>
  <c r="M236" i="7"/>
  <c r="M250" i="7"/>
  <c r="L251" i="7"/>
  <c r="L254" i="7"/>
  <c r="L236" i="7"/>
  <c r="L248" i="7"/>
  <c r="M231" i="7"/>
  <c r="M237" i="7"/>
  <c r="M245" i="7"/>
  <c r="M256" i="7"/>
  <c r="L242" i="7"/>
  <c r="L231" i="7"/>
  <c r="L235" i="7"/>
  <c r="M234" i="7"/>
  <c r="L244" i="7"/>
  <c r="L258" i="7"/>
  <c r="L246" i="7"/>
  <c r="L256" i="7"/>
  <c r="L243" i="7"/>
  <c r="M238" i="7"/>
  <c r="L247" i="7"/>
  <c r="L239" i="7"/>
  <c r="L240" i="7"/>
  <c r="M240" i="7"/>
  <c r="L252" i="7"/>
  <c r="L232" i="7"/>
  <c r="L241" i="7"/>
  <c r="L257" i="7"/>
  <c r="L249" i="7"/>
  <c r="M247" i="7"/>
  <c r="M243" i="7"/>
  <c r="L253" i="7"/>
  <c r="M235" i="7"/>
  <c r="M253" i="7"/>
  <c r="M249" i="7"/>
  <c r="L238" i="7"/>
  <c r="M232" i="7"/>
  <c r="M252" i="7"/>
  <c r="L255" i="7"/>
  <c r="M248" i="7"/>
  <c r="M246" i="7"/>
  <c r="L250" i="7"/>
  <c r="M254" i="7"/>
  <c r="L271" i="7"/>
  <c r="M282" i="7"/>
  <c r="L269" i="7"/>
  <c r="L260" i="7"/>
  <c r="L289" i="7"/>
  <c r="M278" i="7"/>
  <c r="M263" i="7"/>
  <c r="M267" i="7"/>
  <c r="L277" i="7"/>
  <c r="L280" i="7"/>
  <c r="L275" i="7"/>
  <c r="L265" i="7"/>
  <c r="M270" i="7"/>
  <c r="M262" i="7"/>
  <c r="L268" i="7"/>
  <c r="M280" i="7"/>
  <c r="M264" i="7"/>
  <c r="L263" i="7"/>
  <c r="M261" i="7"/>
  <c r="L274" i="7"/>
  <c r="L282" i="7"/>
  <c r="L262" i="7"/>
  <c r="L279" i="7"/>
  <c r="L264" i="7"/>
  <c r="M265" i="7"/>
  <c r="M274" i="7"/>
  <c r="L278" i="7"/>
  <c r="M259" i="7"/>
  <c r="L267" i="7"/>
  <c r="M277" i="7"/>
  <c r="M273" i="7"/>
  <c r="L270" i="7"/>
  <c r="M257" i="7"/>
  <c r="M266" i="7"/>
  <c r="M276" i="7"/>
  <c r="L272" i="7"/>
  <c r="L281" i="7"/>
  <c r="L259" i="7"/>
  <c r="M269" i="7"/>
  <c r="M275" i="7"/>
  <c r="M260" i="7"/>
  <c r="M268" i="7"/>
  <c r="L276" i="7"/>
  <c r="M272" i="7"/>
  <c r="L283" i="7"/>
  <c r="L273" i="7"/>
  <c r="M279" i="7"/>
  <c r="M271" i="7"/>
  <c r="L266" i="7"/>
  <c r="M281" i="7"/>
  <c r="M258" i="7"/>
  <c r="L261" i="7"/>
  <c r="L300" i="7"/>
  <c r="M286" i="7"/>
  <c r="M302" i="7"/>
  <c r="L284" i="7"/>
  <c r="L306" i="7"/>
  <c r="M283" i="7"/>
  <c r="M288" i="7"/>
  <c r="L304" i="7"/>
  <c r="L294" i="7"/>
  <c r="M292" i="7"/>
  <c r="M303" i="7"/>
  <c r="L298" i="7"/>
  <c r="M309" i="7"/>
  <c r="M296" i="7"/>
  <c r="L308" i="7"/>
  <c r="L309" i="7"/>
  <c r="M300" i="7"/>
  <c r="L290" i="7"/>
  <c r="L303" i="7"/>
  <c r="M301" i="7"/>
  <c r="L310" i="7"/>
  <c r="L301" i="7"/>
  <c r="M290" i="7"/>
  <c r="L307" i="7"/>
  <c r="M285" i="7"/>
  <c r="M310" i="7"/>
  <c r="L288" i="7"/>
  <c r="M284" i="7"/>
  <c r="L287" i="7"/>
  <c r="M306" i="7"/>
  <c r="L314" i="7"/>
  <c r="L299" i="7"/>
  <c r="M287" i="7"/>
  <c r="L302" i="7"/>
  <c r="L291" i="7"/>
  <c r="L296" i="7"/>
  <c r="L285" i="7"/>
  <c r="M298" i="7"/>
  <c r="M299" i="7"/>
  <c r="L305" i="7"/>
  <c r="L297" i="7"/>
  <c r="M307" i="7"/>
  <c r="M291" i="7"/>
  <c r="M304" i="7"/>
  <c r="M308" i="7"/>
  <c r="M295" i="7"/>
  <c r="L293" i="7"/>
  <c r="L292" i="7"/>
  <c r="M294" i="7"/>
  <c r="L286" i="7"/>
  <c r="M297" i="7"/>
  <c r="M293" i="7"/>
  <c r="M305" i="7"/>
  <c r="L295" i="7"/>
  <c r="M289" i="7"/>
  <c r="M319" i="7"/>
  <c r="M322" i="7"/>
  <c r="L315" i="7"/>
  <c r="M320" i="7"/>
  <c r="L332" i="7"/>
  <c r="L333" i="7"/>
  <c r="M315" i="7"/>
  <c r="L311" i="7"/>
  <c r="M323" i="7"/>
  <c r="L316" i="7"/>
  <c r="L337" i="7"/>
  <c r="L325" i="7"/>
  <c r="M329" i="7"/>
  <c r="L312" i="7"/>
  <c r="L328" i="7"/>
  <c r="M313" i="7"/>
  <c r="L321" i="7"/>
  <c r="M331" i="7"/>
  <c r="L329" i="7"/>
  <c r="M311" i="7"/>
  <c r="M314" i="7"/>
  <c r="L324" i="7"/>
  <c r="M324" i="7"/>
  <c r="M318" i="7"/>
  <c r="L313" i="7"/>
  <c r="M334" i="7"/>
  <c r="L317" i="7"/>
  <c r="L326" i="7"/>
  <c r="M335" i="7"/>
  <c r="M317" i="7"/>
  <c r="M330" i="7"/>
  <c r="L330" i="7"/>
  <c r="M321" i="7"/>
  <c r="M333" i="7"/>
  <c r="M327" i="7"/>
  <c r="L327" i="7"/>
  <c r="L322" i="7"/>
  <c r="L319" i="7"/>
  <c r="M326" i="7"/>
  <c r="L335" i="7"/>
  <c r="M328" i="7"/>
  <c r="M325" i="7"/>
  <c r="L318" i="7"/>
  <c r="M312" i="7"/>
  <c r="L320" i="7"/>
  <c r="L341" i="7"/>
  <c r="M332" i="7"/>
  <c r="L323" i="7"/>
  <c r="M336" i="7"/>
  <c r="L336" i="7"/>
  <c r="L331" i="7"/>
  <c r="M316" i="7"/>
  <c r="L334" i="7"/>
  <c r="M340" i="7"/>
  <c r="M360" i="7"/>
  <c r="M356" i="7"/>
  <c r="M361" i="7"/>
  <c r="L362" i="7"/>
  <c r="L346" i="7"/>
  <c r="L357" i="7"/>
  <c r="L361" i="7"/>
  <c r="L363" i="7"/>
  <c r="L355" i="7"/>
  <c r="M337" i="7"/>
  <c r="M359" i="7"/>
  <c r="L347" i="7"/>
  <c r="M351" i="7"/>
  <c r="M341" i="7"/>
  <c r="M339" i="7"/>
  <c r="L340" i="7"/>
  <c r="L349" i="7"/>
  <c r="M347" i="7"/>
  <c r="M345" i="7"/>
  <c r="L344" i="7"/>
  <c r="M354" i="7"/>
  <c r="L372" i="7"/>
  <c r="L342" i="7"/>
  <c r="M344" i="7"/>
  <c r="L350" i="7"/>
  <c r="L358" i="7"/>
  <c r="L343" i="7"/>
  <c r="L339" i="7"/>
  <c r="M349" i="7"/>
  <c r="L356" i="7"/>
  <c r="M342" i="7"/>
  <c r="L354" i="7"/>
  <c r="M372" i="7"/>
  <c r="M355" i="7"/>
  <c r="M346" i="7"/>
  <c r="M343" i="7"/>
  <c r="L360" i="7"/>
  <c r="L351" i="7"/>
  <c r="L353" i="7"/>
  <c r="M363" i="7"/>
  <c r="L359" i="7"/>
  <c r="M348" i="7"/>
  <c r="L345" i="7"/>
  <c r="L352" i="7"/>
  <c r="M357" i="7"/>
  <c r="M338" i="7"/>
  <c r="M353" i="7"/>
  <c r="L348" i="7"/>
  <c r="M358" i="7"/>
  <c r="M364" i="7"/>
  <c r="M362" i="7"/>
  <c r="M350" i="7"/>
  <c r="M352" i="7"/>
  <c r="L338" i="7"/>
  <c r="M380" i="7"/>
  <c r="L386" i="7"/>
  <c r="M376" i="7"/>
  <c r="L378" i="7"/>
  <c r="L368" i="7"/>
  <c r="L388" i="7"/>
  <c r="M367" i="7"/>
  <c r="L364" i="7"/>
  <c r="M388" i="7"/>
  <c r="L365" i="7"/>
  <c r="M375" i="7"/>
  <c r="L374" i="7"/>
  <c r="M366" i="7"/>
  <c r="M365" i="7"/>
  <c r="L373" i="7"/>
  <c r="L385" i="7"/>
  <c r="L384" i="7"/>
  <c r="M390" i="7"/>
  <c r="M369" i="7"/>
  <c r="L382" i="7"/>
  <c r="M383" i="7"/>
  <c r="L381" i="7"/>
  <c r="M371" i="7"/>
  <c r="L371" i="7"/>
  <c r="L390" i="7"/>
  <c r="M368" i="7"/>
  <c r="L366" i="7"/>
  <c r="L370" i="7"/>
  <c r="L383" i="7"/>
  <c r="M382" i="7"/>
  <c r="L369" i="7"/>
  <c r="L389" i="7"/>
  <c r="M386" i="7"/>
  <c r="L376" i="7"/>
  <c r="M381" i="7"/>
  <c r="M370" i="7"/>
  <c r="M374" i="7"/>
  <c r="L380" i="7"/>
  <c r="M385" i="7"/>
  <c r="M377" i="7"/>
  <c r="L375" i="7"/>
  <c r="M384" i="7"/>
  <c r="M389" i="7"/>
  <c r="L379" i="7"/>
  <c r="M387" i="7"/>
  <c r="L387" i="7"/>
  <c r="L367" i="7"/>
  <c r="M378" i="7"/>
  <c r="M379" i="7"/>
  <c r="L391" i="7"/>
  <c r="M373" i="7"/>
  <c r="L377" i="7"/>
  <c r="L394" i="7"/>
  <c r="M414" i="7"/>
  <c r="L411" i="7"/>
  <c r="M407" i="7"/>
  <c r="L401" i="7"/>
  <c r="L413" i="7"/>
  <c r="M417" i="7"/>
  <c r="M408" i="7"/>
  <c r="L392" i="7"/>
  <c r="L400" i="7"/>
  <c r="L409" i="7"/>
  <c r="L412" i="7"/>
  <c r="M392" i="7"/>
  <c r="M397" i="7"/>
  <c r="L414" i="7"/>
  <c r="M403" i="7"/>
  <c r="M396" i="7"/>
  <c r="L395" i="7"/>
  <c r="M404" i="7"/>
  <c r="L407" i="7"/>
  <c r="L393" i="7"/>
  <c r="L418" i="7"/>
  <c r="L410" i="7"/>
  <c r="L406" i="7"/>
  <c r="M405" i="7"/>
  <c r="M395" i="7"/>
  <c r="M402" i="7"/>
  <c r="L396" i="7"/>
  <c r="L405" i="7"/>
  <c r="L399" i="7"/>
  <c r="L419" i="7"/>
  <c r="M391" i="7"/>
  <c r="L417" i="7"/>
  <c r="L397" i="7"/>
  <c r="M418" i="7"/>
  <c r="M410" i="7"/>
  <c r="M416" i="7"/>
  <c r="L404" i="7"/>
  <c r="M393" i="7"/>
  <c r="L403" i="7"/>
  <c r="M415" i="7"/>
  <c r="L415" i="7"/>
  <c r="M409" i="7"/>
  <c r="M411" i="7"/>
  <c r="M394" i="7"/>
  <c r="L402" i="7"/>
  <c r="L398" i="7"/>
  <c r="M398" i="7"/>
  <c r="M406" i="7"/>
  <c r="M399" i="7"/>
  <c r="M400" i="7"/>
  <c r="L416" i="7"/>
  <c r="L408" i="7"/>
  <c r="M412" i="7"/>
  <c r="M401" i="7"/>
  <c r="M413" i="7"/>
  <c r="M439" i="7"/>
  <c r="L423" i="7"/>
  <c r="M421" i="7"/>
  <c r="M423" i="7"/>
  <c r="M434" i="7"/>
  <c r="L442" i="7"/>
  <c r="L440" i="7"/>
  <c r="M433" i="7"/>
  <c r="M431" i="7"/>
  <c r="M435" i="7"/>
  <c r="L474" i="7"/>
  <c r="M438" i="7"/>
  <c r="M437" i="7"/>
  <c r="M427" i="7"/>
  <c r="L444" i="7"/>
  <c r="M432" i="7"/>
  <c r="M442" i="7"/>
  <c r="M445" i="7"/>
  <c r="L428" i="7"/>
  <c r="M422" i="7"/>
  <c r="M444" i="7"/>
  <c r="L435" i="7"/>
  <c r="M440" i="7"/>
  <c r="M443" i="7"/>
  <c r="L437" i="7"/>
  <c r="L443" i="7"/>
  <c r="L439" i="7"/>
  <c r="L432" i="7"/>
  <c r="M424" i="7"/>
  <c r="M420" i="7"/>
  <c r="L421" i="7"/>
  <c r="M426" i="7"/>
  <c r="M429" i="7"/>
  <c r="M441" i="7"/>
  <c r="L431" i="7"/>
  <c r="L420" i="7"/>
  <c r="M436" i="7"/>
  <c r="M428" i="7"/>
  <c r="L436" i="7"/>
  <c r="L429" i="7"/>
  <c r="M419" i="7"/>
  <c r="M425" i="7"/>
  <c r="L438" i="7"/>
  <c r="L441" i="7"/>
  <c r="L434" i="7"/>
  <c r="L433" i="7"/>
  <c r="L426" i="7"/>
  <c r="L422" i="7"/>
  <c r="L425" i="7"/>
  <c r="M430" i="7"/>
  <c r="L445" i="7"/>
  <c r="L424" i="7"/>
  <c r="L427" i="7"/>
  <c r="L430" i="7"/>
  <c r="L497" i="7"/>
  <c r="L485" i="7"/>
  <c r="L477" i="7"/>
  <c r="L487" i="7"/>
  <c r="L476" i="7"/>
  <c r="L479" i="7"/>
  <c r="L491" i="7"/>
  <c r="L484" i="7"/>
  <c r="L490" i="7"/>
  <c r="L488" i="7"/>
  <c r="L493" i="7"/>
  <c r="L475" i="7"/>
  <c r="L483" i="7"/>
  <c r="L492" i="7"/>
  <c r="L482" i="7"/>
  <c r="L480" i="7"/>
  <c r="L486" i="7"/>
  <c r="L495" i="7"/>
  <c r="M446" i="7"/>
  <c r="L478" i="7"/>
  <c r="L446" i="7"/>
  <c r="L481" i="7"/>
  <c r="L498" i="7"/>
  <c r="L496" i="7"/>
  <c r="L489" i="7"/>
  <c r="L500" i="7"/>
  <c r="L494" i="7"/>
  <c r="L499" i="7"/>
  <c r="M481" i="7"/>
  <c r="M492" i="7"/>
  <c r="M477" i="7"/>
  <c r="M496" i="7"/>
  <c r="M482" i="7"/>
  <c r="M487" i="7"/>
  <c r="M495" i="7"/>
  <c r="M493" i="7"/>
  <c r="M484" i="7"/>
  <c r="M476" i="7"/>
  <c r="M494" i="7"/>
  <c r="M497" i="7"/>
  <c r="M499" i="7"/>
  <c r="M489" i="7"/>
  <c r="M491" i="7"/>
  <c r="M488" i="7"/>
  <c r="M479" i="7"/>
  <c r="M486" i="7"/>
  <c r="M485" i="7"/>
  <c r="M483" i="7"/>
  <c r="M498" i="7"/>
  <c r="M478" i="7"/>
  <c r="M474" i="7"/>
  <c r="M475" i="7"/>
  <c r="M480" i="7"/>
  <c r="M500" i="7"/>
  <c r="M490" i="7"/>
  <c r="L753" i="7"/>
  <c r="L765" i="7"/>
  <c r="M749" i="7"/>
  <c r="M761" i="7"/>
  <c r="L756" i="7"/>
  <c r="M767" i="7"/>
  <c r="L749" i="7"/>
  <c r="L761" i="7"/>
  <c r="L763" i="7"/>
  <c r="L754" i="7"/>
  <c r="L750" i="7"/>
  <c r="M759" i="7"/>
  <c r="L752" i="7"/>
  <c r="M765" i="7"/>
  <c r="L773" i="7"/>
  <c r="M752" i="7"/>
  <c r="M762" i="7"/>
  <c r="L748" i="7"/>
  <c r="L760" i="7"/>
  <c r="M745" i="7"/>
  <c r="L746" i="7"/>
  <c r="L755" i="7"/>
  <c r="M744" i="7"/>
  <c r="M754" i="7"/>
  <c r="L766" i="7"/>
  <c r="M763" i="7"/>
  <c r="L744" i="7"/>
  <c r="L764" i="7"/>
  <c r="M756" i="7"/>
  <c r="M755" i="7"/>
  <c r="M774" i="7"/>
  <c r="L758" i="7"/>
  <c r="L767" i="7"/>
  <c r="M758" i="7"/>
  <c r="M748" i="7"/>
  <c r="L768" i="7"/>
  <c r="M751" i="7"/>
  <c r="M746" i="7"/>
  <c r="M768" i="7"/>
  <c r="L751" i="7"/>
  <c r="L747" i="7"/>
  <c r="L759" i="7"/>
  <c r="M753" i="7"/>
  <c r="M766" i="7"/>
  <c r="L757" i="7"/>
  <c r="M764" i="7"/>
  <c r="M747" i="7"/>
  <c r="M750" i="7"/>
  <c r="L762" i="7"/>
  <c r="M757" i="7"/>
  <c r="M760" i="7"/>
  <c r="L745" i="7"/>
  <c r="L788" i="7"/>
  <c r="L778" i="7"/>
  <c r="L830" i="7"/>
  <c r="L832" i="7"/>
  <c r="L846" i="7"/>
  <c r="L796" i="7"/>
  <c r="M785" i="7"/>
  <c r="M833" i="7"/>
  <c r="M835" i="7"/>
  <c r="M769" i="7"/>
  <c r="M779" i="7"/>
  <c r="M782" i="7"/>
  <c r="M784" i="7"/>
  <c r="M786" i="7"/>
  <c r="M836" i="7"/>
  <c r="M838" i="7"/>
  <c r="L795" i="7"/>
  <c r="M791" i="7"/>
  <c r="M789" i="7"/>
  <c r="L831" i="7"/>
  <c r="L833" i="7"/>
  <c r="M847" i="7"/>
  <c r="L850" i="7"/>
  <c r="L776" i="7"/>
  <c r="L787" i="7"/>
  <c r="M771" i="7"/>
  <c r="L826" i="7"/>
  <c r="M828" i="7"/>
  <c r="M842" i="7"/>
  <c r="L845" i="7"/>
  <c r="M850" i="7"/>
  <c r="L779" i="7"/>
  <c r="L774" i="7"/>
  <c r="L772" i="7"/>
  <c r="L769" i="7"/>
  <c r="L829" i="7"/>
  <c r="M831" i="7"/>
  <c r="L791" i="7"/>
  <c r="M832" i="7"/>
  <c r="L834" i="7"/>
  <c r="M849" i="7"/>
  <c r="M773" i="7"/>
  <c r="M795" i="7"/>
  <c r="M772" i="7"/>
  <c r="M794" i="7"/>
  <c r="M777" i="7"/>
  <c r="M827" i="7"/>
  <c r="M829" i="7"/>
  <c r="L843" i="7"/>
  <c r="L784" i="7"/>
  <c r="M780" i="7"/>
  <c r="M781" i="7"/>
  <c r="L838" i="7"/>
  <c r="M840" i="7"/>
  <c r="L847" i="7"/>
  <c r="M846" i="7"/>
  <c r="L783" i="7"/>
  <c r="L781" i="7"/>
  <c r="M776" i="7"/>
  <c r="M841" i="7"/>
  <c r="M843" i="7"/>
  <c r="L848" i="7"/>
  <c r="L780" i="7"/>
  <c r="M788" i="7"/>
  <c r="M793" i="7"/>
  <c r="M778" i="7"/>
  <c r="L828" i="7"/>
  <c r="M830" i="7"/>
  <c r="L844" i="7"/>
  <c r="M783" i="7"/>
  <c r="L770" i="7"/>
  <c r="L786" i="7"/>
  <c r="L771" i="7"/>
  <c r="L839" i="7"/>
  <c r="L841" i="7"/>
  <c r="M848" i="7"/>
  <c r="L785" i="7"/>
  <c r="L793" i="7"/>
  <c r="M775" i="7"/>
  <c r="L794" i="7"/>
  <c r="M834" i="7"/>
  <c r="L836" i="7"/>
  <c r="M845" i="7"/>
  <c r="M787" i="7"/>
  <c r="L782" i="7"/>
  <c r="M792" i="7"/>
  <c r="L777" i="7"/>
  <c r="M790" i="7"/>
  <c r="L790" i="7"/>
  <c r="L837" i="7"/>
  <c r="M839" i="7"/>
  <c r="M844" i="7"/>
  <c r="L849" i="7"/>
  <c r="L789" i="7"/>
  <c r="M826" i="7"/>
  <c r="L840" i="7"/>
  <c r="L842" i="7"/>
  <c r="L792" i="7"/>
  <c r="L775" i="7"/>
  <c r="M770" i="7"/>
  <c r="L835" i="7"/>
  <c r="M837" i="7"/>
  <c r="M797" i="7"/>
  <c r="L801" i="7"/>
  <c r="M798" i="7"/>
  <c r="L807" i="7"/>
  <c r="M822" i="7"/>
  <c r="L874" i="7"/>
  <c r="L814" i="7"/>
  <c r="L811" i="7"/>
  <c r="M817" i="7"/>
  <c r="L797" i="7"/>
  <c r="M800" i="7"/>
  <c r="L799" i="7"/>
  <c r="M814" i="7"/>
  <c r="L812" i="7"/>
  <c r="L821" i="7"/>
  <c r="M802" i="7"/>
  <c r="L820" i="7"/>
  <c r="L856" i="7"/>
  <c r="L872" i="7"/>
  <c r="L875" i="7"/>
  <c r="L802" i="7"/>
  <c r="M851" i="7"/>
  <c r="L805" i="7"/>
  <c r="M812" i="7"/>
  <c r="L855" i="7"/>
  <c r="L862" i="7"/>
  <c r="L804" i="7"/>
  <c r="L818" i="7"/>
  <c r="L800" i="7"/>
  <c r="L870" i="7"/>
  <c r="L808" i="7"/>
  <c r="M821" i="7"/>
  <c r="M809" i="7"/>
  <c r="L859" i="7"/>
  <c r="L864" i="7"/>
  <c r="M811" i="7"/>
  <c r="M805" i="7"/>
  <c r="M804" i="7"/>
  <c r="L858" i="7"/>
  <c r="L860" i="7"/>
  <c r="L865" i="7"/>
  <c r="L867" i="7"/>
  <c r="L803" i="7"/>
  <c r="L817" i="7"/>
  <c r="L871" i="7"/>
  <c r="M806" i="7"/>
  <c r="M810" i="7"/>
  <c r="M799" i="7"/>
  <c r="L816" i="7"/>
  <c r="L857" i="7"/>
  <c r="M803" i="7"/>
  <c r="L810" i="7"/>
  <c r="L809" i="7"/>
  <c r="L822" i="7"/>
  <c r="L854" i="7"/>
  <c r="L861" i="7"/>
  <c r="L863" i="7"/>
  <c r="L823" i="7"/>
  <c r="M796" i="7"/>
  <c r="L813" i="7"/>
  <c r="L798" i="7"/>
  <c r="M816" i="7"/>
  <c r="L869" i="7"/>
  <c r="L876" i="7"/>
  <c r="L815" i="7"/>
  <c r="M815" i="7"/>
  <c r="M819" i="7"/>
  <c r="M807" i="7"/>
  <c r="M818" i="7"/>
  <c r="M825" i="7"/>
  <c r="L819" i="7"/>
  <c r="M801" i="7"/>
  <c r="M808" i="7"/>
  <c r="L806" i="7"/>
  <c r="M820" i="7"/>
  <c r="M813" i="7"/>
  <c r="L852" i="7"/>
  <c r="L866" i="7"/>
  <c r="L868" i="7"/>
  <c r="L873" i="7"/>
  <c r="M876" i="7"/>
  <c r="M870" i="7"/>
  <c r="L896" i="7"/>
  <c r="L898" i="7"/>
  <c r="M875" i="7"/>
  <c r="L891" i="7"/>
  <c r="M866" i="7"/>
  <c r="M864" i="7"/>
  <c r="L894" i="7"/>
  <c r="M860" i="7"/>
  <c r="M824" i="7"/>
  <c r="L877" i="7"/>
  <c r="M858" i="7"/>
  <c r="M823" i="7"/>
  <c r="L901" i="7"/>
  <c r="L903" i="7"/>
  <c r="L878" i="7"/>
  <c r="M854" i="7"/>
  <c r="M874" i="7"/>
  <c r="L887" i="7"/>
  <c r="L889" i="7"/>
  <c r="M859" i="7"/>
  <c r="M873" i="7"/>
  <c r="M869" i="7"/>
  <c r="L883" i="7"/>
  <c r="L892" i="7"/>
  <c r="M857" i="7"/>
  <c r="M872" i="7"/>
  <c r="M863" i="7"/>
  <c r="L827" i="7"/>
  <c r="M853" i="7"/>
  <c r="L890" i="7"/>
  <c r="L851" i="7"/>
  <c r="L885" i="7"/>
  <c r="L899" i="7"/>
  <c r="M871" i="7"/>
  <c r="L888" i="7"/>
  <c r="L853" i="7"/>
  <c r="M867" i="7"/>
  <c r="M865" i="7"/>
  <c r="L882" i="7"/>
  <c r="L884" i="7"/>
  <c r="L886" i="7"/>
  <c r="L893" i="7"/>
  <c r="L895" i="7"/>
  <c r="L902" i="7"/>
  <c r="L824" i="7"/>
  <c r="M868" i="7"/>
  <c r="M861" i="7"/>
  <c r="L879" i="7"/>
  <c r="L897" i="7"/>
  <c r="M855" i="7"/>
  <c r="M862" i="7"/>
  <c r="L900" i="7"/>
  <c r="M856" i="7"/>
  <c r="L881" i="7"/>
  <c r="M852" i="7"/>
  <c r="M896" i="7"/>
  <c r="M877" i="7"/>
  <c r="M890" i="7"/>
  <c r="M888" i="7"/>
  <c r="M893" i="7"/>
  <c r="M887" i="7"/>
  <c r="M878" i="7"/>
  <c r="M892" i="7"/>
  <c r="M899" i="7"/>
  <c r="M881" i="7"/>
  <c r="M897" i="7"/>
  <c r="M902" i="7"/>
  <c r="M900" i="7"/>
  <c r="L905" i="7"/>
  <c r="M889" i="7"/>
  <c r="M894" i="7"/>
  <c r="M882" i="7"/>
  <c r="M901" i="7"/>
  <c r="L904" i="7"/>
  <c r="M883" i="7"/>
  <c r="M886" i="7"/>
  <c r="M884" i="7"/>
  <c r="M898" i="7"/>
  <c r="M880" i="7"/>
  <c r="L880" i="7"/>
  <c r="M895" i="7"/>
  <c r="M885" i="7"/>
  <c r="M903" i="7"/>
  <c r="M891" i="7"/>
  <c r="M904" i="7"/>
  <c r="M905" i="7"/>
  <c r="M879" i="7"/>
  <c r="J31" i="3"/>
  <c r="K31" i="3" s="1"/>
  <c r="L31" i="3"/>
  <c r="M31" i="3" s="1"/>
  <c r="L64" i="3"/>
  <c r="M64" i="3" s="1"/>
  <c r="L47" i="3"/>
  <c r="M47" i="3" s="1"/>
  <c r="J50" i="3"/>
  <c r="L73" i="3"/>
  <c r="M73" i="3" s="1"/>
  <c r="J63" i="3"/>
  <c r="K63" i="3" s="1"/>
  <c r="J46" i="3"/>
  <c r="J32" i="3"/>
  <c r="J52" i="3"/>
  <c r="J66" i="3"/>
  <c r="J37" i="3"/>
  <c r="J73" i="3"/>
  <c r="J72" i="3"/>
  <c r="J33" i="3"/>
  <c r="K33" i="3" s="1"/>
  <c r="J36" i="3"/>
  <c r="J67" i="3"/>
  <c r="L75" i="3"/>
  <c r="M75" i="3" s="1"/>
  <c r="L38" i="3"/>
  <c r="M38" i="3" s="1"/>
  <c r="J71" i="3"/>
  <c r="J44" i="3"/>
  <c r="L36" i="3"/>
  <c r="M36" i="3" s="1"/>
  <c r="L54" i="3"/>
  <c r="M54" i="3" s="1"/>
  <c r="J58" i="3"/>
  <c r="L65" i="3"/>
  <c r="M65" i="3" s="1"/>
  <c r="L69" i="3"/>
  <c r="M69" i="3" s="1"/>
  <c r="J62" i="3"/>
  <c r="K62" i="3" s="1"/>
  <c r="J61" i="3"/>
  <c r="K61" i="3" s="1"/>
  <c r="J34" i="3"/>
  <c r="J64" i="3"/>
  <c r="L32" i="3"/>
  <c r="M32" i="3" s="1"/>
  <c r="J49" i="3"/>
  <c r="L57" i="3"/>
  <c r="M57" i="3" s="1"/>
  <c r="J54" i="3"/>
  <c r="J41" i="3"/>
  <c r="J68" i="3"/>
  <c r="J56" i="3"/>
  <c r="J55" i="3"/>
  <c r="K55" i="3" s="1"/>
  <c r="L68" i="3"/>
  <c r="M68" i="3" s="1"/>
  <c r="J65" i="3"/>
  <c r="L66" i="3"/>
  <c r="M66" i="3" s="1"/>
  <c r="L56" i="3"/>
  <c r="M56" i="3" s="1"/>
  <c r="J48" i="3"/>
  <c r="J35" i="3"/>
  <c r="J53" i="3"/>
  <c r="J42" i="3"/>
  <c r="L55" i="3"/>
  <c r="M55" i="3" s="1"/>
  <c r="J51" i="3"/>
  <c r="L71" i="3"/>
  <c r="M71" i="3" s="1"/>
  <c r="J76" i="3"/>
  <c r="J43" i="3"/>
  <c r="J70" i="3"/>
  <c r="J74" i="3"/>
  <c r="J57" i="3"/>
  <c r="K57" i="3" s="1"/>
  <c r="J69" i="3"/>
  <c r="J47" i="3"/>
  <c r="L76" i="3"/>
  <c r="M76" i="3" s="1"/>
  <c r="L67" i="3"/>
  <c r="M67" i="3" s="1"/>
  <c r="L53" i="3"/>
  <c r="M53" i="3" s="1"/>
  <c r="J75" i="3"/>
  <c r="L72" i="3"/>
  <c r="M72" i="3" s="1"/>
  <c r="J38" i="3"/>
  <c r="K38" i="3" s="1"/>
  <c r="L70" i="3"/>
  <c r="M70" i="3" s="1"/>
  <c r="L74" i="3"/>
  <c r="M74" i="3" s="1"/>
  <c r="L34" i="3"/>
  <c r="M34" i="3" s="1"/>
  <c r="J39" i="3"/>
  <c r="L39" i="3"/>
  <c r="M39" i="3" s="1"/>
  <c r="L61" i="3" l="1"/>
  <c r="M61" i="3" s="1"/>
  <c r="H60" i="3"/>
  <c r="I60" i="3" s="1"/>
  <c r="L60" i="3" s="1"/>
  <c r="M60" i="3" s="1"/>
  <c r="H59" i="3"/>
  <c r="I59" i="3" s="1"/>
  <c r="L59" i="3" s="1"/>
  <c r="M59" i="3" s="1"/>
  <c r="H40" i="3"/>
  <c r="I40" i="3" s="1"/>
  <c r="L40" i="3" s="1"/>
  <c r="M40" i="3" s="1"/>
  <c r="H41" i="3"/>
  <c r="L33" i="3"/>
  <c r="M33" i="3" s="1"/>
  <c r="L62" i="3"/>
  <c r="M62" i="3" s="1"/>
  <c r="L45" i="3"/>
  <c r="M45" i="3" s="1"/>
  <c r="L63" i="3"/>
  <c r="M63" i="3" s="1"/>
  <c r="L35" i="3"/>
  <c r="M35" i="3" s="1"/>
  <c r="L48" i="3"/>
  <c r="M48" i="3" s="1"/>
  <c r="L37" i="3"/>
  <c r="M37" i="3" s="1"/>
  <c r="L58" i="3"/>
  <c r="M58" i="3" s="1"/>
  <c r="L46" i="3"/>
  <c r="M46" i="3" s="1"/>
  <c r="C28" i="7"/>
  <c r="C41" i="7"/>
  <c r="C25" i="7"/>
  <c r="C34" i="7"/>
  <c r="C18" i="7"/>
  <c r="C19" i="7"/>
  <c r="C40" i="7"/>
  <c r="C24" i="7"/>
  <c r="C37" i="7"/>
  <c r="C21" i="7"/>
  <c r="C30" i="7"/>
  <c r="C39" i="7"/>
  <c r="C31" i="7"/>
  <c r="C35" i="7"/>
  <c r="C36" i="7"/>
  <c r="C20" i="7"/>
  <c r="C33" i="7"/>
  <c r="C17" i="7"/>
  <c r="C26" i="7"/>
  <c r="C23" i="7"/>
  <c r="C27" i="7"/>
  <c r="C32" i="7"/>
  <c r="C16" i="7"/>
  <c r="C29" i="7"/>
  <c r="C38" i="7"/>
  <c r="C22" i="7"/>
  <c r="C15" i="7"/>
  <c r="C956" i="7"/>
  <c r="C940" i="7"/>
  <c r="C949" i="7"/>
  <c r="C933" i="7"/>
  <c r="C946" i="7"/>
  <c r="C959" i="7"/>
  <c r="C943" i="7"/>
  <c r="C952" i="7"/>
  <c r="C936" i="7"/>
  <c r="C945" i="7"/>
  <c r="C958" i="7"/>
  <c r="C942" i="7"/>
  <c r="C955" i="7"/>
  <c r="C939" i="7"/>
  <c r="C948" i="7"/>
  <c r="C957" i="7"/>
  <c r="C941" i="7"/>
  <c r="C954" i="7"/>
  <c r="C938" i="7"/>
  <c r="C951" i="7"/>
  <c r="C935" i="7"/>
  <c r="C944" i="7"/>
  <c r="C953" i="7"/>
  <c r="C937" i="7"/>
  <c r="C950" i="7"/>
  <c r="C934" i="7"/>
  <c r="C947" i="7"/>
  <c r="C732" i="7"/>
  <c r="C741" i="7"/>
  <c r="C725" i="7"/>
  <c r="C738" i="7"/>
  <c r="C722" i="7"/>
  <c r="C735" i="7"/>
  <c r="C719" i="7"/>
  <c r="C728" i="7"/>
  <c r="C737" i="7"/>
  <c r="C721" i="7"/>
  <c r="C734" i="7"/>
  <c r="C718" i="7"/>
  <c r="C731" i="7"/>
  <c r="C740" i="7"/>
  <c r="C724" i="7"/>
  <c r="C733" i="7"/>
  <c r="C717" i="7"/>
  <c r="C730" i="7"/>
  <c r="C743" i="7"/>
  <c r="C727" i="7"/>
  <c r="C736" i="7"/>
  <c r="C720" i="7"/>
  <c r="C729" i="7"/>
  <c r="C742" i="7"/>
  <c r="C726" i="7"/>
  <c r="C739" i="7"/>
  <c r="C723" i="7"/>
  <c r="K32" i="3"/>
  <c r="C29" i="3"/>
  <c r="C676" i="7"/>
  <c r="C689" i="7"/>
  <c r="C673" i="7"/>
  <c r="C682" i="7"/>
  <c r="C666" i="7"/>
  <c r="C675" i="7"/>
  <c r="C688" i="7"/>
  <c r="C672" i="7"/>
  <c r="C685" i="7"/>
  <c r="C669" i="7"/>
  <c r="C678" i="7"/>
  <c r="C687" i="7"/>
  <c r="C671" i="7"/>
  <c r="C684" i="7"/>
  <c r="C668" i="7"/>
  <c r="C681" i="7"/>
  <c r="C665" i="7"/>
  <c r="C674" i="7"/>
  <c r="C683" i="7"/>
  <c r="C667" i="7"/>
  <c r="C680" i="7"/>
  <c r="C664" i="7"/>
  <c r="C677" i="7"/>
  <c r="C686" i="7"/>
  <c r="C670" i="7"/>
  <c r="C679" i="7"/>
  <c r="C663" i="7"/>
  <c r="C840" i="7"/>
  <c r="C849" i="7"/>
  <c r="C833" i="7"/>
  <c r="C846" i="7"/>
  <c r="C830" i="7"/>
  <c r="C843" i="7"/>
  <c r="C827" i="7"/>
  <c r="C836" i="7"/>
  <c r="C845" i="7"/>
  <c r="C829" i="7"/>
  <c r="C842" i="7"/>
  <c r="C826" i="7"/>
  <c r="C839" i="7"/>
  <c r="C848" i="7"/>
  <c r="C832" i="7"/>
  <c r="C841" i="7"/>
  <c r="C825" i="7"/>
  <c r="C838" i="7"/>
  <c r="C851" i="7"/>
  <c r="C835" i="7"/>
  <c r="C844" i="7"/>
  <c r="C828" i="7"/>
  <c r="C837" i="7"/>
  <c r="C850" i="7"/>
  <c r="C834" i="7"/>
  <c r="C847" i="7"/>
  <c r="C831" i="7"/>
  <c r="C92" i="7"/>
  <c r="C76" i="7"/>
  <c r="C85" i="7"/>
  <c r="C69" i="7"/>
  <c r="C86" i="7"/>
  <c r="C70" i="7"/>
  <c r="C83" i="7"/>
  <c r="C88" i="7"/>
  <c r="C72" i="7"/>
  <c r="C81" i="7"/>
  <c r="C71" i="7"/>
  <c r="C82" i="7"/>
  <c r="C95" i="7"/>
  <c r="C79" i="7"/>
  <c r="C84" i="7"/>
  <c r="C93" i="7"/>
  <c r="C77" i="7"/>
  <c r="C94" i="7"/>
  <c r="C78" i="7"/>
  <c r="C91" i="7"/>
  <c r="C75" i="7"/>
  <c r="C80" i="7"/>
  <c r="C89" i="7"/>
  <c r="C73" i="7"/>
  <c r="C90" i="7"/>
  <c r="C74" i="7"/>
  <c r="C87" i="7"/>
  <c r="C228" i="7"/>
  <c r="C212" i="7"/>
  <c r="C225" i="7"/>
  <c r="C209" i="7"/>
  <c r="C219" i="7"/>
  <c r="C230" i="7"/>
  <c r="C214" i="7"/>
  <c r="C224" i="7"/>
  <c r="C208" i="7"/>
  <c r="C221" i="7"/>
  <c r="C205" i="7"/>
  <c r="C215" i="7"/>
  <c r="C226" i="7"/>
  <c r="C210" i="7"/>
  <c r="C220" i="7"/>
  <c r="C204" i="7"/>
  <c r="C217" i="7"/>
  <c r="C227" i="7"/>
  <c r="C211" i="7"/>
  <c r="C222" i="7"/>
  <c r="C206" i="7"/>
  <c r="C216" i="7"/>
  <c r="C229" i="7"/>
  <c r="C213" i="7"/>
  <c r="C223" i="7"/>
  <c r="C207" i="7"/>
  <c r="C218" i="7"/>
  <c r="C864" i="7"/>
  <c r="C877" i="7"/>
  <c r="C861" i="7"/>
  <c r="C874" i="7"/>
  <c r="C858" i="7"/>
  <c r="C867" i="7"/>
  <c r="C876" i="7"/>
  <c r="C860" i="7"/>
  <c r="C873" i="7"/>
  <c r="C857" i="7"/>
  <c r="C870" i="7"/>
  <c r="C854" i="7"/>
  <c r="C863" i="7"/>
  <c r="C872" i="7"/>
  <c r="C856" i="7"/>
  <c r="C869" i="7"/>
  <c r="C853" i="7"/>
  <c r="C866" i="7"/>
  <c r="C875" i="7"/>
  <c r="C859" i="7"/>
  <c r="C868" i="7"/>
  <c r="C852" i="7"/>
  <c r="C865" i="7"/>
  <c r="C878" i="7"/>
  <c r="C862" i="7"/>
  <c r="C871" i="7"/>
  <c r="C855" i="7"/>
  <c r="C972" i="7"/>
  <c r="C985" i="7"/>
  <c r="C969" i="7"/>
  <c r="C982" i="7"/>
  <c r="C966" i="7"/>
  <c r="C975" i="7"/>
  <c r="C984" i="7"/>
  <c r="C968" i="7"/>
  <c r="C981" i="7"/>
  <c r="C965" i="7"/>
  <c r="C978" i="7"/>
  <c r="C962" i="7"/>
  <c r="C971" i="7"/>
  <c r="C980" i="7"/>
  <c r="C964" i="7"/>
  <c r="C977" i="7"/>
  <c r="C961" i="7"/>
  <c r="C974" i="7"/>
  <c r="C983" i="7"/>
  <c r="C967" i="7"/>
  <c r="C976" i="7"/>
  <c r="C960" i="7"/>
  <c r="C973" i="7"/>
  <c r="C986" i="7"/>
  <c r="C970" i="7"/>
  <c r="C979" i="7"/>
  <c r="C963" i="7"/>
  <c r="C900" i="7"/>
  <c r="C884" i="7"/>
  <c r="C897" i="7"/>
  <c r="C881" i="7"/>
  <c r="C890" i="7"/>
  <c r="C899" i="7"/>
  <c r="C883" i="7"/>
  <c r="C896" i="7"/>
  <c r="C880" i="7"/>
  <c r="C893" i="7"/>
  <c r="C902" i="7"/>
  <c r="C886" i="7"/>
  <c r="C895" i="7"/>
  <c r="C879" i="7"/>
  <c r="C892" i="7"/>
  <c r="C905" i="7"/>
  <c r="C889" i="7"/>
  <c r="C898" i="7"/>
  <c r="C882" i="7"/>
  <c r="C891" i="7"/>
  <c r="C904" i="7"/>
  <c r="C888" i="7"/>
  <c r="C901" i="7"/>
  <c r="C885" i="7"/>
  <c r="C894" i="7"/>
  <c r="C903" i="7"/>
  <c r="C887" i="7"/>
  <c r="I41" i="3" l="1"/>
  <c r="L41" i="3" s="1"/>
  <c r="C64" i="7"/>
  <c r="C48" i="7"/>
  <c r="C55" i="7"/>
  <c r="C53" i="7"/>
  <c r="C47" i="7"/>
  <c r="C54" i="7"/>
  <c r="C67" i="7"/>
  <c r="C60" i="7"/>
  <c r="C44" i="7"/>
  <c r="C65" i="7"/>
  <c r="C49" i="7"/>
  <c r="C66" i="7"/>
  <c r="C50" i="7"/>
  <c r="C43" i="7"/>
  <c r="C56" i="7"/>
  <c r="C63" i="7"/>
  <c r="C61" i="7"/>
  <c r="C45" i="7"/>
  <c r="C62" i="7"/>
  <c r="C46" i="7"/>
  <c r="C68" i="7"/>
  <c r="C52" i="7"/>
  <c r="C59" i="7"/>
  <c r="C57" i="7"/>
  <c r="C51" i="7"/>
  <c r="C58" i="7"/>
  <c r="C42" i="7"/>
  <c r="M41" i="3" l="1"/>
  <c r="C28" i="3"/>
</calcChain>
</file>

<file path=xl/comments1.xml><?xml version="1.0" encoding="utf-8"?>
<comments xmlns="http://schemas.openxmlformats.org/spreadsheetml/2006/main">
  <authors>
    <author>naspinall</author>
  </authors>
  <commentList>
    <comment ref="AG892" authorId="0">
      <text>
        <r>
          <rPr>
            <b/>
            <sz val="8"/>
            <color indexed="81"/>
            <rFont val="Tahoma"/>
            <family val="2"/>
          </rPr>
          <t>naspinall:</t>
        </r>
        <r>
          <rPr>
            <sz val="8"/>
            <color indexed="81"/>
            <rFont val="Tahoma"/>
            <family val="2"/>
          </rPr>
          <t xml:space="preserve">
Manually added alst minute feedback from Riaan Crous</t>
        </r>
      </text>
    </comment>
  </commentList>
</comments>
</file>

<file path=xl/sharedStrings.xml><?xml version="1.0" encoding="utf-8"?>
<sst xmlns="http://schemas.openxmlformats.org/spreadsheetml/2006/main" count="33277" uniqueCount="3354">
  <si>
    <t>Country</t>
  </si>
  <si>
    <t>El Salvador</t>
  </si>
  <si>
    <t>Nicaragua</t>
  </si>
  <si>
    <t>Paraguay</t>
  </si>
  <si>
    <t>Argentina</t>
  </si>
  <si>
    <t>Bahamas</t>
  </si>
  <si>
    <t>Barbados</t>
  </si>
  <si>
    <t>Bolivia</t>
  </si>
  <si>
    <t>Chile</t>
  </si>
  <si>
    <t>Colombia</t>
  </si>
  <si>
    <t>Costa Rica</t>
  </si>
  <si>
    <t>Dominican Republic</t>
  </si>
  <si>
    <t>Ecuador</t>
  </si>
  <si>
    <t>Guatemala</t>
  </si>
  <si>
    <t>Guyana</t>
  </si>
  <si>
    <t>Haiti</t>
  </si>
  <si>
    <t>Honduras</t>
  </si>
  <si>
    <t>Jamaica</t>
  </si>
  <si>
    <t>Mexico</t>
  </si>
  <si>
    <t>Panama</t>
  </si>
  <si>
    <t>Peru</t>
  </si>
  <si>
    <t>Suriname</t>
  </si>
  <si>
    <t>Uruguay</t>
  </si>
  <si>
    <t>Venezuela</t>
  </si>
  <si>
    <t>Year</t>
  </si>
  <si>
    <t>Average electricity spot prices</t>
  </si>
  <si>
    <t>Growth rate of power demand</t>
  </si>
  <si>
    <t>Enabling Framework</t>
  </si>
  <si>
    <t>Policy &amp; Regulation</t>
  </si>
  <si>
    <t>INDICATOR</t>
  </si>
  <si>
    <t>DATA</t>
  </si>
  <si>
    <t>Brazil</t>
  </si>
  <si>
    <t>Clean energy installed capacity</t>
  </si>
  <si>
    <t>Electrification rate</t>
  </si>
  <si>
    <t>Amount Invested</t>
  </si>
  <si>
    <t>Green Micro Finance</t>
  </si>
  <si>
    <t>Clean energy policies</t>
  </si>
  <si>
    <t>Power sector structure</t>
  </si>
  <si>
    <t>Clean energy electricity generation</t>
  </si>
  <si>
    <t>Biofuels production</t>
  </si>
  <si>
    <t>Asset finance investments</t>
  </si>
  <si>
    <t>Corporate finance investments</t>
  </si>
  <si>
    <t>VC/PE investments</t>
  </si>
  <si>
    <t>Local investments</t>
  </si>
  <si>
    <t>Green micro-loans</t>
  </si>
  <si>
    <t>Average cost of green micro debt</t>
  </si>
  <si>
    <t>Financial institutions in clean energy</t>
  </si>
  <si>
    <t>Value chains by clean energy sector</t>
  </si>
  <si>
    <t>Clean energy service providers</t>
  </si>
  <si>
    <t>Growth rate of clean energy investments</t>
  </si>
  <si>
    <t>USD</t>
  </si>
  <si>
    <t>MW</t>
  </si>
  <si>
    <t>%</t>
  </si>
  <si>
    <t>Growth rate of installed capacity</t>
  </si>
  <si>
    <t>Growth rate of electricity generation</t>
  </si>
  <si>
    <t>Growth rate biofuels production</t>
  </si>
  <si>
    <t>Average retail electricity prices</t>
  </si>
  <si>
    <t>Clean energy investments</t>
  </si>
  <si>
    <t>Count</t>
  </si>
  <si>
    <t>COUNTRY PROFILE</t>
  </si>
  <si>
    <t>PARAMETER</t>
  </si>
  <si>
    <t>CATEGORY</t>
  </si>
  <si>
    <t>SCORE</t>
  </si>
  <si>
    <t>UNITS</t>
  </si>
  <si>
    <t>Price Attractiveness</t>
  </si>
  <si>
    <t>Clean Energy Penetration</t>
  </si>
  <si>
    <t>Fund Sources</t>
  </si>
  <si>
    <t>WEIGHT</t>
  </si>
  <si>
    <t>Indicator</t>
  </si>
  <si>
    <t>Row</t>
  </si>
  <si>
    <t>Table</t>
  </si>
  <si>
    <t>Units</t>
  </si>
  <si>
    <t>USD/MWh</t>
  </si>
  <si>
    <t>USDbn</t>
  </si>
  <si>
    <t>Cost of Debt</t>
  </si>
  <si>
    <t>NET WEIGHT</t>
  </si>
  <si>
    <t>Value Chain</t>
  </si>
  <si>
    <t>INDICATOR DATABASE</t>
  </si>
  <si>
    <t>Type</t>
  </si>
  <si>
    <t>Equipment Manufacturer</t>
  </si>
  <si>
    <t>Solar</t>
  </si>
  <si>
    <t/>
  </si>
  <si>
    <t>non-OECD</t>
  </si>
  <si>
    <t>AMER</t>
  </si>
  <si>
    <t>North America &amp; Caribbean</t>
  </si>
  <si>
    <t>Other AMER</t>
  </si>
  <si>
    <t>MA</t>
  </si>
  <si>
    <t>Acquisition transactions</t>
  </si>
  <si>
    <t>Service Company</t>
  </si>
  <si>
    <t>Energy smart technologies</t>
  </si>
  <si>
    <t>Digital Energy</t>
  </si>
  <si>
    <t>BASIC</t>
  </si>
  <si>
    <t>Central &amp; South America</t>
  </si>
  <si>
    <t>MA698</t>
  </si>
  <si>
    <t>Developer</t>
  </si>
  <si>
    <t>Diesel Substitute</t>
  </si>
  <si>
    <t>Biofuels</t>
  </si>
  <si>
    <t>Fuel production/procurement</t>
  </si>
  <si>
    <t>Gasoline/Petrol Substitute</t>
  </si>
  <si>
    <t>Pure Biofuels del Peru SAC</t>
  </si>
  <si>
    <t>MA856</t>
  </si>
  <si>
    <t>Wind</t>
  </si>
  <si>
    <t>MA1034</t>
  </si>
  <si>
    <t>Alcana Destilaria de Alcool de Nanuque SA</t>
  </si>
  <si>
    <t>MA903</t>
  </si>
  <si>
    <t>Cooperativa Dos Produtores de Cana de Acucar de Navirai</t>
  </si>
  <si>
    <t>MA860</t>
  </si>
  <si>
    <t>Cia Acucareira Vale do Rosario</t>
  </si>
  <si>
    <t>MA1452</t>
  </si>
  <si>
    <t>Technology Developer</t>
  </si>
  <si>
    <t>Biocombustibles de Guatemala SA</t>
  </si>
  <si>
    <t>MA1352</t>
  </si>
  <si>
    <t>Onshore</t>
  </si>
  <si>
    <t>Electricity Generation (new)</t>
  </si>
  <si>
    <t>Biomass &amp; Waste</t>
  </si>
  <si>
    <t>Central Energetica Paraiso</t>
  </si>
  <si>
    <t>MA1284</t>
  </si>
  <si>
    <t>Stratos del Peru SAC</t>
  </si>
  <si>
    <t>MA2663</t>
  </si>
  <si>
    <t>Diferal SA</t>
  </si>
  <si>
    <t>MA1229</t>
  </si>
  <si>
    <t>Vale Do Rosario Sugar Co</t>
  </si>
  <si>
    <t>MA1028</t>
  </si>
  <si>
    <t>ETH Bioenergia SA</t>
  </si>
  <si>
    <t>MA1327</t>
  </si>
  <si>
    <t>Small Hydro</t>
  </si>
  <si>
    <t>Small hydro</t>
  </si>
  <si>
    <t>Hidraulica Industrial SA Ind e Comm</t>
  </si>
  <si>
    <t>MA1810</t>
  </si>
  <si>
    <t>OECD</t>
  </si>
  <si>
    <t>MA1408</t>
  </si>
  <si>
    <t>Adriano Ometto Participacoes Ltd</t>
  </si>
  <si>
    <t>MA1213</t>
  </si>
  <si>
    <t>Martifer Renovaveis Geracao de Energia e Participacoes SA</t>
  </si>
  <si>
    <t>MA1687</t>
  </si>
  <si>
    <t>Areva Koblitz SA</t>
  </si>
  <si>
    <t>MA1450</t>
  </si>
  <si>
    <t>Cenaeel-Central Nacional da Energia Eolica SA</t>
  </si>
  <si>
    <t>MA1623</t>
  </si>
  <si>
    <t>New Energy Options Geracao de Energia SA</t>
  </si>
  <si>
    <t>MA2253</t>
  </si>
  <si>
    <t>Tropical BioEnergia SA</t>
  </si>
  <si>
    <t>MA1565</t>
  </si>
  <si>
    <t>Belize</t>
  </si>
  <si>
    <t>Technology Alternatives Ltd</t>
  </si>
  <si>
    <t>MA1750</t>
  </si>
  <si>
    <t>Elebras Projects Ltda</t>
  </si>
  <si>
    <t>MA1866</t>
  </si>
  <si>
    <t>Usaciga Acucar Alcool e Energia Electrica Ltda</t>
  </si>
  <si>
    <t>MA2067</t>
  </si>
  <si>
    <t>Natural Power SA</t>
  </si>
  <si>
    <t>MA1820</t>
  </si>
  <si>
    <t>Santelisa Vale SA</t>
  </si>
  <si>
    <t>MA1934</t>
  </si>
  <si>
    <t>Cosan Alimentos SA</t>
  </si>
  <si>
    <t>MA1746</t>
  </si>
  <si>
    <t>Conventional</t>
  </si>
  <si>
    <t>Geothermal</t>
  </si>
  <si>
    <t>Andean Geothermic Energy SAC</t>
  </si>
  <si>
    <t>MA2619</t>
  </si>
  <si>
    <t>Energias Renovables de Mesoamerica</t>
  </si>
  <si>
    <t>MA2186</t>
  </si>
  <si>
    <t>Renova SA</t>
  </si>
  <si>
    <t>MA2292</t>
  </si>
  <si>
    <t>Renuka Vale Do Ivai SA</t>
  </si>
  <si>
    <t>MA2117</t>
  </si>
  <si>
    <t>Integrated Biodiesel Industries Ltd</t>
  </si>
  <si>
    <t>MA2327</t>
  </si>
  <si>
    <t>Copersucar SA</t>
  </si>
  <si>
    <t>MA2733</t>
  </si>
  <si>
    <t>Brazilian Renewable Energy Co Ltd</t>
  </si>
  <si>
    <t>MA3120</t>
  </si>
  <si>
    <t>MA2732</t>
  </si>
  <si>
    <t>Guarani SA</t>
  </si>
  <si>
    <t>MA2311</t>
  </si>
  <si>
    <t>MA2328</t>
  </si>
  <si>
    <t>MA2225</t>
  </si>
  <si>
    <t>Jantus SL</t>
  </si>
  <si>
    <t>MA2993</t>
  </si>
  <si>
    <t>Eolica Faisa Ltda</t>
  </si>
  <si>
    <t>MA3289</t>
  </si>
  <si>
    <t>PV</t>
  </si>
  <si>
    <t>Enex Operacao e Manutencao de Sistemas Eletricos Ltda</t>
  </si>
  <si>
    <t>MA3323</t>
  </si>
  <si>
    <t>Energia Andina SA</t>
  </si>
  <si>
    <t>MA3299</t>
  </si>
  <si>
    <t>MA3202</t>
  </si>
  <si>
    <t>Zeta Energia SA</t>
  </si>
  <si>
    <t>MA3148</t>
  </si>
  <si>
    <t>Existing Dam</t>
  </si>
  <si>
    <t>Gamma Energia SA</t>
  </si>
  <si>
    <t>MA3147</t>
  </si>
  <si>
    <t>MA2949</t>
  </si>
  <si>
    <t>GTN Latin America</t>
  </si>
  <si>
    <t>MA3434</t>
  </si>
  <si>
    <t>Cedin do Brasil Ltda</t>
  </si>
  <si>
    <t>MA3305</t>
  </si>
  <si>
    <t>MA2967</t>
  </si>
  <si>
    <t>BSBIOS Industria e Comercio de Biodiesel Sul Brasil SA</t>
  </si>
  <si>
    <t>MA3257</t>
  </si>
  <si>
    <t>Biopalma da Amazonia SA Reflorestamento Industria &amp; Comercio</t>
  </si>
  <si>
    <t>MA2753</t>
  </si>
  <si>
    <t>Usina Zanin Acucar e Alcool Ltda</t>
  </si>
  <si>
    <t>MA2846</t>
  </si>
  <si>
    <t>Vanguarda Participacoes SA</t>
  </si>
  <si>
    <t>MA2927</t>
  </si>
  <si>
    <t>Cia Nacional de Acucar e Alcool SA</t>
  </si>
  <si>
    <t>MA2838</t>
  </si>
  <si>
    <t>IPO</t>
  </si>
  <si>
    <t>Sao Martinho SA</t>
  </si>
  <si>
    <t>PM951</t>
  </si>
  <si>
    <t>PM</t>
  </si>
  <si>
    <t>PE Buy-out</t>
  </si>
  <si>
    <t>PE - Buy-out / corp spinoff</t>
  </si>
  <si>
    <t>Omega Energia Renovavel SA</t>
  </si>
  <si>
    <t>VCPE2291</t>
  </si>
  <si>
    <t>VCPE</t>
  </si>
  <si>
    <t>Hybrytec SA</t>
  </si>
  <si>
    <t>VCPE2427</t>
  </si>
  <si>
    <t>All</t>
  </si>
  <si>
    <t>Services &amp; Support (Clean Energy)</t>
  </si>
  <si>
    <t>Brazil Timber Ltda</t>
  </si>
  <si>
    <t>VCPE3426</t>
  </si>
  <si>
    <t>Transesterification</t>
  </si>
  <si>
    <t>Patagonia Bioenergia SA</t>
  </si>
  <si>
    <t>VCPE2699</t>
  </si>
  <si>
    <t>Carbon Markets</t>
  </si>
  <si>
    <t>Ecologica Assessoria Ltda</t>
  </si>
  <si>
    <t>Grupo Ecogeo SA</t>
  </si>
  <si>
    <t>VCPE2428</t>
  </si>
  <si>
    <t>1-Gen fermentation</t>
  </si>
  <si>
    <t>VCPE2187</t>
  </si>
  <si>
    <t>PV – Crystalline silicon</t>
  </si>
  <si>
    <t>Entelin</t>
  </si>
  <si>
    <t>VCPE2887</t>
  </si>
  <si>
    <t>Cia Energetica de Acucar e Alcool do Triangulo Mineiro Ltda</t>
  </si>
  <si>
    <t>VCPE2790</t>
  </si>
  <si>
    <t>Enzymatic hydrolysis</t>
  </si>
  <si>
    <t>VCPE3278</t>
  </si>
  <si>
    <t>Greenergyze</t>
  </si>
  <si>
    <t>VCPE3475</t>
  </si>
  <si>
    <t>Biolatina Energias Renovaveis SA</t>
  </si>
  <si>
    <t>VCPE3476</t>
  </si>
  <si>
    <t>Tecsis Tecnologia e Sistemas Avancados Ltda</t>
  </si>
  <si>
    <t>VCPE4556</t>
  </si>
  <si>
    <t>Acquisition</t>
  </si>
  <si>
    <t>AF</t>
  </si>
  <si>
    <t>Run of River</t>
  </si>
  <si>
    <t>Single flash</t>
  </si>
  <si>
    <t>Refinancing</t>
  </si>
  <si>
    <t>AF8601</t>
  </si>
  <si>
    <t>AF3037</t>
  </si>
  <si>
    <t>Binary</t>
  </si>
  <si>
    <t>Orzunil I de Electricidad Zunil Geothermal Plant Acquisition</t>
  </si>
  <si>
    <t>AF3018</t>
  </si>
  <si>
    <t>AF2422</t>
  </si>
  <si>
    <t>Brennand Celtins Small Hydro Portfolio Acquisition</t>
  </si>
  <si>
    <t>AF3270</t>
  </si>
  <si>
    <t>Tierras Morenas Wind Farm Acquisition</t>
  </si>
  <si>
    <t>AF3687</t>
  </si>
  <si>
    <t>AF6281</t>
  </si>
  <si>
    <t>Cevasa Bioethanol Plant Cargill Acquisition I</t>
  </si>
  <si>
    <t>AF6279</t>
  </si>
  <si>
    <t>Usinavi Ethanol and Power Plant Acquisition</t>
  </si>
  <si>
    <t>AF9019</t>
  </si>
  <si>
    <t>AF2807</t>
  </si>
  <si>
    <t>Brookfield Passo do Meio Small Hydro Plant Refinancing</t>
  </si>
  <si>
    <t>AF8501</t>
  </si>
  <si>
    <t>Bond</t>
  </si>
  <si>
    <t>Los Azufres Geothermal Plant II- CFE Refinancing</t>
  </si>
  <si>
    <t>AF8400</t>
  </si>
  <si>
    <t>Enel Mato Grosso Tocantins and Sao Paulo Small Hydro Portfolio Acquisition</t>
  </si>
  <si>
    <t>AF2952</t>
  </si>
  <si>
    <t>Pedra do Sal Wind Farm Econergy Acquisition</t>
  </si>
  <si>
    <t>AF5679</t>
  </si>
  <si>
    <t>AF5316</t>
  </si>
  <si>
    <t>AF5313</t>
  </si>
  <si>
    <t>AF5314</t>
  </si>
  <si>
    <t>AF4740</t>
  </si>
  <si>
    <t>Tabu Bioethanol and Power Plant Acquisition</t>
  </si>
  <si>
    <t>AF18913</t>
  </si>
  <si>
    <t>Beberibe Wind Farm Econergy Acquisition</t>
  </si>
  <si>
    <t>AF5646</t>
  </si>
  <si>
    <t>AF10232</t>
  </si>
  <si>
    <t>Sierra Juarez Wind Farm Sempra Acquisition</t>
  </si>
  <si>
    <t>AF4070</t>
  </si>
  <si>
    <t>AF4510</t>
  </si>
  <si>
    <t>Ibiralcool Bioethanol Plant Infinity Acquisition</t>
  </si>
  <si>
    <t>AF4503</t>
  </si>
  <si>
    <t>AF4508</t>
  </si>
  <si>
    <t>Infinity Bio-Energy Laranjai Ethanol Plant Acquisition</t>
  </si>
  <si>
    <t>AF4505</t>
  </si>
  <si>
    <t>ETH Conquista do Pontal Bioethanol and Power Plant Acquisition</t>
  </si>
  <si>
    <t>AF4287</t>
  </si>
  <si>
    <t>Interpacific Oil Lima Biodiesel Plant Acquisition</t>
  </si>
  <si>
    <t>AF4477</t>
  </si>
  <si>
    <t>AF4435</t>
  </si>
  <si>
    <t>Enhol Monte Redondo Wind Farm Acquisition</t>
  </si>
  <si>
    <t>AF7997</t>
  </si>
  <si>
    <t>BIC Puerto Triunfo Biodiesel Plant Acquisition</t>
  </si>
  <si>
    <t>AF4677</t>
  </si>
  <si>
    <t>Sao Sebastiao do Paraiso Ethanol Plant Acquisition</t>
  </si>
  <si>
    <t>AF4493</t>
  </si>
  <si>
    <t>AF2816</t>
  </si>
  <si>
    <t>AF4922</t>
  </si>
  <si>
    <t>AF6625</t>
  </si>
  <si>
    <t>AF4461</t>
  </si>
  <si>
    <t>Motuca Santa Luiza Bioethanol Plant Acquisition</t>
  </si>
  <si>
    <t>AF3783</t>
  </si>
  <si>
    <t>CFLCL Brazilian Mini and Small Hydro Portfolio Acquisition</t>
  </si>
  <si>
    <t>AF5924</t>
  </si>
  <si>
    <t>Inelec Small Hydro Project Portfolio Enel Acquisition</t>
  </si>
  <si>
    <t>AF10447</t>
  </si>
  <si>
    <t>AF5108</t>
  </si>
  <si>
    <t>AF4102</t>
  </si>
  <si>
    <t>Impsa Santa Catarina Wind Portfolio Acquisition</t>
  </si>
  <si>
    <t>AF5563</t>
  </si>
  <si>
    <t>AF6201</t>
  </si>
  <si>
    <t>AF6446</t>
  </si>
  <si>
    <t>Hidrotermica Jararaca Small Hydro Plant Refinancing</t>
  </si>
  <si>
    <t>AF8446</t>
  </si>
  <si>
    <t>Hidrotermica Da Ilha Small Hydro Plant Refinancing</t>
  </si>
  <si>
    <t>AF8445</t>
  </si>
  <si>
    <t>Engevix Santa Rosa II Small Hydro Plant Refinancing</t>
  </si>
  <si>
    <t>AF8433</t>
  </si>
  <si>
    <t>Rio Corrente Mambaí II Small Hydro Plant Refinancing</t>
  </si>
  <si>
    <t>AF8434</t>
  </si>
  <si>
    <t>AF5315</t>
  </si>
  <si>
    <t>Bionorte San Miguel do Araguaia Biodiesel Plant Acquisition</t>
  </si>
  <si>
    <t>AF6686</t>
  </si>
  <si>
    <t>Proyecto Eolico Guanacaste Wind Farm Econergy Acquisition</t>
  </si>
  <si>
    <t>AF5680</t>
  </si>
  <si>
    <t>ERSA Macacos Onshore Wind Farm Acquisition</t>
  </si>
  <si>
    <t>AF6264</t>
  </si>
  <si>
    <t>Rosa dos Ventos Wind Farms Refinancing</t>
  </si>
  <si>
    <t>AF6899</t>
  </si>
  <si>
    <t>Vale do Ivai Marialva Ethanol Plant Acquisition</t>
  </si>
  <si>
    <t>AF5497</t>
  </si>
  <si>
    <t>AF6437</t>
  </si>
  <si>
    <t>AF7449</t>
  </si>
  <si>
    <t>Pacific Coya and Pangal Small Hydro Plants Refinancing</t>
  </si>
  <si>
    <t>AF7385</t>
  </si>
  <si>
    <t>New Dam</t>
  </si>
  <si>
    <t>Alto Irani &amp; Plano Alto Small Hydro Plants Acquisition</t>
  </si>
  <si>
    <t>AF6542</t>
  </si>
  <si>
    <t>Omega Pipoca Small Hydro Plant Acquisition</t>
  </si>
  <si>
    <t>AF3183</t>
  </si>
  <si>
    <t>Incineration</t>
  </si>
  <si>
    <t>Rafard Biomass Project Expansion Refinancing</t>
  </si>
  <si>
    <t>AF5809</t>
  </si>
  <si>
    <t>AF5289</t>
  </si>
  <si>
    <t>TG Agroindustrial Ethanol Plant Acquisition</t>
  </si>
  <si>
    <t>AF5303</t>
  </si>
  <si>
    <t>Andrade Bioethanol and Power Plant Guarani Acquisition</t>
  </si>
  <si>
    <t>AF19798</t>
  </si>
  <si>
    <t>Rio Grande do Norte Wind Farm ERSA Acquisition</t>
  </si>
  <si>
    <t>AF6176</t>
  </si>
  <si>
    <t>Econergy Brazilian Wind &amp; Small Hydro Portfolio Acquisition</t>
  </si>
  <si>
    <t>AF7330</t>
  </si>
  <si>
    <t>Quebra Dedo Small Hydro Plant – Acquisition</t>
  </si>
  <si>
    <t>AF18059</t>
  </si>
  <si>
    <t>Ceara Wind Portfolio IMPSA Acquisition</t>
  </si>
  <si>
    <t>AF6717</t>
  </si>
  <si>
    <t>AF8429</t>
  </si>
  <si>
    <t>Tractebel Energia Small Hydro Portfolio Acquisition</t>
  </si>
  <si>
    <t>AF6063</t>
  </si>
  <si>
    <t>ETH Eldorado Bioethanol Plant Acquisition</t>
  </si>
  <si>
    <t>AF5188</t>
  </si>
  <si>
    <t>Boa Esperanca Santa Luzia D'Oeste Ethanol Plant Refinancing</t>
  </si>
  <si>
    <t>AF10217</t>
  </si>
  <si>
    <t>Oswaldo Ribeiro Colorado Ethanol and Power Plant Refinancing</t>
  </si>
  <si>
    <t>AF10184</t>
  </si>
  <si>
    <t>Sao Fernando Bioethanol and Power Plant Refinancing</t>
  </si>
  <si>
    <t>AF10182</t>
  </si>
  <si>
    <t>Sao Borja Biomass Plant Acquisition</t>
  </si>
  <si>
    <t>AF19406</t>
  </si>
  <si>
    <t>Cerradinho Porto das Águas Ethanol and Power Plant Refinancing</t>
  </si>
  <si>
    <t>AF11025</t>
  </si>
  <si>
    <t>AF9847</t>
  </si>
  <si>
    <t>Combined Heat &amp; Power (CHP)</t>
  </si>
  <si>
    <t>Energia Pacifico San Francisco de Mostazal Biomass Plant Refinancing</t>
  </si>
  <si>
    <t>AF9054</t>
  </si>
  <si>
    <t>Santa Adelia Interlagos Ethanol and Power Plant Refinancing</t>
  </si>
  <si>
    <t>AF10185</t>
  </si>
  <si>
    <t>Lican Small Hydro Plant Acquisition</t>
  </si>
  <si>
    <t>AF8804</t>
  </si>
  <si>
    <t>FIP Brasil Energia Rio do Braco Small Hydro Plant - Acquisition</t>
  </si>
  <si>
    <t>AF19408</t>
  </si>
  <si>
    <t>AF8105</t>
  </si>
  <si>
    <t>AF9278</t>
  </si>
  <si>
    <t>Caixa Alupar Small Hydro Portfolio Acquisition</t>
  </si>
  <si>
    <t>AF8612</t>
  </si>
  <si>
    <t>AF10181</t>
  </si>
  <si>
    <t>AF11024</t>
  </si>
  <si>
    <t>Grupo Light Paracambi Small Hydro Plant Refinancing</t>
  </si>
  <si>
    <t>AF8351</t>
  </si>
  <si>
    <t>AF8635</t>
  </si>
  <si>
    <t>Pedra do Sal Wind Farm Refinancing</t>
  </si>
  <si>
    <t>AF8448</t>
  </si>
  <si>
    <t>Amatitlan Geothermal CDM Project- Refinancing</t>
  </si>
  <si>
    <t>AF8480</t>
  </si>
  <si>
    <t>Leao Utinga Ethanol Plant Acquisition</t>
  </si>
  <si>
    <t>AF9315</t>
  </si>
  <si>
    <t>Marialva Biodiesel Plant Petrobras Acquisition</t>
  </si>
  <si>
    <t>AF9720</t>
  </si>
  <si>
    <t>Oaxaca I Wind Farm Refinancing</t>
  </si>
  <si>
    <t>AF8554</t>
  </si>
  <si>
    <t>AF9552</t>
  </si>
  <si>
    <t>Ceara Wind Portfolio Cemig Acquisition</t>
  </si>
  <si>
    <t>AF7611</t>
  </si>
  <si>
    <t>Ribeirao Preto Ethanol and Power Plant Acquisition</t>
  </si>
  <si>
    <t>AF8977</t>
  </si>
  <si>
    <t>AF10242</t>
  </si>
  <si>
    <t>Cosan Jatai Ethanol Plant Refinancing</t>
  </si>
  <si>
    <t>AF8710</t>
  </si>
  <si>
    <t>CNAA Minas Gerais &amp; Goias Bioethanol Portfolio Refinancing</t>
  </si>
  <si>
    <t>AF6450</t>
  </si>
  <si>
    <t>Chiligatoro Small Hydro Plant Acquistion</t>
  </si>
  <si>
    <t>AF12236</t>
  </si>
  <si>
    <t>Paraiso Brotas Bioethanol and Power Plant FIP Terra Viva Acquisition</t>
  </si>
  <si>
    <t>AF19402</t>
  </si>
  <si>
    <t>Dom Pedrito Biomass Plant Acquisition</t>
  </si>
  <si>
    <t>AF10664</t>
  </si>
  <si>
    <t>Ventos do Sul Palmares Wind Farm Refinancing</t>
  </si>
  <si>
    <t>AF12267</t>
  </si>
  <si>
    <t>Vertente Bioethanol and Power Plant CLEEL Acquisition</t>
  </si>
  <si>
    <t>AF10768</t>
  </si>
  <si>
    <t>AF14285</t>
  </si>
  <si>
    <t>AF14562</t>
  </si>
  <si>
    <t>AF10993</t>
  </si>
  <si>
    <t>Alpha Ethanol Plant Baldin Acquisition</t>
  </si>
  <si>
    <t>AF11595</t>
  </si>
  <si>
    <t>EDF La Ventosa Wind Farm Refinancing</t>
  </si>
  <si>
    <t>AF11284</t>
  </si>
  <si>
    <t>Goiatuba Bom Sucesso Bioethanol Plant Acquisition</t>
  </si>
  <si>
    <t>AF17817</t>
  </si>
  <si>
    <t>Cofercatu Ethanol Plant Acquisition</t>
  </si>
  <si>
    <t>AF11360</t>
  </si>
  <si>
    <t>AF13598</t>
  </si>
  <si>
    <t>CEA Amayo Wind Farm Phase I &amp; II Acquisition</t>
  </si>
  <si>
    <t>AF11926</t>
  </si>
  <si>
    <t>Mandu Bioethanol and Power Plant Acquisition</t>
  </si>
  <si>
    <t>AF12090</t>
  </si>
  <si>
    <t>AF5402</t>
  </si>
  <si>
    <t>EDP Energias do Brasil Small Hydro Portfolio Acquisition</t>
  </si>
  <si>
    <t>AF13912</t>
  </si>
  <si>
    <t>Acciona Eurus Wind Farm Refinancing</t>
  </si>
  <si>
    <t>AF12234</t>
  </si>
  <si>
    <t>AF10787</t>
  </si>
  <si>
    <t>AF14561</t>
  </si>
  <si>
    <t>Tabu Bioethanol and Power Plant Acquisition II</t>
  </si>
  <si>
    <t>AF18915</t>
  </si>
  <si>
    <t>AF19108</t>
  </si>
  <si>
    <t>Sao Fernando Bioethanol and Power Plant Agropecuaria JB Acquisition</t>
  </si>
  <si>
    <t>AF19433</t>
  </si>
  <si>
    <t>Copel Unai Baixo Small Hydro Plant - Refinancing</t>
  </si>
  <si>
    <t>AF20114</t>
  </si>
  <si>
    <t>Central Hidreletrica Salto das Flores Small Hydro Plant - Refinancing</t>
  </si>
  <si>
    <t>AF20116</t>
  </si>
  <si>
    <t>Electrica Rio Isla Chirre Small Hydro Plant Acquisition</t>
  </si>
  <si>
    <t>AF18387</t>
  </si>
  <si>
    <t>Santander Abengoa Wind Portfolio Acquisition</t>
  </si>
  <si>
    <t>AF19994</t>
  </si>
  <si>
    <t>Sayab Wind Farm Acquisition</t>
  </si>
  <si>
    <t>AF15142</t>
  </si>
  <si>
    <t>Sierra Juarez Wind Farm BP Acquisition</t>
  </si>
  <si>
    <t>AF16784</t>
  </si>
  <si>
    <t>Copel Galvao Energia Sao Bento do Norte Wind Portfolio Acquisition</t>
  </si>
  <si>
    <t>AF17383</t>
  </si>
  <si>
    <t>Guaricanga Ethanol Plant Acquisition</t>
  </si>
  <si>
    <t>AF15483</t>
  </si>
  <si>
    <t>AF16320</t>
  </si>
  <si>
    <t>AF19876</t>
  </si>
  <si>
    <t>AF17361</t>
  </si>
  <si>
    <t>Engevix Moinho Small Hydro Plant - Refinancing</t>
  </si>
  <si>
    <t>AF20110</t>
  </si>
  <si>
    <t>AF16972</t>
  </si>
  <si>
    <t>Eoliatec Isthmus of Tehuantepec Wind Portfolio Acquisition</t>
  </si>
  <si>
    <t>AF16913</t>
  </si>
  <si>
    <t>AF16525</t>
  </si>
  <si>
    <t>Consorcio Juruena Small Hydro Portfolio Refinancing</t>
  </si>
  <si>
    <t>AF17860</t>
  </si>
  <si>
    <t>CPFL Renovaveis Santa Luzia Small Hydro Plant Acquisition</t>
  </si>
  <si>
    <t>AF18103</t>
  </si>
  <si>
    <t>AF18430</t>
  </si>
  <si>
    <t>Brookfield Sacre 2 Small Hydro Plant Acquisition</t>
  </si>
  <si>
    <t>AF16831</t>
  </si>
  <si>
    <t>Elebras Tramandai Cidreira I Wind Farm Refinancing</t>
  </si>
  <si>
    <t>AF17878</t>
  </si>
  <si>
    <t>Desenvix Adami Passos Maia Small Hydro Plant - Refinancing</t>
  </si>
  <si>
    <t>AF20108</t>
  </si>
  <si>
    <t>GDF Suez Laja Small Hydro Plant Refinancing</t>
  </si>
  <si>
    <t>AF17351</t>
  </si>
  <si>
    <t>Mareña Wind Farm FEMSA and Macquarie Acquisition</t>
  </si>
  <si>
    <t>AF16172</t>
  </si>
  <si>
    <t>Hidroelectrica Rio Las Vacas Las Vacas Small Hydro Plant Acquisition</t>
  </si>
  <si>
    <t>AF19420</t>
  </si>
  <si>
    <t>Hidrotermica Rio Grande do Sul Small Hydro Portfolio - Refinancing</t>
  </si>
  <si>
    <t>AF20112</t>
  </si>
  <si>
    <t>Limeira do Oeste Ethanol Plant Acquisition</t>
  </si>
  <si>
    <t>AF13736</t>
  </si>
  <si>
    <t>Enerfin Elecnor 2009 Wind Auction Wind Portfolio Refinancing</t>
  </si>
  <si>
    <t>AF17059</t>
  </si>
  <si>
    <t>AF18485</t>
  </si>
  <si>
    <t>VC Early Stage</t>
  </si>
  <si>
    <t>VC - Series A / First round</t>
  </si>
  <si>
    <t>New Financial Investment</t>
  </si>
  <si>
    <t>PE Expansion Capital</t>
  </si>
  <si>
    <t>PE - Expansion capital</t>
  </si>
  <si>
    <t>Bioenergy Geradora de Energia Ltda</t>
  </si>
  <si>
    <t>VCPE4602</t>
  </si>
  <si>
    <t>Energias Renovaveis do Brasil Ltda</t>
  </si>
  <si>
    <t>VCPE3756</t>
  </si>
  <si>
    <t>VCPE3706</t>
  </si>
  <si>
    <t>Energimp SA</t>
  </si>
  <si>
    <t>VCPE3406</t>
  </si>
  <si>
    <t>Hydro Chile SA</t>
  </si>
  <si>
    <t>VCPE3270</t>
  </si>
  <si>
    <t>VCPE3238</t>
  </si>
  <si>
    <t>ERSA-Empresa de Investimento em Energias Renovaveis SA</t>
  </si>
  <si>
    <t>VCPE3067</t>
  </si>
  <si>
    <t>Hydroventura Chile SpA</t>
  </si>
  <si>
    <t>VCPE3020</t>
  </si>
  <si>
    <t>VCPE2858</t>
  </si>
  <si>
    <t>VCPE2857</t>
  </si>
  <si>
    <t>VC - Series B / Second round</t>
  </si>
  <si>
    <t>Vital Renewable Energy Co</t>
  </si>
  <si>
    <t>VCPE2566</t>
  </si>
  <si>
    <t>GLEP Energias Renovaveis e Part SA</t>
  </si>
  <si>
    <t>VCPE2543</t>
  </si>
  <si>
    <t>VC Late Stage</t>
  </si>
  <si>
    <t>VC - Bridge/Interim</t>
  </si>
  <si>
    <t>Braskem SA</t>
  </si>
  <si>
    <t>VCPE2493</t>
  </si>
  <si>
    <t>Acid hydrolysis</t>
  </si>
  <si>
    <t>Oxiteno SA Industria e Comercio</t>
  </si>
  <si>
    <t>VCPE2492</t>
  </si>
  <si>
    <t>Power Generator</t>
  </si>
  <si>
    <t>VCPE2340</t>
  </si>
  <si>
    <t>Comanche Clean Energy Corp</t>
  </si>
  <si>
    <t>VCPE2337</t>
  </si>
  <si>
    <t>VCPE2029</t>
  </si>
  <si>
    <t>VCPE1908</t>
  </si>
  <si>
    <t>VCPE1846</t>
  </si>
  <si>
    <t>VCPE1436</t>
  </si>
  <si>
    <t>VCPE1421</t>
  </si>
  <si>
    <t>VC - Seed / angel</t>
  </si>
  <si>
    <t>Renova Energia SA</t>
  </si>
  <si>
    <t>Convertible &amp; Other</t>
  </si>
  <si>
    <t>Exercise of Rights</t>
  </si>
  <si>
    <t>Cosan SA Industria e Comercio</t>
  </si>
  <si>
    <t>Secondary &amp; PIPE</t>
  </si>
  <si>
    <t>Private Investment in Public Equity (PIPE)</t>
  </si>
  <si>
    <t>New build</t>
  </si>
  <si>
    <t>Heat</t>
  </si>
  <si>
    <t>Industrias del Espino Palmawasi Methane Utilisation Project</t>
  </si>
  <si>
    <t>Azucarera Chumbagua San Marcos Biomass Plant</t>
  </si>
  <si>
    <t>LaGeo Berlin Geothermal CDM Plant- Phase III</t>
  </si>
  <si>
    <t>Hidrozamora Chorrillos Small Hydro Plant</t>
  </si>
  <si>
    <t>Oleaginosas Biomass and Waste CDM project</t>
  </si>
  <si>
    <t>Celulosa Arauco y Constitucion Nueva Aldea Biomass Plant</t>
  </si>
  <si>
    <t>Rialma Santa Edwiges III Small Hydro Plant</t>
  </si>
  <si>
    <t>Cascata Chupinguaia Small Hydro Plant</t>
  </si>
  <si>
    <t>Apertadinho Small Hydro Plant</t>
  </si>
  <si>
    <t>Martinuv and Espigao Small Hydro Plants</t>
  </si>
  <si>
    <t>Energest UHE Mascarenhas Small Hydro Plant</t>
  </si>
  <si>
    <t>Guarapuava Econergia Biomass Plant</t>
  </si>
  <si>
    <t>INPA Pirapetinga City Biomass Heat Plant</t>
  </si>
  <si>
    <t>Sao Judas Tadeu Biomass Heat Plant</t>
  </si>
  <si>
    <t>Lanxess Porto Feliz Biomass Heat Project</t>
  </si>
  <si>
    <t>AMBEV Aguas Claras do Sul Biomass Heat Plant</t>
  </si>
  <si>
    <t>CAAL Alegrete Biomass Plant</t>
  </si>
  <si>
    <t>Urbano Sinop Biomass Plant</t>
  </si>
  <si>
    <t>GEEA Alegrete Biomass Plant</t>
  </si>
  <si>
    <t>Alto Benedito Novo I Small Hydro Plant</t>
  </si>
  <si>
    <t>ENARSA Vientos de la Patagonia I</t>
  </si>
  <si>
    <t>Electrogeneradora del Istmo Caldera Small Hydro</t>
  </si>
  <si>
    <t>Coopeguanacaste Canalete Small Hydro Plant</t>
  </si>
  <si>
    <t>Nova Vitoria Lagoa Grande Small Hydro Plant</t>
  </si>
  <si>
    <t>Lidedat Paysandu Biomass Plant</t>
  </si>
  <si>
    <t>Hidro-Panama Anton III Small Hydro Plant</t>
  </si>
  <si>
    <t>Eletrisa Passo Ferraz Small Hydro Plant</t>
  </si>
  <si>
    <t>Enhol Monte Redondo Wind Farm Phase II</t>
  </si>
  <si>
    <t>Pacific Hydro Atlantica Wind Farm</t>
  </si>
  <si>
    <t>Pacific Hydro Caravela Wind Farm</t>
  </si>
  <si>
    <t>Pacific Hydro Coelhos I Wind Farm</t>
  </si>
  <si>
    <t>Pacific Hydro Coelhos III Wind Farm</t>
  </si>
  <si>
    <t>Pacific Hydro Coelhos IV Wind Farm</t>
  </si>
  <si>
    <t>Pacific Hydro Mataraca Wind Farm</t>
  </si>
  <si>
    <t>Pacific Hydro Coelhos II Wind Farm</t>
  </si>
  <si>
    <t>Pacific Hydro Camurim Wind Farm</t>
  </si>
  <si>
    <t>Pacific Hydro Presidente Wind Farm</t>
  </si>
  <si>
    <t>Sao Tadeu I Small Hydro Plant</t>
  </si>
  <si>
    <t>Rede Areia Small Hydro Plant</t>
  </si>
  <si>
    <t>Rede Agua Limpa Small Hydro Plant</t>
  </si>
  <si>
    <t>La Calera Farm Biodigesters Project</t>
  </si>
  <si>
    <t>Siol Goias Alimentos Rio Verde Fuel Switch</t>
  </si>
  <si>
    <t>Cachoeirao Manhuacu Small Hydro Plant</t>
  </si>
  <si>
    <t>Papel Prensa San Pedro Biomass Plant</t>
  </si>
  <si>
    <t>Promotora Ambiental de la Laguna Ahome Landfill Gas Plant</t>
  </si>
  <si>
    <t>Promotora Ambiental Garcia Landfill Gas Plant</t>
  </si>
  <si>
    <t>ERT Fenirol Tacuarembo Biomass Plant</t>
  </si>
  <si>
    <t>Queretaro Landfill Gas Plant</t>
  </si>
  <si>
    <t>MPC Capital Sao Borja Biomass Plant</t>
  </si>
  <si>
    <t>Eletricidade Paraense Salto Tres de Maio Small Hydro Plant</t>
  </si>
  <si>
    <t>Havan Rio Fortuna Small Hydro Plant</t>
  </si>
  <si>
    <t>Havan Sao Mauricio Small Hydro Plant</t>
  </si>
  <si>
    <t>Hidroelectrica Bajos del Totuma Small Hydro Plant</t>
  </si>
  <si>
    <t>Biolins Energia Lins Biomass Plant</t>
  </si>
  <si>
    <t>Cotesa Nova Trento Hydro Plant</t>
  </si>
  <si>
    <t>Cotesa Aguti Small Hydro Plant</t>
  </si>
  <si>
    <t>Service Energy Santa Ana Small Hydro Plant</t>
  </si>
  <si>
    <t>Service Energy Coqueiral Small Hydro Plant</t>
  </si>
  <si>
    <t>Service Energy Barra Clara Small Hydro Plant</t>
  </si>
  <si>
    <t>Vale do Verdao Floresta Ethanol Plant</t>
  </si>
  <si>
    <t>Brasil Bioenergetica Gurupi Ethanol Plant</t>
  </si>
  <si>
    <t>Cereale Dois Corregos Ethanol Plant</t>
  </si>
  <si>
    <t>Furlan Avare Ethanol Plant</t>
  </si>
  <si>
    <t>Senhora da Gloria Bioethanol Plant</t>
  </si>
  <si>
    <t>Brennand Pampeana Small Hydro Plant</t>
  </si>
  <si>
    <t>Grupo Empresarial Abarmar Relleno Norte Biogas Plant</t>
  </si>
  <si>
    <t>Arauco Vinales Biomass Plant</t>
  </si>
  <si>
    <t>Cargill Primavera do Leste Biomass Plant</t>
  </si>
  <si>
    <t>Engebanc Cacu Ethanol Plant</t>
  </si>
  <si>
    <t>Energetica Serranopolis Ethanol Plant</t>
  </si>
  <si>
    <t>Langui Small Hydro Plant</t>
  </si>
  <si>
    <t>CrisToro Lebu Wind Farm</t>
  </si>
  <si>
    <t>Lwarcel Lencois Paulista Biomass Plant</t>
  </si>
  <si>
    <t>Rio Vermelho Small Hydro Plant</t>
  </si>
  <si>
    <t>Klabin Correia Pinto Biomass Plant</t>
  </si>
  <si>
    <t>Hidralia Energia La Dalia Small Hydro Plant</t>
  </si>
  <si>
    <t>Baba Multipurpose Small Hydro Plant</t>
  </si>
  <si>
    <t>EPSA Alto Tulua Small Hydro Plant</t>
  </si>
  <si>
    <t>IMCOPA Cambe Biomass Heat Plant</t>
  </si>
  <si>
    <t>Imcopa Biomass Heat Plant</t>
  </si>
  <si>
    <t>EPC Degan Biomass Power Plant</t>
  </si>
  <si>
    <t>Berneck Araucaria Biomass Plant</t>
  </si>
  <si>
    <t>Destilaria Rio Grande Fronteira Ethanol Plant</t>
  </si>
  <si>
    <t>Nova Vitoria Boa Sorte Small Hydro Plant</t>
  </si>
  <si>
    <t>Aralco Figueira Bioethanol and Power Plant</t>
  </si>
  <si>
    <t>Galofer Villa Sara Biomass Plant</t>
  </si>
  <si>
    <t>Bioener Rivera Biomass Plant Expansion</t>
  </si>
  <si>
    <t>Bioener Rivera Biomass Plant</t>
  </si>
  <si>
    <t>Jaremar Group Villanueva Heat Biomass Plant</t>
  </si>
  <si>
    <t>ISAGEN Calderas Small Hydro Plant</t>
  </si>
  <si>
    <t>Marubeni Cornelio Procopio Biomass Heat Plant</t>
  </si>
  <si>
    <t>Agrenco Alto Araguaia &amp; Caarapo Biomass Plant</t>
  </si>
  <si>
    <t>Molinos Juan Semino Carcarana CDM Biogas Project</t>
  </si>
  <si>
    <t>CEM Morrinhos Camen Bioethanol Plant</t>
  </si>
  <si>
    <t>Grupo Farias Itapuranga Ethanol Plant</t>
  </si>
  <si>
    <t>Arauco Nueva Aldeia III Biomass Plant</t>
  </si>
  <si>
    <t>Maggi Energia Segredo Small Hydro Plant</t>
  </si>
  <si>
    <t>JB Pirapama Sugar and Biomass Plant</t>
  </si>
  <si>
    <t>Riacho Preto Small Hydro Plant</t>
  </si>
  <si>
    <t>Bunge Guariroba Ethanol Plant</t>
  </si>
  <si>
    <t>Maggi Energia Sucupira Small Hydro Plant</t>
  </si>
  <si>
    <t>Maggi Energia Pequi Small Hydro Plant</t>
  </si>
  <si>
    <t>Ruette Monterey Ethanol Plant</t>
  </si>
  <si>
    <t>Serra do Caiapo Ethanol Plant</t>
  </si>
  <si>
    <t>Central Energetica Vicentina Ethanol and Power Plant</t>
  </si>
  <si>
    <t>Energetica Sao Simao Ethanol Plant</t>
  </si>
  <si>
    <t>Usina Canada Bioethanol Plant</t>
  </si>
  <si>
    <t>Enel Sao Domingos Small Hydro Plant</t>
  </si>
  <si>
    <t>Exportadora del Atlantico Aguan Biogas and Biomass Project</t>
  </si>
  <si>
    <t>Lean Exportadora del Atlantico Biogas Plant</t>
  </si>
  <si>
    <t>AES Tiete Sao Joaquim and Sao Jose Small Hydro Portfolio</t>
  </si>
  <si>
    <t>Yara Rio Grande Biomass Heat Plant</t>
  </si>
  <si>
    <t>Pindo Puerto Esperanza Biomass Plant</t>
  </si>
  <si>
    <t>Mexican CFE Los Humeros II Geothermal Project Unit 9</t>
  </si>
  <si>
    <t>Cortecito &amp; San Carlos Small Hydro Portfolio</t>
  </si>
  <si>
    <t>Enernova Rio Bonito Small Hydro Plant</t>
  </si>
  <si>
    <t>Enernova Vicosa Small Hydro Plant</t>
  </si>
  <si>
    <t>Enernova Fruteiras Small Hydro Plant</t>
  </si>
  <si>
    <t>Enernova Jucu Small Hydro Plant</t>
  </si>
  <si>
    <t>Enernova Costa Rica Small Hydro Plant</t>
  </si>
  <si>
    <t>Produtos Alimenticios Orlandia Biodiesel Plant</t>
  </si>
  <si>
    <t>Olfar Erechim Biodiesel Plant</t>
  </si>
  <si>
    <t>Grupal Sorriso Biodiesel Plant</t>
  </si>
  <si>
    <t>Biosep Tres Pontas Biodiesel Plant</t>
  </si>
  <si>
    <t>Biobrax Una Biodiesel Plant</t>
  </si>
  <si>
    <t>SP BIO Sumare Biodiesel Plant</t>
  </si>
  <si>
    <t>PHOENIX Bioethanol Plant</t>
  </si>
  <si>
    <t>ALCOTEC Bioethanol Plant</t>
  </si>
  <si>
    <t>Alcoholes MAG</t>
  </si>
  <si>
    <t>DARSA Bioethanol Plant</t>
  </si>
  <si>
    <t>Anaerobic digestion</t>
  </si>
  <si>
    <t>Geo Eletrica Tamboara Biogas Plant</t>
  </si>
  <si>
    <t>ADM Rondonopolis Biodiesel Plant Expansion II</t>
  </si>
  <si>
    <t>Guarani Sao Paulo Biothanol Portfolio Expansion II</t>
  </si>
  <si>
    <t>Capullo Pulelfu Small Hydro Plant</t>
  </si>
  <si>
    <t>Comasa Lautaro Biomass Plant</t>
  </si>
  <si>
    <t>Dehydration</t>
  </si>
  <si>
    <t>JB Jamaica Bioethanol Dehydration Plant</t>
  </si>
  <si>
    <t>ALPASA Copetrol Paraguari Bioethanol Plant</t>
  </si>
  <si>
    <t>INPASA Nueva Esperanza Bioethanol Plant Expansion</t>
  </si>
  <si>
    <t>Nicaragua Sugar San Antonio Bioethanol Plant</t>
  </si>
  <si>
    <t>Destilmex Navolato Bioethanol Plant</t>
  </si>
  <si>
    <t>Coto 54 Golfito Biodiesel Plant</t>
  </si>
  <si>
    <t>Istmus Concepcion Small Hydro Plant</t>
  </si>
  <si>
    <t>Contour Global Asa Branca Wind Portfolio</t>
  </si>
  <si>
    <t>Ingenio La Cabana El Paisnal Bioethanol Plant</t>
  </si>
  <si>
    <t>Ventos Potiguares Uniao dos Ventos Wind Portfolio</t>
  </si>
  <si>
    <t>Grupo Cuerva San Lorenzo Small Hydro Plant</t>
  </si>
  <si>
    <t>Coopesantos Los Santos Wind Farm</t>
  </si>
  <si>
    <t>Conelectricas San Isidro de Peñas Blancas Small Hydro Portfolio</t>
  </si>
  <si>
    <t>Pardos Small Hydro Plant</t>
  </si>
  <si>
    <t>Fibra Geracao Helena Kuhlemann Small Hydro Plant</t>
  </si>
  <si>
    <t>Mega Energia Jamari Small Hydro Plant</t>
  </si>
  <si>
    <t>Mega Energia Santa Cruz de Monte Negro Small Hydro Plant</t>
  </si>
  <si>
    <t>Acciona Chiripa Wind Farm</t>
  </si>
  <si>
    <t>Maracana Energetica Nova Marilandia Small Hydro Plant</t>
  </si>
  <si>
    <t>Destilaria Pau d'Alho Ibirarema Power Plant</t>
  </si>
  <si>
    <t>Gestamp Cabeco Preto IV Wind Farm</t>
  </si>
  <si>
    <t>Enersa Catrilo Biodiesel Plant</t>
  </si>
  <si>
    <t>Guarani Cruz Alta Power Plant Expansion II</t>
  </si>
  <si>
    <t>Rondinha Invernadinha Small Hydro Plant</t>
  </si>
  <si>
    <t>Ceriluz RS-155 Small Hydro Plant</t>
  </si>
  <si>
    <t>Electra Power Rio dos Indios Small Hydro Plant</t>
  </si>
  <si>
    <t>Renova Energia Bahia Wind Portfolio II BNDES</t>
  </si>
  <si>
    <t>Itaguacu Small Hydro Plant</t>
  </si>
  <si>
    <t>EIRL and MIMSA Shima Small Hydro Plant</t>
  </si>
  <si>
    <t>Electrica Santa Rosa Purmacana Small Hydro Plant</t>
  </si>
  <si>
    <t>Landfill gas power</t>
  </si>
  <si>
    <t>Petramas Huaycoloro Landfill Gas Plant</t>
  </si>
  <si>
    <t>Maja Energia Roncador Small Hydro Plant</t>
  </si>
  <si>
    <t>Vestas Talinay Wind Farm Phase I</t>
  </si>
  <si>
    <t>Usina Canabrava Bioethanol and Power Plant</t>
  </si>
  <si>
    <t>Copel Cavernoso II Small Hydro Plant</t>
  </si>
  <si>
    <t>Contour Global Galheiros Small Hydro Plant</t>
  </si>
  <si>
    <t>Empa Indaiazinho Grande Small Hydro Plant</t>
  </si>
  <si>
    <t>PCH Pontal do Prata Small Hydro Plant</t>
  </si>
  <si>
    <t>Queiroz Galvao Mucuri Small Hydro Plant</t>
  </si>
  <si>
    <t>Maggi Energia Ilha Comprida Small Hydro Plant</t>
  </si>
  <si>
    <t>Bioenergy Aratua and Miassaba Wind Farms Portfolio</t>
  </si>
  <si>
    <t>Guacu Aripuana Biomass Plant</t>
  </si>
  <si>
    <t>ACSA Quilmes Biodiesel Plant</t>
  </si>
  <si>
    <t>Grupo Piasa Tres Valles Biomass Plant</t>
  </si>
  <si>
    <t>Enerfin Elecnor 2011 BNDES Wind Portfolio</t>
  </si>
  <si>
    <t>Bioenergy Puerto Lopez Bioethanol and Power Plant</t>
  </si>
  <si>
    <t>Grupo Light Paracambi Small Hydro Plant</t>
  </si>
  <si>
    <t>Brookfield Cachoeira Escura Small Hydro Plant</t>
  </si>
  <si>
    <t>IMPSA El Jume Wind Farm</t>
  </si>
  <si>
    <t>Brasventos Rio Grande do Norte Wind Portfolio</t>
  </si>
  <si>
    <t>Aripar Cereales Daireaux Biodiesel Plant</t>
  </si>
  <si>
    <t>Maikop Cutral Co Biodiesel Plant</t>
  </si>
  <si>
    <t>RBA Ambiental Ecopor Biodiesel Plant</t>
  </si>
  <si>
    <t>New Fuel Villaguay Biodiesel Plant</t>
  </si>
  <si>
    <t>LDC Argentina General Lagos Biodiesel Plant</t>
  </si>
  <si>
    <t>Biomadero Vila Madero Biodiesel Plant Expansion</t>
  </si>
  <si>
    <t>Vicentin Avellaneda Biodiesel Plant Expansion</t>
  </si>
  <si>
    <t>Renova San Lorenzo Biodiesel Plant Expansion</t>
  </si>
  <si>
    <t>Diaser San Luis Biodiesel Plant Expansion</t>
  </si>
  <si>
    <t>Diaser San Luis Biodiesel Plant</t>
  </si>
  <si>
    <t>Vicentin Avellaneda Biodiesel Plant</t>
  </si>
  <si>
    <t>AOM Pilar Biodiesel Plant Expansion</t>
  </si>
  <si>
    <t>EDP Renovaveis Brasil Tramandai Cidreira I Wind Farm</t>
  </si>
  <si>
    <t>Umoe Bioenergy Paranapanema II Sandovalina Power Plant</t>
  </si>
  <si>
    <t>J Malucelli Queixada Small Hydro Plant</t>
  </si>
  <si>
    <t>PV – Thin film silicon</t>
  </si>
  <si>
    <t>T-Solar Reparticion &amp; Majes PV Portfolio</t>
  </si>
  <si>
    <t>ADM Rondonopolis Biodiesel Plant Expansion</t>
  </si>
  <si>
    <t>DESA Morro dos Ventos Wind Portfolio</t>
  </si>
  <si>
    <t>Petrobras Mangue Seco Wind Portfolio</t>
  </si>
  <si>
    <t>Kentilux Magdalena Wind Farm</t>
  </si>
  <si>
    <t>Guarani Bioethanol and Power Plant Portfolio Expansion</t>
  </si>
  <si>
    <t>Risaralda Power Plant Expansion</t>
  </si>
  <si>
    <t>Potencial Petroleo Lapa Biodiesel Plant</t>
  </si>
  <si>
    <t>Enel Chucas Small Hydro Plant</t>
  </si>
  <si>
    <t>Fersa Toabre Wind Farm</t>
  </si>
  <si>
    <t>Minerva Palmeiras Biodiesel Plant</t>
  </si>
  <si>
    <t>Fuga Couros Camargo Biodiesel Plant</t>
  </si>
  <si>
    <t>Brookfield Serra dos Cavalinhos II Small Hydro Plant</t>
  </si>
  <si>
    <t>Brookfield Pezzi Small Hydro Plant</t>
  </si>
  <si>
    <t>Bianchini Canoas Biodiesel Plant</t>
  </si>
  <si>
    <t>JPS Maggotty Small Hydro Plant Expansion</t>
  </si>
  <si>
    <t>Fuerza Eolica del Istmo Espinal Wind Farm</t>
  </si>
  <si>
    <t>Galvao Energia Sao Bento do Norte Wind Portfolio</t>
  </si>
  <si>
    <t>Cargill Uberlandia Biomass Plant</t>
  </si>
  <si>
    <t>La Vegona Small Hydro Plant</t>
  </si>
  <si>
    <t>ETH Bioenergia Bioethanol and Power Portfolio Expansion</t>
  </si>
  <si>
    <t>Vale do Paracatu Agroenergia Ethanol and Power Plant</t>
  </si>
  <si>
    <t>Cargill Cevasa Power Plant Expansion</t>
  </si>
  <si>
    <t>Hidreletrica Aguas Claras Esperanca Small Hydro Plant</t>
  </si>
  <si>
    <t>Rhodia Paraiso Brotas Power Plant Expansion</t>
  </si>
  <si>
    <t>DESA Eurus Wind Portfolio</t>
  </si>
  <si>
    <t>Bioenergy Aratua III Wind Farm</t>
  </si>
  <si>
    <t>Renova Energia 3rd Reserve Auction Wind Portfolio</t>
  </si>
  <si>
    <t>Empa Indaiá Grande Small Hydro Plant</t>
  </si>
  <si>
    <t>PCH Santo Antonio do Caiapo Small Hydro Plant</t>
  </si>
  <si>
    <t>Copel Unai Baixo Small Hydro Plant</t>
  </si>
  <si>
    <t>Ventos Brasil Dunas do Paracuru Wind Farm</t>
  </si>
  <si>
    <t>CEA Amayo Wind Farm Phase II</t>
  </si>
  <si>
    <t>Leaf Clean Escalona Small Hydro Plant</t>
  </si>
  <si>
    <t>SEMSA Mezapa Small Hydro Plant</t>
  </si>
  <si>
    <t>Cargill Tres Lagoas Biodiesel Plant</t>
  </si>
  <si>
    <t>Energia Coyanco Guayacan Small Hydro Plant</t>
  </si>
  <si>
    <t>Construtora Pacifico Quillagua Wind Farm</t>
  </si>
  <si>
    <t>Foz do Brasil Ilha da Luz Small Hydro Plant</t>
  </si>
  <si>
    <t>Eletrisa Tambau Small Hydro Plant</t>
  </si>
  <si>
    <t>Grupo Bertin Da Fazenda Small Hydro Plant</t>
  </si>
  <si>
    <t>BME Engenheiro Henrique Kotzian Small Hydro Plant</t>
  </si>
  <si>
    <t>Eletrosul Sao Domingos Small Hydro Plant</t>
  </si>
  <si>
    <t>Germat Mestre Small Hydro Plant</t>
  </si>
  <si>
    <t>Maggi Energia Divisa Small Hydro Plant</t>
  </si>
  <si>
    <t>SA Paulista Sete Quedas Alta Small Hydro Plant</t>
  </si>
  <si>
    <t>Geracoop Santa Rosa Small Hydro Plant</t>
  </si>
  <si>
    <t>CESL Feixos Small Hydro Plant</t>
  </si>
  <si>
    <t>Unitec Bio San Martin Biodiesel Plant II</t>
  </si>
  <si>
    <t>Benlesa Monterrey II Landfill Gas Plant</t>
  </si>
  <si>
    <t>Oaxaca I Wind Farm</t>
  </si>
  <si>
    <t>Belize Sugar Industries Tower Hill Biomass Plant</t>
  </si>
  <si>
    <t>Certel Rastro de Auto Small Hydro Plant</t>
  </si>
  <si>
    <t>Cargill Villa Gobernador Galvez Biodiesel Plant</t>
  </si>
  <si>
    <t>Co-firing</t>
  </si>
  <si>
    <t>Cardus Vitoria Wind Farm</t>
  </si>
  <si>
    <t>Unial Amelia Rodrigues Ethanol Plant Expansion</t>
  </si>
  <si>
    <t>Enarsa Villa Maria Biomass Plant</t>
  </si>
  <si>
    <t>Eletrosul Joao Borges Small Hydro Plant</t>
  </si>
  <si>
    <t>Eletrogoes Pimenta Bueno Biomass Plant</t>
  </si>
  <si>
    <t>Alconoa Tabacal Oran Biothanol and Power Plant Expansion II</t>
  </si>
  <si>
    <t>BioPetro Araraquara Biodiesel Plant</t>
  </si>
  <si>
    <t>Gran Valle Porto Real Biodiesel Plant</t>
  </si>
  <si>
    <t>HMV El Popal Small Hydro Plant</t>
  </si>
  <si>
    <t>Solvi Termoverde Salvador Landfill Gas Plant</t>
  </si>
  <si>
    <t>Alto Alegre Santo Inacio Ethanol and Power Plant</t>
  </si>
  <si>
    <t>EMAE Pirapora Small Hydro Plant</t>
  </si>
  <si>
    <t>TG Agroindustrial Ethanol Plant Expansion</t>
  </si>
  <si>
    <t>IMPSA Ceara Wind Auction 2009 Portfolio</t>
  </si>
  <si>
    <t>ETH Costa Rica Bioethanol and Power Plant</t>
  </si>
  <si>
    <t>Desenvix Adami Passos Maia Small Hydro Plant</t>
  </si>
  <si>
    <t>Tonon Vista Alegre Maracaju Bioethanol and Power Plant Expansion</t>
  </si>
  <si>
    <t>Tarucani Small Hydro Plant</t>
  </si>
  <si>
    <t>Comsa San Juan I PV Pilot Plant</t>
  </si>
  <si>
    <t>Duke Energy Cana Brava Small Hydro Plant</t>
  </si>
  <si>
    <t>Duke Carhuaquero IV Small Hydro Plant</t>
  </si>
  <si>
    <t>GEPSA La Joya Small Hydro Plant</t>
  </si>
  <si>
    <t>Santa Cruz II Small Hydro Plant</t>
  </si>
  <si>
    <t>Santa Cruz I Small Hydro Plant</t>
  </si>
  <si>
    <t>AIPSA Paramonga Biomass Plant</t>
  </si>
  <si>
    <t>PdVSA Paraguana Peninsula Wind Farm</t>
  </si>
  <si>
    <t>Rio Bonito Energia Small Hydro Plant</t>
  </si>
  <si>
    <t>Centrais Candeeiro Camboata Small Hydro Plant</t>
  </si>
  <si>
    <t>Agro Pastoril Novo Horizonte Small Hydro Plant</t>
  </si>
  <si>
    <t>Alconoa Tabacal Oran Biothanol and Power Plant Expansion I</t>
  </si>
  <si>
    <t>Vertente Bioethanol and Power Plant Expansion</t>
  </si>
  <si>
    <t>Oil Fox San Luis Biodiesel Plant</t>
  </si>
  <si>
    <t>Corol Cooperativa Agoroindustrial Ethanol Plant Expansion</t>
  </si>
  <si>
    <t>HMV Ingenieros Barroso Small Hydro Plant</t>
  </si>
  <si>
    <t>State Government of Argentina Necochea EOS Wind Farm Phase I</t>
  </si>
  <si>
    <t>Boa Esperanca Santa Luzia D'Oeste Ethanol Plant</t>
  </si>
  <si>
    <t>Biogas Technology Tecamac Landfill Gas Plant</t>
  </si>
  <si>
    <t>Biogas Technology Durango EcoMethane Landfill Gas Plant</t>
  </si>
  <si>
    <t>Elebrás Projetos Tramandai Cidreira I Wind Farm</t>
  </si>
  <si>
    <t>Luzboa BDMG Small Hydro Portfolio</t>
  </si>
  <si>
    <t>Ecoenergia Ceara Mirim Ethanol and Power Plant Power Plant Expansion I</t>
  </si>
  <si>
    <t>Dom Pedrito Biomass Plant</t>
  </si>
  <si>
    <t>Delta Energia Rio Brilhante Biodiesel Plant</t>
  </si>
  <si>
    <t>Biogas Technology Tultitlan Landfill Gas Plant</t>
  </si>
  <si>
    <t>Biogas Technology Ecatepec Landfill Gas Plant</t>
  </si>
  <si>
    <t>Energen Barra dos Coqueiros Wind Farm</t>
  </si>
  <si>
    <t>CMPC Celulosa Santa Fe Biomass Plant</t>
  </si>
  <si>
    <t>Iaco Chapadao do Sul Ethanol Plant Refinancing</t>
  </si>
  <si>
    <t>Ipiranga Iacanga Ethanol Plant</t>
  </si>
  <si>
    <t>Brennand Ibirama Small Hydro Plant</t>
  </si>
  <si>
    <t>Omega Pipoca Small Hydro Plant</t>
  </si>
  <si>
    <t>Brascan Angelina Small Hydro Plant</t>
  </si>
  <si>
    <t>ETH Alcidia Bioethanol and Power Plant Expansion</t>
  </si>
  <si>
    <t>Hidromaule Mariposas Small Hydro Plant</t>
  </si>
  <si>
    <t>APGE Sao Paulo Repowering Small Hydro Portfolio</t>
  </si>
  <si>
    <t>EGE Haina Juancho Wind Portfolio</t>
  </si>
  <si>
    <t>Seawind El Toqui Wind Farm</t>
  </si>
  <si>
    <t>Ingenio Providencia Bioethanol and Power Plant</t>
  </si>
  <si>
    <t>CPFL Baia Formosa Power Plant Facility Expansion</t>
  </si>
  <si>
    <t>Central Hidreletrica Salto das Flores Small Hydro Plant</t>
  </si>
  <si>
    <t>BME Eng Ernesto Jorge Dreher Small Hydro Plant</t>
  </si>
  <si>
    <t>Union Fenosa Los Algarrobos Small Hydro Plant</t>
  </si>
  <si>
    <t>Saltos del Francoli Los Planetas I Small Hydro Plant</t>
  </si>
  <si>
    <t>Paso Ancho Small Hydro Plant</t>
  </si>
  <si>
    <t>Los Naranjos Overseas El Sindigo Small Hydro Plant</t>
  </si>
  <si>
    <t>Hidroiberica El Fraile Small Hydro Plant</t>
  </si>
  <si>
    <t>Hidroelectrica Rio Pietra Small Hydro Plant</t>
  </si>
  <si>
    <t>Hidro Boqueron Macano Small Hydro Plant</t>
  </si>
  <si>
    <t>Generadora Pedregalito Small Hydro Plant</t>
  </si>
  <si>
    <t>Consorcio Hidroelectrico Tabasara II Small Hydro Plant</t>
  </si>
  <si>
    <t>Caldera Energy Mendre Small Hydro Plant</t>
  </si>
  <si>
    <t>Bontex Gualaca Small Hydro Plant</t>
  </si>
  <si>
    <t>Balbo Sertaozinho Power Plants Facilities</t>
  </si>
  <si>
    <t>NEO Alegria II Wind Farm</t>
  </si>
  <si>
    <t>Atiaia Pedra Furada Small Hydro Plant</t>
  </si>
  <si>
    <t>Hydrotreatment</t>
  </si>
  <si>
    <t>Petrobras Replan Biodiesel Hydrotreatment Plant</t>
  </si>
  <si>
    <t>Petrobras Regap Biodiesel Hydrotreatment Plant</t>
  </si>
  <si>
    <t>Petrobras Repar Biodiesel Hydrotreatment Plant</t>
  </si>
  <si>
    <t>Eoliatec Isthmus of Tehuantepec Wind Portfolio</t>
  </si>
  <si>
    <t>Ypioca Ethanol Plant Portfolio</t>
  </si>
  <si>
    <t>Cedin Alhandra Wind Farm</t>
  </si>
  <si>
    <t>Cesbra Volta Redonda Biodiesel Plant Expansion</t>
  </si>
  <si>
    <t>NEO Alegria I Wind Farm</t>
  </si>
  <si>
    <t>Samam AgroIndustrial Capela Taquari Ethanol Plant</t>
  </si>
  <si>
    <t>Duke Energy Palmeiras Small Hydro Plant</t>
  </si>
  <si>
    <t>Duke Energy Retiro Small Hydro Plant</t>
  </si>
  <si>
    <t>CFE Cerro Prieto V Geothermal Plant Drilling</t>
  </si>
  <si>
    <t>Pando and Monte Lirio Small Hydro Plants</t>
  </si>
  <si>
    <t>EPSA Amaime Small Hydro Plant</t>
  </si>
  <si>
    <t>EPSA Bajo Tuluá Small Hydro Plant</t>
  </si>
  <si>
    <t>Heidrich Curt Lindner Small Hydro Plant</t>
  </si>
  <si>
    <t>Camera Agroalimentos Ijui Biodiesel Plant</t>
  </si>
  <si>
    <t>EDF La Ventosa Wind Farm</t>
  </si>
  <si>
    <t>Barra do Brauna Small Hydro Plant</t>
  </si>
  <si>
    <t>Cesbe Marco Baldo Small Hydro Plant</t>
  </si>
  <si>
    <t>Rio do Lobo Albano Machado Small Hydro Plant</t>
  </si>
  <si>
    <t>PCH Rio do Braço Small Hydro Plant</t>
  </si>
  <si>
    <t>Ferlig Maria Célia Mauad Notini Small Hydro Plant</t>
  </si>
  <si>
    <t>Caramuru Ipameri Biodiesel Plant</t>
  </si>
  <si>
    <t>Caramuru Sao Simao Biodiesel Plant Expansion</t>
  </si>
  <si>
    <t>Wave</t>
  </si>
  <si>
    <t>Marine</t>
  </si>
  <si>
    <t>Tractebel Porto do Pecem Pilot Wave Plant</t>
  </si>
  <si>
    <t>Itaipu and Parana Government Rio Ajuricaba Biogas Plant</t>
  </si>
  <si>
    <t>Algae Biotecnologia Sao Paulo Next Generation Biodiesel Pilot Plant</t>
  </si>
  <si>
    <t>CELAN Anhanguera Small Hydro Plant</t>
  </si>
  <si>
    <t>Ersa Cristina Small Hydro Plant</t>
  </si>
  <si>
    <t>Gênesis Energética São Francisco Small Hydro Plant</t>
  </si>
  <si>
    <t>Balbo Uberaba Ethanol and Power Plant</t>
  </si>
  <si>
    <t>Firenze Santana I Small Hydro Plant</t>
  </si>
  <si>
    <t>Natural Gas Substitute (biomethane)</t>
  </si>
  <si>
    <t>Tavares Almeida Vista Alegre Itapetininga Power Plant Facility</t>
  </si>
  <si>
    <t>Wanerg Malagone Small Hydro Plant</t>
  </si>
  <si>
    <t>Element Power Arauco Wind Farm</t>
  </si>
  <si>
    <t>Rio Negro Salto Andersen Small Hydro Plant</t>
  </si>
  <si>
    <t>Engevix Moinho Small Hydro Plant</t>
  </si>
  <si>
    <t>Cotesa Aguti and Nova Trento Small Hydro Portfolio</t>
  </si>
  <si>
    <t>Cotesa São Sebastião Small Hydro Plant</t>
  </si>
  <si>
    <t>Cachoeira do Brumado Small Hydro Plant</t>
  </si>
  <si>
    <t>La Fe Wind Farm Phase I</t>
  </si>
  <si>
    <t>EQM Cucau CoGeneration Plant</t>
  </si>
  <si>
    <t>Petrobras Juiz de Fora Biofuel Power Plant</t>
  </si>
  <si>
    <t>Elecaustro Ocana Small Hydro Plant</t>
  </si>
  <si>
    <t>Iberdrola La Venta III Wind Farm</t>
  </si>
  <si>
    <t>ENEL Larreynaga Small Hydro Plant</t>
  </si>
  <si>
    <t>Hidroenergia del General Small Hydro Plant</t>
  </si>
  <si>
    <t>Cornélio Brennand Canoa Quebrada Small Hydro Plant</t>
  </si>
  <si>
    <t>Oswaldo Ribeiro Colorado Ethanol Plant</t>
  </si>
  <si>
    <t>Nova Galia Ethanol Plant</t>
  </si>
  <si>
    <t>Other</t>
  </si>
  <si>
    <t>Jalles Machado Otavio Lage Ethanol and Power Plant</t>
  </si>
  <si>
    <t>Grupo Light das Lajes Small Hydro Plant</t>
  </si>
  <si>
    <t>UTE Sierra de los Caracoles Wind Farm</t>
  </si>
  <si>
    <t>Nuevo Manantial Maldonado and Rocha Wind Farms</t>
  </si>
  <si>
    <t>CORPOELEC Masparro Small Hydro Plant</t>
  </si>
  <si>
    <t>Gasification</t>
  </si>
  <si>
    <t>Intrinergy Dominican Republic Biomass Plant</t>
  </si>
  <si>
    <t>SIIF Praia Formosa Wind Farm</t>
  </si>
  <si>
    <t>SIIF Foz do Rio Choro Wind Farm</t>
  </si>
  <si>
    <t>SIIF Paracuru Wind Farm</t>
  </si>
  <si>
    <t>Enernova Santa Fe Small Hydro CDM Financing II</t>
  </si>
  <si>
    <t>Seawind Chile Wind Farm</t>
  </si>
  <si>
    <t>Rosa dos Ventos Wind Farms</t>
  </si>
  <si>
    <t>Porto Franco Small Hydro Plant</t>
  </si>
  <si>
    <t>Usina Laguna Ethanol Plant</t>
  </si>
  <si>
    <t>Maple Chira Bioethanol and Power Plant</t>
  </si>
  <si>
    <t>CNAA Itumbiara Bioethanol Plant</t>
  </si>
  <si>
    <t>Belo Horizonte Landfill Gas Plant</t>
  </si>
  <si>
    <t>Eolica Valle Central Wind Farm Plant</t>
  </si>
  <si>
    <t>Alusa Queluz Small Hydro Plant</t>
  </si>
  <si>
    <t>Galópolis Small Hydro Plant</t>
  </si>
  <si>
    <t>Pitangueiras Cerradao Ethanol Plant</t>
  </si>
  <si>
    <t>Santalucia Rice Biomass Plant</t>
  </si>
  <si>
    <t>UAG Guaira Ethanol and Power Plant Power Plant Facility Expansion</t>
  </si>
  <si>
    <t>USJ Bioethanol and Power Plant Portfolio</t>
  </si>
  <si>
    <t>Balbo Uberaba Ethanol and Biomass Plant</t>
  </si>
  <si>
    <t>Colombo Santa Albertina Ethanol and Power Plant</t>
  </si>
  <si>
    <t>NovAmerica Taruma Ethanol and Power Plant Expansion</t>
  </si>
  <si>
    <t>Pitangueiras Biomass Plant Expansion</t>
  </si>
  <si>
    <t>Brennand Santa Gabriela Small Hydro Plant</t>
  </si>
  <si>
    <t>Cravari Bocaiuva Small Hydro Plant</t>
  </si>
  <si>
    <t>Santa Cruz Ethanol and Biomass plant Expansion II</t>
  </si>
  <si>
    <t>Tudelandia Small Hydro Plant</t>
  </si>
  <si>
    <t>Sunovia Santo Domingo Solar Park</t>
  </si>
  <si>
    <t>Grupo Romero Cana Brava Ethanol and Power Plant</t>
  </si>
  <si>
    <t>La Rioja Wind Farm Phase I</t>
  </si>
  <si>
    <t>Bioledesma Libertador Gral San Martin Bioethanol Plant</t>
  </si>
  <si>
    <t>Cesbra Volta Redonda Biodiesel Plant</t>
  </si>
  <si>
    <t>Acciona Eurus Wind Farm</t>
  </si>
  <si>
    <t>EPA Florin Small Hydro Plant</t>
  </si>
  <si>
    <t>Brennand Ouro Small Hydro Plant</t>
  </si>
  <si>
    <t>Estelar Small Hydro Portfolio</t>
  </si>
  <si>
    <t>SINERSA Poechos II Small Hydro Plant</t>
  </si>
  <si>
    <t>Cocal Narandiba Power Plant Facility Expansion</t>
  </si>
  <si>
    <t>Clarion Ibaiti Ethanol Plant</t>
  </si>
  <si>
    <t>AMPER Braço Norte IV Small Hydro Plant</t>
  </si>
  <si>
    <t>Hidrotermica Rio Grande do Sul Small Hydro Portfolio</t>
  </si>
  <si>
    <t>Hidrotermica Criuva and Palanquinho Small Hydro Portfolio</t>
  </si>
  <si>
    <t>Alusa Lavrinhas CDM Small Hydro Plant</t>
  </si>
  <si>
    <t>Molyagro Tancacha Biodiesel Plant</t>
  </si>
  <si>
    <t>Viluco Frias Biodiesel Plant</t>
  </si>
  <si>
    <t>Patagonia Bioenergia Biodiesel Plant</t>
  </si>
  <si>
    <t>Hector Bolzan Maria Luisa Biodiesel Plant</t>
  </si>
  <si>
    <t>Ricard Malvinas Biodiesel Plant</t>
  </si>
  <si>
    <t>Molinos Rio de la Plata Rosario Biodiesel Plant</t>
  </si>
  <si>
    <t>EnDriven Puerto San Martin Biodiesel Plant</t>
  </si>
  <si>
    <t>Unitec Bio San Martin Biodiesel Plant</t>
  </si>
  <si>
    <t>La Rioja Wind Farm Phase II</t>
  </si>
  <si>
    <t>SIIF Quintanilha Machado Wind Farm</t>
  </si>
  <si>
    <t>Iaco Chapadao do Sul Bioethanol Plant</t>
  </si>
  <si>
    <t>Sao Fernando Bioethanol and Power Plant</t>
  </si>
  <si>
    <t>Consorcio Juruena Small Hydro Portfolio</t>
  </si>
  <si>
    <t>Brennand Planalto Small Hydro Plant</t>
  </si>
  <si>
    <t>Bertin Sacre 2 Small Hydro Plant</t>
  </si>
  <si>
    <t>Geroeste small hydro portfolio</t>
  </si>
  <si>
    <t>Greenwood Cabrero Biomass Plant</t>
  </si>
  <si>
    <t>Cagliari Mulchen Biomass Plant</t>
  </si>
  <si>
    <t>Rio Corrente Mambaí II Small Hydro Plant</t>
  </si>
  <si>
    <t>Sykue Sao Desiderio Biomass Plant</t>
  </si>
  <si>
    <t>IBI Rosario Biodiesel Plant</t>
  </si>
  <si>
    <t>Ludesa Small Hydro Plant</t>
  </si>
  <si>
    <t>Brascan Ponte Alta Small Hydro Plant</t>
  </si>
  <si>
    <t>MASISA Cabrero Biomass Plant</t>
  </si>
  <si>
    <t>Fiagril Lucas do Rio Verde Biodiesel Plant Expansion</t>
  </si>
  <si>
    <t>Biopar Rolandia Biodiesel Plant</t>
  </si>
  <si>
    <t>DVH Tailandia Biodiesel Plant</t>
  </si>
  <si>
    <t>Biocar Dourados Biodiesel Plant</t>
  </si>
  <si>
    <t>Agroindustrial Campo Lindo Gentil Barbosa Ethanol Plant</t>
  </si>
  <si>
    <t>GLEP Piedade Small Hydro Plant CDM</t>
  </si>
  <si>
    <t>Ersa Minas Gerais &amp; Santa Catarina Small Hydro Portfolio</t>
  </si>
  <si>
    <t>Bioverde Taubate Biodiesel Plant</t>
  </si>
  <si>
    <t>Granol Anapolis Biodiesel Plant</t>
  </si>
  <si>
    <t>Binatural Formosa Biodiesel Plant</t>
  </si>
  <si>
    <t>Araguassu Porto Alegre do Norte Biodiesel Plant</t>
  </si>
  <si>
    <t>Agrosoja Sorriso Biodiesel Plant</t>
  </si>
  <si>
    <t>CEDAE Fazenda Alegria Biodiesel Plant</t>
  </si>
  <si>
    <t>HydroChile San Andres Small Hydro Plant</t>
  </si>
  <si>
    <t>Energisa Rio de Janeiro Small Hydro Portfolio</t>
  </si>
  <si>
    <t>Biocamp Campo Verde Biodiesel Plant</t>
  </si>
  <si>
    <t>Bionorte San Miguel do Araguaia Biodiesel Plant</t>
  </si>
  <si>
    <t>Oleoplan Veranopolis Biodiesel Plant</t>
  </si>
  <si>
    <t>SN Power Totoral Wind Farm</t>
  </si>
  <si>
    <t>Enhol Monte Redondo Wind Farm</t>
  </si>
  <si>
    <t>Cabrera ADM Jatai and Limeira Bioethanol Plants</t>
  </si>
  <si>
    <t>CPFL Irmaos Baldin Power Plant Facility</t>
  </si>
  <si>
    <t>Endesa Chile Canela Wind Farm II</t>
  </si>
  <si>
    <t>Santa Maria Cachoeirao Small Hydro Plant</t>
  </si>
  <si>
    <t>GVO Jose Bonifacio Ethanol Plant Expansion</t>
  </si>
  <si>
    <t>GVO Usina Moncoes Ethanol Plant</t>
  </si>
  <si>
    <t>Cade Idepe Rio Blanco Small Hydro Plant</t>
  </si>
  <si>
    <t>Cayucupil Small Hydro Plant</t>
  </si>
  <si>
    <t>Besalco Los Hierros Small Hydro Plant</t>
  </si>
  <si>
    <t>Tavares Almeida Rio Pardo Ethanol and Biomass Plant</t>
  </si>
  <si>
    <t>Century Antioquia Small Hydro Portfolio</t>
  </si>
  <si>
    <t>Energia Pacifico San Francisco de Mostazal Biomass Plant</t>
  </si>
  <si>
    <t>Hydrochile El Paso Small Hydro Plant</t>
  </si>
  <si>
    <t>Hidroenergia La Paloma Small Hydro Plant</t>
  </si>
  <si>
    <t>Hidroaustral Casualidad Small Hydro Plant</t>
  </si>
  <si>
    <t>Mantex Dongo Small Hydro Plant</t>
  </si>
  <si>
    <t>Pasada Trupan Small Hydro Plant</t>
  </si>
  <si>
    <t>GPE Trueno Small Hydro Plant</t>
  </si>
  <si>
    <t>Excon El Manzano Small Hydro Plant</t>
  </si>
  <si>
    <t>Ecopower Ancud Wind Farm</t>
  </si>
  <si>
    <t>Colbun San Clemente Small Hydro Plant</t>
  </si>
  <si>
    <t>Colbun Chiburgo Small Hydro Plant CDM project</t>
  </si>
  <si>
    <t>Convento Viejo Small Hydro Plant</t>
  </si>
  <si>
    <t>Lican Small Hydro Plant</t>
  </si>
  <si>
    <t>Balalita Small Hydro Plant</t>
  </si>
  <si>
    <t>Agricola Rio Blanco Alto Cautin Small Hydro Plant</t>
  </si>
  <si>
    <t>Eletrosul Santa Catarina Small Hydro Portfolio</t>
  </si>
  <si>
    <t>Lanxess Porto Feliz Biomass Plant</t>
  </si>
  <si>
    <t>Biotins Paraiso Biodiesel Plant</t>
  </si>
  <si>
    <t>Ecopart Gargau Wind Farm</t>
  </si>
  <si>
    <t>Barrick Gold San Juan Wind Project</t>
  </si>
  <si>
    <t>Mesoamerica Cerro de Hula Wind Farm</t>
  </si>
  <si>
    <t>Hidromaule Lircay Small Hydro Plant</t>
  </si>
  <si>
    <t>Methanex Cabo Negro Wind Farm</t>
  </si>
  <si>
    <t>Paranatinga II Small Hydro Plant</t>
  </si>
  <si>
    <t>Biofuel Energy Paranapanema I and II Ethanol Plants</t>
  </si>
  <si>
    <t>Compania Cervecera de Nicaragua El Salto YY Small Hydro Plant</t>
  </si>
  <si>
    <t>Guarani Tractebel Andrade Power Plant Facility</t>
  </si>
  <si>
    <t>Brasif Grendene Da Mata Bioethanol Plant</t>
  </si>
  <si>
    <t>Moema Itapagipe Bioethanol Plant</t>
  </si>
  <si>
    <t>Impsa Santa Catarina Wind Portfolio</t>
  </si>
  <si>
    <t>Ben Bioenergia Santa Filomena Biomass Plant</t>
  </si>
  <si>
    <t>Tavares de Melo Usina Esmeralda Ethanol Plant</t>
  </si>
  <si>
    <t>GLEP Santa Luzia Alto Small Hydro Plant</t>
  </si>
  <si>
    <t>Tonon Vista Alegre Maracaju Ethanol and Power Plant</t>
  </si>
  <si>
    <t>Brasil Bioenergia Nova Andradina Biodiesel Plant</t>
  </si>
  <si>
    <t>Brascan Brazilian Small Hydro Portfolio</t>
  </si>
  <si>
    <t>Santa Cruz Power Sao Domingos CDM Small Hydro Plant</t>
  </si>
  <si>
    <t>Iberdrola La Ventosa Wind Farm</t>
  </si>
  <si>
    <t>Cosan Jatai Ethanol Plant</t>
  </si>
  <si>
    <t>Alto Sucuriu Small Hydro Plant</t>
  </si>
  <si>
    <t>Neoenergia Sitio Grande Small Hydro Plant</t>
  </si>
  <si>
    <t>Neoenergia Pedra Do Garrafao Small Hydro Plant</t>
  </si>
  <si>
    <t>Neoenergia Pirapetinga Small Hydro Plant</t>
  </si>
  <si>
    <t>Irara Small Hydro Plant</t>
  </si>
  <si>
    <t>Jatai Small Hydro Plant</t>
  </si>
  <si>
    <t>Guarani Sao Jose Power Plant</t>
  </si>
  <si>
    <t>Brascan Energetica Salto Jauru Small Hydro CDM Project</t>
  </si>
  <si>
    <t>Trinidad &amp; Tobago</t>
  </si>
  <si>
    <t>EthylChem Pointe-a-Pierre Ethanol Dehydration Plant</t>
  </si>
  <si>
    <t>Pinapetinga Mini-Hydro Project</t>
  </si>
  <si>
    <t>Ibituruna Mini-Hydro Project</t>
  </si>
  <si>
    <t>Costa Pinto Biomass Plant Expansion</t>
  </si>
  <si>
    <t>Interpacific Oil Lima Biodiesel Plant Expansion</t>
  </si>
  <si>
    <t>Pedra do Sal Wind Farm</t>
  </si>
  <si>
    <t>Vale do Ivai Marialva Ethanol Plant</t>
  </si>
  <si>
    <t>Vale dos Ventos Wind Portfolio</t>
  </si>
  <si>
    <t>San Cristobal Wind CDM Project</t>
  </si>
  <si>
    <t>CEA Amayo Wind Farm Phase I</t>
  </si>
  <si>
    <t>Comanche Canitar and Santa Anita Bioethanol Plants Expansion</t>
  </si>
  <si>
    <t>Lurin Biodiesel Plant</t>
  </si>
  <si>
    <t>Granol Cachoeira do Sul Biodiesel Plant</t>
  </si>
  <si>
    <t>Biogas Environmental Energy Sao Joao CDM Landfill Gas to Energy Project</t>
  </si>
  <si>
    <t>Cerradinho Porto das Águas Ethanol Plant</t>
  </si>
  <si>
    <t>Petrobras Darcy Ribeiro Biodiesel Plant</t>
  </si>
  <si>
    <t>Estrella del Norte Bioethanol Plant</t>
  </si>
  <si>
    <t>Ferrari Sao Marino Pirassununga Ethanol and Power Plant Expansion</t>
  </si>
  <si>
    <t>Tuta Ethanol Plant</t>
  </si>
  <si>
    <t>IBI Diferoil Biodiesel Plant</t>
  </si>
  <si>
    <t>Cooperbio Cuiaba Biodiesel Plant</t>
  </si>
  <si>
    <t>Barranqua Biodiesel Plant</t>
  </si>
  <si>
    <t>Companhia Energetica Vale do Sao Simao Bioethanol Plant</t>
  </si>
  <si>
    <t>Neoenergia Goiandira Small Hydro Plant</t>
  </si>
  <si>
    <t>Neoenergia Nova Aurora Small Hydro Plant</t>
  </si>
  <si>
    <t>Guarani Tanabi Ethanol Plant</t>
  </si>
  <si>
    <t>Renova San Lorenzo Biodiesel Plant</t>
  </si>
  <si>
    <t>Brascan Piranhas Small Hydro Plant</t>
  </si>
  <si>
    <t>Dona Juana Biogas Plant</t>
  </si>
  <si>
    <t>Grupo Farias Goiatuba Ethanol Plant</t>
  </si>
  <si>
    <t>Velcan Rodeio Bonito Small Hydro Plant</t>
  </si>
  <si>
    <t>Callao Port Biodiesel Plant</t>
  </si>
  <si>
    <t>Ceilandia Biodiesel Plant</t>
  </si>
  <si>
    <t>Salto Curua Small Hydro Plant CDM</t>
  </si>
  <si>
    <t>Salto Buriti Small Hydro Plant CDM</t>
  </si>
  <si>
    <t>Cornelio Brennand Porto das Pedras Small Hydro Plant</t>
  </si>
  <si>
    <t>Biogas de Juarez Ciudad Juarez Landfill Gas Plant</t>
  </si>
  <si>
    <t>Petrobras Quixada Biodiesel Plant</t>
  </si>
  <si>
    <t>Rosario Bio Energy Roldan Biodiesel Plant</t>
  </si>
  <si>
    <t>Bionasa Potangatu Biodiesel Plant</t>
  </si>
  <si>
    <t>Petropar Mauricio Jose Troche Bioethanol Plant Expansion</t>
  </si>
  <si>
    <t>Moema's Bioenergy Project in Brazil</t>
  </si>
  <si>
    <t>Coplacana Piracicaba Biodiesel Plant</t>
  </si>
  <si>
    <t>SIIF Icaraizinho Wind Farm</t>
  </si>
  <si>
    <t>Zillo Lorenzetti Quata and Sao Jose Ethanol and Power Plant Expansion</t>
  </si>
  <si>
    <t>Barrick Gold Punta Colorada Wind Farm</t>
  </si>
  <si>
    <t>Aceites Manuelita Biodiesel Plant</t>
  </si>
  <si>
    <t>CABEI Las Pailas Geothermal Plant</t>
  </si>
  <si>
    <t>Facatativá biodiesel plant</t>
  </si>
  <si>
    <t>Castilla la Nueva biodiesel plant</t>
  </si>
  <si>
    <t>Biocombustibles Santa Marta biodiesel plant</t>
  </si>
  <si>
    <t>Odin Santa Marta biodiesel plant</t>
  </si>
  <si>
    <t>Codazzi biodiesel plant</t>
  </si>
  <si>
    <t>Abengoa Sao Paulo Power Plant Portfolio</t>
  </si>
  <si>
    <t>Conception Biomass Plant</t>
  </si>
  <si>
    <t>Fibria Tres Lagoas Paper Waste to Energy Plant</t>
  </si>
  <si>
    <t>Unialco Vale Do Parana Ethanol Plant</t>
  </si>
  <si>
    <t>Brasil PCH Brasil Small Hydro Portfolio</t>
  </si>
  <si>
    <t>Alto Irani &amp; Plano Alto Small Hydro Plants</t>
  </si>
  <si>
    <t>Hidrotermica Brasil Small Hydro Portfolio</t>
  </si>
  <si>
    <t>Ecoenergy International Juwi Saret Proyecto Eolico Guanacaste Wind Farm</t>
  </si>
  <si>
    <t>Loreto Bay Wind Farm</t>
  </si>
  <si>
    <t>GDF Suez Laja Small Hydro Plant</t>
  </si>
  <si>
    <t>ERBB Bahia de Concepcion Wind Farm</t>
  </si>
  <si>
    <t>Beberibe Wind Farm</t>
  </si>
  <si>
    <t>Ecopetrol Barrancabermeja Biodiesel Plant</t>
  </si>
  <si>
    <t>Barralcool Barra do Bugres Biodiesel Plant</t>
  </si>
  <si>
    <t>Geroeste São Lourenço Small Hydro Plant</t>
  </si>
  <si>
    <t>Endesa Chile Canela Wind Farm</t>
  </si>
  <si>
    <t>Thermal</t>
  </si>
  <si>
    <t>CFE Agua Prieta II STEG Plant</t>
  </si>
  <si>
    <t>CNAA Minas Gerais Bioethanol Portfolio</t>
  </si>
  <si>
    <t>Klabin Monte Alegre biomass plant</t>
  </si>
  <si>
    <t>Areia Branca Small Hydro Plant</t>
  </si>
  <si>
    <t>Caramuru Sao Simao Biodiesel Plant</t>
  </si>
  <si>
    <t>Fiagril Lucas do Rio Verde Biodiesel Plant</t>
  </si>
  <si>
    <t>Santa Isabel Fartura Ethanol Plant</t>
  </si>
  <si>
    <t>ADM Rondonopolis Biodiesel Plant</t>
  </si>
  <si>
    <t>Endesa Ojos de Agua Small Hydro Plant</t>
  </si>
  <si>
    <t>Engevix Small Hydro Portfolio</t>
  </si>
  <si>
    <t>Energetica Serra da Prata Small Hydro Plant portfolio</t>
  </si>
  <si>
    <t>Viralcool Castilho Ethanol Plant</t>
  </si>
  <si>
    <t>Usimat Bioethanol and Power Plant</t>
  </si>
  <si>
    <t>Colombo Palestina Ethanol and Power Plant</t>
  </si>
  <si>
    <t>Costa Pinto and Rafard Biomass Plants</t>
  </si>
  <si>
    <t>Santa Vitoria Bioethanol Plant</t>
  </si>
  <si>
    <t>Terra Santa Small Hydro Plant</t>
  </si>
  <si>
    <t>Petrobras Candeias Biodiesel Plant</t>
  </si>
  <si>
    <t>Enerloja Villonaco Wind Farm</t>
  </si>
  <si>
    <t>Vanguarda Brasil Ecodiesel Biodiesel Portfolio</t>
  </si>
  <si>
    <t>Amatitlan Geothermal CDM Project</t>
  </si>
  <si>
    <t>Rio do Fogo Wind Farm</t>
  </si>
  <si>
    <t>Grossedup &amp; Buffered</t>
  </si>
  <si>
    <t>Grossedup</t>
  </si>
  <si>
    <t>TransactionValue</t>
  </si>
  <si>
    <t>CapacityMLPA</t>
  </si>
  <si>
    <t>CapacityNm3/hr</t>
  </si>
  <si>
    <t>CapacityMWth</t>
  </si>
  <si>
    <t>CapacityMW</t>
  </si>
  <si>
    <t>Date</t>
  </si>
  <si>
    <t>FinancingType_Grouped</t>
  </si>
  <si>
    <t>FinancingType</t>
  </si>
  <si>
    <t>BusinessModel (for PM, target country/for AF, transType)</t>
  </si>
  <si>
    <t>Technology</t>
  </si>
  <si>
    <t>Subsector</t>
  </si>
  <si>
    <t>SectorGrouped</t>
  </si>
  <si>
    <t>Sector</t>
  </si>
  <si>
    <t>Tradeblock</t>
  </si>
  <si>
    <t>OECD/non-OECD</t>
  </si>
  <si>
    <t>Region</t>
  </si>
  <si>
    <t>Continent</t>
  </si>
  <si>
    <t>CountryGrouped</t>
  </si>
  <si>
    <t>Country(for PM StockExchCountry)</t>
  </si>
  <si>
    <t>TargetOrg</t>
  </si>
  <si>
    <t>DealID</t>
  </si>
  <si>
    <t>Channel</t>
  </si>
  <si>
    <t>Value</t>
  </si>
  <si>
    <t>Deal Type</t>
  </si>
  <si>
    <t>Period</t>
  </si>
  <si>
    <t>Quarter</t>
  </si>
  <si>
    <t>Month</t>
  </si>
  <si>
    <t>BNEF Clean Energy Investment Database</t>
  </si>
  <si>
    <t>Large Hydro</t>
  </si>
  <si>
    <t>Natural Gas</t>
  </si>
  <si>
    <t>Oil &amp; Diesel</t>
  </si>
  <si>
    <t>Coal</t>
  </si>
  <si>
    <t>Nuclear</t>
  </si>
  <si>
    <t>Other Fossil Fuels</t>
  </si>
  <si>
    <t>Clean Energy</t>
  </si>
  <si>
    <t>Capacity</t>
  </si>
  <si>
    <t>Generation</t>
  </si>
  <si>
    <t>Investment Type</t>
  </si>
  <si>
    <t>Financial Institutions in Clean Energy</t>
  </si>
  <si>
    <t>Banks</t>
  </si>
  <si>
    <t>Private Equity/Venture Capital</t>
  </si>
  <si>
    <t>Funds</t>
  </si>
  <si>
    <t>Number of Green MFI</t>
  </si>
  <si>
    <t>Small Distributed scale</t>
  </si>
  <si>
    <t>Benchmark</t>
  </si>
  <si>
    <t>All Energy</t>
  </si>
  <si>
    <t>Population</t>
  </si>
  <si>
    <t>Levilisation Data</t>
  </si>
  <si>
    <t>Total Micro Finance Institutions</t>
  </si>
  <si>
    <t>Gross Domestic Product</t>
  </si>
  <si>
    <t>Levelised by Gross Domestic Product (USDbn)</t>
  </si>
  <si>
    <t>Levelised by Population (m)</t>
  </si>
  <si>
    <t>Levelised by Capacity for All Energy (MW)</t>
  </si>
  <si>
    <t>No.</t>
  </si>
  <si>
    <t>Levelised by Total Micro Finance Institutions (USD)</t>
  </si>
  <si>
    <t>Levelised by Population</t>
  </si>
  <si>
    <t>Levelisation Variables</t>
  </si>
  <si>
    <t>Capacity (MW)</t>
  </si>
  <si>
    <t>Green micro-borrowers</t>
  </si>
  <si>
    <t>Benchmark Max</t>
  </si>
  <si>
    <t>Wind - Bearings</t>
  </si>
  <si>
    <t>Wind - Gearboxes</t>
  </si>
  <si>
    <t>Wind - Generators</t>
  </si>
  <si>
    <t>Wind - Blades</t>
  </si>
  <si>
    <t>Wind - Project Development</t>
  </si>
  <si>
    <t>Wind - Construction/Installation</t>
  </si>
  <si>
    <t>Wind - Power Generator</t>
  </si>
  <si>
    <t>Solar - Wafers</t>
  </si>
  <si>
    <t>Solar - Cells</t>
  </si>
  <si>
    <t>Solar - Modules</t>
  </si>
  <si>
    <t>Solar - Balance of Plant</t>
  </si>
  <si>
    <t>Solar - Project Development</t>
  </si>
  <si>
    <t>Biomass &amp; Waste - Feedstock Supply</t>
  </si>
  <si>
    <t>Biomass &amp; Waste - Manufacturing Equipment</t>
  </si>
  <si>
    <t>Biomass &amp; Waste - System Integration</t>
  </si>
  <si>
    <t>Biomass &amp; Waste - Project Development</t>
  </si>
  <si>
    <t>Biomass &amp; Waste - Power Generation</t>
  </si>
  <si>
    <t>Biofuels - Engineering Companies</t>
  </si>
  <si>
    <t>Biofuels - Producers</t>
  </si>
  <si>
    <t>Biofuels - Distribution and Blending</t>
  </si>
  <si>
    <t>Geothermal - Project Development</t>
  </si>
  <si>
    <t>Geothermal - Pre-Drilling Exploration</t>
  </si>
  <si>
    <t>Geothermal - Exploration/Production Drilling</t>
  </si>
  <si>
    <t>Geothermal - Well Completion &amp; Resource Confirmation</t>
  </si>
  <si>
    <t>Geothermal - Turbine &amp; Power Block</t>
  </si>
  <si>
    <t>Geothermal - Balance of Plant</t>
  </si>
  <si>
    <t>Geothermal - Operation &amp; Maintenance</t>
  </si>
  <si>
    <t>Geothermal - Power Purchase</t>
  </si>
  <si>
    <t>Small Hydro - Engineering</t>
  </si>
  <si>
    <t>Small Hydro - Turbines</t>
  </si>
  <si>
    <t>Small Hydro - Operation &amp; Maintenance</t>
  </si>
  <si>
    <t>Small Hydro - Power Purchase</t>
  </si>
  <si>
    <t>Wind - Turbines</t>
  </si>
  <si>
    <t>Carbon Market - Domestic cap and trade</t>
  </si>
  <si>
    <t>Tax-Based - Other</t>
  </si>
  <si>
    <t>Energy Market - Feed-in tariff</t>
  </si>
  <si>
    <t>Energy Market - Energy targets</t>
  </si>
  <si>
    <t>Energy Market - Auction</t>
  </si>
  <si>
    <t>Energy Market - Biofuels blending mandate</t>
  </si>
  <si>
    <t>Energy Market - Net Metering</t>
  </si>
  <si>
    <t>Energy Market - Other</t>
  </si>
  <si>
    <t>Equity Finance - Grants</t>
  </si>
  <si>
    <t>Equity Finance - Incubators</t>
  </si>
  <si>
    <t>Equity Finance - Infrastructure funds</t>
  </si>
  <si>
    <t>Equity Finance - Other</t>
  </si>
  <si>
    <t>Debt Finance - Funding</t>
  </si>
  <si>
    <t>Debt Finance - Export trade credit</t>
  </si>
  <si>
    <t>Debt Finance - Green Bonds</t>
  </si>
  <si>
    <t>Debt Finance - Other</t>
  </si>
  <si>
    <t>Tax-Based - Accelerated depreciation</t>
  </si>
  <si>
    <t>Tax-Based - Tax relief</t>
  </si>
  <si>
    <t>Tax-Based - Income tax</t>
  </si>
  <si>
    <t>Tax-Based - Import duty</t>
  </si>
  <si>
    <t>Tax-Based - Tax rebate</t>
  </si>
  <si>
    <t>Carbon Market - Emissions reduction target</t>
  </si>
  <si>
    <t>Carbon Market - Project-based carbon credits</t>
  </si>
  <si>
    <t>Carbon Market - Other</t>
  </si>
  <si>
    <t>Other Energy</t>
  </si>
  <si>
    <t>1.01 - Clean Energy Policies</t>
  </si>
  <si>
    <t>1.04 - Clean Energy Capacity (MW)</t>
  </si>
  <si>
    <t>3.01 - Financial Institutions In Clean Energy</t>
  </si>
  <si>
    <t>DETAILS</t>
  </si>
  <si>
    <t>FURTHER INDICATOR DETAILS</t>
  </si>
  <si>
    <t>Underlying Data</t>
  </si>
  <si>
    <t>Website</t>
  </si>
  <si>
    <t>Phone</t>
  </si>
  <si>
    <t>Capital para PYMES</t>
  </si>
  <si>
    <t>www.feg.org.ar</t>
  </si>
  <si>
    <t>(54) 11 4331 5043</t>
  </si>
  <si>
    <t>Emprenda</t>
  </si>
  <si>
    <t>www.empreenda.com.ar</t>
  </si>
  <si>
    <t>(54) 11 4642 5802</t>
  </si>
  <si>
    <t>FONCAP</t>
  </si>
  <si>
    <t>www.foncap.com.ar</t>
  </si>
  <si>
    <t>(54) 11 5217 0622</t>
  </si>
  <si>
    <t>ANED</t>
  </si>
  <si>
    <t>www.aned.org</t>
  </si>
  <si>
    <t>(591) 2241 8716</t>
  </si>
  <si>
    <t>Banco FIE</t>
  </si>
  <si>
    <t>www.bancofie.com.bo</t>
  </si>
  <si>
    <t>(591) 2248 5222</t>
  </si>
  <si>
    <t>CIDRE</t>
  </si>
  <si>
    <t>www.cidre.org.bo</t>
  </si>
  <si>
    <t>(591) 4423 2566</t>
  </si>
  <si>
    <t>Fundacion Profin</t>
  </si>
  <si>
    <t>www.fundacion_profin.org</t>
  </si>
  <si>
    <t>HIVO</t>
  </si>
  <si>
    <t>(591) 6733 8468</t>
  </si>
  <si>
    <t>ProCredit - Bolivia</t>
  </si>
  <si>
    <t>www.losandesprocredit.com</t>
  </si>
  <si>
    <t>(591) 2245 6538</t>
  </si>
  <si>
    <t>Agencia do Credito</t>
  </si>
  <si>
    <t>www.extracredi.com.br</t>
  </si>
  <si>
    <t>(55) 49 3621 0803</t>
  </si>
  <si>
    <t>ASCOOB Central</t>
  </si>
  <si>
    <t>www.ascoobcentral.com.br</t>
  </si>
  <si>
    <t>(55) 75 3614 8482</t>
  </si>
  <si>
    <t>Banco do Vale</t>
  </si>
  <si>
    <t>(55) 47 3222 1338</t>
  </si>
  <si>
    <t xml:space="preserve">Banco do Planalto Norte </t>
  </si>
  <si>
    <t>(55) 47 9114 4299</t>
  </si>
  <si>
    <t>BANCRI</t>
  </si>
  <si>
    <t>www.bancri.org.br</t>
  </si>
  <si>
    <t>(55) 47 3045 6030</t>
  </si>
  <si>
    <t>CEADE</t>
  </si>
  <si>
    <t>(55) 71 3327 2021</t>
  </si>
  <si>
    <t>ICC MAU-CE</t>
  </si>
  <si>
    <t>(55) 55 3744 6372</t>
  </si>
  <si>
    <t>Lander</t>
  </si>
  <si>
    <t>(55) 48 3029 3080</t>
  </si>
  <si>
    <t>SEBRAE</t>
  </si>
  <si>
    <t>www.sebrae.gov.br</t>
  </si>
  <si>
    <t>(55) 61 9962 5658</t>
  </si>
  <si>
    <t>AYF</t>
  </si>
  <si>
    <t>(57) 1 348 888</t>
  </si>
  <si>
    <t>BancoIdex</t>
  </si>
  <si>
    <t>www.bancoidex.com</t>
  </si>
  <si>
    <t>(57) 1315 2687</t>
  </si>
  <si>
    <t>FUNDESMAG</t>
  </si>
  <si>
    <t>www.fundesmag.org</t>
  </si>
  <si>
    <t>(57) 97 622 0031</t>
  </si>
  <si>
    <t>APIAGOL</t>
  </si>
  <si>
    <t>www.apiagol.com</t>
  </si>
  <si>
    <t>(506) 2775 0098</t>
  </si>
  <si>
    <t>ASPROA</t>
  </si>
  <si>
    <t>(506) 2760 1425</t>
  </si>
  <si>
    <t>BCIE</t>
  </si>
  <si>
    <t>www.bcie.org</t>
  </si>
  <si>
    <t>(506) 2207 6559</t>
  </si>
  <si>
    <t>CESOL ACJ</t>
  </si>
  <si>
    <t>(593) 2261 7029</t>
  </si>
  <si>
    <t>COAC Chone</t>
  </si>
  <si>
    <t>www.coopchone.fin.ec</t>
  </si>
  <si>
    <t>(593) 5269 5396</t>
  </si>
  <si>
    <t>Faces</t>
  </si>
  <si>
    <t>www.faces.org.ec</t>
  </si>
  <si>
    <t>(593) 7257 5237</t>
  </si>
  <si>
    <t>SAC Integral SA</t>
  </si>
  <si>
    <t>(503) 2250 6000</t>
  </si>
  <si>
    <t>Bancofit</t>
  </si>
  <si>
    <t>www.bancofit.com.sv</t>
  </si>
  <si>
    <t>(503) 2261 7900</t>
  </si>
  <si>
    <t>ProCredit - SLV</t>
  </si>
  <si>
    <t>www.bancoprocredit.com.sv</t>
  </si>
  <si>
    <t>(503) 2267 4400</t>
  </si>
  <si>
    <t>FAFIDESS</t>
  </si>
  <si>
    <t>www.fafidess.org</t>
  </si>
  <si>
    <t>(502) 2311 5800</t>
  </si>
  <si>
    <t>FUNDESPE</t>
  </si>
  <si>
    <t>(502) 7763 4984</t>
  </si>
  <si>
    <t>Fonkoze</t>
  </si>
  <si>
    <t>www.fonkoze.org</t>
  </si>
  <si>
    <t>(1) 202 628 9033</t>
  </si>
  <si>
    <t>ADICH</t>
  </si>
  <si>
    <t>www.adich.hn</t>
  </si>
  <si>
    <t>(504) 2785 1542</t>
  </si>
  <si>
    <t>CACIL</t>
  </si>
  <si>
    <t>www.cacil.hn</t>
  </si>
  <si>
    <t>(504) 2783 0658</t>
  </si>
  <si>
    <t>Credisol Honduras</t>
  </si>
  <si>
    <t>(504) 2440 0577</t>
  </si>
  <si>
    <t>FUNDAHMICRO</t>
  </si>
  <si>
    <t>www.fundahmicro.hn</t>
  </si>
  <si>
    <t>(504) 2239 0158</t>
  </si>
  <si>
    <t>FUNED</t>
  </si>
  <si>
    <t>www.funedvf.org</t>
  </si>
  <si>
    <t xml:space="preserve"> (504) 2221 4178</t>
  </si>
  <si>
    <t>ALSOL</t>
  </si>
  <si>
    <t>www.alsolchiapas.org.com</t>
  </si>
  <si>
    <t>(52) 97 1678 1434</t>
  </si>
  <si>
    <t>DAI - Mexico</t>
  </si>
  <si>
    <t>(52) 55 5250 6011</t>
  </si>
  <si>
    <t>Te Creemos</t>
  </si>
  <si>
    <t>www.tecreemos.com</t>
  </si>
  <si>
    <t>(52) 55 5584 2233</t>
  </si>
  <si>
    <t>UPS</t>
  </si>
  <si>
    <t>(52) 92 4247 0252</t>
  </si>
  <si>
    <t>AFODENIC</t>
  </si>
  <si>
    <t>(505) 2270 7998</t>
  </si>
  <si>
    <t>Asociacion Alternativa</t>
  </si>
  <si>
    <t>www.alternativanica.org</t>
  </si>
  <si>
    <t>(505) 2522 3362</t>
  </si>
  <si>
    <t>Caritas Esteli</t>
  </si>
  <si>
    <t>(505) 2713 2040</t>
  </si>
  <si>
    <t>CEPRODEL</t>
  </si>
  <si>
    <t>www.ceprodel.org</t>
  </si>
  <si>
    <t>(505) 8465 5058</t>
  </si>
  <si>
    <t>Coop 20 de Abril</t>
  </si>
  <si>
    <t>www.cooperativa20deabril.coop</t>
  </si>
  <si>
    <t>(505) 2735 5128</t>
  </si>
  <si>
    <t>Fondo de Desarrollo Local</t>
  </si>
  <si>
    <t>(505) 2277 4245</t>
  </si>
  <si>
    <t>FUNDENUSE</t>
  </si>
  <si>
    <t>(505) 2732 2329</t>
  </si>
  <si>
    <t>FUNDESER</t>
  </si>
  <si>
    <t>(505) 2268 5131</t>
  </si>
  <si>
    <t>MiCredito</t>
  </si>
  <si>
    <t>(505) 8973 4763</t>
  </si>
  <si>
    <t>Prestanic</t>
  </si>
  <si>
    <t>www.prestanic.org.ni</t>
  </si>
  <si>
    <t>(505) 2268 5230</t>
  </si>
  <si>
    <t>Fundacion Paraguaya</t>
  </si>
  <si>
    <t>www.fundacionparaguaya.org.py</t>
  </si>
  <si>
    <t>(595) 21 609 290</t>
  </si>
  <si>
    <t>Vision Banco</t>
  </si>
  <si>
    <t>www.visionbanco.com</t>
  </si>
  <si>
    <t>(595) 21 615 3383</t>
  </si>
  <si>
    <t>Caja Municipal de Ahorro y Credito Arequipa</t>
  </si>
  <si>
    <t>(51) 5 422 0023</t>
  </si>
  <si>
    <t>CMAC - Huancayo</t>
  </si>
  <si>
    <t>www.cajahuancayo.com.pe</t>
  </si>
  <si>
    <t>(51) 6 448 1000</t>
  </si>
  <si>
    <t>CMAC - Sullana</t>
  </si>
  <si>
    <t>www.cmac-sullana.com.pe</t>
  </si>
  <si>
    <t>(51) 7 328 4400</t>
  </si>
  <si>
    <t>COOPAC Norandino</t>
  </si>
  <si>
    <t>www.coopacnorandino.com</t>
  </si>
  <si>
    <t>(51) 7 643 3327</t>
  </si>
  <si>
    <t>CRAC Profinanzas</t>
  </si>
  <si>
    <t>(51) 1 581 1174</t>
  </si>
  <si>
    <t>COPEME</t>
  </si>
  <si>
    <t>www.copeme.org.pe</t>
  </si>
  <si>
    <t>(51) 1 470 2666</t>
  </si>
  <si>
    <t>FONDESURCO</t>
  </si>
  <si>
    <t>(51) 5 460 8048</t>
  </si>
  <si>
    <t>IDESI Region Grau</t>
  </si>
  <si>
    <t xml:space="preserve">(51) 7 332 7925 </t>
  </si>
  <si>
    <t>Libelula Comunicacion Ambiente y Desarrollo</t>
  </si>
  <si>
    <t>www.libelula.com.pe</t>
  </si>
  <si>
    <t>(51) 1 652 7320</t>
  </si>
  <si>
    <t>MicroEnergy International</t>
  </si>
  <si>
    <t>www.microenergy-international.com</t>
  </si>
  <si>
    <t>(49) 176 642 39 739</t>
  </si>
  <si>
    <t>Popular SAFI</t>
  </si>
  <si>
    <t>www.popular-safi.com</t>
  </si>
  <si>
    <t>(51) 1 428 3820</t>
  </si>
  <si>
    <t>FUNDASOL</t>
  </si>
  <si>
    <t>www.fundasol.org.uy</t>
  </si>
  <si>
    <t>(598) 2 400 2020</t>
  </si>
  <si>
    <t>Fundacion Eugenio Mendoza</t>
  </si>
  <si>
    <t>www.fundacioneugeniomendoza.org.ve</t>
  </si>
  <si>
    <t>(58) 212 903 0555</t>
  </si>
  <si>
    <t>Fundacion Programa Andes Tropicales</t>
  </si>
  <si>
    <t>www.andestropicales.org</t>
  </si>
  <si>
    <t>(58) 274 263 8633</t>
  </si>
  <si>
    <t>Green MFI Contacts</t>
  </si>
  <si>
    <t>Company</t>
  </si>
  <si>
    <t>Filter Green MFI</t>
  </si>
  <si>
    <t>Market Size Expectations</t>
  </si>
  <si>
    <t>INDICATOR ANALYSIS</t>
  </si>
  <si>
    <t>BELOW</t>
  </si>
  <si>
    <t>Clean Energy Service Providers</t>
  </si>
  <si>
    <t>Ancillary products &amp; services - Consultancy - O&amp;M</t>
  </si>
  <si>
    <t>Ancillary products &amp; services - Consultancy - technical</t>
  </si>
  <si>
    <t>Ancillary products &amp; services - Contract maintenance</t>
  </si>
  <si>
    <t>Ancillary products &amp; services - Contract manufacturing</t>
  </si>
  <si>
    <t>Ancillary products &amp; services - Control room systems</t>
  </si>
  <si>
    <t>Ancillary products &amp; services - Education &amp; training</t>
  </si>
  <si>
    <t>Ancillary products &amp; services - Inspection &amp; maintenance</t>
  </si>
  <si>
    <t>Ancillary products &amp; services - Specialist services</t>
  </si>
  <si>
    <t>Ancillary products &amp; services - Testing &amp; certification services</t>
  </si>
  <si>
    <t>Developers &amp; utilities - Integrated service provider</t>
  </si>
  <si>
    <t>Marketing services - Distributor</t>
  </si>
  <si>
    <t>Marketing services - Market research</t>
  </si>
  <si>
    <t xml:space="preserve">Marketing services - PR company </t>
  </si>
  <si>
    <t>Financial &amp; legal services - Banking - corporate</t>
  </si>
  <si>
    <t>Financial &amp; legal services - Banking - custody, trust &amp; deposit</t>
  </si>
  <si>
    <t>Financial &amp; legal services - Insurance provider</t>
  </si>
  <si>
    <t>Financial &amp; legal services - Lawyer - commercial</t>
  </si>
  <si>
    <t>Financial &amp; legal services - Lawyer - financial markets</t>
  </si>
  <si>
    <t>Financial &amp; legal services - Lawyer - project finance</t>
  </si>
  <si>
    <t>Financial &amp; legal services - Recruitment / search</t>
  </si>
  <si>
    <t>CDM risk</t>
  </si>
  <si>
    <t>GWh</t>
  </si>
  <si>
    <t>*Cost hence bencmark is lowest cost of debt.</t>
  </si>
  <si>
    <t xml:space="preserve"> </t>
  </si>
  <si>
    <t>Generation (GWh)</t>
  </si>
  <si>
    <t>Levelised by Generation for All Energy (GWh)</t>
  </si>
  <si>
    <t>Other Clean Energy</t>
  </si>
  <si>
    <t>CHART DATA</t>
  </si>
  <si>
    <t>3.02 - Clean Energy Value Chains</t>
  </si>
  <si>
    <t>3.03 - Clean Energy Service Providers</t>
  </si>
  <si>
    <t>2.09 - Green MFI Contacts</t>
  </si>
  <si>
    <t>1.06 - Clean Energy Generation (GWh)</t>
  </si>
  <si>
    <t>Clean energy rural electrification</t>
  </si>
  <si>
    <t>Model Year</t>
  </si>
  <si>
    <t>REF.</t>
  </si>
  <si>
    <t>No website</t>
  </si>
  <si>
    <t>(591) 2701 9425</t>
  </si>
  <si>
    <t>Companies</t>
  </si>
  <si>
    <t>Millions</t>
  </si>
  <si>
    <t>POLICY TYPES</t>
  </si>
  <si>
    <t>Micro Finance Penetration</t>
  </si>
  <si>
    <t>INSTALLED CAPACITY, GENERATION AND OTHER LEVELISING VARIABLES</t>
  </si>
  <si>
    <t>Value Chains by Energy Sector</t>
  </si>
  <si>
    <t>Investments (USDm) - Annual</t>
  </si>
  <si>
    <t>Investments (USDm) - Cum.</t>
  </si>
  <si>
    <t>USDm</t>
  </si>
  <si>
    <t>Loans, grants, grant programmes (USDm)</t>
  </si>
  <si>
    <t>Asset finance investments (USDm)</t>
  </si>
  <si>
    <t>Corporate finance investments (USDm)</t>
  </si>
  <si>
    <t>VC/PE investments (USDm)</t>
  </si>
  <si>
    <t>Small Distributed Scale (USDm)</t>
  </si>
  <si>
    <t>2.01 - Clean Energy Investments (USDm)</t>
  </si>
  <si>
    <t>Corporate Finance</t>
  </si>
  <si>
    <t>Financial Institutions in Clean Energy Contacts</t>
  </si>
  <si>
    <t>Filter Financial Institutions in Clean Energy</t>
  </si>
  <si>
    <t xml:space="preserve">Arancia Industrial </t>
  </si>
  <si>
    <t>www.arancia.com.mx</t>
  </si>
  <si>
    <t>Banco BHD</t>
  </si>
  <si>
    <t>Credit Line</t>
  </si>
  <si>
    <t>www.bhd.com.do</t>
  </si>
  <si>
    <t>Banco Bice</t>
  </si>
  <si>
    <t>Asset Finance</t>
  </si>
  <si>
    <t>www.bice.cl</t>
  </si>
  <si>
    <t xml:space="preserve">Banco Bradesco </t>
  </si>
  <si>
    <t xml:space="preserve">Asset Finance </t>
  </si>
  <si>
    <t>www.bradesco.com.br</t>
  </si>
  <si>
    <t xml:space="preserve">Banco da Amazônia </t>
  </si>
  <si>
    <t>www.bancoamazonia.com.br</t>
  </si>
  <si>
    <t xml:space="preserve">Banco de Bogotá </t>
  </si>
  <si>
    <t>www.bancodebogota.com</t>
  </si>
  <si>
    <t>Banco de Desenvolvimento de Minas Gerais</t>
  </si>
  <si>
    <t>www.bdmg.mg.gov.br</t>
  </si>
  <si>
    <t xml:space="preserve">Banco de Inversión y Comercio Exterior </t>
  </si>
  <si>
    <t>www.bice.com.ar</t>
  </si>
  <si>
    <t>Banco de la Nación Argentina</t>
  </si>
  <si>
    <t>www.bna.com.ar</t>
  </si>
  <si>
    <t>Banco de la República Oriental del Uruguay</t>
  </si>
  <si>
    <t>www.bancorepublica.com.uy</t>
  </si>
  <si>
    <t xml:space="preserve">Banco do Brasil </t>
  </si>
  <si>
    <t>www.bb.com.br</t>
  </si>
  <si>
    <t>Banco do Estado do Rio Grande do Sul</t>
  </si>
  <si>
    <t>www.banrisul.com.br</t>
  </si>
  <si>
    <t xml:space="preserve">Banco Internacional de Costa Rica </t>
  </si>
  <si>
    <t>www.bicsa.com</t>
  </si>
  <si>
    <t xml:space="preserve">Banco Internacional del Peru </t>
  </si>
  <si>
    <t>www.interbank.com.pe</t>
  </si>
  <si>
    <t xml:space="preserve">Banco Itau BBA </t>
  </si>
  <si>
    <t>Asset Finance, Corporate Finance</t>
  </si>
  <si>
    <t>www.itau.com.br</t>
  </si>
  <si>
    <t>Banco Multisectorial de Inversiones</t>
  </si>
  <si>
    <t xml:space="preserve">Credit Line, </t>
  </si>
  <si>
    <t>www.bandesal.gob.sv</t>
  </si>
  <si>
    <t xml:space="preserve">Banco Nacional de Comercio Exterior </t>
  </si>
  <si>
    <t>www.bancomext.com</t>
  </si>
  <si>
    <t>Banco Nacional de Costa Rica</t>
  </si>
  <si>
    <t>www.bncr.fi.cr</t>
  </si>
  <si>
    <t>Banco Nacional de Desenvolvimento Econômico e Social</t>
  </si>
  <si>
    <t>Asset Finance, Corporate Finance, Private Equity/Venture Capital</t>
  </si>
  <si>
    <t>www.bndes.gov.br</t>
  </si>
  <si>
    <t xml:space="preserve">Banco Nacional de Obras y Servicios Públicos </t>
  </si>
  <si>
    <t>www.banobras.gob.mx</t>
  </si>
  <si>
    <t xml:space="preserve">Banco Santander Brasil </t>
  </si>
  <si>
    <t>www.santander.com.br</t>
  </si>
  <si>
    <t xml:space="preserve">BanColombia </t>
  </si>
  <si>
    <t xml:space="preserve">Credit Line </t>
  </si>
  <si>
    <t>www.grupobancolombia.com</t>
  </si>
  <si>
    <t xml:space="preserve">BBVA Bancomer </t>
  </si>
  <si>
    <t>www.bancomer.com.mx</t>
  </si>
  <si>
    <t xml:space="preserve">BBVA Colombia </t>
  </si>
  <si>
    <t>www.bbva.com.co</t>
  </si>
  <si>
    <t>Caixa Econômica Federal</t>
  </si>
  <si>
    <t>www.caixa.gov.br</t>
  </si>
  <si>
    <t>Central American Bank for Economic Integration</t>
  </si>
  <si>
    <t>Conselho Integrado de Desenvolvimento de Minas Gerais</t>
  </si>
  <si>
    <t>www.conselhos.mg.gov.br</t>
  </si>
  <si>
    <t>Corporación Andina de Fomento</t>
  </si>
  <si>
    <t>www.caf.com</t>
  </si>
  <si>
    <t>Corporación de Fomento de la Producción</t>
  </si>
  <si>
    <t>www.corfo.cl</t>
  </si>
  <si>
    <t>Darby Stratus Administração de Investimentos</t>
  </si>
  <si>
    <t>Development Bank of Jamaica Limited</t>
  </si>
  <si>
    <t>www.dbankjm.com</t>
  </si>
  <si>
    <t>Explora Investimentos Gestão de Recursos Ltda</t>
  </si>
  <si>
    <t>www.explorainvest.com.br</t>
  </si>
  <si>
    <t>Finexim</t>
  </si>
  <si>
    <t>www.finexim.com</t>
  </si>
  <si>
    <t>First Caribbean International Bank Ltd</t>
  </si>
  <si>
    <t>www.cibcfcib.com</t>
  </si>
  <si>
    <t xml:space="preserve">Grupo Ecos </t>
  </si>
  <si>
    <t>www.grupoecos.com</t>
  </si>
  <si>
    <t xml:space="preserve">Grupo Financiero Banorte </t>
  </si>
  <si>
    <t>www.banorte.com</t>
  </si>
  <si>
    <t>Itau Unibanco</t>
  </si>
  <si>
    <t xml:space="preserve">Nacional Financiera </t>
  </si>
  <si>
    <t>www.nafin.com</t>
  </si>
  <si>
    <t xml:space="preserve">Nuevo Banco de Entre Rios </t>
  </si>
  <si>
    <t>www.nuevobersa.com.ar</t>
  </si>
  <si>
    <t xml:space="preserve">Nuevo Banco Del Chaco </t>
  </si>
  <si>
    <t>www.nbch.com.ar</t>
  </si>
  <si>
    <t xml:space="preserve">Pragma Gestão de Patrimônio </t>
  </si>
  <si>
    <t>www.ecopart.com.br</t>
  </si>
  <si>
    <t>RBTT Merchant Bank Ltd</t>
  </si>
  <si>
    <t>www.rbtt.com</t>
  </si>
  <si>
    <t>Superintendência do Desenvolvimento do Nordeste</t>
  </si>
  <si>
    <t>www.sudene.gov.br</t>
  </si>
  <si>
    <t>Unipar Participações</t>
  </si>
  <si>
    <t>www.unipar.ind.br</t>
  </si>
  <si>
    <t>Small Scale Dist.</t>
  </si>
  <si>
    <t>All Clean Energy</t>
  </si>
  <si>
    <t>BNEF DESKTOP DEALS DATABASE</t>
  </si>
  <si>
    <t>Energy Market</t>
  </si>
  <si>
    <t>Equity Finance</t>
  </si>
  <si>
    <t>Debt Finance</t>
  </si>
  <si>
    <t>Tax-Based</t>
  </si>
  <si>
    <t>Carbon Market</t>
  </si>
  <si>
    <t>Total</t>
  </si>
  <si>
    <t>Score</t>
  </si>
  <si>
    <t>Indicators</t>
  </si>
  <si>
    <t>4.01 to 5.00</t>
  </si>
  <si>
    <t>3.01 to 4.00</t>
  </si>
  <si>
    <t>2.01 to 3.01</t>
  </si>
  <si>
    <t>1.01 to 2.00</t>
  </si>
  <si>
    <t>0.00 to 1.00</t>
  </si>
  <si>
    <t>I. Enabling Framework</t>
  </si>
  <si>
    <t>II. Clean Energy Investment &amp; Climate Financing</t>
  </si>
  <si>
    <t>III. Low Carbon Value Chain</t>
  </si>
  <si>
    <t>Historical Generation (GWh)</t>
  </si>
  <si>
    <t>Historical Investments (USDm)</t>
  </si>
  <si>
    <t>Historical Capacity (MW)</t>
  </si>
  <si>
    <t>Clean Energy Capacity Factors (%)</t>
  </si>
  <si>
    <t>Clean Energy?</t>
  </si>
  <si>
    <t>BNEF DATABASE</t>
  </si>
  <si>
    <t>Show on chart?</t>
  </si>
  <si>
    <t>ADDITONAL DATA</t>
  </si>
  <si>
    <t>Database Summary</t>
  </si>
  <si>
    <t>Maximum Score</t>
  </si>
  <si>
    <t>Internal Assumptions</t>
  </si>
  <si>
    <t>PERFORMANCE</t>
  </si>
  <si>
    <t>Loans, grants, grant programs</t>
  </si>
  <si>
    <t>Carbon Offsets</t>
  </si>
  <si>
    <t>Carbon offsets future potential</t>
  </si>
  <si>
    <t>Carbon Policy</t>
  </si>
  <si>
    <t>GHG emissions reduction target</t>
  </si>
  <si>
    <t>Corporate Awareness</t>
  </si>
  <si>
    <t>Investor pressure – PRI signatories</t>
  </si>
  <si>
    <t>Corporate energy efficiency initiatives</t>
  </si>
  <si>
    <t>Corporate emission reduction policies</t>
  </si>
  <si>
    <t>Capacity building – think tanks</t>
  </si>
  <si>
    <t>Average residential electricity prices</t>
  </si>
  <si>
    <t>Carbon offsets historical activity</t>
  </si>
  <si>
    <t>GHG country registry</t>
  </si>
  <si>
    <t>Underlying</t>
  </si>
  <si>
    <t>Benchmarked</t>
  </si>
  <si>
    <t>Data</t>
  </si>
  <si>
    <t>Row Description</t>
  </si>
  <si>
    <t>Indicator Database</t>
  </si>
  <si>
    <t>Underlying Data (Backend)</t>
  </si>
  <si>
    <t>Benchmark Data (Backend)</t>
  </si>
  <si>
    <t>Column Description (Hidden)</t>
  </si>
  <si>
    <t>Benchmarked Data (Scores)</t>
  </si>
  <si>
    <t>Average commercial electricity prices</t>
  </si>
  <si>
    <t>Average industrial electricity prices</t>
  </si>
  <si>
    <t>Voluntary GHG reporting by corporates</t>
  </si>
  <si>
    <t>Capacity building – env. business training</t>
  </si>
  <si>
    <t>GHG market-based instruments</t>
  </si>
  <si>
    <t>Power Demand (MW)</t>
  </si>
  <si>
    <t xml:space="preserve">Clean Energy Investment </t>
  </si>
  <si>
    <t>&amp; Climate Financing</t>
  </si>
  <si>
    <t>GHG Management Activities</t>
  </si>
  <si>
    <t xml:space="preserve">Low-Carbon Business </t>
  </si>
  <si>
    <t>&amp; Clean Energy Value Chains</t>
  </si>
  <si>
    <t>Target</t>
  </si>
  <si>
    <t>Registry</t>
  </si>
  <si>
    <t>Program</t>
  </si>
  <si>
    <t>Projects</t>
  </si>
  <si>
    <t>Failures/Projects</t>
  </si>
  <si>
    <t>CLIMATESCOPE INDEX 2013</t>
  </si>
  <si>
    <t>Organisations</t>
  </si>
  <si>
    <t>RBG CODE (R, G, B)</t>
  </si>
  <si>
    <t>RGB(205, 218, 0)</t>
  </si>
  <si>
    <t>RGB(160, 202, 59)</t>
  </si>
  <si>
    <t>RGB(116, 187, 67)</t>
  </si>
  <si>
    <t>RGB(99, 136, 59)</t>
  </si>
  <si>
    <t>RGB(59, 92, 55)</t>
  </si>
  <si>
    <t>Defaults</t>
  </si>
  <si>
    <t>100% P1</t>
  </si>
  <si>
    <t>100% P2</t>
  </si>
  <si>
    <t>100% P3</t>
  </si>
  <si>
    <t>100% P4</t>
  </si>
  <si>
    <t>Solar - Polysilicon/ingots</t>
  </si>
  <si>
    <t>Solar - EPC</t>
  </si>
  <si>
    <t>Solar - Owner/Operator</t>
  </si>
  <si>
    <t>Wind - Operation &amp; Maintenance</t>
  </si>
  <si>
    <t>Small Hydro - Civil Works/Builder</t>
  </si>
  <si>
    <t>Small Hydro - Project Development</t>
  </si>
  <si>
    <t>date</t>
  </si>
  <si>
    <t>restructured database table (underlying data &amp; scores now side-by-side)</t>
  </si>
  <si>
    <t>added comparsion to dashboard (compare previous year scores to current)</t>
  </si>
  <si>
    <t>updated value chains (changed definitions, not data)</t>
  </si>
  <si>
    <t>added new indicators (for current year)</t>
  </si>
  <si>
    <t>updated energy data (from template, Capacity, Generation, Biofuels Production, Power Demand, Electrification Rate, Electricity Prices)</t>
  </si>
  <si>
    <t>2011 Score</t>
  </si>
  <si>
    <t>Climatescope 2012 Data (2011 Scores)</t>
  </si>
  <si>
    <t>Renuka do Brasil SA</t>
  </si>
  <si>
    <t>Equity (company)</t>
  </si>
  <si>
    <t>na</t>
  </si>
  <si>
    <t>Term loan</t>
  </si>
  <si>
    <t>Debt</t>
  </si>
  <si>
    <t>Potirendaba Catanduva Bioethanol and Power Portfolio Noble Acquisition</t>
  </si>
  <si>
    <t>Balance Sheet</t>
  </si>
  <si>
    <t>Equity</t>
  </si>
  <si>
    <t>AF33470</t>
  </si>
  <si>
    <t>Energimp Casa dos Ventos Wind Portfolio - Acquisition</t>
  </si>
  <si>
    <t>MA3700</t>
  </si>
  <si>
    <t>BVP SA</t>
  </si>
  <si>
    <t>LDC Tavares de Melo Bioethanol Portfolio Acquisition</t>
  </si>
  <si>
    <t>MA3318</t>
  </si>
  <si>
    <t>Desenvix Energias Renovaveis SA</t>
  </si>
  <si>
    <t>Equity: Strategic Stake in Public Company</t>
  </si>
  <si>
    <t>AF32486</t>
  </si>
  <si>
    <t>ERSA Rio Grande do Norte Wind Portfolio - Acquisition</t>
  </si>
  <si>
    <t>AF17079</t>
  </si>
  <si>
    <t>USJ Goias Bioethanol and Power Plant Portfolio Cargill Acquisition</t>
  </si>
  <si>
    <t>Gasification – fermentation</t>
  </si>
  <si>
    <t>AF33454</t>
  </si>
  <si>
    <t>Dobreve Casa dos Ventos Wind Portfolio -  Acquisition</t>
  </si>
  <si>
    <t>AF19674</t>
  </si>
  <si>
    <t>DESA Morro dos Ventos Wind Portfolio - Refinancing</t>
  </si>
  <si>
    <t>Construction loan</t>
  </si>
  <si>
    <t>AF33468</t>
  </si>
  <si>
    <t>Energisa Casa dos Ventos Wind Portfolio - Acquisition</t>
  </si>
  <si>
    <t>AF33508</t>
  </si>
  <si>
    <t>Acciona Oaxaca II and IV Wind Farm Bond Refinancing</t>
  </si>
  <si>
    <t>VCPE5120</t>
  </si>
  <si>
    <t>AF31510</t>
  </si>
  <si>
    <t>Santo Inacio Wind Portfolio SN Power Acquisition</t>
  </si>
  <si>
    <t>Bons Ventos Ceara Wind Portfolio Refinancing</t>
  </si>
  <si>
    <t>AF33472</t>
  </si>
  <si>
    <t>Atlantic Casa dos Ventos A-5 2011 Wind Portfolio - Acquisition</t>
  </si>
  <si>
    <t>AF31106</t>
  </si>
  <si>
    <t>Talara Cupisnique Wind Portfolio ContourGlobal Acquisition</t>
  </si>
  <si>
    <t>AF26360</t>
  </si>
  <si>
    <t>Hydro Chile Colchagua Small Hydro Portfolio Refinancing</t>
  </si>
  <si>
    <t>AF31512</t>
  </si>
  <si>
    <t>Corredor do Senandes Wind Porfolio Odebrecht Acquisition</t>
  </si>
  <si>
    <t>AF32412</t>
  </si>
  <si>
    <t>Talinay Wind Farm Enel Acquisition</t>
  </si>
  <si>
    <t>AF34218</t>
  </si>
  <si>
    <t>Brasventos Rio Grande do Norte Wind Portfolio - Refinancing</t>
  </si>
  <si>
    <t>AF26464</t>
  </si>
  <si>
    <t>Tractebel Trairi Wind Portfolio - Refinancing</t>
  </si>
  <si>
    <t>AF33680</t>
  </si>
  <si>
    <t>Valle de los Vientos Wind Farm Acquisition</t>
  </si>
  <si>
    <t>AF27962</t>
  </si>
  <si>
    <t>Acciona Oaxaca III Wind Farm Banobras &amp; BBVA Refinancing</t>
  </si>
  <si>
    <t>Impulsora Nacional de Electricidad S de RL de CV</t>
  </si>
  <si>
    <t>ETH Alcidia Bioethanol and Power Plant Acquisition</t>
  </si>
  <si>
    <t>AF28762</t>
  </si>
  <si>
    <t>Bii Nee Stipa Wind Farm Phase II Enel Acquisition</t>
  </si>
  <si>
    <t>VCPE5134</t>
  </si>
  <si>
    <t>Multiner SA</t>
  </si>
  <si>
    <t>AF33546</t>
  </si>
  <si>
    <t>Renova Energia BNDES Bridge Wind Portfolio - Refinancing</t>
  </si>
  <si>
    <t>Bridge Financing</t>
  </si>
  <si>
    <t>Boa Vista Bioethanol and Power Plant Refinancing</t>
  </si>
  <si>
    <t>AF33338</t>
  </si>
  <si>
    <t>Bii Nee Stipa Wind Farm Phase III Enel Acquisition</t>
  </si>
  <si>
    <t>AF32414</t>
  </si>
  <si>
    <t>Enel Talinay Wind Farm Refinancing</t>
  </si>
  <si>
    <t>AF34220</t>
  </si>
  <si>
    <t>Energisa Renascenca Wind Portfolio - Refinancing</t>
  </si>
  <si>
    <t>Term Loan</t>
  </si>
  <si>
    <t>AF32210</t>
  </si>
  <si>
    <t>Conduit Capital CAF Peru PV Portfolio - Acquisition</t>
  </si>
  <si>
    <t>AF6716</t>
  </si>
  <si>
    <t>Equipav Revati Bioethanol Plant Refinancing</t>
  </si>
  <si>
    <t>AF33456</t>
  </si>
  <si>
    <t>Atlantic Casa dos Ventos Wind Portfolio - Acquisition</t>
  </si>
  <si>
    <t>AF26410</t>
  </si>
  <si>
    <t>El Arrayan Wind Farm AEI Acquisition</t>
  </si>
  <si>
    <t>São Paulo (BOVESPA)</t>
  </si>
  <si>
    <t>AF29894</t>
  </si>
  <si>
    <t>Gargau Wind Farm Omega Acquisition</t>
  </si>
  <si>
    <t>AF34222</t>
  </si>
  <si>
    <t>Queiroz Galvao Ceara Wind Portfolio - Refinancing</t>
  </si>
  <si>
    <t>AF34230</t>
  </si>
  <si>
    <t>Eletrosul Santana do Livramento Wind Portfolio - Refinancing</t>
  </si>
  <si>
    <t>Santa Juliana Bioethanol and Power Plant Bunge Acquisition</t>
  </si>
  <si>
    <t>AF26182</t>
  </si>
  <si>
    <t>Eolo de Nicaragua Wind Farm Globeleq Acquisition</t>
  </si>
  <si>
    <t>Total Agroindustria Bambui Bioethanol and Power Plant Petrobras Acquisition I</t>
  </si>
  <si>
    <t>AF34244</t>
  </si>
  <si>
    <t>CPFL Renovaveis Rio Grande do Norte Wind Portfolio - Refinancing</t>
  </si>
  <si>
    <t>Glencore Rio Vermelho Bioethanol Plant Acquisition</t>
  </si>
  <si>
    <t>AF34236</t>
  </si>
  <si>
    <t>Brennand CHESF Bahia Wind Portfolio - Refinancing</t>
  </si>
  <si>
    <t>AF30010</t>
  </si>
  <si>
    <t>Bii Nee Stipa Wind Farm Phase II Refinancing</t>
  </si>
  <si>
    <t>AF20078</t>
  </si>
  <si>
    <t>Tonon Bioenergia Power Plant Portfolio Energisa Acquisition</t>
  </si>
  <si>
    <t>Acciona Oaxaca Wind Portfolio Refinancing</t>
  </si>
  <si>
    <t>Vertente Bioethanol and Power Plant Guarani Acquisition</t>
  </si>
  <si>
    <t>Paraguacu Paralcool Bioethanol Plant Nova America Acquisition</t>
  </si>
  <si>
    <t>AF21246</t>
  </si>
  <si>
    <t>EMAE Pirapora Small Hydro Plant Refinancing</t>
  </si>
  <si>
    <t>Noroeste Paulista Bioethanol and Power Plant Noble Acquisition</t>
  </si>
  <si>
    <t>AF34238</t>
  </si>
  <si>
    <t>Omega Indaia Grande and Indaiazinho Small Hydro Portfolio - Refinancing</t>
  </si>
  <si>
    <t>Unialco MS</t>
  </si>
  <si>
    <t>Comanche Clean Energy Brazil Biofuels Portfolio Acquisition</t>
  </si>
  <si>
    <t>Benalcool Bioethanol and Power Plant Cosan Acquisition</t>
  </si>
  <si>
    <t>AF26790</t>
  </si>
  <si>
    <t>Monte Redondo Wind Farm GDF Suez Acquisition</t>
  </si>
  <si>
    <t>AF30806</t>
  </si>
  <si>
    <t>Desenvix Barra dos Coqueiros Wind Farm - Refinancing</t>
  </si>
  <si>
    <t>AF33466</t>
  </si>
  <si>
    <t>CPFL Renovaveis Campos dos Ventos II Wind Farm - Acquisition</t>
  </si>
  <si>
    <t>AF11722</t>
  </si>
  <si>
    <t>CMAA Vale do Tijuco Bioethanol and Power Plant Refinancing</t>
  </si>
  <si>
    <t>AF31706</t>
  </si>
  <si>
    <t>Eletrosul Santa Catarina Small Hydro Portfolio Refinancing</t>
  </si>
  <si>
    <t>Libertad Sugar Factory Acquisition</t>
  </si>
  <si>
    <t>VCPE5866</t>
  </si>
  <si>
    <t>Usina Moema Acucar e Alcool Ltda</t>
  </si>
  <si>
    <t>EPSA Hidroprado Small Hydro Plant Acquisition</t>
  </si>
  <si>
    <t>AF19810</t>
  </si>
  <si>
    <t>Iraquara and Porto Nacional Biodiesel Plants Oleoplan Acquisition</t>
  </si>
  <si>
    <t>AF24358</t>
  </si>
  <si>
    <t>Ester Cosmopolis Power Plant CPFL Acquisition</t>
  </si>
  <si>
    <t>MA1562</t>
  </si>
  <si>
    <t>Low carbon services &amp; support</t>
  </si>
  <si>
    <t>Asset</t>
  </si>
  <si>
    <t>Sao Tome Bioethanol and Power Plant Santa Terezinha Acquisition</t>
  </si>
  <si>
    <t>AF32424</t>
  </si>
  <si>
    <t>Concepcion Biomass Plant ENESA Acquisition</t>
  </si>
  <si>
    <t>AF20120</t>
  </si>
  <si>
    <t>Destilaria Pau d'Alho Ibirarema Power Plant Refinancing</t>
  </si>
  <si>
    <t>AF24148</t>
  </si>
  <si>
    <t>Santa Terezinha Rio Parana Bioethanol Plant Pre-Construction</t>
  </si>
  <si>
    <t>Development loan</t>
  </si>
  <si>
    <t>AF29752</t>
  </si>
  <si>
    <t>Rondon Bioethanol and Power Plant Santa Terezinha Acquisition</t>
  </si>
  <si>
    <t>Pacific Hydro Energia do Brasil Ltda</t>
  </si>
  <si>
    <t>MA3844</t>
  </si>
  <si>
    <t>Electra Power Geracao de Energia SA</t>
  </si>
  <si>
    <t>Ram Power San Jacinto Geothermal Portfolio Refinancing II</t>
  </si>
  <si>
    <t>Ram Power San Jacinto Geothermal Portfolio Refinancing III</t>
  </si>
  <si>
    <t>AF27154</t>
  </si>
  <si>
    <t>Novo Gramacho Biomethane Plant Ex-Im Bank Refinancing</t>
  </si>
  <si>
    <t>Guarani Tractebel Andrade Ethanol and Power Plant Refinancing</t>
  </si>
  <si>
    <t>AF3204</t>
  </si>
  <si>
    <t>Frutal Bioethanol and Power Plant Refinancing</t>
  </si>
  <si>
    <t>AF22768</t>
  </si>
  <si>
    <t>Huanchor Small Hydro Plant Volcan Acquisition</t>
  </si>
  <si>
    <t>MA28140</t>
  </si>
  <si>
    <t>Empresa Electrica Caren SA</t>
  </si>
  <si>
    <t>Equity: Reverse Takeover</t>
  </si>
  <si>
    <t>AF34232</t>
  </si>
  <si>
    <t>Gestamp Cabeco Preto and Pedra do Reino Wind Portfolio - Refinancing</t>
  </si>
  <si>
    <t>AF30754</t>
  </si>
  <si>
    <t>Caramuru Sao Simao Ipameri Biodiesel Portfolio BNDES Refinancing I</t>
  </si>
  <si>
    <t>AF8577</t>
  </si>
  <si>
    <t>Marialva Biodiesel Plant Refinancing</t>
  </si>
  <si>
    <t>AF33852</t>
  </si>
  <si>
    <t>Porto Nacional Biodiesel Plant Granol Acquisition</t>
  </si>
  <si>
    <t>AF34224</t>
  </si>
  <si>
    <t>Copel Cavernoso II Small Hydro Plant - Refinancing</t>
  </si>
  <si>
    <t>MA3512</t>
  </si>
  <si>
    <t>Cascade Hydro Ltd</t>
  </si>
  <si>
    <t>Bonin Bioethanol and Power Plant Costa Bioenergia Acquisition</t>
  </si>
  <si>
    <t>Vale do Ivai Fronteira Bioethanol and Power Plant Acquisition</t>
  </si>
  <si>
    <t>MA3442</t>
  </si>
  <si>
    <t>Santa Cruz SA Acucar e Alcool</t>
  </si>
  <si>
    <t>Safi Nova Alvorada Ethanol Plant Acquisition</t>
  </si>
  <si>
    <t>AF30210</t>
  </si>
  <si>
    <t>Santa Cruz Bioethanol Plant Canabrava Acquisition</t>
  </si>
  <si>
    <t>Disa Bioethanol Plant Infinity Acquisition</t>
  </si>
  <si>
    <t>Monteverde Ponta Porã Bioethanol Plant Bunge Acquisition I</t>
  </si>
  <si>
    <t>VCPE4648</t>
  </si>
  <si>
    <t>AF10216</t>
  </si>
  <si>
    <t>AF31302</t>
  </si>
  <si>
    <t>Alupar Small Hydro Portfolio Acquisition</t>
  </si>
  <si>
    <t>AF31678</t>
  </si>
  <si>
    <t>Itapagipe Bioethanol and Power Plant Bunge Acquisition</t>
  </si>
  <si>
    <t>Itapagipe Bioethanol Plant Cargill Acquisition I</t>
  </si>
  <si>
    <t>AF31468</t>
  </si>
  <si>
    <t>Amyris Paraiso Brotas Next Generation Farnesene Plant Refinancing I</t>
  </si>
  <si>
    <t>Petrochemical substitutes</t>
  </si>
  <si>
    <t>Advanced biochemical</t>
  </si>
  <si>
    <t>AF31470</t>
  </si>
  <si>
    <t>Amyris Paraiso Brotas Next Generation Farnesene Plant Refinancing II</t>
  </si>
  <si>
    <t>MA3200</t>
  </si>
  <si>
    <t>AF34242</t>
  </si>
  <si>
    <t>J Malucelli Queixada Small Hydro Plant - Refinancing</t>
  </si>
  <si>
    <t>Montasa Ethanol plant Acquisition</t>
  </si>
  <si>
    <t>VCPE5068</t>
  </si>
  <si>
    <t>Hidrotenencias SA</t>
  </si>
  <si>
    <t>AF22980</t>
  </si>
  <si>
    <t>Mareña Wind Farm Mitsubishi and PGGM Acquisition</t>
  </si>
  <si>
    <t>J. Malucelli Bioenergy Wind Portfolio Acquisition</t>
  </si>
  <si>
    <t>Rosario do Sul Biodiesel Plant Camera Agro Acquisition</t>
  </si>
  <si>
    <t>AF34216</t>
  </si>
  <si>
    <t>Ventos Brasil Dunas do Paracuru Wind Farm - Refinancing</t>
  </si>
  <si>
    <t>AF34240</t>
  </si>
  <si>
    <t>Energisa Ze Tunin Small Hydro Plant - Refinancing</t>
  </si>
  <si>
    <t>EPM Ibedrola Guatemala Small Hydro Portfolio Acquisition</t>
  </si>
  <si>
    <t>AF31534</t>
  </si>
  <si>
    <t>Monteverde Ponta Porã Bioethanol Plant Bunge Acquisition II</t>
  </si>
  <si>
    <t>Guarani Sao Jose Bioethanol and Power Plant Bioethanol Expansion Refinancing</t>
  </si>
  <si>
    <t>Potirendaba Catanduva Power Plant Portfolio Cerradinho Refinancing</t>
  </si>
  <si>
    <t>CPFL Parazinho Wind Portfolio Acquisition</t>
  </si>
  <si>
    <t>AF23686</t>
  </si>
  <si>
    <t>Maple Chira Bioethanol and Power Plant Refinancing</t>
  </si>
  <si>
    <t>MA27990</t>
  </si>
  <si>
    <t>Guanhaes Energia SA</t>
  </si>
  <si>
    <t>Marialva Biodiesel Plant BSBIOS Acquisition</t>
  </si>
  <si>
    <t>Talinay Wind Farm Phase I &amp; II Vestas Acquisition</t>
  </si>
  <si>
    <t>Orzunil de Electridad Zunil Geothermal Plant Acquisition</t>
  </si>
  <si>
    <t>Ceara and Areia Branca Wind Portfolio Santander Acquisition</t>
  </si>
  <si>
    <t>AF19387</t>
  </si>
  <si>
    <t>Amyris Piracicaba Next Generation Farnesene Demonstration Plant Refinancing</t>
  </si>
  <si>
    <t>MA9598</t>
  </si>
  <si>
    <t>Senergy Sistemas de Medicao SA</t>
  </si>
  <si>
    <t>Smart Metering</t>
  </si>
  <si>
    <t>Boa Vista Bioethanol and Power Plant Mitsubishi Acquisition</t>
  </si>
  <si>
    <t>Ram Power San Jacinto Geothermal Portfolio Refinancing I</t>
  </si>
  <si>
    <t>AF20390</t>
  </si>
  <si>
    <t>Energisa Cristina Small Hydro Plant - Acquisition</t>
  </si>
  <si>
    <t>AF20750</t>
  </si>
  <si>
    <t>CPFL Atlantica Wind Portfolio Acquisition</t>
  </si>
  <si>
    <t>AF9185</t>
  </si>
  <si>
    <t>Eolica Valle Central Wind Farm Plant Refinancing</t>
  </si>
  <si>
    <t>Biovasf Petrolina Next Generation Biodiesel Commercial Plant Acquisition</t>
  </si>
  <si>
    <t>AF30916</t>
  </si>
  <si>
    <t>Colider Biodiesel Plant JBS Acquisition</t>
  </si>
  <si>
    <t>AF28712</t>
  </si>
  <si>
    <t>ALUR Paysandú Bioethanol and Power Plant Abengoa Acquisition</t>
  </si>
  <si>
    <t>Serra dos Antunes Wind Farm Acquisition</t>
  </si>
  <si>
    <t>Talinay Wind Farm Phase I &amp; II Haciendas Talinay Acquisition</t>
  </si>
  <si>
    <t>Itron Sistemas e Tecnologia Ltda</t>
  </si>
  <si>
    <t>Boa Vista Bioethanol and Power Plant Sao Martinho Acquisiton</t>
  </si>
  <si>
    <t>MA19162</t>
  </si>
  <si>
    <t>CAS Tecnologia SA</t>
  </si>
  <si>
    <t>Livramento Wind Farm Acquisition</t>
  </si>
  <si>
    <t>AF20448</t>
  </si>
  <si>
    <t>TGM Garota Cerqueira Cesar Bioethanol Plant Acquisition</t>
  </si>
  <si>
    <t>Amyris Brasil Ltda</t>
  </si>
  <si>
    <t>Jaguarao Wind Farm Acquisition</t>
  </si>
  <si>
    <t>Fortuny Arbolito Wind Farm Acquisition</t>
  </si>
  <si>
    <t>AF30756</t>
  </si>
  <si>
    <t>Caramuru Sao Simao Ipameri Biodiesel Portfolio BNDES Refinancing II</t>
  </si>
  <si>
    <t>AF21752</t>
  </si>
  <si>
    <t>El Arrayán Wind Farm Antofagasta Acquisition</t>
  </si>
  <si>
    <t>AF31372</t>
  </si>
  <si>
    <t>Santo Inacio Wind Portfolio Vale Acquisition</t>
  </si>
  <si>
    <t>AF32076</t>
  </si>
  <si>
    <t>Bioenergy Solyes PV Plant - Acquisition</t>
  </si>
  <si>
    <t>Santa Juliana Bioethanol and Power Plant Itochu Acquisition</t>
  </si>
  <si>
    <t>Manguinhos Biodiesel Plant Refinancing</t>
  </si>
  <si>
    <t>AF33544</t>
  </si>
  <si>
    <t>Hidroelectrica Cajon de Pena Small Hydro Plant Refinancing</t>
  </si>
  <si>
    <t>AF26412</t>
  </si>
  <si>
    <t>Campina Verde Bioethanol Plant Bunge Acquisition</t>
  </si>
  <si>
    <t>AF30100</t>
  </si>
  <si>
    <t>Total Agroindustria Bambui Bioethanol and Power Plant Petrobras Acquisition II</t>
  </si>
  <si>
    <t>AF10188</t>
  </si>
  <si>
    <t>Cosan Paraguacu Paralcool Bioethanol Plant Refinancing</t>
  </si>
  <si>
    <t>AF21868</t>
  </si>
  <si>
    <t>El Libertador Wind Farm IMPSA Acquisition</t>
  </si>
  <si>
    <t>AF31108</t>
  </si>
  <si>
    <t>ContourGlobal Talara Cupisnique Wind Portfolio</t>
  </si>
  <si>
    <t>AF33924</t>
  </si>
  <si>
    <t>Bordo Poniente Landfill Gas Plant</t>
  </si>
  <si>
    <t>AF33678</t>
  </si>
  <si>
    <t>Enel Valle de los Vientos Wind Farm</t>
  </si>
  <si>
    <t>AF17881</t>
  </si>
  <si>
    <t>Alvorada CPFL Power Plant</t>
  </si>
  <si>
    <t>AF31902</t>
  </si>
  <si>
    <t>CPFL Energias Renovaveis Joao Camara Wind Portfolio</t>
  </si>
  <si>
    <t>AF10537</t>
  </si>
  <si>
    <t>Guanhaes Energia Minas Gerais Small Hydro Portfolio</t>
  </si>
  <si>
    <t>AF34226</t>
  </si>
  <si>
    <t>Santander Cassino Wind Portfolio</t>
  </si>
  <si>
    <t>New Build</t>
  </si>
  <si>
    <t>AF33920</t>
  </si>
  <si>
    <t>IMPSA Malaspina I Wind Farm</t>
  </si>
  <si>
    <t>AF32220</t>
  </si>
  <si>
    <t>EdeniQ Onda Verde Vale Next Generation Bioethanol Pilot Plant</t>
  </si>
  <si>
    <t>AF34028</t>
  </si>
  <si>
    <t>Alba San pedro Wind Farm Phase I</t>
  </si>
  <si>
    <t>AF33008</t>
  </si>
  <si>
    <t>Palmatir Cuchilla de Peralta Wind Farm</t>
  </si>
  <si>
    <t>AF32172</t>
  </si>
  <si>
    <t>Sky Solar Arica PV Plant</t>
  </si>
  <si>
    <t>AF32802</t>
  </si>
  <si>
    <t>Triton Tamboril Small Hydro Plant</t>
  </si>
  <si>
    <t>AF22210</t>
  </si>
  <si>
    <t>Coopcana CPFL Power Plant</t>
  </si>
  <si>
    <t>AF34030</t>
  </si>
  <si>
    <t>Coener Ucuquer Wind Farm</t>
  </si>
  <si>
    <t>AF32800</t>
  </si>
  <si>
    <t>Triton Renic Small Hydro Plant</t>
  </si>
  <si>
    <t>AF34234</t>
  </si>
  <si>
    <t>Maue Sao Jorge Small Hydro Plant</t>
  </si>
  <si>
    <t>AF34026</t>
  </si>
  <si>
    <t>Desa Agua Zarca Small Hydro Plant</t>
  </si>
  <si>
    <t>AF31820</t>
  </si>
  <si>
    <t>Atlantic Energias Rondinha Small Hydro Plant</t>
  </si>
  <si>
    <t>AF34228</t>
  </si>
  <si>
    <t>Atlantic Eurus II Wind Farm</t>
  </si>
  <si>
    <t>AF33080</t>
  </si>
  <si>
    <t>Cemig Mineirao and Mineirinho Stadium PV Plant</t>
  </si>
  <si>
    <t>AF33332</t>
  </si>
  <si>
    <t>Forestal Leon Coelemu Biomass Plant</t>
  </si>
  <si>
    <t>AF33688</t>
  </si>
  <si>
    <t>360 Energy Chimbera II PV Plant</t>
  </si>
  <si>
    <t>AF33202</t>
  </si>
  <si>
    <t>Cascade Hydro Canchayllo Small Hydro Plant</t>
  </si>
  <si>
    <t>AF33686</t>
  </si>
  <si>
    <t>360 Energy Chimbera I PV Plant</t>
  </si>
  <si>
    <t>AF33668</t>
  </si>
  <si>
    <t>E.CL El Aguila PV Plant</t>
  </si>
  <si>
    <t>AF32806</t>
  </si>
  <si>
    <t>Cooperzem Volta Grande Small Hydro Plant</t>
  </si>
  <si>
    <t>AF31822</t>
  </si>
  <si>
    <t>Cooperluz Bela Uniao Small Hydro Plant</t>
  </si>
  <si>
    <t>AF19672</t>
  </si>
  <si>
    <t>AF19678</t>
  </si>
  <si>
    <t>AF18785</t>
  </si>
  <si>
    <t>AF3318</t>
  </si>
  <si>
    <t>Adecoagro Ivinhema Bioethanol and Power Plant</t>
  </si>
  <si>
    <t>AF14969</t>
  </si>
  <si>
    <t>AF25414</t>
  </si>
  <si>
    <t>Brennand CHESF Bahia Wind Portfolio</t>
  </si>
  <si>
    <t>AF14431</t>
  </si>
  <si>
    <t>AF19124</t>
  </si>
  <si>
    <t>AF15373</t>
  </si>
  <si>
    <t>AF28670</t>
  </si>
  <si>
    <t>Alto Alegre Alta Mogiana Power Plant Expansion III</t>
  </si>
  <si>
    <t>AF15372</t>
  </si>
  <si>
    <t>AF14549</t>
  </si>
  <si>
    <t>AF27940</t>
  </si>
  <si>
    <t>Celec Mazar Dudas Small Hydro Plant</t>
  </si>
  <si>
    <t>AF19136</t>
  </si>
  <si>
    <t>AF18418</t>
  </si>
  <si>
    <t>AF17863</t>
  </si>
  <si>
    <t>Bani Matafongo Wind Farm</t>
  </si>
  <si>
    <t>AF19135</t>
  </si>
  <si>
    <t>AF6743</t>
  </si>
  <si>
    <t>Bunge Nova Mutum Biodiesel Plant</t>
  </si>
  <si>
    <t>AF33980</t>
  </si>
  <si>
    <t>HidroPantasma Small Hydro Plant</t>
  </si>
  <si>
    <t>AF31308</t>
  </si>
  <si>
    <t>Hidromaule Providencia Small Hydro Plant</t>
  </si>
  <si>
    <t>AF19109</t>
  </si>
  <si>
    <t>AF31466</t>
  </si>
  <si>
    <t>Amyris Paraiso Brotas Next Generation Farnesene Plant</t>
  </si>
  <si>
    <t>AF18798</t>
  </si>
  <si>
    <t>AF20038</t>
  </si>
  <si>
    <t>CAPSA Diadema Wind Farm</t>
  </si>
  <si>
    <t>AF19452</t>
  </si>
  <si>
    <t>Usimat Bioethanol and Power Plant Retrofit</t>
  </si>
  <si>
    <t>AF33084</t>
  </si>
  <si>
    <t>Coazucar Casa Grande Bioethanol Plant</t>
  </si>
  <si>
    <t>AF19137</t>
  </si>
  <si>
    <t>AF18955</t>
  </si>
  <si>
    <t>Hidroelectrica del Chancay Patapo Small Hydro Plant</t>
  </si>
  <si>
    <t>AF9358</t>
  </si>
  <si>
    <t>AF11126</t>
  </si>
  <si>
    <t>Acciona Oaxaca Wind Portfolio</t>
  </si>
  <si>
    <t>AF14429</t>
  </si>
  <si>
    <t>AF6462</t>
  </si>
  <si>
    <t>AF9425</t>
  </si>
  <si>
    <t>AF10747</t>
  </si>
  <si>
    <t>Renovalia Energy Piedra Larga Wind Farm Phase I</t>
  </si>
  <si>
    <t>AF9705</t>
  </si>
  <si>
    <t>Ram Power San Jacinto II Geothermal Plant Phase I</t>
  </si>
  <si>
    <t>AF14330</t>
  </si>
  <si>
    <t>Genneia Rawson Wind Portfolio</t>
  </si>
  <si>
    <t>AF6596</t>
  </si>
  <si>
    <t>AF6712</t>
  </si>
  <si>
    <t>AF14335</t>
  </si>
  <si>
    <t>AF13617</t>
  </si>
  <si>
    <t>AF30102</t>
  </si>
  <si>
    <t>Total Agroindustria Bambui Bioethanol and Power Plant Expansion</t>
  </si>
  <si>
    <t>AF9657</t>
  </si>
  <si>
    <t>AF19209</t>
  </si>
  <si>
    <t>AF14371</t>
  </si>
  <si>
    <t>AF6602</t>
  </si>
  <si>
    <t>AF14430</t>
  </si>
  <si>
    <t>AF14372</t>
  </si>
  <si>
    <t>AF14374</t>
  </si>
  <si>
    <t>AF14235</t>
  </si>
  <si>
    <t>AFLATAM_RP23667</t>
  </si>
  <si>
    <t>AF15162</t>
  </si>
  <si>
    <t>AF25942</t>
  </si>
  <si>
    <t>Bio4 Rio Cuarto Bioethanol Plant</t>
  </si>
  <si>
    <t>AF22868</t>
  </si>
  <si>
    <t>Central Enerética de Atoyac Bioethanol and Power Plant</t>
  </si>
  <si>
    <t>AF29598</t>
  </si>
  <si>
    <t>AF16886</t>
  </si>
  <si>
    <t>AF34144</t>
  </si>
  <si>
    <t>Ingenio Palo Gordo Biomass Plant</t>
  </si>
  <si>
    <t>AF18715</t>
  </si>
  <si>
    <t>AF6909</t>
  </si>
  <si>
    <t>JPS Munro Wind Farm</t>
  </si>
  <si>
    <t>AF7931</t>
  </si>
  <si>
    <t>Electrica Yanapampa Ocros Small Hydro Plant</t>
  </si>
  <si>
    <t>AF33870</t>
  </si>
  <si>
    <t>Huixtla Sugar Refinery Biomass Plant Expansion</t>
  </si>
  <si>
    <t>AF18688</t>
  </si>
  <si>
    <t>AF14553</t>
  </si>
  <si>
    <t>AF26800</t>
  </si>
  <si>
    <t>Salto Donner II Small Hydro Plant</t>
  </si>
  <si>
    <t>AF17601</t>
  </si>
  <si>
    <t>AF6265</t>
  </si>
  <si>
    <t>AF3242</t>
  </si>
  <si>
    <t>Nova America Caarapo Biothanol and Power Plant</t>
  </si>
  <si>
    <t>AF16156</t>
  </si>
  <si>
    <t>AF4681</t>
  </si>
  <si>
    <t>AF8725</t>
  </si>
  <si>
    <t>BIOSEV Bioenergia SA</t>
  </si>
  <si>
    <t>AF5778</t>
  </si>
  <si>
    <t>Ram Power San Jacinto I Geothermal Plant Phase II</t>
  </si>
  <si>
    <t>AF20936</t>
  </si>
  <si>
    <t>Maubisa Aroeira Bioethanol and Power Plant</t>
  </si>
  <si>
    <t>AF10371</t>
  </si>
  <si>
    <t>AFLATAM_RP12440</t>
  </si>
  <si>
    <t>AF30950</t>
  </si>
  <si>
    <t>AF9006</t>
  </si>
  <si>
    <t>AF9422</t>
  </si>
  <si>
    <t>AF9682</t>
  </si>
  <si>
    <t>AF6260</t>
  </si>
  <si>
    <t>AF10180</t>
  </si>
  <si>
    <t>AF11551</t>
  </si>
  <si>
    <t>AF6582</t>
  </si>
  <si>
    <t>AF34156</t>
  </si>
  <si>
    <t>ILG DARSA Cuyotenango Bioethanol Plant</t>
  </si>
  <si>
    <t>AF30944</t>
  </si>
  <si>
    <t>Lins Biodiesel Plant Expansion</t>
  </si>
  <si>
    <t>AF9449</t>
  </si>
  <si>
    <t>AF9325</t>
  </si>
  <si>
    <t>KDM Loma Los Colorados Landfill Gas Plant Expansion I</t>
  </si>
  <si>
    <t>AF8352</t>
  </si>
  <si>
    <t>AF10023</t>
  </si>
  <si>
    <t>AF10174</t>
  </si>
  <si>
    <t>Cosan Caarapo Bioethanol Plant Expansion</t>
  </si>
  <si>
    <t>AF9642</t>
  </si>
  <si>
    <t>AF20630</t>
  </si>
  <si>
    <t>AF6595</t>
  </si>
  <si>
    <t>AF15728</t>
  </si>
  <si>
    <t>AF8052</t>
  </si>
  <si>
    <t>Desmex Aguascalientes PV Plant</t>
  </si>
  <si>
    <t>AF20490</t>
  </si>
  <si>
    <t>AF9270</t>
  </si>
  <si>
    <t>Biotins Paraiso Biodiesel Plant Expansion</t>
  </si>
  <si>
    <t>AF17603</t>
  </si>
  <si>
    <t>AF9940</t>
  </si>
  <si>
    <t>AF10186</t>
  </si>
  <si>
    <t>Dasa Serra dos Aimores Bioethanol and Power Plant</t>
  </si>
  <si>
    <t>AF10187</t>
  </si>
  <si>
    <t>AF6448</t>
  </si>
  <si>
    <t>Bunge Itochu Brazil Bioethanol and Power Plant Portfolio</t>
  </si>
  <si>
    <t>AF8493</t>
  </si>
  <si>
    <t>ETH Bioenergia Bioethanol Portfolio</t>
  </si>
  <si>
    <t>AF6777</t>
  </si>
  <si>
    <t>AF6575</t>
  </si>
  <si>
    <t>AF7045</t>
  </si>
  <si>
    <t>AF7046</t>
  </si>
  <si>
    <t>AF3955</t>
  </si>
  <si>
    <t>AF11037</t>
  </si>
  <si>
    <t>AF6653</t>
  </si>
  <si>
    <t>AF6643</t>
  </si>
  <si>
    <t>AF6601</t>
  </si>
  <si>
    <t>AF29694</t>
  </si>
  <si>
    <t>LDC-SEV Lagoa da Prata Luciania Power Plant Expansion I</t>
  </si>
  <si>
    <t>AFLATAM_RP4028</t>
  </si>
  <si>
    <t>AF6627</t>
  </si>
  <si>
    <t>Noble Meridiano Bioethanol and Power Plant</t>
  </si>
  <si>
    <t>AF10944</t>
  </si>
  <si>
    <t>Carlos Lyra Pauliceia Bioethanol and Power Plant</t>
  </si>
  <si>
    <t>AF8932</t>
  </si>
  <si>
    <t>Adecoagro Angelica Bioethanol and Power Plant II</t>
  </si>
  <si>
    <t>AFLATAM_RP17192</t>
  </si>
  <si>
    <t>AFLATAM_RP16940</t>
  </si>
  <si>
    <t>AF5401</t>
  </si>
  <si>
    <t>AF7125</t>
  </si>
  <si>
    <t>AF17492</t>
  </si>
  <si>
    <t>AF6543</t>
  </si>
  <si>
    <t>AF7777</t>
  </si>
  <si>
    <t>AF10977</t>
  </si>
  <si>
    <t>Petrobras Brazil Biodiesel Portfolio Expansion</t>
  </si>
  <si>
    <t>AF7176</t>
  </si>
  <si>
    <t>AF7681</t>
  </si>
  <si>
    <t>AF33848</t>
  </si>
  <si>
    <t>Vale do Ivai Power Plant Expansion</t>
  </si>
  <si>
    <t>AF8697</t>
  </si>
  <si>
    <t>AFLATAM_RPe</t>
  </si>
  <si>
    <t>GPC Bioethanol Plant</t>
  </si>
  <si>
    <t>AF13110</t>
  </si>
  <si>
    <t>AF8076</t>
  </si>
  <si>
    <t>Rosa dos Ventos Wind Portfolio</t>
  </si>
  <si>
    <t>AF13082</t>
  </si>
  <si>
    <t>AF6148</t>
  </si>
  <si>
    <t>AF7712</t>
  </si>
  <si>
    <t>AF13109</t>
  </si>
  <si>
    <t>AF19459</t>
  </si>
  <si>
    <t>Guyana Sugar Corp Corriverton Biomass Cofiring Plant</t>
  </si>
  <si>
    <t>AF6597</t>
  </si>
  <si>
    <t>AF23596</t>
  </si>
  <si>
    <t>Rio Vermelho Junqueiropolis Bioethanol Plant Expansion</t>
  </si>
  <si>
    <t>AF11014</t>
  </si>
  <si>
    <t>AF8331</t>
  </si>
  <si>
    <t>AF31050</t>
  </si>
  <si>
    <t>Granol Campinas Biodiesel Plant Expansion</t>
  </si>
  <si>
    <t>AF20492</t>
  </si>
  <si>
    <t>AF17605</t>
  </si>
  <si>
    <t>AF9517</t>
  </si>
  <si>
    <t>AF7474</t>
  </si>
  <si>
    <t>AF17597</t>
  </si>
  <si>
    <t>AF7822</t>
  </si>
  <si>
    <t>AF14075</t>
  </si>
  <si>
    <t>AF13080</t>
  </si>
  <si>
    <t>AFLATAM_RP18359</t>
  </si>
  <si>
    <t>AF19754</t>
  </si>
  <si>
    <t>AF7689</t>
  </si>
  <si>
    <t>AF6685</t>
  </si>
  <si>
    <t>AF8696</t>
  </si>
  <si>
    <t>AFLATAM_RP19965</t>
  </si>
  <si>
    <t>AF7460</t>
  </si>
  <si>
    <t>AFLATAM_RPj</t>
  </si>
  <si>
    <t>AF6738</t>
  </si>
  <si>
    <t>Binatural Formosa Biodiesel Plant Expansion I</t>
  </si>
  <si>
    <t>AF4223</t>
  </si>
  <si>
    <t>AF9463</t>
  </si>
  <si>
    <t>ALUR COUSA Montevideo Biodiesel Plant</t>
  </si>
  <si>
    <t>AF6605</t>
  </si>
  <si>
    <t>AFLATAM_RP32520</t>
  </si>
  <si>
    <t>AFLATAM_RP19966</t>
  </si>
  <si>
    <t>AF6731</t>
  </si>
  <si>
    <t>AF7717</t>
  </si>
  <si>
    <t>AFLATAM_RP12552</t>
  </si>
  <si>
    <t>Embare Industrias Alimenticias Lagoa da Prata Biogas Plant</t>
  </si>
  <si>
    <t>AFLATAM_RP7607</t>
  </si>
  <si>
    <t>Qualix Feira de Santana Landfill Gas Plant</t>
  </si>
  <si>
    <t>AF6966</t>
  </si>
  <si>
    <t>PM1354</t>
  </si>
  <si>
    <t>AF17321</t>
  </si>
  <si>
    <t>Bons Ventos Ceara Wind Portfolio</t>
  </si>
  <si>
    <t>AF4947</t>
  </si>
  <si>
    <t>Adecoagro Angelica Bioethanol and Power Plant</t>
  </si>
  <si>
    <t>AF5175</t>
  </si>
  <si>
    <t>AF17571</t>
  </si>
  <si>
    <t>AF7682</t>
  </si>
  <si>
    <t>Potirendaba Power Plant Expansion</t>
  </si>
  <si>
    <t>AF4577</t>
  </si>
  <si>
    <t>AF5324</t>
  </si>
  <si>
    <t>AF5295</t>
  </si>
  <si>
    <t>AF20634</t>
  </si>
  <si>
    <t>Biocapital Charqueada Biodiesel Plant Expansion</t>
  </si>
  <si>
    <t>AF6200</t>
  </si>
  <si>
    <t>AFLATAM_RP14391</t>
  </si>
  <si>
    <t>AF4679</t>
  </si>
  <si>
    <t>AF4726</t>
  </si>
  <si>
    <t>AF4678</t>
  </si>
  <si>
    <t>AF4757</t>
  </si>
  <si>
    <t>AFLATAM_RP25586</t>
  </si>
  <si>
    <t>AFLATAM_RP13757</t>
  </si>
  <si>
    <t>AF9562</t>
  </si>
  <si>
    <t>AF9215</t>
  </si>
  <si>
    <t>AF4699</t>
  </si>
  <si>
    <t>AF8250</t>
  </si>
  <si>
    <t>AFLATAM_RP25575</t>
  </si>
  <si>
    <t>AF25240</t>
  </si>
  <si>
    <t>Aceitera General Deheza Biomass Plant</t>
  </si>
  <si>
    <t>AF4637</t>
  </si>
  <si>
    <t>AF3593</t>
  </si>
  <si>
    <t>AFLATAM_RP25576</t>
  </si>
  <si>
    <t>AF34152</t>
  </si>
  <si>
    <t>Ingenio Magdalena Bioethanol and Power Plant</t>
  </si>
  <si>
    <t>AFLATAM_RP7587</t>
  </si>
  <si>
    <t>AF19271</t>
  </si>
  <si>
    <t>Zanin Araraquara Bioethanol and Power Plant Expansion</t>
  </si>
  <si>
    <t>AF6554</t>
  </si>
  <si>
    <t>AF4613</t>
  </si>
  <si>
    <t>AFLATAM_RP22410</t>
  </si>
  <si>
    <t>AFLATAM_RPb</t>
  </si>
  <si>
    <t>AFLATAM_RP19847</t>
  </si>
  <si>
    <t>AFLATAM_RPh</t>
  </si>
  <si>
    <t>AFLATAM_RP15968</t>
  </si>
  <si>
    <t>Global Combustiveis Uruacu Bioethanol Plant</t>
  </si>
  <si>
    <t>AF6577</t>
  </si>
  <si>
    <t>AF4962</t>
  </si>
  <si>
    <t>AF7109</t>
  </si>
  <si>
    <t>AF6483</t>
  </si>
  <si>
    <t>AF7110</t>
  </si>
  <si>
    <t>AF17595</t>
  </si>
  <si>
    <t>AFLATAM_RP22409</t>
  </si>
  <si>
    <t>AF9979</t>
  </si>
  <si>
    <t>AF10527</t>
  </si>
  <si>
    <t>AF17385</t>
  </si>
  <si>
    <t>AFLATAM_RPd</t>
  </si>
  <si>
    <t>Frigorifico Concepcion Biodiesel Plant</t>
  </si>
  <si>
    <t>AF1895</t>
  </si>
  <si>
    <t>AFLATAM_RP17411</t>
  </si>
  <si>
    <t>AFLATAM_RP18876</t>
  </si>
  <si>
    <t>AFLATAM_RP17193</t>
  </si>
  <si>
    <t>AF3323</t>
  </si>
  <si>
    <t>AF3320</t>
  </si>
  <si>
    <t>Ouroeste Bioethanol and Power Plant</t>
  </si>
  <si>
    <t>AF4657</t>
  </si>
  <si>
    <t>AF19760</t>
  </si>
  <si>
    <t>AF19762</t>
  </si>
  <si>
    <t>AFLATAM_RP7544</t>
  </si>
  <si>
    <t>AFLATAM_RPa</t>
  </si>
  <si>
    <t>AF2793</t>
  </si>
  <si>
    <t>AF6980</t>
  </si>
  <si>
    <t>AF4964</t>
  </si>
  <si>
    <t>AFLATAM_RP8479</t>
  </si>
  <si>
    <t>AF4653</t>
  </si>
  <si>
    <t>AFLATAM_RP16053</t>
  </si>
  <si>
    <t>AF4391</t>
  </si>
  <si>
    <t>AFLATAM_RP18353</t>
  </si>
  <si>
    <t>AF3312</t>
  </si>
  <si>
    <t>AFLATAM_RP14591</t>
  </si>
  <si>
    <t>AFLATAM_RP8531</t>
  </si>
  <si>
    <t>AF6975</t>
  </si>
  <si>
    <t>AF198</t>
  </si>
  <si>
    <t>Ram Power San Jacinto I Geothermal Plant Phase I</t>
  </si>
  <si>
    <t>AFLATAM_RPc</t>
  </si>
  <si>
    <t>AF9341</t>
  </si>
  <si>
    <t>AF6822</t>
  </si>
  <si>
    <t>AF20488</t>
  </si>
  <si>
    <t>AFLATAM_RP13801</t>
  </si>
  <si>
    <t>AF10526</t>
  </si>
  <si>
    <t>AF8718</t>
  </si>
  <si>
    <t>AFLATAM_RP8513</t>
  </si>
  <si>
    <t>AF3345</t>
  </si>
  <si>
    <t>AFLATAM_RP13802</t>
  </si>
  <si>
    <t>AF6863</t>
  </si>
  <si>
    <t>Colider Biodiesel Plant</t>
  </si>
  <si>
    <t>AF17491</t>
  </si>
  <si>
    <t>AF20450</t>
  </si>
  <si>
    <t>Infinity Disa Power Plant</t>
  </si>
  <si>
    <t>AF19826</t>
  </si>
  <si>
    <t>AFLATAM_RP7528</t>
  </si>
  <si>
    <t>AF19676</t>
  </si>
  <si>
    <t>AFLATAM_RP13179</t>
  </si>
  <si>
    <t>AF6489</t>
  </si>
  <si>
    <t>AFLATAM_RP7556</t>
  </si>
  <si>
    <t>AF30514</t>
  </si>
  <si>
    <t>Verace Wind Portfolio</t>
  </si>
  <si>
    <t>AF16310</t>
  </si>
  <si>
    <t>Energisa Renascenca Wind Portfolio</t>
  </si>
  <si>
    <t>AF18725</t>
  </si>
  <si>
    <t>Nova Fronteira Boa Vista Biothanol and Power Plant Expansion II</t>
  </si>
  <si>
    <t>AF18689</t>
  </si>
  <si>
    <t>Gestamp, Solarpack &amp; Conduit Capital Partners Peru PV Portfolio</t>
  </si>
  <si>
    <t>AF14185</t>
  </si>
  <si>
    <t>CPFL Renovaveis Rio Grande do Norte Wind Portfolio</t>
  </si>
  <si>
    <t>PM4920</t>
  </si>
  <si>
    <t>AF16832</t>
  </si>
  <si>
    <t>ERB Dow Aratu Biomass Plant</t>
  </si>
  <si>
    <t>AF31312</t>
  </si>
  <si>
    <t>Electronic JRC Monte Plata PV Plant</t>
  </si>
  <si>
    <t>Syndicated Equity</t>
  </si>
  <si>
    <t>AF28334</t>
  </si>
  <si>
    <t>REM Los Altos Wind Farm</t>
  </si>
  <si>
    <t>AF28618</t>
  </si>
  <si>
    <t>CORPOELEC Guajira Wind Farm Phase I</t>
  </si>
  <si>
    <t>AF29652</t>
  </si>
  <si>
    <t>CFE Los Azufres Geothermal Project Phase III</t>
  </si>
  <si>
    <t>AF30226</t>
  </si>
  <si>
    <t>Codelco Minera Gaby Solar Thermal Plant</t>
  </si>
  <si>
    <t>STEG – Parabolic trough</t>
  </si>
  <si>
    <t>AF28850</t>
  </si>
  <si>
    <t>Conduit Capital Partners Santa Catarina Wind Farm</t>
  </si>
  <si>
    <t>AF28124</t>
  </si>
  <si>
    <t>BP Tropical Edeia I Power Plant Expansion</t>
  </si>
  <si>
    <t>AF28750</t>
  </si>
  <si>
    <t>Oleoplan Ponta Grossa Biodiesel Plant</t>
  </si>
  <si>
    <t>VCPE5680</t>
  </si>
  <si>
    <t>Latin America Power</t>
  </si>
  <si>
    <t>AF32590</t>
  </si>
  <si>
    <t>ICE Miravalles PV Plant</t>
  </si>
  <si>
    <t>AF33548</t>
  </si>
  <si>
    <t>Aeropuerto del Cibao Santiago de los Caballeros PV Plant</t>
  </si>
  <si>
    <t>AF28338</t>
  </si>
  <si>
    <t>Karl Kuhlemann Small Hydro Plant</t>
  </si>
  <si>
    <t>AF31098</t>
  </si>
  <si>
    <t>SelRay La Huayca PV Plant Phase I</t>
  </si>
  <si>
    <t>AF17889</t>
  </si>
  <si>
    <t>PM3648</t>
  </si>
  <si>
    <t>AF28508</t>
  </si>
  <si>
    <t>Bii Nee Stipa Wind Farm Phase II</t>
  </si>
  <si>
    <t>AF17818</t>
  </si>
  <si>
    <t>Grupo Farias Taquarituba Bioethanol Plant</t>
  </si>
  <si>
    <t>AF18486</t>
  </si>
  <si>
    <t>AF20222</t>
  </si>
  <si>
    <t>AF14723</t>
  </si>
  <si>
    <t>AF17856</t>
  </si>
  <si>
    <t>AF33674</t>
  </si>
  <si>
    <t>GENISA Barro Blanco Small Hydro Plant</t>
  </si>
  <si>
    <t>AF12993</t>
  </si>
  <si>
    <t>AF25152</t>
  </si>
  <si>
    <t>Bioenergy Aratua I and Miassaba II Wind Portfolio</t>
  </si>
  <si>
    <t>AF27366</t>
  </si>
  <si>
    <t>PdVSA Barinas Bioethanol and Power Plant</t>
  </si>
  <si>
    <t>AF18392</t>
  </si>
  <si>
    <t>AF29696</t>
  </si>
  <si>
    <t>LDC-SEV Lagoa da Prata Luciania Power Plant Expansion II</t>
  </si>
  <si>
    <t>AF18419</t>
  </si>
  <si>
    <t>AF18391</t>
  </si>
  <si>
    <t>AF20080</t>
  </si>
  <si>
    <t>AF28336</t>
  </si>
  <si>
    <t>REM Arriaga Wind Farm</t>
  </si>
  <si>
    <t>AF18228</t>
  </si>
  <si>
    <t>AF33772</t>
  </si>
  <si>
    <t>Abengoa Sao Luiz Bioethanol and Power Plant Expansion</t>
  </si>
  <si>
    <t>AF2504</t>
  </si>
  <si>
    <t>AF18315</t>
  </si>
  <si>
    <t>AF29602</t>
  </si>
  <si>
    <t>Camera Agroalimentos Ijui Biodiesel Plant Expansion</t>
  </si>
  <si>
    <t>AF18411</t>
  </si>
  <si>
    <t>AF18415</t>
  </si>
  <si>
    <t>AF19153</t>
  </si>
  <si>
    <t>AF28710</t>
  </si>
  <si>
    <t>ALUR Capurro Biodiesel Plant</t>
  </si>
  <si>
    <t>AF18775</t>
  </si>
  <si>
    <t>AF30742</t>
  </si>
  <si>
    <t>Geo Energetica Coopcana Sao Carlos do Ivai Biogas Plant</t>
  </si>
  <si>
    <t>AF18787</t>
  </si>
  <si>
    <t>AF19824</t>
  </si>
  <si>
    <t>AF28860</t>
  </si>
  <si>
    <t>Celsia Colinversiones Zone PV Plant</t>
  </si>
  <si>
    <t>AF20414</t>
  </si>
  <si>
    <t>AF19495</t>
  </si>
  <si>
    <t>AF18799</t>
  </si>
  <si>
    <t>AF31146</t>
  </si>
  <si>
    <t>ABB Campus San Luis Potosi PV Plant</t>
  </si>
  <si>
    <t>AF13170</t>
  </si>
  <si>
    <t>AF13108</t>
  </si>
  <si>
    <t>AF11162</t>
  </si>
  <si>
    <t>Desenvix Brotas de Macaubas Wind Portfolio</t>
  </si>
  <si>
    <t>AF12848</t>
  </si>
  <si>
    <t>AF17880</t>
  </si>
  <si>
    <t>AF12709</t>
  </si>
  <si>
    <t>PM2304</t>
  </si>
  <si>
    <t>AF8970</t>
  </si>
  <si>
    <t>AF6486</t>
  </si>
  <si>
    <t>AF25160</t>
  </si>
  <si>
    <t>Bioverde Taubate Biodiesel Plant Expansion II</t>
  </si>
  <si>
    <t>AF11053</t>
  </si>
  <si>
    <t>UTE Sierra de los Caracoles Wind Farm Phase II</t>
  </si>
  <si>
    <t>AF13083</t>
  </si>
  <si>
    <t>AF13111</t>
  </si>
  <si>
    <t>AFLATAM_RPi</t>
  </si>
  <si>
    <t>AF18035</t>
  </si>
  <si>
    <t>AF20446</t>
  </si>
  <si>
    <t>Binatural Formosa Biodiesel Plant Expansion III</t>
  </si>
  <si>
    <t>AF12718</t>
  </si>
  <si>
    <t>AF20438</t>
  </si>
  <si>
    <t>Amazonbio Ji Parana Biodiesel Plant Expansion</t>
  </si>
  <si>
    <t>AF13144</t>
  </si>
  <si>
    <t>AF13088</t>
  </si>
  <si>
    <t>AF13060</t>
  </si>
  <si>
    <t>AF6940</t>
  </si>
  <si>
    <t>AF7080</t>
  </si>
  <si>
    <t>AF9259</t>
  </si>
  <si>
    <t>AF30452</t>
  </si>
  <si>
    <t>Noble Noroeste Paulista Bioethanol Plant Expansion II</t>
  </si>
  <si>
    <t>AF9161</t>
  </si>
  <si>
    <t>AF6711</t>
  </si>
  <si>
    <t>AFLATAM_RP14849</t>
  </si>
  <si>
    <t>AF8789</t>
  </si>
  <si>
    <t>AF8980</t>
  </si>
  <si>
    <t>AF21004</t>
  </si>
  <si>
    <t>Fatima do Sul Bioethanol Plant</t>
  </si>
  <si>
    <t>AF8824</t>
  </si>
  <si>
    <t>AF21206</t>
  </si>
  <si>
    <t>Aurora Anaurilandia Bioethanol Plant</t>
  </si>
  <si>
    <t>AF6978</t>
  </si>
  <si>
    <t>AF11937</t>
  </si>
  <si>
    <t>AF7102</t>
  </si>
  <si>
    <t>AF19066</t>
  </si>
  <si>
    <t>AF10179</t>
  </si>
  <si>
    <t>AF10178</t>
  </si>
  <si>
    <t>AF9170</t>
  </si>
  <si>
    <t>AF9169</t>
  </si>
  <si>
    <t>AF6648</t>
  </si>
  <si>
    <t>AF9514</t>
  </si>
  <si>
    <t>AF8778</t>
  </si>
  <si>
    <t>AF6960</t>
  </si>
  <si>
    <t>Consorcio Eolico Constitucion 1 Wind Farm</t>
  </si>
  <si>
    <t>AF30014</t>
  </si>
  <si>
    <t>Itaiquara Passos Power Plant</t>
  </si>
  <si>
    <t>AF8979</t>
  </si>
  <si>
    <t>AF7468</t>
  </si>
  <si>
    <t>AF12559</t>
  </si>
  <si>
    <t>AES San Nicolas CTSN Biomass Cofiring Power Plant</t>
  </si>
  <si>
    <t>AF8825</t>
  </si>
  <si>
    <t>AF8812</t>
  </si>
  <si>
    <t>AF20494</t>
  </si>
  <si>
    <t>AF20444</t>
  </si>
  <si>
    <t>Binatural Formosa Biodiesel Plant Expansion II</t>
  </si>
  <si>
    <t>AF8788</t>
  </si>
  <si>
    <t>Adecoagro Monte Alegre Power Plant</t>
  </si>
  <si>
    <t>AF9038</t>
  </si>
  <si>
    <t>AF9324</t>
  </si>
  <si>
    <t>Impsa Brazil Wind Portfolio</t>
  </si>
  <si>
    <t>AF10994</t>
  </si>
  <si>
    <t>AF6592</t>
  </si>
  <si>
    <t>AF9319</t>
  </si>
  <si>
    <t>AF31014</t>
  </si>
  <si>
    <t>Caibiense Rondonopolis Biodiesel Plant Expansion</t>
  </si>
  <si>
    <t>AF29596</t>
  </si>
  <si>
    <t>Biopar Parecis Nova Marilandia Biodiesel Plant Expansion</t>
  </si>
  <si>
    <t>AFLATAM_RP30975</t>
  </si>
  <si>
    <t>AF30822</t>
  </si>
  <si>
    <t>Fertibom Catanduva Biodiesel Plant Expansion III</t>
  </si>
  <si>
    <t>AF8976</t>
  </si>
  <si>
    <t>AF6425</t>
  </si>
  <si>
    <t>AF7111</t>
  </si>
  <si>
    <t>AF8971</t>
  </si>
  <si>
    <t>AF10772</t>
  </si>
  <si>
    <t>AF6682</t>
  </si>
  <si>
    <t>Brenco Mato Grosso and Goias Bioethanol Portfolio</t>
  </si>
  <si>
    <t>PM1752</t>
  </si>
  <si>
    <t>AF6248</t>
  </si>
  <si>
    <t>LDC Usina Rio Brilhante Bioethanol and Power Plant</t>
  </si>
  <si>
    <t>AF6172</t>
  </si>
  <si>
    <t>AF6378</t>
  </si>
  <si>
    <t>AF6664</t>
  </si>
  <si>
    <t>AF6216</t>
  </si>
  <si>
    <t>AF7679</t>
  </si>
  <si>
    <t>Santa Terezinha Paranacity Bioethanol and Power Plant Expansion</t>
  </si>
  <si>
    <t>AF3773</t>
  </si>
  <si>
    <t>AF6209</t>
  </si>
  <si>
    <t>AF6217</t>
  </si>
  <si>
    <t>AF3511</t>
  </si>
  <si>
    <t>AF6364</t>
  </si>
  <si>
    <t>AF7694</t>
  </si>
  <si>
    <t>Total Agroindustria Bioethanol and Power Plant</t>
  </si>
  <si>
    <t>AF6626</t>
  </si>
  <si>
    <t>Noble Noroeste Paulista Bioethanol Plant Expansion I</t>
  </si>
  <si>
    <t>AF9503</t>
  </si>
  <si>
    <t>AF27054</t>
  </si>
  <si>
    <t>AF3591</t>
  </si>
  <si>
    <t>AF7684</t>
  </si>
  <si>
    <t>AF7017</t>
  </si>
  <si>
    <t>AFLATAM_RP20087</t>
  </si>
  <si>
    <t>AF18468</t>
  </si>
  <si>
    <t>AF10771</t>
  </si>
  <si>
    <t>AF6600</t>
  </si>
  <si>
    <t>AF6149</t>
  </si>
  <si>
    <t>AF5250</t>
  </si>
  <si>
    <t>AF7683</t>
  </si>
  <si>
    <t>Cocamar Maringa Biomass Plant</t>
  </si>
  <si>
    <t>AF7473</t>
  </si>
  <si>
    <t>AF29900</t>
  </si>
  <si>
    <t>Santa Terezinha Ivate Power Plant Expansion</t>
  </si>
  <si>
    <t>AF27486</t>
  </si>
  <si>
    <t>Juan M Teran Santa Barbara Power Plant Expansion</t>
  </si>
  <si>
    <t>AF7685</t>
  </si>
  <si>
    <t>AF7678</t>
  </si>
  <si>
    <t>AF12928</t>
  </si>
  <si>
    <t>AFLATAM_RP23998</t>
  </si>
  <si>
    <t>AFLATAM_RP17586</t>
  </si>
  <si>
    <t>AFLATAM_RP19484</t>
  </si>
  <si>
    <t>AF4392</t>
  </si>
  <si>
    <t>Energreen Abarmar Relleno Norte Landfill Gas Plant</t>
  </si>
  <si>
    <t>AF7126</t>
  </si>
  <si>
    <t>AF32812</t>
  </si>
  <si>
    <t>Equipav Revati Bioethanol Plant</t>
  </si>
  <si>
    <t>PM1146</t>
  </si>
  <si>
    <t>AF8080</t>
  </si>
  <si>
    <t>AF4189</t>
  </si>
  <si>
    <t>AF4191</t>
  </si>
  <si>
    <t>Monteverde Ponta Porã Bioethanol and Power Plant</t>
  </si>
  <si>
    <t>AFLATAM_RP14066</t>
  </si>
  <si>
    <t>AF4214</t>
  </si>
  <si>
    <t>AF4224</t>
  </si>
  <si>
    <t>AF4406</t>
  </si>
  <si>
    <t>AF4476</t>
  </si>
  <si>
    <t>AF4404</t>
  </si>
  <si>
    <t>AF4258</t>
  </si>
  <si>
    <t>AFLATAM_RP15623</t>
  </si>
  <si>
    <t>AF8507</t>
  </si>
  <si>
    <t>AF8078</t>
  </si>
  <si>
    <t>AF8079</t>
  </si>
  <si>
    <t>AF4076</t>
  </si>
  <si>
    <t>AF4079</t>
  </si>
  <si>
    <t>AF8799</t>
  </si>
  <si>
    <t>Bonin Bioethanol and Power Plant</t>
  </si>
  <si>
    <t>AF4501</t>
  </si>
  <si>
    <t>AF4405</t>
  </si>
  <si>
    <t>AF9519</t>
  </si>
  <si>
    <t>AF6451</t>
  </si>
  <si>
    <t>AF7375</t>
  </si>
  <si>
    <t>AF4316</t>
  </si>
  <si>
    <t>AF4077</t>
  </si>
  <si>
    <t>AF4075</t>
  </si>
  <si>
    <t>AF30820</t>
  </si>
  <si>
    <t>Fertibom Catanduva Biodiesel Plant Expansion II</t>
  </si>
  <si>
    <t>AF6559</t>
  </si>
  <si>
    <t>AF4394</t>
  </si>
  <si>
    <t>AF11073</t>
  </si>
  <si>
    <t>AF4231</t>
  </si>
  <si>
    <t>AFLATAM_RP12566</t>
  </si>
  <si>
    <t>AF6868</t>
  </si>
  <si>
    <t>Frigol Lencois Paulistas Biodiesel Plant</t>
  </si>
  <si>
    <t>AF9072</t>
  </si>
  <si>
    <t>AFLATAM_RP15349</t>
  </si>
  <si>
    <t>AF4451</t>
  </si>
  <si>
    <t>AF10733</t>
  </si>
  <si>
    <t>AF4738</t>
  </si>
  <si>
    <t>AF3218</t>
  </si>
  <si>
    <t>AFLATAM_RP13724</t>
  </si>
  <si>
    <t>AF3105</t>
  </si>
  <si>
    <t>AF2855</t>
  </si>
  <si>
    <t>AF3260</t>
  </si>
  <si>
    <t>Agrenco Brazil Biodiesel Portfolio</t>
  </si>
  <si>
    <t>AF8536</t>
  </si>
  <si>
    <t>AF3163</t>
  </si>
  <si>
    <t>AFLATAM_RP19785</t>
  </si>
  <si>
    <t>AF4105</t>
  </si>
  <si>
    <t>AFLATAM_RP3353</t>
  </si>
  <si>
    <t>AF7016</t>
  </si>
  <si>
    <t>AFLATAM_RP14845</t>
  </si>
  <si>
    <t>AFLATAM_RP17403</t>
  </si>
  <si>
    <t>AF9110</t>
  </si>
  <si>
    <t>AF2908</t>
  </si>
  <si>
    <t>Coruripe Carneirinho Biomass Plant</t>
  </si>
  <si>
    <t>AFLATAM_RP15336</t>
  </si>
  <si>
    <t>AF17600</t>
  </si>
  <si>
    <t>AF3176</t>
  </si>
  <si>
    <t>AF19926</t>
  </si>
  <si>
    <t>AF2377</t>
  </si>
  <si>
    <t>Lins Biodiesel Plant</t>
  </si>
  <si>
    <t>AFLATAM_RP14346</t>
  </si>
  <si>
    <t>AF3166</t>
  </si>
  <si>
    <t>AF6733</t>
  </si>
  <si>
    <t>AFLATAM_RP7479</t>
  </si>
  <si>
    <t>AF9419</t>
  </si>
  <si>
    <t>AF3134</t>
  </si>
  <si>
    <t>KDM Loma Los Colorados Landfill Gas Pilot Plant</t>
  </si>
  <si>
    <t>AF6869</t>
  </si>
  <si>
    <t>Innovatti Mairinque Biodiesel Plant</t>
  </si>
  <si>
    <t>AF33542</t>
  </si>
  <si>
    <t>Hidroelectrica Cajon de Pena Small Hydro Plant</t>
  </si>
  <si>
    <t>AF17467</t>
  </si>
  <si>
    <t>AF26494</t>
  </si>
  <si>
    <t>Enel Brazil, Romania &amp; US Wind Portfolio</t>
  </si>
  <si>
    <t>AF27530</t>
  </si>
  <si>
    <t>Iberdrola Neoenergia Rio Grande do Norte &amp; Bahia Wind Portfolio II</t>
  </si>
  <si>
    <t>AF19878</t>
  </si>
  <si>
    <t>El Arrayán Wind Farm</t>
  </si>
  <si>
    <t>AF33340</t>
  </si>
  <si>
    <t>Bii Nee Stipa Wind Farm Phase III</t>
  </si>
  <si>
    <t>AF19568</t>
  </si>
  <si>
    <t>Eletrosul Santana do Livramento Wind Portfolio</t>
  </si>
  <si>
    <t>AF26184</t>
  </si>
  <si>
    <t>Eolo de Nicaragua Wind Farm</t>
  </si>
  <si>
    <t>AF27884</t>
  </si>
  <si>
    <t>EGE Haina Los Cocos Wind Farm Phase II</t>
  </si>
  <si>
    <t>AF32004</t>
  </si>
  <si>
    <t>Sonora Energy SEGH-CFE 1 PV Plant</t>
  </si>
  <si>
    <t>AF28956</t>
  </si>
  <si>
    <t>Solazyme Bunge Moema Next Generation Renewable Oil Plant</t>
  </si>
  <si>
    <t>AF8966</t>
  </si>
  <si>
    <t>Seresta Teotonio Vilela Areva Power Plant Expansion</t>
  </si>
  <si>
    <t>AF31566</t>
  </si>
  <si>
    <t>Alba Rivas Wind Farm</t>
  </si>
  <si>
    <t>AF27770</t>
  </si>
  <si>
    <t>Mega Brasil Energia Inxu Small Hydro Plant</t>
  </si>
  <si>
    <t>AF26238</t>
  </si>
  <si>
    <t>KDM Loma Los Colorados Landfill Gas Plant Expansion II</t>
  </si>
  <si>
    <t>AF27110</t>
  </si>
  <si>
    <t>Cambara Embauba Small Hydro Portfolio</t>
  </si>
  <si>
    <t>AF26254</t>
  </si>
  <si>
    <t>Abengoa El Tesoro Solar Thermal Plant</t>
  </si>
  <si>
    <t>AF26886</t>
  </si>
  <si>
    <t>IHSA El Diamante Small Hydro Plant</t>
  </si>
  <si>
    <t>AF14053</t>
  </si>
  <si>
    <t>Cemig Solaria Sete Lagoas PV Plant</t>
  </si>
  <si>
    <t>AF31402</t>
  </si>
  <si>
    <t>Rio Huasco Small Hydro Plant</t>
  </si>
  <si>
    <t>AF31818</t>
  </si>
  <si>
    <t>CPFL Renovaveis Tanquinho PV Plant</t>
  </si>
  <si>
    <t>AF32444</t>
  </si>
  <si>
    <t>Marersa CFE Rosarito Wave Pilot Plant</t>
  </si>
  <si>
    <t>AF26362</t>
  </si>
  <si>
    <t>Solaria Quito PV Plant Phase I</t>
  </si>
  <si>
    <t>AF31570</t>
  </si>
  <si>
    <t>Minera Dayton Andacollo PV Plant</t>
  </si>
  <si>
    <t>AF17622</t>
  </si>
  <si>
    <t>AF17058</t>
  </si>
  <si>
    <t>AF17233</t>
  </si>
  <si>
    <t>AF17027</t>
  </si>
  <si>
    <t>AF10162</t>
  </si>
  <si>
    <t>Gestamp Wind Portfolio</t>
  </si>
  <si>
    <t>AF27108</t>
  </si>
  <si>
    <t>CMAA Vale do Tijuco Power Plant Expansion</t>
  </si>
  <si>
    <t>AF17254</t>
  </si>
  <si>
    <t>AF17627</t>
  </si>
  <si>
    <t>AF3276</t>
  </si>
  <si>
    <t>AF19281</t>
  </si>
  <si>
    <t>AF18909</t>
  </si>
  <si>
    <t>AF33682</t>
  </si>
  <si>
    <t>Electrogeneradora del Istmo Mendre 2 Small Hydro Plant</t>
  </si>
  <si>
    <t>AF17626</t>
  </si>
  <si>
    <t>VCPE4656</t>
  </si>
  <si>
    <t>Energreen Cancun SAPI de CV</t>
  </si>
  <si>
    <t>AFLATAM_RP37232</t>
  </si>
  <si>
    <t>AF22462</t>
  </si>
  <si>
    <t>360 Energy Cañada Honda II PV Plant</t>
  </si>
  <si>
    <t>AF30812</t>
  </si>
  <si>
    <t>Cooperbio Cuiaba Biodiesel Plant Expansion</t>
  </si>
  <si>
    <t>AF22460</t>
  </si>
  <si>
    <t>360 Energy Cañada Honda I PV Plant</t>
  </si>
  <si>
    <t>AF18023</t>
  </si>
  <si>
    <t>CFE Microm Santa Rosalia Pilot PV Plant</t>
  </si>
  <si>
    <t>AF10525</t>
  </si>
  <si>
    <t>San Nicholas Landfill Gas Plant</t>
  </si>
  <si>
    <t>AF20412</t>
  </si>
  <si>
    <t>Solarpack Codelco Calama 3 PV Plant</t>
  </si>
  <si>
    <t>AF4469</t>
  </si>
  <si>
    <t>Brenco ETH Mato Grosso and Goias Bioethanol Portfolio Refinancing</t>
  </si>
  <si>
    <t>AF14703</t>
  </si>
  <si>
    <t>AF11254</t>
  </si>
  <si>
    <t>AF8860</t>
  </si>
  <si>
    <t>Univalem Ipaussu Barra Bonfim Power Porfolio Expansion</t>
  </si>
  <si>
    <t>AF9143</t>
  </si>
  <si>
    <t>AF11253</t>
  </si>
  <si>
    <t>Eletrosul Cerro Chato Wind Portfolio</t>
  </si>
  <si>
    <t>AF8552</t>
  </si>
  <si>
    <t>AF7371</t>
  </si>
  <si>
    <t>AF10223</t>
  </si>
  <si>
    <t>AF10940</t>
  </si>
  <si>
    <t>Equipav Bioethanol and Power Plant Portfolio Expansion</t>
  </si>
  <si>
    <t>AFLATAM_RP19409</t>
  </si>
  <si>
    <t>AF12246</t>
  </si>
  <si>
    <t>AF12245</t>
  </si>
  <si>
    <t>AF12242</t>
  </si>
  <si>
    <t>AF11433</t>
  </si>
  <si>
    <t>AF17953</t>
  </si>
  <si>
    <t>AF15812</t>
  </si>
  <si>
    <t>CFE Los Humeros II Geothermal Project Phase II</t>
  </si>
  <si>
    <t>AF8972</t>
  </si>
  <si>
    <t>AF14771</t>
  </si>
  <si>
    <t>AF19407</t>
  </si>
  <si>
    <t>AF11486</t>
  </si>
  <si>
    <t>AF15268</t>
  </si>
  <si>
    <t>Granol Anapolis Biodiesel Plant Expansion IV</t>
  </si>
  <si>
    <t>AF32538</t>
  </si>
  <si>
    <t>LAP Huasahuasi II Small Hydro Plant</t>
  </si>
  <si>
    <t>AF20082</t>
  </si>
  <si>
    <t>AF11432</t>
  </si>
  <si>
    <t>AF12109</t>
  </si>
  <si>
    <t>Rondonia Small Hydro Portfolio</t>
  </si>
  <si>
    <t>AF27534</t>
  </si>
  <si>
    <t>Secco San Martin Landfill Gas Plant</t>
  </si>
  <si>
    <t>AF9273</t>
  </si>
  <si>
    <t>AF12266</t>
  </si>
  <si>
    <t>AF11049</t>
  </si>
  <si>
    <t>VCPE4652</t>
  </si>
  <si>
    <t>APS Solucoes em Energia Ltda</t>
  </si>
  <si>
    <t>Efficiency: Built Environment</t>
  </si>
  <si>
    <t>AF11864</t>
  </si>
  <si>
    <t>AFLATAM_RP24079</t>
  </si>
  <si>
    <t>AF6650</t>
  </si>
  <si>
    <t>AF8671</t>
  </si>
  <si>
    <t>Vale Biopalma Belém Biodiesel Plant</t>
  </si>
  <si>
    <t>AF7628</t>
  </si>
  <si>
    <t>AF6287</t>
  </si>
  <si>
    <t>AF8383</t>
  </si>
  <si>
    <t>AF6249</t>
  </si>
  <si>
    <t>Cosan Gasa Bioethanol and Power Plant Expansion</t>
  </si>
  <si>
    <t>AF8543</t>
  </si>
  <si>
    <t>Eolica Gravata Pernambuco Wind Portfolio</t>
  </si>
  <si>
    <t>AFLATAM_RPg</t>
  </si>
  <si>
    <t>AF20624</t>
  </si>
  <si>
    <t>Bio Brazilian Barra do Garças Biodiesel Plant</t>
  </si>
  <si>
    <t>AF6350</t>
  </si>
  <si>
    <t>AF30232</t>
  </si>
  <si>
    <t>CFE Los Humeros II Geothermal Project Phase I</t>
  </si>
  <si>
    <t>AF6150</t>
  </si>
  <si>
    <t>AF8849</t>
  </si>
  <si>
    <t>AF9512</t>
  </si>
  <si>
    <t>AF17168</t>
  </si>
  <si>
    <t>AF8656</t>
  </si>
  <si>
    <t>AF33598</t>
  </si>
  <si>
    <t>Carlos Lyra Marituba Power Plant Expansion II</t>
  </si>
  <si>
    <t>AF8281</t>
  </si>
  <si>
    <t>La Rumorosa I Wind Farm</t>
  </si>
  <si>
    <t>AF13171</t>
  </si>
  <si>
    <t>AFLATAM_RPf</t>
  </si>
  <si>
    <t>AF8651</t>
  </si>
  <si>
    <t>AFLATAM_RP19962</t>
  </si>
  <si>
    <t>AF11067</t>
  </si>
  <si>
    <t>AF9271</t>
  </si>
  <si>
    <t>BSBIOS Petrobras Passo Fundo Biodiesel Plant Expansion</t>
  </si>
  <si>
    <t>AF9518</t>
  </si>
  <si>
    <t>AF20498</t>
  </si>
  <si>
    <t>AFLATAM_RP19961</t>
  </si>
  <si>
    <t>AF8695</t>
  </si>
  <si>
    <t>AF11048</t>
  </si>
  <si>
    <t>AF9462</t>
  </si>
  <si>
    <t>ALUR Bella Union Bioethanol and Power Plant</t>
  </si>
  <si>
    <t>AF31006</t>
  </si>
  <si>
    <t>SPBIO Sumare Biodiesel Plant Expansion</t>
  </si>
  <si>
    <t>AF8694</t>
  </si>
  <si>
    <t>AFLATAM_RP23690</t>
  </si>
  <si>
    <t>AFLATAM_RP19960</t>
  </si>
  <si>
    <t>AF8852</t>
  </si>
  <si>
    <t>AF7523</t>
  </si>
  <si>
    <t>AF3157</t>
  </si>
  <si>
    <t>Tropical Edeia I Bioethanol Plant</t>
  </si>
  <si>
    <t>AF7692</t>
  </si>
  <si>
    <t>AF6713</t>
  </si>
  <si>
    <t>Impsa Ceara Wind Portfolio</t>
  </si>
  <si>
    <t>AF3315</t>
  </si>
  <si>
    <t>Bonfim Power Plant Expansion</t>
  </si>
  <si>
    <t>AF7451</t>
  </si>
  <si>
    <t>AF5900</t>
  </si>
  <si>
    <t>AF8422</t>
  </si>
  <si>
    <t>AF5891</t>
  </si>
  <si>
    <t>AF5892</t>
  </si>
  <si>
    <t>AF5808</t>
  </si>
  <si>
    <t>AFLATAM_RP19228</t>
  </si>
  <si>
    <t>AFLATAM_RP19849</t>
  </si>
  <si>
    <t>AF7690</t>
  </si>
  <si>
    <t>AF5683</t>
  </si>
  <si>
    <t>Ester Cosmopolis Power Plant Expansion</t>
  </si>
  <si>
    <t>AF6828</t>
  </si>
  <si>
    <t>AF8430</t>
  </si>
  <si>
    <t>Ipiranga Bioethanol and Power Portfolio Expansion</t>
  </si>
  <si>
    <t>AF7114</t>
  </si>
  <si>
    <t>AF9111</t>
  </si>
  <si>
    <t>AF8802</t>
  </si>
  <si>
    <t>Novo Gramacho Biomethane Plant</t>
  </si>
  <si>
    <t>AF7695</t>
  </si>
  <si>
    <t>AF30910</t>
  </si>
  <si>
    <t>Granol Anapolis Biodiesel Plant Expansion III</t>
  </si>
  <si>
    <t>AF5510</t>
  </si>
  <si>
    <t>AF8330</t>
  </si>
  <si>
    <t>AF18801</t>
  </si>
  <si>
    <t>AF14070</t>
  </si>
  <si>
    <t>AF6942</t>
  </si>
  <si>
    <t>AFLATAM_RP19402</t>
  </si>
  <si>
    <t>AF6578</t>
  </si>
  <si>
    <t>AFLATAM_RP25824</t>
  </si>
  <si>
    <t>Metronec La Esperanza Ethanol Plant</t>
  </si>
  <si>
    <t>AF6561</t>
  </si>
  <si>
    <t>AF30902</t>
  </si>
  <si>
    <t>Granol Cachoeira do Sul Biodiesel Plant Expansion I</t>
  </si>
  <si>
    <t>AFLATAM_RP12543</t>
  </si>
  <si>
    <t>AF3790</t>
  </si>
  <si>
    <t>AF7028</t>
  </si>
  <si>
    <t>AF4029</t>
  </si>
  <si>
    <t>AFLATAM_RP13774</t>
  </si>
  <si>
    <t>AFLATAM_RP13786</t>
  </si>
  <si>
    <t>AF6197</t>
  </si>
  <si>
    <t>AF3787</t>
  </si>
  <si>
    <t>AF3834</t>
  </si>
  <si>
    <t>AF28668</t>
  </si>
  <si>
    <t>Alto Alegre Alta Mogiana Power Plant Expansion II</t>
  </si>
  <si>
    <t>AF3788</t>
  </si>
  <si>
    <t>AFLATAM_RP13723</t>
  </si>
  <si>
    <t>AF4337</t>
  </si>
  <si>
    <t>Cidade Gaucha Power Plant Expansion II</t>
  </si>
  <si>
    <t>AF6064</t>
  </si>
  <si>
    <t>AFLATAM_RP7589</t>
  </si>
  <si>
    <t>AF4074</t>
  </si>
  <si>
    <t>AF9522</t>
  </si>
  <si>
    <t>AF3984</t>
  </si>
  <si>
    <t>Taua Nova Mutum Biodiesel Plant</t>
  </si>
  <si>
    <t>AF5263</t>
  </si>
  <si>
    <t>AFLATAM_RP15115</t>
  </si>
  <si>
    <t>AF8042</t>
  </si>
  <si>
    <t>AFLATAM_RP7548</t>
  </si>
  <si>
    <t>AFLATAM_RP12848</t>
  </si>
  <si>
    <t>AF30908</t>
  </si>
  <si>
    <t>Granol Anapolis Biodiesel Plant Expansion II</t>
  </si>
  <si>
    <t>AF7527</t>
  </si>
  <si>
    <t>AF6579</t>
  </si>
  <si>
    <t>GPE Puclaro Small Hydro Plant</t>
  </si>
  <si>
    <t>AF25158</t>
  </si>
  <si>
    <t>Bioverde Taubate Biodiesel Plant Expansion I</t>
  </si>
  <si>
    <t>AF6797</t>
  </si>
  <si>
    <t>SSIL Rondonolpolis Biodiesel Plant</t>
  </si>
  <si>
    <t>AF31060</t>
  </si>
  <si>
    <t>B-100 Araxa Biodiesel Plant</t>
  </si>
  <si>
    <t>AF5805</t>
  </si>
  <si>
    <t>AFLATAM_RP24063</t>
  </si>
  <si>
    <t>AF11442</t>
  </si>
  <si>
    <t>AF26796</t>
  </si>
  <si>
    <t>Pedra Agro Ipê Bioethanol Plant</t>
  </si>
  <si>
    <t>AFLATAM_RP7575</t>
  </si>
  <si>
    <t>AFLATAM_RP7580</t>
  </si>
  <si>
    <t>AF3062</t>
  </si>
  <si>
    <t>AFLATAM_RP16712</t>
  </si>
  <si>
    <t>AFLATAM_RP19518</t>
  </si>
  <si>
    <t>AF2824</t>
  </si>
  <si>
    <t>AF2817</t>
  </si>
  <si>
    <t>AFLATAM_RP7624</t>
  </si>
  <si>
    <t>AF3043</t>
  </si>
  <si>
    <t>AF6742</t>
  </si>
  <si>
    <t>AF10824</t>
  </si>
  <si>
    <t>AF3039</t>
  </si>
  <si>
    <t>BSBIOS Petrobras Passo Fundo Biodiesel Plant</t>
  </si>
  <si>
    <t>AF3106</t>
  </si>
  <si>
    <t>AF5393</t>
  </si>
  <si>
    <t>Agua Doce Wind Farm</t>
  </si>
  <si>
    <t>AF30906</t>
  </si>
  <si>
    <t>Granol Anapolis Biodiesel Plant Expansion I</t>
  </si>
  <si>
    <t>AF6929</t>
  </si>
  <si>
    <t>AF32416</t>
  </si>
  <si>
    <t>Concepcion Biomass Plant</t>
  </si>
  <si>
    <t>AF3030</t>
  </si>
  <si>
    <t>AF6732</t>
  </si>
  <si>
    <t>AFLATAM_RP7504</t>
  </si>
  <si>
    <t>AF6553</t>
  </si>
  <si>
    <t>AFLATAM_RP7577</t>
  </si>
  <si>
    <t>AF6737</t>
  </si>
  <si>
    <t>AFLATAM_RP9607</t>
  </si>
  <si>
    <t>AF16625</t>
  </si>
  <si>
    <t>Marena Wind Portfolio</t>
  </si>
  <si>
    <t>AF23924</t>
  </si>
  <si>
    <t>Iberdrola Neoenergia Rio Grande do Norte &amp; Bahia Wind Portfolio I</t>
  </si>
  <si>
    <t>AF14774</t>
  </si>
  <si>
    <t>Ceara and Areia Branca Wind Portfolio</t>
  </si>
  <si>
    <t>AF25468</t>
  </si>
  <si>
    <t>Synergy Tecate PV Plant Phase I</t>
  </si>
  <si>
    <t>PV – Concentrator (CPV)</t>
  </si>
  <si>
    <t>AF33676</t>
  </si>
  <si>
    <t>Hidro Burica Chiriqui Viejo Small Hydro Plant</t>
  </si>
  <si>
    <t>AF27938</t>
  </si>
  <si>
    <t>Celec Quijos Small Hydro Plant</t>
  </si>
  <si>
    <t>AF20928</t>
  </si>
  <si>
    <t>IMPSA Koluel Kaike II Wind Farm</t>
  </si>
  <si>
    <t>AF20870</t>
  </si>
  <si>
    <t>CPFL Renovaveis Salto Goes Small Hydro Plant</t>
  </si>
  <si>
    <t>AF25474</t>
  </si>
  <si>
    <t>Mega Energia Canaa Small Hydro Plant</t>
  </si>
  <si>
    <t>AF25408</t>
  </si>
  <si>
    <t>Energisa Ze Tunin Small Hydro Plant</t>
  </si>
  <si>
    <t>AF25410</t>
  </si>
  <si>
    <t>Gestamp Pedra do Reino III Wind Farm</t>
  </si>
  <si>
    <t>AF16947</t>
  </si>
  <si>
    <t>Hidroenergia Bonito Small Hydro Portfolio</t>
  </si>
  <si>
    <t>AF25246</t>
  </si>
  <si>
    <t>CJ Hydro Toca do Tigre Small Hydro Plant</t>
  </si>
  <si>
    <t>AF25406</t>
  </si>
  <si>
    <t>Sao Sebastiao Empreendimentos Small Hydro Plant</t>
  </si>
  <si>
    <t>AF7713</t>
  </si>
  <si>
    <t>Endesa Chile Piruquina Small Hydro Plant</t>
  </si>
  <si>
    <t>AF28194</t>
  </si>
  <si>
    <t>CFE Cerro Prieto PV Plant</t>
  </si>
  <si>
    <t>AF21234</t>
  </si>
  <si>
    <t>Petrobras Darcy Ribeiro Biodiesel Plant Expansion II</t>
  </si>
  <si>
    <t>AF25412</t>
  </si>
  <si>
    <t>ABC Energia Inhapim Small Hydro Plant</t>
  </si>
  <si>
    <t>AF31410</t>
  </si>
  <si>
    <t>Mainco Canal Bio Bio Sur Small Hydro Plant</t>
  </si>
  <si>
    <t>AF25404</t>
  </si>
  <si>
    <t>Certaja Abranjo I Small Hydro Plant</t>
  </si>
  <si>
    <t>AF25308</t>
  </si>
  <si>
    <t>Germat Santa Cecilia Small Hydro Plant</t>
  </si>
  <si>
    <t>AF31404</t>
  </si>
  <si>
    <t>Hidrotrilaleo III Small Hydro Plant</t>
  </si>
  <si>
    <t>AF25400</t>
  </si>
  <si>
    <t>Cotesa Sao Valentim Small Hydro Plant</t>
  </si>
  <si>
    <t>AF31568</t>
  </si>
  <si>
    <t>Juwi Vicuna PV Plant</t>
  </si>
  <si>
    <t>AF31012</t>
  </si>
  <si>
    <t>SSIL Rondonopolis Biodiesel Plant Expansion</t>
  </si>
  <si>
    <t>AF25402</t>
  </si>
  <si>
    <t>Centrais Hidreletricas Figueirao Figueira Small Hydro Plant</t>
  </si>
  <si>
    <t>VCPE5094</t>
  </si>
  <si>
    <t>Keclon SA</t>
  </si>
  <si>
    <t>AF11331</t>
  </si>
  <si>
    <t>AF7875</t>
  </si>
  <si>
    <t>Renova Energia Bahia Wind Portfolio I</t>
  </si>
  <si>
    <t>AF16554</t>
  </si>
  <si>
    <t>AF16350</t>
  </si>
  <si>
    <t>Tractebel Energia Trairi and Porto das Barcas Wind Portfolio</t>
  </si>
  <si>
    <t>AF16349</t>
  </si>
  <si>
    <t>Energio Ceara Wind Portfolio</t>
  </si>
  <si>
    <t>AF17320</t>
  </si>
  <si>
    <t>AF17319</t>
  </si>
  <si>
    <t>AF16484</t>
  </si>
  <si>
    <t>AF8669</t>
  </si>
  <si>
    <t>AF12738</t>
  </si>
  <si>
    <t>Sao Martinho Pradopolis Power Plant Expansion</t>
  </si>
  <si>
    <t>AF15395</t>
  </si>
  <si>
    <t>Coopelesca Cubujuqui Small Hydro Plant</t>
  </si>
  <si>
    <t>AF16512</t>
  </si>
  <si>
    <t>AF20400</t>
  </si>
  <si>
    <t>AF16553</t>
  </si>
  <si>
    <t>AF15167</t>
  </si>
  <si>
    <t>AF31224</t>
  </si>
  <si>
    <t>Galenova Rio Doble Las Pizarras Small Hydro Plant</t>
  </si>
  <si>
    <t>VCPE4650</t>
  </si>
  <si>
    <t>EBES</t>
  </si>
  <si>
    <t>VCPE4654</t>
  </si>
  <si>
    <t>Maja Energia SAC</t>
  </si>
  <si>
    <t>AF30952</t>
  </si>
  <si>
    <t>Brejeiro Orlandia Biodiesel Plant</t>
  </si>
  <si>
    <t>AF20628</t>
  </si>
  <si>
    <t>Bio Oleo Cuiaba Biodiesel Plant Expansion</t>
  </si>
  <si>
    <t>AF25944</t>
  </si>
  <si>
    <t>Porta Hnos Córdoba Bioethanol Plant</t>
  </si>
  <si>
    <t>AF15489</t>
  </si>
  <si>
    <t>AF31408</t>
  </si>
  <si>
    <t>Central Don Walterio Small Hydro Plant</t>
  </si>
  <si>
    <t>AF18882</t>
  </si>
  <si>
    <t>AF31374</t>
  </si>
  <si>
    <t>Robleria Small Hydro Plant</t>
  </si>
  <si>
    <t>AF9691</t>
  </si>
  <si>
    <t>Eletrosul Florianopolis PV Plant</t>
  </si>
  <si>
    <t>AF11001</t>
  </si>
  <si>
    <t>CPFL Parazinho Wind Portfolio</t>
  </si>
  <si>
    <t>AF4048</t>
  </si>
  <si>
    <t>AF11318</t>
  </si>
  <si>
    <t>Boa Vista Bioethanol and Power Plant Expansion I</t>
  </si>
  <si>
    <t>AF7881</t>
  </si>
  <si>
    <t>AF11223</t>
  </si>
  <si>
    <t>CPFL Pedra Agro Power Plant Portfolio</t>
  </si>
  <si>
    <t>AF10696</t>
  </si>
  <si>
    <t>AF14688</t>
  </si>
  <si>
    <t>AF9959</t>
  </si>
  <si>
    <t>AF14704</t>
  </si>
  <si>
    <t>LDC-SEV Passa Tempo Bioethanol Plant Expansion</t>
  </si>
  <si>
    <t>AF11113</t>
  </si>
  <si>
    <t>AF11102</t>
  </si>
  <si>
    <t>AF14700</t>
  </si>
  <si>
    <t>AF11197</t>
  </si>
  <si>
    <t>AF11038</t>
  </si>
  <si>
    <t>AF10788</t>
  </si>
  <si>
    <t>VCPE4646</t>
  </si>
  <si>
    <t>Tonon Bioenergia SA</t>
  </si>
  <si>
    <t>AF14701</t>
  </si>
  <si>
    <t>São Manoel Bioethanol and Power Plant Expansion</t>
  </si>
  <si>
    <t>AF11111</t>
  </si>
  <si>
    <t>Petroleum Corp Wigton Wind Farm Phase II</t>
  </si>
  <si>
    <t>AF11015</t>
  </si>
  <si>
    <t>AF10976</t>
  </si>
  <si>
    <t>Petrobras Candeias Biodiesel Plant Expansion II</t>
  </si>
  <si>
    <t>AF6593</t>
  </si>
  <si>
    <t>AF6941</t>
  </si>
  <si>
    <t>Oleoplan Veranopolis Biodiesel Plant Expansion II</t>
  </si>
  <si>
    <t>AF30824</t>
  </si>
  <si>
    <t>Fertibom Catanduva Biodiesel Plant Expansion IV</t>
  </si>
  <si>
    <t>AF10663</t>
  </si>
  <si>
    <t>AFLATAM_RP29332</t>
  </si>
  <si>
    <t>AF32540</t>
  </si>
  <si>
    <t>LAP Huasahuasi I Small Hydro Plant</t>
  </si>
  <si>
    <t>AF6590</t>
  </si>
  <si>
    <t>Hidroaustral Rio Nalcas Small Hydro Plant</t>
  </si>
  <si>
    <t>AF6979</t>
  </si>
  <si>
    <t>AF20632</t>
  </si>
  <si>
    <t>Biocamp Campo Verde Biodiesel Plant Expansion</t>
  </si>
  <si>
    <t>AF10632</t>
  </si>
  <si>
    <t>AF11088</t>
  </si>
  <si>
    <t>AFLATAM_RP21544</t>
  </si>
  <si>
    <t>AF10472</t>
  </si>
  <si>
    <t>Ponlar Aurora Tranqueras  Biomass Plant</t>
  </si>
  <si>
    <t>AF10695</t>
  </si>
  <si>
    <t>AF8921</t>
  </si>
  <si>
    <t>AF30914</t>
  </si>
  <si>
    <t>Sorriso Biodiesel Plant Expansion</t>
  </si>
  <si>
    <t>AF11017</t>
  </si>
  <si>
    <t>AFLATAM_RP23802</t>
  </si>
  <si>
    <t>AF11070</t>
  </si>
  <si>
    <t>MPX Energia Taua PV Plant Phase I</t>
  </si>
  <si>
    <t>AF11016</t>
  </si>
  <si>
    <t>AF10670</t>
  </si>
  <si>
    <t>AFLATAM_RP23813</t>
  </si>
  <si>
    <t>AF18714</t>
  </si>
  <si>
    <t>AF8883</t>
  </si>
  <si>
    <t>AF5910</t>
  </si>
  <si>
    <t>Bevap Vale do Paracatu Bioethanol and Power Plant</t>
  </si>
  <si>
    <t>AF7626</t>
  </si>
  <si>
    <t>AF10183</t>
  </si>
  <si>
    <t>CMAA Vale do Tijuco Bioethanol and Power Plant</t>
  </si>
  <si>
    <t>AF4104</t>
  </si>
  <si>
    <t>AF7357</t>
  </si>
  <si>
    <t>AF4140</t>
  </si>
  <si>
    <t>AF6971</t>
  </si>
  <si>
    <t>AF8579</t>
  </si>
  <si>
    <t>AF8073</t>
  </si>
  <si>
    <t>AF15083</t>
  </si>
  <si>
    <t>Bii Nee Stipa Wind Farm Phase I</t>
  </si>
  <si>
    <t>AFLATAM_RP14426</t>
  </si>
  <si>
    <t>AF8329</t>
  </si>
  <si>
    <t>AF7802</t>
  </si>
  <si>
    <t>AF11552</t>
  </si>
  <si>
    <t>AF6555</t>
  </si>
  <si>
    <t>AF10796</t>
  </si>
  <si>
    <t>AF8411</t>
  </si>
  <si>
    <t>Alto Alegre Alta Mogiana Sugarcane Plantation Expansion</t>
  </si>
  <si>
    <t>AF20496</t>
  </si>
  <si>
    <t>Weyerhaeuser Tacuarembo Biomass Plant</t>
  </si>
  <si>
    <t>AFLATAM_RP16789</t>
  </si>
  <si>
    <t>AF7537</t>
  </si>
  <si>
    <t>AF8395</t>
  </si>
  <si>
    <t>Granol Cachoeira do Sul Biodiesel Plant Expansion II</t>
  </si>
  <si>
    <t>AF9515</t>
  </si>
  <si>
    <t>AF8414</t>
  </si>
  <si>
    <t>AF6604</t>
  </si>
  <si>
    <t>AF6512</t>
  </si>
  <si>
    <t>AF8826</t>
  </si>
  <si>
    <t>AF7598</t>
  </si>
  <si>
    <t>AF18686</t>
  </si>
  <si>
    <t>AF10734</t>
  </si>
  <si>
    <t>AF3789</t>
  </si>
  <si>
    <t>Enernova Santa Fe Small Hydro Plant</t>
  </si>
  <si>
    <t>AFLATAM_RP15109</t>
  </si>
  <si>
    <t>AFLATAM_RP19732</t>
  </si>
  <si>
    <t>AF6207</t>
  </si>
  <si>
    <t>AF6622</t>
  </si>
  <si>
    <t>AF9513</t>
  </si>
  <si>
    <t>AF7680</t>
  </si>
  <si>
    <t>AF4763</t>
  </si>
  <si>
    <t>AF7932</t>
  </si>
  <si>
    <t>AFLATAM_RP17850</t>
  </si>
  <si>
    <t>AF6623</t>
  </si>
  <si>
    <t>AFLATAM_RP7559</t>
  </si>
  <si>
    <t>AF5564</t>
  </si>
  <si>
    <t>AF7691</t>
  </si>
  <si>
    <t>AFLATAM_RP23109</t>
  </si>
  <si>
    <t>AF30946</t>
  </si>
  <si>
    <t>Oleoplan Veranopolis Biodiesel Plant Expansion I</t>
  </si>
  <si>
    <t>AF7693</t>
  </si>
  <si>
    <t>AF5927</t>
  </si>
  <si>
    <t>AF3382</t>
  </si>
  <si>
    <t>AF5285</t>
  </si>
  <si>
    <t>AFLATAM_RP7560</t>
  </si>
  <si>
    <t>AF6560</t>
  </si>
  <si>
    <t>AF8969</t>
  </si>
  <si>
    <t>AF5297</t>
  </si>
  <si>
    <t>Comanche Simoes Filho Biodiesel Plant Expansion</t>
  </si>
  <si>
    <t>AFLATAM_RP12578</t>
  </si>
  <si>
    <t>AF9521</t>
  </si>
  <si>
    <t>AFLATAM_RP29265</t>
  </si>
  <si>
    <t>AFLATAM_RP29258</t>
  </si>
  <si>
    <t>AFLATAM_RP29264</t>
  </si>
  <si>
    <t>AFLATAM_RP29263</t>
  </si>
  <si>
    <t>AFLATAM_RP29259</t>
  </si>
  <si>
    <t>AFLATAM_RP29262</t>
  </si>
  <si>
    <t>AFLATAM_RP29261</t>
  </si>
  <si>
    <t>AFLATAM_RP29260</t>
  </si>
  <si>
    <t>AFLATAM_RP29257</t>
  </si>
  <si>
    <t>AF11758</t>
  </si>
  <si>
    <t>AF6867</t>
  </si>
  <si>
    <t>AF31004</t>
  </si>
  <si>
    <t>SPBIO Sumare Biodiesel Plant</t>
  </si>
  <si>
    <t>AFLATAM_RP12847</t>
  </si>
  <si>
    <t>AF32418</t>
  </si>
  <si>
    <t>Concepcion Biomass Plant Expansion I</t>
  </si>
  <si>
    <t>AFLATAM_RP7526</t>
  </si>
  <si>
    <t>AFLATAM_RP15105</t>
  </si>
  <si>
    <t>AF3230</t>
  </si>
  <si>
    <t>AF7878</t>
  </si>
  <si>
    <t>VCPE5542</t>
  </si>
  <si>
    <t>AF6238</t>
  </si>
  <si>
    <t>AF3741</t>
  </si>
  <si>
    <t>Boa Vista Bioethanol and Power Plant</t>
  </si>
  <si>
    <t>AF15005</t>
  </si>
  <si>
    <t>AFLATAM_RP19812</t>
  </si>
  <si>
    <t>AF29200</t>
  </si>
  <si>
    <t>Coruripe Campo Florido Power Plant Expansion</t>
  </si>
  <si>
    <t>AF6406</t>
  </si>
  <si>
    <t>AFLATAM_RP24049</t>
  </si>
  <si>
    <t>AF7108</t>
  </si>
  <si>
    <t>AF6958</t>
  </si>
  <si>
    <t>AF12745</t>
  </si>
  <si>
    <t>AF6169</t>
  </si>
  <si>
    <t>AF6624</t>
  </si>
  <si>
    <t>AF3182</t>
  </si>
  <si>
    <t>AF8012</t>
  </si>
  <si>
    <t>AF7107</t>
  </si>
  <si>
    <t>AF3151</t>
  </si>
  <si>
    <t>AF3550</t>
  </si>
  <si>
    <t>AFLATAM_RP1200</t>
  </si>
  <si>
    <t>AF11072</t>
  </si>
  <si>
    <t>AF19686</t>
  </si>
  <si>
    <t>AF5331</t>
  </si>
  <si>
    <t>AFLATAM_RP8499</t>
  </si>
  <si>
    <t>AF6710</t>
  </si>
  <si>
    <t>AFLATAM_RP18005</t>
  </si>
  <si>
    <t>AF9420</t>
  </si>
  <si>
    <t>AF9421</t>
  </si>
  <si>
    <t>AF17602</t>
  </si>
  <si>
    <t>AF6857</t>
  </si>
  <si>
    <t>AF570</t>
  </si>
  <si>
    <t>AF2804</t>
  </si>
  <si>
    <t>Santa Terezinha Terra Rica Bioethanol and Power Plant</t>
  </si>
  <si>
    <t>AF7381</t>
  </si>
  <si>
    <t>AF6065</t>
  </si>
  <si>
    <t>AF6066</t>
  </si>
  <si>
    <t>AF6280</t>
  </si>
  <si>
    <t>AF1579</t>
  </si>
  <si>
    <t>AF6955</t>
  </si>
  <si>
    <t>AF3029</t>
  </si>
  <si>
    <t>AF8537</t>
  </si>
  <si>
    <t>AF7912</t>
  </si>
  <si>
    <t>AF6741</t>
  </si>
  <si>
    <t>AFLATAM_RP11452</t>
  </si>
  <si>
    <t>AFLATAM_RP11444</t>
  </si>
  <si>
    <t>AFLATAM_RP36045</t>
  </si>
  <si>
    <t>AF6943</t>
  </si>
  <si>
    <t>AFLATAM_RP11450</t>
  </si>
  <si>
    <t>AF6684</t>
  </si>
  <si>
    <t>AFLATAM_RP11449</t>
  </si>
  <si>
    <t>AFLATAM_RP11451</t>
  </si>
  <si>
    <t>AF9520</t>
  </si>
  <si>
    <t>AFLATAM_RP18739</t>
  </si>
  <si>
    <t>updated investment data with 2012 asset finance records</t>
  </si>
  <si>
    <t>added data for indicator 2.07 (Loans, grants, grant programs), 2.09 and 2.10</t>
  </si>
  <si>
    <t>analyst</t>
  </si>
  <si>
    <t>Ulimmeh</t>
  </si>
  <si>
    <t>Lilian</t>
  </si>
  <si>
    <t>added data for indicator 3.02 (value chains by clean energy sector)</t>
  </si>
  <si>
    <t>Small Hydro - Pipes</t>
  </si>
  <si>
    <t>Note: I added another subsector on value chains by clean energy sector (Pipes rows A2430-L2455), which is not reflected on the country tab, further indicator details. Can you update it?</t>
  </si>
  <si>
    <t>added data for 2.08 (local investments)</t>
  </si>
  <si>
    <t>various styles/user interface modifications</t>
  </si>
  <si>
    <t>Workbook status</t>
  </si>
  <si>
    <t>added admin locking/unlocking functionality</t>
  </si>
  <si>
    <t>note</t>
  </si>
  <si>
    <t>added data for clean energy service providers and financial instituations in clean energy on levelisation tab</t>
  </si>
  <si>
    <t>added hard coded scores for the carbon section indicators (4.04 to 4.13)</t>
  </si>
  <si>
    <t>type</t>
  </si>
  <si>
    <t>structural</t>
  </si>
  <si>
    <t>data</t>
  </si>
  <si>
    <t>user interface</t>
  </si>
  <si>
    <t>Green MFI's (from list of GMFI contacts)</t>
  </si>
  <si>
    <t>added hard coded scores for the carbon section indicator (4.01 to 4.03)</t>
  </si>
  <si>
    <t>added data for levelisation tab (GDP, Population)</t>
  </si>
  <si>
    <t>IV. Greenhouse Gas Management Activities</t>
  </si>
  <si>
    <t>*Cost hence benchmark is lowest cost of debt.</t>
  </si>
  <si>
    <t>updated data for Chile for electricity prices</t>
  </si>
  <si>
    <t>updated formula for levelisation tab (clean energy value chains and service providers)</t>
  </si>
  <si>
    <t>Hard Coded Scores (Benchmark Base 4)</t>
  </si>
  <si>
    <t>updated benchmark for indicators 4.01 and 4.02 (carbon)</t>
  </si>
  <si>
    <t>added data for cost of debt (2.13)</t>
  </si>
  <si>
    <t>added data for policy indicator and power market (1.01, 1.02)</t>
  </si>
  <si>
    <t>updated formula for Local Investments (2.07) for levelisation with GDP (L1415-L1440)</t>
  </si>
  <si>
    <t>updated data for GMFI indicators (2.09-2.12)</t>
  </si>
  <si>
    <t>added an index total number to the dashboard (helps compare the overall index score for two years)</t>
  </si>
  <si>
    <t>when indicator 2.13 is blank, all the weight goes to indicator 2.14 (same as electricity prices in indicators 1.10 and 1.11)</t>
  </si>
  <si>
    <t>changed benchmark for indicators 3.02 and 3.03 (rows 878 and 905 of database tab) to be consistent with last year. Benchmark is the highest possible attainable score</t>
  </si>
  <si>
    <t>Levelised by Microfinance Penetration</t>
  </si>
  <si>
    <t>Swap rate</t>
  </si>
  <si>
    <t>Potential</t>
  </si>
  <si>
    <t>PMR &amp; NAMA</t>
  </si>
  <si>
    <t>Average cost of debt</t>
  </si>
  <si>
    <t>changed name of indicator 2.13 to Average cost of debt</t>
  </si>
  <si>
    <t>changed formula of indicator 2.12 (making all years previous to 2011 equal to 2011)</t>
  </si>
  <si>
    <t xml:space="preserve">added data for indicator 1.02 for underlying data </t>
  </si>
  <si>
    <t>changed name of indicator 2.14 to Swap rate</t>
  </si>
  <si>
    <t xml:space="preserve">changed benchmarks for 4.03 to 4.07 </t>
  </si>
  <si>
    <t>YoY Chg</t>
  </si>
  <si>
    <t>RANK</t>
  </si>
  <si>
    <t>COUNTRY</t>
  </si>
  <si>
    <t>SCORE RANGES KEY</t>
  </si>
  <si>
    <t>removed the scores of the previous climatescope and kept only the year-on-year change in rank</t>
  </si>
  <si>
    <t>removed the total from the index alont with the scores (as this was useful only with previous year scores)</t>
  </si>
  <si>
    <t>Colour Scheme</t>
  </si>
  <si>
    <t>Chart Data (Dashboard)</t>
  </si>
  <si>
    <t>Capacity, Generation &amp; Investment Chart Data</t>
  </si>
  <si>
    <t>moved all chart data to the ChartData tab</t>
  </si>
  <si>
    <t>Weight Scenario (Dashboard)</t>
  </si>
  <si>
    <t>Weighting Scenario</t>
  </si>
  <si>
    <t>Source</t>
  </si>
  <si>
    <t>added manual data for Guyana on 2.07</t>
  </si>
  <si>
    <t>No</t>
  </si>
  <si>
    <t>added ability to put custom scenario on dashboard (so only specific weightings can be compared to previous year)</t>
  </si>
  <si>
    <t>Climatescope is a comprehensive index and report assessing the environment for low-carbon investment in 26 countries in Latin America and the Caribbean,</t>
  </si>
  <si>
    <t>1) Enabling Framework (40%)</t>
  </si>
  <si>
    <t>2) Clean Energy Investment &amp; Climate Financing (30%)</t>
  </si>
  <si>
    <t>3) Low-Carbon Business &amp; Clean Energy Value Chains (10%)</t>
  </si>
  <si>
    <t>For questions or feedback please email climatescope@bloomberg.net</t>
  </si>
  <si>
    <t>INSTRUCTIONS</t>
  </si>
  <si>
    <t>1) Column B: Parameters (4)</t>
  </si>
  <si>
    <t>2) Column C: Parameter weights</t>
  </si>
  <si>
    <t>3) Column D: Categories (13)</t>
  </si>
  <si>
    <t>4) Column E: Category weights</t>
  </si>
  <si>
    <t>5) Column G: Indicators (39)</t>
  </si>
  <si>
    <t>6) Column H: Indicator weight (as a percentage of category weight)</t>
  </si>
  <si>
    <t>7) Column I: Indicator net weight (as a percentage of the overall Climatescope score)</t>
  </si>
  <si>
    <t>added instructions to top of dashboard and top of country profile</t>
  </si>
  <si>
    <t>internal changelog</t>
  </si>
  <si>
    <t>FOR QUESTIONS OR FEEDBACK PLEASE EMAIL CLIMATESCOPE@BLOOMBERG.NET</t>
  </si>
  <si>
    <t>4) Greenhouse Gas Management Activities (20%)</t>
  </si>
  <si>
    <t xml:space="preserve">The Climatescope tool allows users to fine tune the methodology for parameter weights to fit their preferences. To customise parameter weighting scenarios... </t>
  </si>
  <si>
    <t>WBLocked</t>
  </si>
  <si>
    <t>TAB CONTENT</t>
  </si>
  <si>
    <t xml:space="preserve">developed by the Multilateral Investment Fund (part of the Inter-American Development Bank) and Bloomberg New Energy Finance. </t>
  </si>
  <si>
    <t>1) Select the drop-down menu (Cell E24).</t>
  </si>
  <si>
    <t>2) Choose pre-selected scenarios to analyse countries’ performance under a specific parameter. Country rankings will automatically reshuffle to reflect the results of your personalised Climatescope index.</t>
  </si>
  <si>
    <t xml:space="preserve">3) To assign custom weights, choose the option 'Custom' in the drop-down menu and type in your own weighting assumptions. Click on 'Calculate Scores' to see the changes in the results.  </t>
  </si>
  <si>
    <t>10) Column M: Country’s relative performance per indicator (e.g. a full bar means the country has achieved the highest score possible for that indicator)</t>
  </si>
  <si>
    <t>8) Column J: The underlying data which is used to derive the indicator scores</t>
  </si>
  <si>
    <t>9) Column L: Aggregate scored data per indicator</t>
  </si>
  <si>
    <t>1) Select country of choice in the drop-down menu (Cell C25).</t>
  </si>
  <si>
    <t>2) Scroll down to row 78 to visualize additional information, under 'Further Indicator Details'. Here you can see charts and tables which provide a more details on the related indicators.</t>
  </si>
  <si>
    <t xml:space="preserve">3) Expand the indicator additional information by clicking on the '+' (plus sign) on the left.  </t>
  </si>
  <si>
    <t>4) To see how countries performed in each of the Climatescope’s 39 indicators click on 'View Country Analysis'. This button will take you to a new tab 'Country', which lists all Climatescope’s indicators, as well as their respective weights.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</si>
</sst>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_-* #,##0_-;\-* #,##0_-;_-* &quot;-&quot;??_-;_-@_-"/>
    <numFmt numFmtId="166" formatCode="_(* #,##0.00%_);_(* \(#,##0.00%\);_(* &quot;-&quot;??_);_(@_)"/>
    <numFmt numFmtId="167" formatCode="0.0%"/>
    <numFmt numFmtId="168" formatCode="_(* #,##0.0%_);_(* \(#,##0.0%\);_(* &quot;-&quot;??_);_(@_)"/>
    <numFmt numFmtId="169" formatCode="_-* #,##0.000_-;\-* #,##0.000_-;_-* &quot;-&quot;??_-;_-@_-"/>
    <numFmt numFmtId="170" formatCode="_-* #,##0.0000_-;\-* #,##0.0000_-;_-* &quot;-&quot;??_-;_-@_-"/>
    <numFmt numFmtId="171" formatCode="_(* #,##0%_);_(* \(#,##0%\);_(* &quot;-&quot;??_);_(@_)"/>
    <numFmt numFmtId="172" formatCode="_(* #,##0.00_);[Red]_(* \(#,##0.00\);_(* &quot;-&quot;??_);_(@_)"/>
    <numFmt numFmtId="173" formatCode="_(* #,##0.00%_);[Red]_(* \(#,##0.00%\);_(* &quot;-&quot;??_);_(@_)"/>
    <numFmt numFmtId="174" formatCode="_(* #,##0_);[Red]_(* \(#,##0\);_(* &quot;-&quot;??_);_(@_)"/>
    <numFmt numFmtId="175" formatCode="_(* #,##0.0%_);[Red]_(* \(#,##0.0%\);_(* &quot;-&quot;??_);_(@_)"/>
    <numFmt numFmtId="176" formatCode="&quot;#&quot;\ 0"/>
  </numFmts>
  <fonts count="6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indexed="9"/>
      <name val="Calibri"/>
      <family val="2"/>
      <scheme val="minor"/>
    </font>
    <font>
      <b/>
      <sz val="10.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.5"/>
      <color theme="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23"/>
      <name val="Calibri"/>
      <family val="2"/>
      <scheme val="minor"/>
    </font>
    <font>
      <i/>
      <sz val="10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8.8000000000000007"/>
      <color theme="10"/>
      <name val="Calibri"/>
      <family val="2"/>
    </font>
    <font>
      <sz val="16"/>
      <color indexed="9"/>
      <name val="Calibri"/>
      <family val="2"/>
      <scheme val="minor"/>
    </font>
    <font>
      <sz val="16"/>
      <name val="Calibri"/>
      <family val="2"/>
      <scheme val="minor"/>
    </font>
    <font>
      <u/>
      <sz val="10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rgb="FF000000"/>
      <name val="Calibri"/>
      <family val="2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0"/>
      <color theme="7"/>
      <name val="Calibri"/>
      <family val="2"/>
      <scheme val="minor"/>
    </font>
    <font>
      <b/>
      <sz val="16"/>
      <color indexed="9"/>
      <name val="Calibri"/>
      <family val="2"/>
    </font>
    <font>
      <b/>
      <sz val="9"/>
      <color theme="7"/>
      <name val="Arial"/>
      <family val="2"/>
    </font>
    <font>
      <sz val="10"/>
      <color indexed="5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indexed="23"/>
      <name val="Calibri"/>
      <family val="2"/>
    </font>
    <font>
      <b/>
      <sz val="26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10.5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theme="1" tint="0.34998626667073579"/>
      <name val="Calibri"/>
      <family val="2"/>
    </font>
    <font>
      <sz val="10"/>
      <name val="Calibri"/>
      <family val="2"/>
    </font>
    <font>
      <u/>
      <sz val="10"/>
      <name val="Calibri"/>
      <family val="2"/>
      <scheme val="minor"/>
    </font>
    <font>
      <b/>
      <u/>
      <sz val="1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lightUp">
        <fgColor indexed="22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1F2FF"/>
        <bgColor indexed="64"/>
      </patternFill>
    </fill>
    <fill>
      <patternFill patternType="solid">
        <fgColor rgb="FFA7E6FF"/>
        <bgColor indexed="64"/>
      </patternFill>
    </fill>
    <fill>
      <patternFill patternType="solid">
        <fgColor rgb="FF59D0FF"/>
        <bgColor indexed="64"/>
      </patternFill>
    </fill>
    <fill>
      <patternFill patternType="solid">
        <fgColor rgb="FF0ABAFF"/>
        <bgColor indexed="64"/>
      </patternFill>
    </fill>
    <fill>
      <patternFill patternType="solid">
        <fgColor rgb="FFCDDA00"/>
        <bgColor indexed="64"/>
      </patternFill>
    </fill>
    <fill>
      <patternFill patternType="solid">
        <fgColor rgb="FFA0CA3B"/>
        <bgColor indexed="64"/>
      </patternFill>
    </fill>
    <fill>
      <patternFill patternType="solid">
        <fgColor rgb="FF74BB43"/>
        <bgColor indexed="64"/>
      </patternFill>
    </fill>
    <fill>
      <patternFill patternType="solid">
        <fgColor rgb="FF63883B"/>
        <bgColor indexed="64"/>
      </patternFill>
    </fill>
    <fill>
      <patternFill patternType="solid">
        <fgColor rgb="FF3B5C37"/>
        <bgColor indexed="64"/>
      </patternFill>
    </fill>
    <fill>
      <patternFill patternType="solid">
        <fgColor rgb="FFBBBDBF"/>
        <bgColor indexed="64"/>
      </patternFill>
    </fill>
    <fill>
      <gradientFill degree="90">
        <stop position="0">
          <color theme="9" tint="-0.25098422193060094"/>
        </stop>
        <stop position="0.5">
          <color theme="9"/>
        </stop>
        <stop position="1">
          <color theme="9" tint="-0.25098422193060094"/>
        </stop>
      </gradientFill>
    </fill>
    <fill>
      <patternFill patternType="lightTrellis">
        <fgColor theme="0" tint="-0.49998474074526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gradientFill degree="90">
        <stop position="0">
          <color rgb="FFC47500"/>
        </stop>
        <stop position="0.5">
          <color rgb="FFF79646"/>
        </stop>
        <stop position="1">
          <color rgb="FFC47500"/>
        </stop>
      </gradientFill>
    </fill>
    <fill>
      <patternFill patternType="lightGray">
        <bgColor indexed="9"/>
      </patternFill>
    </fill>
    <fill>
      <patternFill patternType="solid">
        <fgColor rgb="FFF79646"/>
        <bgColor auto="1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lightGray">
        <fgColor indexed="22"/>
      </patternFill>
    </fill>
    <fill>
      <patternFill patternType="lightDown">
        <fgColor theme="0" tint="-0.24994659260841701"/>
        <bgColor indexed="65"/>
      </patternFill>
    </fill>
    <fill>
      <patternFill patternType="solid">
        <fgColor rgb="FFFFFFCC"/>
        <bgColor indexed="64"/>
      </patternFill>
    </fill>
  </fills>
  <borders count="10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64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 applyNumberFormat="0" applyAlignment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20" fillId="52" borderId="57">
      <alignment vertical="center"/>
      <protection locked="0"/>
    </xf>
    <xf numFmtId="0" fontId="9" fillId="5" borderId="5" applyNumberFormat="0" applyAlignment="0" applyProtection="0"/>
    <xf numFmtId="0" fontId="10" fillId="5" borderId="4" applyNumberFormat="0" applyAlignment="0" applyProtection="0"/>
    <xf numFmtId="0" fontId="11" fillId="0" borderId="6" applyNumberFormat="0" applyFill="0" applyAlignment="0" applyProtection="0"/>
    <xf numFmtId="0" fontId="12" fillId="6" borderId="7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50" fillId="0" borderId="50" applyNumberFormat="0"/>
    <xf numFmtId="0" fontId="15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5" fillId="30" borderId="0" applyNumberFormat="0" applyBorder="0" applyAlignment="0" applyProtection="0"/>
    <xf numFmtId="164" fontId="47" fillId="0" borderId="57" applyFon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7" fillId="0" borderId="0"/>
    <xf numFmtId="172" fontId="52" fillId="56" borderId="94">
      <alignment horizontal="right" vertical="center"/>
    </xf>
    <xf numFmtId="172" fontId="21" fillId="49" borderId="65" applyProtection="0">
      <alignment vertical="center"/>
    </xf>
    <xf numFmtId="0" fontId="20" fillId="50" borderId="57">
      <alignment horizontal="center" vertical="center"/>
      <protection locked="0"/>
    </xf>
    <xf numFmtId="0" fontId="21" fillId="51" borderId="57" applyNumberFormat="0">
      <alignment vertical="center"/>
    </xf>
    <xf numFmtId="0" fontId="48" fillId="0" borderId="0" applyNumberFormat="0">
      <alignment horizontal="right" vertical="center"/>
    </xf>
    <xf numFmtId="172" fontId="18" fillId="53" borderId="67">
      <alignment horizontal="right" vertical="center"/>
    </xf>
    <xf numFmtId="0" fontId="21" fillId="0" borderId="0" applyNumberFormat="0">
      <alignment vertical="center"/>
    </xf>
    <xf numFmtId="172" fontId="47" fillId="0" borderId="0" applyFont="0" applyFill="0" applyBorder="0" applyAlignment="0" applyProtection="0"/>
    <xf numFmtId="173" fontId="47" fillId="0" borderId="0" applyFont="0" applyFill="0" applyBorder="0" applyAlignment="0" applyProtection="0"/>
    <xf numFmtId="0" fontId="49" fillId="44" borderId="0"/>
    <xf numFmtId="0" fontId="24" fillId="54" borderId="50">
      <alignment horizontal="left" vertical="center"/>
    </xf>
    <xf numFmtId="0" fontId="53" fillId="55" borderId="66" applyNumberFormat="0">
      <alignment horizontal="right"/>
    </xf>
    <xf numFmtId="0" fontId="51" fillId="0" borderId="0" applyBorder="0">
      <alignment horizontal="left" vertical="center"/>
    </xf>
  </cellStyleXfs>
  <cellXfs count="1030">
    <xf numFmtId="0" fontId="0" fillId="0" borderId="0" xfId="0"/>
    <xf numFmtId="0" fontId="18" fillId="0" borderId="0" xfId="0" applyFont="1" applyAlignment="1">
      <alignment horizontal="left" vertical="center"/>
    </xf>
    <xf numFmtId="0" fontId="21" fillId="0" borderId="0" xfId="42" applyNumberFormat="1" applyFont="1" applyFill="1" applyBorder="1" applyAlignment="1">
      <alignment vertical="center"/>
    </xf>
    <xf numFmtId="0" fontId="21" fillId="0" borderId="11" xfId="42" applyNumberFormat="1" applyFont="1" applyFill="1" applyBorder="1" applyAlignment="1">
      <alignment vertical="center"/>
    </xf>
    <xf numFmtId="0" fontId="21" fillId="0" borderId="12" xfId="42" applyNumberFormat="1" applyFont="1" applyFill="1" applyBorder="1" applyAlignment="1">
      <alignment vertical="center"/>
    </xf>
    <xf numFmtId="164" fontId="18" fillId="0" borderId="0" xfId="42" applyFont="1" applyFill="1" applyBorder="1" applyAlignment="1">
      <alignment vertical="center"/>
    </xf>
    <xf numFmtId="164" fontId="18" fillId="0" borderId="9" xfId="42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NumberFormat="1" applyFont="1" applyAlignment="1">
      <alignment horizontal="left" vertical="center"/>
    </xf>
    <xf numFmtId="0" fontId="18" fillId="0" borderId="11" xfId="0" applyFont="1" applyBorder="1" applyAlignment="1">
      <alignment vertical="center"/>
    </xf>
    <xf numFmtId="0" fontId="18" fillId="0" borderId="11" xfId="0" applyNumberFormat="1" applyFont="1" applyBorder="1" applyAlignment="1">
      <alignment horizontal="left" vertical="center"/>
    </xf>
    <xf numFmtId="0" fontId="18" fillId="0" borderId="13" xfId="0" applyNumberFormat="1" applyFont="1" applyBorder="1" applyAlignment="1">
      <alignment horizontal="left" vertical="center"/>
    </xf>
    <xf numFmtId="0" fontId="18" fillId="0" borderId="0" xfId="0" applyFont="1" applyBorder="1" applyAlignment="1">
      <alignment vertical="center"/>
    </xf>
    <xf numFmtId="0" fontId="18" fillId="0" borderId="0" xfId="0" applyNumberFormat="1" applyFont="1" applyBorder="1" applyAlignment="1">
      <alignment horizontal="left" vertical="center"/>
    </xf>
    <xf numFmtId="0" fontId="18" fillId="0" borderId="10" xfId="0" applyNumberFormat="1" applyFont="1" applyBorder="1" applyAlignment="1">
      <alignment horizontal="left" vertical="center"/>
    </xf>
    <xf numFmtId="164" fontId="18" fillId="0" borderId="0" xfId="42" applyFont="1" applyBorder="1" applyAlignment="1">
      <alignment vertical="center"/>
    </xf>
    <xf numFmtId="165" fontId="18" fillId="34" borderId="9" xfId="42" applyNumberFormat="1" applyFont="1" applyFill="1" applyBorder="1" applyAlignment="1">
      <alignment vertical="center"/>
    </xf>
    <xf numFmtId="165" fontId="18" fillId="0" borderId="0" xfId="42" applyNumberFormat="1" applyFont="1" applyFill="1" applyBorder="1" applyAlignment="1">
      <alignment vertical="center"/>
    </xf>
    <xf numFmtId="165" fontId="18" fillId="0" borderId="9" xfId="42" applyNumberFormat="1" applyFont="1" applyFill="1" applyBorder="1" applyAlignment="1">
      <alignment vertical="center"/>
    </xf>
    <xf numFmtId="164" fontId="23" fillId="0" borderId="0" xfId="42" applyFont="1" applyBorder="1" applyAlignment="1">
      <alignment vertical="center"/>
    </xf>
    <xf numFmtId="165" fontId="18" fillId="0" borderId="0" xfId="42" applyNumberFormat="1" applyFont="1" applyBorder="1" applyAlignment="1">
      <alignment horizontal="right" vertical="center"/>
    </xf>
    <xf numFmtId="0" fontId="21" fillId="0" borderId="10" xfId="42" applyNumberFormat="1" applyFont="1" applyFill="1" applyBorder="1" applyAlignment="1">
      <alignment vertical="center"/>
    </xf>
    <xf numFmtId="166" fontId="18" fillId="0" borderId="0" xfId="1" applyNumberFormat="1" applyFont="1" applyFill="1" applyBorder="1" applyAlignment="1">
      <alignment vertical="center"/>
    </xf>
    <xf numFmtId="0" fontId="21" fillId="34" borderId="10" xfId="0" applyFont="1" applyFill="1" applyBorder="1" applyAlignment="1">
      <alignment horizontal="left" vertical="center"/>
    </xf>
    <xf numFmtId="0" fontId="21" fillId="34" borderId="0" xfId="0" applyFont="1" applyFill="1" applyBorder="1" applyAlignment="1">
      <alignment horizontal="left" vertical="center"/>
    </xf>
    <xf numFmtId="14" fontId="21" fillId="34" borderId="0" xfId="0" applyNumberFormat="1" applyFont="1" applyFill="1" applyBorder="1" applyAlignment="1">
      <alignment horizontal="left" vertical="center"/>
    </xf>
    <xf numFmtId="0" fontId="18" fillId="34" borderId="10" xfId="0" applyFont="1" applyFill="1" applyBorder="1" applyAlignment="1">
      <alignment horizontal="left" vertical="center"/>
    </xf>
    <xf numFmtId="0" fontId="18" fillId="34" borderId="0" xfId="0" applyFont="1" applyFill="1" applyBorder="1" applyAlignment="1">
      <alignment horizontal="left" vertical="center"/>
    </xf>
    <xf numFmtId="0" fontId="18" fillId="34" borderId="13" xfId="0" applyFont="1" applyFill="1" applyBorder="1" applyAlignment="1">
      <alignment horizontal="left" vertical="center"/>
    </xf>
    <xf numFmtId="0" fontId="18" fillId="34" borderId="1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1" fillId="31" borderId="12" xfId="42" applyNumberFormat="1" applyFont="1" applyFill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31" borderId="10" xfId="0" applyFont="1" applyFill="1" applyBorder="1" applyAlignment="1">
      <alignment horizontal="left" vertical="center"/>
    </xf>
    <xf numFmtId="166" fontId="18" fillId="0" borderId="9" xfId="1" applyNumberFormat="1" applyFont="1" applyFill="1" applyBorder="1" applyAlignment="1">
      <alignment vertical="center"/>
    </xf>
    <xf numFmtId="166" fontId="18" fillId="34" borderId="0" xfId="1" applyNumberFormat="1" applyFont="1" applyFill="1" applyBorder="1" applyAlignment="1">
      <alignment vertical="center"/>
    </xf>
    <xf numFmtId="166" fontId="18" fillId="34" borderId="9" xfId="1" applyNumberFormat="1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18" fillId="0" borderId="0" xfId="0" applyFont="1" applyFill="1" applyBorder="1" applyAlignment="1">
      <alignment vertical="center"/>
    </xf>
    <xf numFmtId="0" fontId="21" fillId="34" borderId="19" xfId="42" applyNumberFormat="1" applyFont="1" applyFill="1" applyBorder="1" applyAlignment="1">
      <alignment vertical="center"/>
    </xf>
    <xf numFmtId="0" fontId="21" fillId="34" borderId="12" xfId="42" applyNumberFormat="1" applyFont="1" applyFill="1" applyBorder="1" applyAlignment="1">
      <alignment vertical="center"/>
    </xf>
    <xf numFmtId="166" fontId="21" fillId="34" borderId="0" xfId="1" applyNumberFormat="1" applyFont="1" applyFill="1" applyBorder="1" applyAlignment="1">
      <alignment vertical="center"/>
    </xf>
    <xf numFmtId="164" fontId="21" fillId="34" borderId="0" xfId="42" applyFont="1" applyFill="1" applyBorder="1" applyAlignment="1">
      <alignment vertical="center"/>
    </xf>
    <xf numFmtId="164" fontId="21" fillId="34" borderId="9" xfId="42" applyFont="1" applyFill="1" applyBorder="1" applyAlignment="1">
      <alignment vertical="center"/>
    </xf>
    <xf numFmtId="165" fontId="21" fillId="34" borderId="9" xfId="42" applyNumberFormat="1" applyFont="1" applyFill="1" applyBorder="1" applyAlignment="1">
      <alignment vertical="center"/>
    </xf>
    <xf numFmtId="164" fontId="21" fillId="34" borderId="11" xfId="42" applyFont="1" applyFill="1" applyBorder="1" applyAlignment="1">
      <alignment vertical="center"/>
    </xf>
    <xf numFmtId="165" fontId="21" fillId="34" borderId="0" xfId="42" applyNumberFormat="1" applyFont="1" applyFill="1" applyBorder="1" applyAlignment="1">
      <alignment vertical="center"/>
    </xf>
    <xf numFmtId="165" fontId="21" fillId="34" borderId="11" xfId="42" applyNumberFormat="1" applyFont="1" applyFill="1" applyBorder="1" applyAlignment="1">
      <alignment vertical="center"/>
    </xf>
    <xf numFmtId="0" fontId="23" fillId="0" borderId="0" xfId="0" applyFont="1" applyAlignment="1">
      <alignment horizontal="left" vertical="center"/>
    </xf>
    <xf numFmtId="49" fontId="36" fillId="0" borderId="0" xfId="0" applyNumberFormat="1" applyFont="1" applyFill="1" applyBorder="1" applyAlignment="1" applyProtection="1">
      <alignment vertical="center"/>
      <protection hidden="1"/>
    </xf>
    <xf numFmtId="49" fontId="21" fillId="0" borderId="0" xfId="0" applyNumberFormat="1" applyFont="1" applyFill="1" applyBorder="1" applyAlignment="1" applyProtection="1">
      <alignment vertical="center"/>
      <protection hidden="1"/>
    </xf>
    <xf numFmtId="9" fontId="20" fillId="0" borderId="0" xfId="1" applyFont="1" applyFill="1" applyBorder="1" applyAlignment="1" applyProtection="1">
      <alignment horizontal="right" vertical="center"/>
      <protection hidden="1"/>
    </xf>
    <xf numFmtId="49" fontId="20" fillId="0" borderId="0" xfId="0" applyNumberFormat="1" applyFont="1" applyFill="1" applyBorder="1" applyAlignment="1" applyProtection="1">
      <alignment vertical="center"/>
      <protection hidden="1"/>
    </xf>
    <xf numFmtId="0" fontId="20" fillId="0" borderId="0" xfId="42" applyNumberFormat="1" applyFont="1" applyFill="1" applyBorder="1" applyAlignment="1" applyProtection="1">
      <alignment horizontal="left" vertical="center"/>
      <protection hidden="1"/>
    </xf>
    <xf numFmtId="164" fontId="21" fillId="0" borderId="0" xfId="42" applyFont="1" applyFill="1" applyBorder="1" applyAlignment="1" applyProtection="1">
      <alignment horizontal="right" vertical="center"/>
      <protection hidden="1"/>
    </xf>
    <xf numFmtId="0" fontId="21" fillId="0" borderId="0" xfId="0" applyNumberFormat="1" applyFont="1" applyFill="1" applyBorder="1" applyAlignment="1" applyProtection="1">
      <alignment vertical="center"/>
      <protection hidden="1"/>
    </xf>
    <xf numFmtId="49" fontId="21" fillId="0" borderId="0" xfId="0" applyNumberFormat="1" applyFont="1" applyFill="1" applyBorder="1" applyAlignment="1" applyProtection="1">
      <alignment horizontal="right" vertical="center"/>
      <protection hidden="1"/>
    </xf>
    <xf numFmtId="164" fontId="18" fillId="0" borderId="0" xfId="42" applyFont="1" applyFill="1" applyBorder="1" applyAlignment="1" applyProtection="1">
      <alignment horizontal="right" vertical="center"/>
      <protection hidden="1"/>
    </xf>
    <xf numFmtId="0" fontId="18" fillId="0" borderId="0" xfId="0" applyFont="1" applyFill="1" applyAlignment="1" applyProtection="1">
      <alignment vertical="center"/>
      <protection hidden="1"/>
    </xf>
    <xf numFmtId="0" fontId="21" fillId="35" borderId="10" xfId="0" applyNumberFormat="1" applyFont="1" applyFill="1" applyBorder="1" applyAlignment="1" applyProtection="1">
      <alignment vertical="center"/>
      <protection hidden="1"/>
    </xf>
    <xf numFmtId="165" fontId="18" fillId="35" borderId="0" xfId="0" applyNumberFormat="1" applyFont="1" applyFill="1" applyBorder="1" applyAlignment="1" applyProtection="1">
      <alignment horizontal="right" vertical="center"/>
      <protection hidden="1"/>
    </xf>
    <xf numFmtId="9" fontId="20" fillId="35" borderId="0" xfId="1" applyFont="1" applyFill="1" applyBorder="1" applyAlignment="1" applyProtection="1">
      <alignment vertical="center"/>
      <protection hidden="1"/>
    </xf>
    <xf numFmtId="49" fontId="20" fillId="35" borderId="9" xfId="0" applyNumberFormat="1" applyFont="1" applyFill="1" applyBorder="1" applyAlignment="1" applyProtection="1">
      <alignment horizontal="right" vertical="center"/>
      <protection hidden="1"/>
    </xf>
    <xf numFmtId="0" fontId="21" fillId="0" borderId="18" xfId="0" applyNumberFormat="1" applyFont="1" applyFill="1" applyBorder="1" applyAlignment="1" applyProtection="1">
      <alignment vertical="center"/>
      <protection hidden="1"/>
    </xf>
    <xf numFmtId="165" fontId="18" fillId="0" borderId="0" xfId="0" applyNumberFormat="1" applyFont="1" applyFill="1" applyBorder="1" applyAlignment="1" applyProtection="1">
      <alignment horizontal="right" vertical="center"/>
      <protection hidden="1"/>
    </xf>
    <xf numFmtId="9" fontId="20" fillId="0" borderId="0" xfId="1" applyFont="1" applyFill="1" applyBorder="1" applyAlignment="1" applyProtection="1">
      <alignment vertical="center"/>
      <protection hidden="1"/>
    </xf>
    <xf numFmtId="49" fontId="20" fillId="0" borderId="9" xfId="0" applyNumberFormat="1" applyFont="1" applyFill="1" applyBorder="1" applyAlignment="1" applyProtection="1">
      <alignment horizontal="right" vertical="center"/>
      <protection hidden="1"/>
    </xf>
    <xf numFmtId="9" fontId="20" fillId="0" borderId="11" xfId="1" applyFont="1" applyFill="1" applyBorder="1" applyAlignment="1" applyProtection="1">
      <alignment vertical="center"/>
      <protection hidden="1"/>
    </xf>
    <xf numFmtId="49" fontId="20" fillId="0" borderId="14" xfId="0" applyNumberFormat="1" applyFont="1" applyFill="1" applyBorder="1" applyAlignment="1" applyProtection="1">
      <alignment horizontal="right" vertical="center"/>
      <protection hidden="1"/>
    </xf>
    <xf numFmtId="0" fontId="21" fillId="0" borderId="24" xfId="0" applyNumberFormat="1" applyFont="1" applyBorder="1" applyAlignment="1" applyProtection="1">
      <alignment vertical="center"/>
      <protection hidden="1"/>
    </xf>
    <xf numFmtId="165" fontId="21" fillId="0" borderId="36" xfId="42" applyNumberFormat="1" applyFont="1" applyBorder="1" applyAlignment="1" applyProtection="1">
      <alignment horizontal="right" vertical="center"/>
      <protection hidden="1"/>
    </xf>
    <xf numFmtId="165" fontId="21" fillId="0" borderId="0" xfId="42" applyNumberFormat="1" applyFont="1" applyBorder="1" applyAlignment="1" applyProtection="1">
      <alignment horizontal="right" vertical="center"/>
      <protection hidden="1"/>
    </xf>
    <xf numFmtId="165" fontId="21" fillId="0" borderId="11" xfId="42" applyNumberFormat="1" applyFont="1" applyBorder="1" applyAlignment="1" applyProtection="1">
      <alignment horizontal="right" vertical="center"/>
      <protection hidden="1"/>
    </xf>
    <xf numFmtId="165" fontId="21" fillId="0" borderId="0" xfId="42" applyNumberFormat="1" applyFont="1" applyFill="1" applyBorder="1" applyAlignment="1">
      <alignment vertical="center"/>
    </xf>
    <xf numFmtId="165" fontId="21" fillId="0" borderId="9" xfId="42" applyNumberFormat="1" applyFont="1" applyFill="1" applyBorder="1" applyAlignment="1">
      <alignment vertical="center"/>
    </xf>
    <xf numFmtId="164" fontId="21" fillId="34" borderId="9" xfId="42" applyFont="1" applyFill="1" applyBorder="1" applyAlignment="1">
      <alignment horizontal="center" vertical="center"/>
    </xf>
    <xf numFmtId="165" fontId="18" fillId="34" borderId="0" xfId="42" applyNumberFormat="1" applyFont="1" applyFill="1" applyBorder="1" applyAlignment="1">
      <alignment vertical="center"/>
    </xf>
    <xf numFmtId="164" fontId="21" fillId="0" borderId="0" xfId="42" applyFont="1" applyFill="1" applyBorder="1" applyAlignment="1">
      <alignment vertical="center"/>
    </xf>
    <xf numFmtId="164" fontId="21" fillId="0" borderId="10" xfId="42" applyFont="1" applyFill="1" applyBorder="1" applyAlignment="1">
      <alignment vertical="center"/>
    </xf>
    <xf numFmtId="164" fontId="21" fillId="0" borderId="9" xfId="42" applyFont="1" applyFill="1" applyBorder="1" applyAlignment="1">
      <alignment vertical="center"/>
    </xf>
    <xf numFmtId="0" fontId="21" fillId="0" borderId="38" xfId="42" applyNumberFormat="1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26" fillId="0" borderId="0" xfId="0" applyFont="1" applyBorder="1" applyAlignment="1">
      <alignment horizontal="right" vertical="center"/>
    </xf>
    <xf numFmtId="0" fontId="26" fillId="31" borderId="0" xfId="0" applyFont="1" applyFill="1" applyBorder="1" applyAlignment="1">
      <alignment horizontal="right" vertical="center"/>
    </xf>
    <xf numFmtId="0" fontId="21" fillId="0" borderId="43" xfId="42" applyNumberFormat="1" applyFont="1" applyFill="1" applyBorder="1" applyAlignment="1">
      <alignment vertical="center"/>
    </xf>
    <xf numFmtId="0" fontId="21" fillId="34" borderId="43" xfId="42" applyNumberFormat="1" applyFont="1" applyFill="1" applyBorder="1" applyAlignment="1">
      <alignment vertical="center"/>
    </xf>
    <xf numFmtId="164" fontId="21" fillId="34" borderId="38" xfId="42" applyFont="1" applyFill="1" applyBorder="1" applyAlignment="1">
      <alignment vertical="center"/>
    </xf>
    <xf numFmtId="165" fontId="21" fillId="34" borderId="38" xfId="42" applyNumberFormat="1" applyFont="1" applyFill="1" applyBorder="1" applyAlignment="1">
      <alignment vertical="center"/>
    </xf>
    <xf numFmtId="0" fontId="26" fillId="0" borderId="39" xfId="0" applyFont="1" applyBorder="1" applyAlignment="1">
      <alignment horizontal="left" vertical="center"/>
    </xf>
    <xf numFmtId="0" fontId="21" fillId="0" borderId="39" xfId="42" applyNumberFormat="1" applyFont="1" applyFill="1" applyBorder="1" applyAlignment="1">
      <alignment vertical="center"/>
    </xf>
    <xf numFmtId="0" fontId="21" fillId="0" borderId="37" xfId="42" applyNumberFormat="1" applyFont="1" applyFill="1" applyBorder="1" applyAlignment="1">
      <alignment vertical="center"/>
    </xf>
    <xf numFmtId="164" fontId="21" fillId="0" borderId="39" xfId="42" applyFont="1" applyFill="1" applyBorder="1" applyAlignment="1">
      <alignment vertical="center"/>
    </xf>
    <xf numFmtId="165" fontId="21" fillId="0" borderId="38" xfId="42" applyNumberFormat="1" applyFont="1" applyFill="1" applyBorder="1" applyAlignment="1">
      <alignment vertical="center"/>
    </xf>
    <xf numFmtId="164" fontId="18" fillId="0" borderId="0" xfId="42" applyNumberFormat="1" applyFont="1" applyFill="1" applyBorder="1" applyAlignment="1">
      <alignment vertical="center"/>
    </xf>
    <xf numFmtId="164" fontId="18" fillId="0" borderId="9" xfId="42" applyNumberFormat="1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164" fontId="18" fillId="34" borderId="0" xfId="42" applyFont="1" applyFill="1" applyBorder="1" applyAlignment="1">
      <alignment vertical="center"/>
    </xf>
    <xf numFmtId="164" fontId="18" fillId="34" borderId="9" xfId="42" applyFont="1" applyFill="1" applyBorder="1" applyAlignment="1">
      <alignment vertical="center"/>
    </xf>
    <xf numFmtId="0" fontId="23" fillId="0" borderId="0" xfId="0" applyFont="1" applyAlignment="1">
      <alignment vertical="center"/>
    </xf>
    <xf numFmtId="0" fontId="21" fillId="34" borderId="0" xfId="42" applyNumberFormat="1" applyFont="1" applyFill="1" applyBorder="1" applyAlignment="1">
      <alignment vertical="center"/>
    </xf>
    <xf numFmtId="0" fontId="21" fillId="34" borderId="10" xfId="42" applyNumberFormat="1" applyFont="1" applyFill="1" applyBorder="1" applyAlignment="1">
      <alignment vertical="center"/>
    </xf>
    <xf numFmtId="0" fontId="18" fillId="0" borderId="0" xfId="42" applyNumberFormat="1" applyFont="1" applyBorder="1" applyAlignment="1">
      <alignment vertical="center"/>
    </xf>
    <xf numFmtId="0" fontId="18" fillId="0" borderId="0" xfId="0" applyNumberFormat="1" applyFont="1" applyAlignment="1">
      <alignment vertical="center"/>
    </xf>
    <xf numFmtId="0" fontId="21" fillId="34" borderId="9" xfId="42" applyNumberFormat="1" applyFont="1" applyFill="1" applyBorder="1" applyAlignment="1">
      <alignment vertical="center"/>
    </xf>
    <xf numFmtId="0" fontId="18" fillId="34" borderId="10" xfId="0" applyNumberFormat="1" applyFont="1" applyFill="1" applyBorder="1" applyAlignment="1">
      <alignment vertical="center"/>
    </xf>
    <xf numFmtId="0" fontId="18" fillId="34" borderId="0" xfId="0" applyNumberFormat="1" applyFont="1" applyFill="1" applyBorder="1" applyAlignment="1">
      <alignment vertical="center"/>
    </xf>
    <xf numFmtId="0" fontId="21" fillId="34" borderId="0" xfId="0" applyNumberFormat="1" applyFont="1" applyFill="1" applyBorder="1" applyAlignment="1">
      <alignment vertical="center"/>
    </xf>
    <xf numFmtId="0" fontId="21" fillId="34" borderId="9" xfId="0" applyNumberFormat="1" applyFont="1" applyFill="1" applyBorder="1" applyAlignment="1">
      <alignment vertical="center"/>
    </xf>
    <xf numFmtId="0" fontId="18" fillId="34" borderId="11" xfId="0" applyNumberFormat="1" applyFont="1" applyFill="1" applyBorder="1" applyAlignment="1">
      <alignment vertical="center"/>
    </xf>
    <xf numFmtId="0" fontId="21" fillId="34" borderId="11" xfId="0" applyNumberFormat="1" applyFont="1" applyFill="1" applyBorder="1" applyAlignment="1">
      <alignment vertical="center"/>
    </xf>
    <xf numFmtId="0" fontId="21" fillId="34" borderId="14" xfId="0" applyNumberFormat="1" applyFont="1" applyFill="1" applyBorder="1" applyAlignment="1">
      <alignment vertical="center"/>
    </xf>
    <xf numFmtId="0" fontId="33" fillId="0" borderId="0" xfId="0" applyNumberFormat="1" applyFont="1" applyFill="1" applyBorder="1" applyAlignment="1">
      <alignment vertical="center"/>
    </xf>
    <xf numFmtId="164" fontId="30" fillId="32" borderId="10" xfId="42" applyFont="1" applyFill="1" applyBorder="1" applyAlignment="1" applyProtection="1">
      <alignment horizontal="right" vertical="center"/>
      <protection hidden="1"/>
    </xf>
    <xf numFmtId="164" fontId="30" fillId="32" borderId="13" xfId="42" applyFont="1" applyFill="1" applyBorder="1" applyAlignment="1" applyProtection="1">
      <alignment horizontal="right" vertical="center"/>
      <protection hidden="1"/>
    </xf>
    <xf numFmtId="164" fontId="18" fillId="0" borderId="0" xfId="42" applyFont="1" applyBorder="1" applyAlignment="1" applyProtection="1">
      <alignment horizontal="right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/>
      <protection hidden="1"/>
    </xf>
    <xf numFmtId="0" fontId="18" fillId="0" borderId="0" xfId="0" applyFont="1" applyAlignment="1" applyProtection="1">
      <alignment horizontal="right" vertical="center"/>
      <protection hidden="1"/>
    </xf>
    <xf numFmtId="0" fontId="18" fillId="0" borderId="0" xfId="0" applyNumberFormat="1" applyFont="1" applyAlignment="1" applyProtection="1">
      <alignment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right" vertical="center"/>
      <protection hidden="1"/>
    </xf>
    <xf numFmtId="0" fontId="23" fillId="0" borderId="0" xfId="0" applyNumberFormat="1" applyFont="1" applyAlignment="1" applyProtection="1">
      <alignment vertical="center"/>
      <protection hidden="1"/>
    </xf>
    <xf numFmtId="0" fontId="21" fillId="0" borderId="10" xfId="0" applyNumberFormat="1" applyFont="1" applyBorder="1" applyAlignment="1" applyProtection="1">
      <alignment vertical="center"/>
      <protection hidden="1"/>
    </xf>
    <xf numFmtId="164" fontId="30" fillId="32" borderId="0" xfId="42" applyFont="1" applyFill="1" applyBorder="1" applyAlignment="1" applyProtection="1">
      <alignment horizontal="right" vertical="center"/>
      <protection hidden="1"/>
    </xf>
    <xf numFmtId="164" fontId="30" fillId="32" borderId="11" xfId="42" applyFont="1" applyFill="1" applyBorder="1" applyAlignment="1" applyProtection="1">
      <alignment horizontal="right" vertical="center"/>
      <protection hidden="1"/>
    </xf>
    <xf numFmtId="0" fontId="18" fillId="34" borderId="39" xfId="0" applyNumberFormat="1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165" fontId="18" fillId="0" borderId="0" xfId="0" applyNumberFormat="1" applyFont="1" applyFill="1" applyBorder="1" applyAlignment="1">
      <alignment horizontal="right" vertical="center"/>
    </xf>
    <xf numFmtId="165" fontId="18" fillId="0" borderId="9" xfId="0" applyNumberFormat="1" applyFont="1" applyFill="1" applyBorder="1" applyAlignment="1">
      <alignment horizontal="right" vertical="center"/>
    </xf>
    <xf numFmtId="165" fontId="18" fillId="0" borderId="0" xfId="42" applyNumberFormat="1" applyFont="1" applyFill="1" applyBorder="1" applyAlignment="1">
      <alignment horizontal="right" vertical="center"/>
    </xf>
    <xf numFmtId="165" fontId="18" fillId="0" borderId="9" xfId="42" applyNumberFormat="1" applyFont="1" applyFill="1" applyBorder="1" applyAlignment="1">
      <alignment horizontal="right" vertical="center"/>
    </xf>
    <xf numFmtId="165" fontId="18" fillId="0" borderId="45" xfId="0" applyNumberFormat="1" applyFont="1" applyFill="1" applyBorder="1" applyAlignment="1">
      <alignment horizontal="right" vertical="center"/>
    </xf>
    <xf numFmtId="165" fontId="18" fillId="0" borderId="46" xfId="0" applyNumberFormat="1" applyFont="1" applyFill="1" applyBorder="1" applyAlignment="1">
      <alignment horizontal="right" vertical="center"/>
    </xf>
    <xf numFmtId="165" fontId="18" fillId="0" borderId="45" xfId="42" applyNumberFormat="1" applyFont="1" applyFill="1" applyBorder="1" applyAlignment="1">
      <alignment horizontal="right" vertical="center"/>
    </xf>
    <xf numFmtId="0" fontId="25" fillId="0" borderId="0" xfId="0" applyFont="1" applyFill="1" applyBorder="1" applyAlignment="1" applyProtection="1">
      <alignment vertical="center"/>
      <protection hidden="1"/>
    </xf>
    <xf numFmtId="0" fontId="19" fillId="0" borderId="0" xfId="0" applyFont="1" applyFill="1" applyBorder="1" applyAlignment="1" applyProtection="1">
      <alignment vertical="center"/>
      <protection hidden="1"/>
    </xf>
    <xf numFmtId="0" fontId="22" fillId="0" borderId="0" xfId="0" applyFont="1" applyFill="1" applyBorder="1" applyAlignment="1" applyProtection="1">
      <alignment vertical="center"/>
      <protection hidden="1"/>
    </xf>
    <xf numFmtId="0" fontId="25" fillId="0" borderId="0" xfId="0" applyFont="1" applyFill="1" applyBorder="1" applyAlignment="1" applyProtection="1">
      <alignment horizontal="right" vertical="center"/>
      <protection hidden="1"/>
    </xf>
    <xf numFmtId="170" fontId="25" fillId="0" borderId="0" xfId="42" applyNumberFormat="1" applyFont="1" applyFill="1" applyBorder="1" applyAlignment="1" applyProtection="1">
      <alignment vertical="center"/>
      <protection hidden="1"/>
    </xf>
    <xf numFmtId="0" fontId="20" fillId="38" borderId="12" xfId="42" applyNumberFormat="1" applyFont="1" applyFill="1" applyBorder="1" applyAlignment="1" applyProtection="1">
      <alignment vertical="center"/>
      <protection hidden="1"/>
    </xf>
    <xf numFmtId="0" fontId="20" fillId="38" borderId="8" xfId="42" applyNumberFormat="1" applyFont="1" applyFill="1" applyBorder="1" applyAlignment="1" applyProtection="1">
      <alignment vertical="center"/>
      <protection hidden="1"/>
    </xf>
    <xf numFmtId="49" fontId="20" fillId="45" borderId="10" xfId="0" applyNumberFormat="1" applyFont="1" applyFill="1" applyBorder="1" applyAlignment="1" applyProtection="1">
      <alignment vertical="center"/>
      <protection hidden="1"/>
    </xf>
    <xf numFmtId="49" fontId="21" fillId="45" borderId="0" xfId="0" applyNumberFormat="1" applyFont="1" applyFill="1" applyBorder="1" applyAlignment="1" applyProtection="1">
      <alignment vertical="center"/>
      <protection hidden="1"/>
    </xf>
    <xf numFmtId="49" fontId="20" fillId="45" borderId="39" xfId="0" applyNumberFormat="1" applyFont="1" applyFill="1" applyBorder="1" applyAlignment="1" applyProtection="1">
      <alignment vertical="center"/>
      <protection hidden="1"/>
    </xf>
    <xf numFmtId="0" fontId="18" fillId="0" borderId="0" xfId="0" applyFont="1" applyAlignment="1">
      <alignment horizontal="center" vertical="center"/>
    </xf>
    <xf numFmtId="0" fontId="20" fillId="45" borderId="13" xfId="0" applyNumberFormat="1" applyFont="1" applyFill="1" applyBorder="1" applyAlignment="1">
      <alignment horizontal="left" vertical="center"/>
    </xf>
    <xf numFmtId="0" fontId="20" fillId="45" borderId="11" xfId="0" applyNumberFormat="1" applyFont="1" applyFill="1" applyBorder="1" applyAlignment="1">
      <alignment horizontal="left" vertical="center"/>
    </xf>
    <xf numFmtId="0" fontId="20" fillId="45" borderId="11" xfId="0" applyFont="1" applyFill="1" applyBorder="1" applyAlignment="1">
      <alignment vertical="center"/>
    </xf>
    <xf numFmtId="0" fontId="20" fillId="45" borderId="11" xfId="0" applyFont="1" applyFill="1" applyBorder="1" applyAlignment="1">
      <alignment horizontal="left" vertical="center"/>
    </xf>
    <xf numFmtId="14" fontId="20" fillId="45" borderId="11" xfId="0" applyNumberFormat="1" applyFont="1" applyFill="1" applyBorder="1" applyAlignment="1">
      <alignment horizontal="left" vertical="center"/>
    </xf>
    <xf numFmtId="0" fontId="20" fillId="45" borderId="30" xfId="0" applyFont="1" applyFill="1" applyBorder="1" applyAlignment="1">
      <alignment vertical="center"/>
    </xf>
    <xf numFmtId="0" fontId="20" fillId="45" borderId="28" xfId="0" applyFont="1" applyFill="1" applyBorder="1" applyAlignment="1">
      <alignment vertical="center"/>
    </xf>
    <xf numFmtId="0" fontId="20" fillId="45" borderId="41" xfId="0" applyFont="1" applyFill="1" applyBorder="1" applyAlignment="1">
      <alignment horizontal="left" vertical="center"/>
    </xf>
    <xf numFmtId="0" fontId="20" fillId="45" borderId="42" xfId="0" applyFont="1" applyFill="1" applyBorder="1" applyAlignment="1">
      <alignment horizontal="right" vertical="center"/>
    </xf>
    <xf numFmtId="0" fontId="21" fillId="0" borderId="0" xfId="0" applyFont="1" applyFill="1" applyBorder="1" applyAlignment="1" applyProtection="1">
      <alignment vertical="center"/>
      <protection hidden="1"/>
    </xf>
    <xf numFmtId="0" fontId="20" fillId="37" borderId="9" xfId="42" applyNumberFormat="1" applyFont="1" applyFill="1" applyBorder="1" applyAlignment="1" applyProtection="1">
      <alignment vertical="center"/>
      <protection hidden="1"/>
    </xf>
    <xf numFmtId="0" fontId="20" fillId="37" borderId="14" xfId="42" applyNumberFormat="1" applyFont="1" applyFill="1" applyBorder="1" applyAlignment="1" applyProtection="1">
      <alignment vertical="center"/>
      <protection hidden="1"/>
    </xf>
    <xf numFmtId="2" fontId="21" fillId="37" borderId="0" xfId="42" applyNumberFormat="1" applyFont="1" applyFill="1" applyBorder="1" applyAlignment="1" applyProtection="1">
      <alignment horizontal="left" vertical="center"/>
      <protection hidden="1"/>
    </xf>
    <xf numFmtId="0" fontId="21" fillId="37" borderId="9" xfId="42" applyNumberFormat="1" applyFont="1" applyFill="1" applyBorder="1" applyAlignment="1" applyProtection="1">
      <alignment vertical="center"/>
      <protection hidden="1"/>
    </xf>
    <xf numFmtId="2" fontId="21" fillId="37" borderId="11" xfId="42" applyNumberFormat="1" applyFont="1" applyFill="1" applyBorder="1" applyAlignment="1" applyProtection="1">
      <alignment horizontal="left" vertical="center"/>
      <protection hidden="1"/>
    </xf>
    <xf numFmtId="0" fontId="21" fillId="37" borderId="14" xfId="42" applyNumberFormat="1" applyFont="1" applyFill="1" applyBorder="1" applyAlignment="1" applyProtection="1">
      <alignment vertical="center"/>
      <protection hidden="1"/>
    </xf>
    <xf numFmtId="165" fontId="21" fillId="37" borderId="10" xfId="42" applyNumberFormat="1" applyFont="1" applyFill="1" applyBorder="1" applyAlignment="1" applyProtection="1">
      <alignment horizontal="right" vertical="center"/>
      <protection hidden="1"/>
    </xf>
    <xf numFmtId="169" fontId="21" fillId="37" borderId="12" xfId="42" applyNumberFormat="1" applyFont="1" applyFill="1" applyBorder="1" applyAlignment="1" applyProtection="1">
      <alignment horizontal="right" vertical="center"/>
      <protection hidden="1"/>
    </xf>
    <xf numFmtId="0" fontId="20" fillId="36" borderId="9" xfId="42" applyNumberFormat="1" applyFont="1" applyFill="1" applyBorder="1" applyAlignment="1" applyProtection="1">
      <alignment vertical="center"/>
      <protection hidden="1"/>
    </xf>
    <xf numFmtId="0" fontId="20" fillId="36" borderId="14" xfId="42" applyNumberFormat="1" applyFont="1" applyFill="1" applyBorder="1" applyAlignment="1" applyProtection="1">
      <alignment vertical="center"/>
      <protection hidden="1"/>
    </xf>
    <xf numFmtId="2" fontId="21" fillId="36" borderId="45" xfId="42" applyNumberFormat="1" applyFont="1" applyFill="1" applyBorder="1" applyAlignment="1" applyProtection="1">
      <alignment horizontal="left" vertical="center"/>
      <protection hidden="1"/>
    </xf>
    <xf numFmtId="2" fontId="21" fillId="36" borderId="0" xfId="42" applyNumberFormat="1" applyFont="1" applyFill="1" applyBorder="1" applyAlignment="1" applyProtection="1">
      <alignment horizontal="left" vertical="center"/>
      <protection hidden="1"/>
    </xf>
    <xf numFmtId="0" fontId="21" fillId="36" borderId="9" xfId="42" applyNumberFormat="1" applyFont="1" applyFill="1" applyBorder="1" applyAlignment="1" applyProtection="1">
      <alignment vertical="center"/>
      <protection hidden="1"/>
    </xf>
    <xf numFmtId="2" fontId="21" fillId="36" borderId="11" xfId="42" applyNumberFormat="1" applyFont="1" applyFill="1" applyBorder="1" applyAlignment="1" applyProtection="1">
      <alignment horizontal="left" vertical="center"/>
      <protection hidden="1"/>
    </xf>
    <xf numFmtId="0" fontId="21" fillId="36" borderId="14" xfId="42" applyNumberFormat="1" applyFont="1" applyFill="1" applyBorder="1" applyAlignment="1" applyProtection="1">
      <alignment vertical="center"/>
      <protection hidden="1"/>
    </xf>
    <xf numFmtId="165" fontId="21" fillId="36" borderId="10" xfId="42" applyNumberFormat="1" applyFont="1" applyFill="1" applyBorder="1" applyAlignment="1" applyProtection="1">
      <alignment horizontal="right" vertical="center"/>
      <protection hidden="1"/>
    </xf>
    <xf numFmtId="169" fontId="21" fillId="36" borderId="12" xfId="42" applyNumberFormat="1" applyFont="1" applyFill="1" applyBorder="1" applyAlignment="1" applyProtection="1">
      <alignment horizontal="right" vertical="center"/>
      <protection hidden="1"/>
    </xf>
    <xf numFmtId="10" fontId="21" fillId="36" borderId="10" xfId="1" applyNumberFormat="1" applyFont="1" applyFill="1" applyBorder="1" applyAlignment="1" applyProtection="1">
      <alignment horizontal="right" vertical="center"/>
      <protection hidden="1"/>
    </xf>
    <xf numFmtId="0" fontId="20" fillId="38" borderId="14" xfId="42" applyNumberFormat="1" applyFont="1" applyFill="1" applyBorder="1" applyAlignment="1" applyProtection="1">
      <alignment vertical="center"/>
      <protection hidden="1"/>
    </xf>
    <xf numFmtId="0" fontId="20" fillId="38" borderId="9" xfId="42" applyNumberFormat="1" applyFont="1" applyFill="1" applyBorder="1" applyAlignment="1" applyProtection="1">
      <alignment vertical="center"/>
      <protection hidden="1"/>
    </xf>
    <xf numFmtId="2" fontId="21" fillId="38" borderId="11" xfId="42" applyNumberFormat="1" applyFont="1" applyFill="1" applyBorder="1" applyAlignment="1" applyProtection="1">
      <alignment horizontal="left" vertical="center"/>
      <protection hidden="1"/>
    </xf>
    <xf numFmtId="0" fontId="21" fillId="38" borderId="14" xfId="42" applyNumberFormat="1" applyFont="1" applyFill="1" applyBorder="1" applyAlignment="1" applyProtection="1">
      <alignment vertical="center"/>
      <protection hidden="1"/>
    </xf>
    <xf numFmtId="2" fontId="21" fillId="38" borderId="0" xfId="42" applyNumberFormat="1" applyFont="1" applyFill="1" applyBorder="1" applyAlignment="1" applyProtection="1">
      <alignment horizontal="left" vertical="center"/>
      <protection hidden="1"/>
    </xf>
    <xf numFmtId="0" fontId="21" fillId="38" borderId="9" xfId="42" applyNumberFormat="1" applyFont="1" applyFill="1" applyBorder="1" applyAlignment="1" applyProtection="1">
      <alignment vertical="center"/>
      <protection hidden="1"/>
    </xf>
    <xf numFmtId="165" fontId="21" fillId="38" borderId="10" xfId="42" applyNumberFormat="1" applyFont="1" applyFill="1" applyBorder="1" applyAlignment="1" applyProtection="1">
      <alignment horizontal="right" vertical="center"/>
      <protection hidden="1"/>
    </xf>
    <xf numFmtId="169" fontId="21" fillId="38" borderId="8" xfId="42" applyNumberFormat="1" applyFont="1" applyFill="1" applyBorder="1" applyAlignment="1" applyProtection="1">
      <alignment horizontal="right" vertical="center"/>
      <protection hidden="1"/>
    </xf>
    <xf numFmtId="169" fontId="21" fillId="38" borderId="12" xfId="42" applyNumberFormat="1" applyFont="1" applyFill="1" applyBorder="1" applyAlignment="1" applyProtection="1">
      <alignment horizontal="right" vertical="center"/>
      <protection hidden="1"/>
    </xf>
    <xf numFmtId="0" fontId="21" fillId="37" borderId="0" xfId="42" applyNumberFormat="1" applyFont="1" applyFill="1" applyBorder="1" applyAlignment="1" applyProtection="1">
      <alignment vertical="center"/>
      <protection hidden="1"/>
    </xf>
    <xf numFmtId="0" fontId="21" fillId="37" borderId="11" xfId="42" applyNumberFormat="1" applyFont="1" applyFill="1" applyBorder="1" applyAlignment="1" applyProtection="1">
      <alignment vertical="center"/>
      <protection hidden="1"/>
    </xf>
    <xf numFmtId="164" fontId="21" fillId="37" borderId="13" xfId="42" applyFont="1" applyFill="1" applyBorder="1" applyAlignment="1" applyProtection="1">
      <alignment horizontal="right" vertical="center"/>
      <protection hidden="1"/>
    </xf>
    <xf numFmtId="169" fontId="21" fillId="37" borderId="8" xfId="42" applyNumberFormat="1" applyFont="1" applyFill="1" applyBorder="1" applyAlignment="1" applyProtection="1">
      <alignment horizontal="right" vertical="center"/>
      <protection hidden="1"/>
    </xf>
    <xf numFmtId="9" fontId="21" fillId="45" borderId="11" xfId="1" applyFont="1" applyFill="1" applyBorder="1" applyAlignment="1" applyProtection="1">
      <alignment horizontal="right" vertical="center"/>
      <protection hidden="1"/>
    </xf>
    <xf numFmtId="0" fontId="40" fillId="0" borderId="0" xfId="0" applyFont="1" applyFill="1" applyBorder="1" applyAlignment="1" applyProtection="1">
      <alignment vertical="center"/>
      <protection hidden="1"/>
    </xf>
    <xf numFmtId="0" fontId="41" fillId="0" borderId="0" xfId="0" applyFont="1" applyFill="1" applyBorder="1" applyAlignment="1" applyProtection="1">
      <alignment vertical="center"/>
      <protection hidden="1"/>
    </xf>
    <xf numFmtId="0" fontId="40" fillId="0" borderId="0" xfId="42" applyNumberFormat="1" applyFont="1" applyFill="1" applyBorder="1" applyAlignment="1" applyProtection="1">
      <alignment horizontal="right" vertical="center"/>
      <protection hidden="1"/>
    </xf>
    <xf numFmtId="0" fontId="41" fillId="0" borderId="0" xfId="0" applyFont="1" applyFill="1" applyBorder="1" applyAlignment="1" applyProtection="1">
      <alignment vertical="center"/>
      <protection locked="0"/>
    </xf>
    <xf numFmtId="164" fontId="42" fillId="0" borderId="0" xfId="42" applyFont="1" applyBorder="1" applyAlignment="1" applyProtection="1">
      <alignment horizontal="right" vertical="center"/>
      <protection hidden="1"/>
    </xf>
    <xf numFmtId="0" fontId="42" fillId="0" borderId="0" xfId="0" applyFont="1" applyAlignment="1" applyProtection="1">
      <alignment vertical="center"/>
      <protection hidden="1"/>
    </xf>
    <xf numFmtId="0" fontId="42" fillId="0" borderId="0" xfId="0" applyFont="1" applyAlignment="1" applyProtection="1">
      <alignment horizontal="right" vertical="center"/>
      <protection hidden="1"/>
    </xf>
    <xf numFmtId="9" fontId="39" fillId="0" borderId="0" xfId="1" applyFont="1" applyFill="1" applyBorder="1" applyAlignment="1" applyProtection="1">
      <alignment horizontal="right" vertical="center"/>
      <protection hidden="1"/>
    </xf>
    <xf numFmtId="0" fontId="42" fillId="0" borderId="0" xfId="0" applyNumberFormat="1" applyFont="1" applyAlignment="1" applyProtection="1">
      <alignment vertical="center"/>
      <protection hidden="1"/>
    </xf>
    <xf numFmtId="168" fontId="23" fillId="35" borderId="9" xfId="1" applyNumberFormat="1" applyFont="1" applyFill="1" applyBorder="1" applyAlignment="1" applyProtection="1">
      <alignment horizontal="right" vertical="center"/>
      <protection hidden="1"/>
    </xf>
    <xf numFmtId="168" fontId="23" fillId="0" borderId="9" xfId="1" applyNumberFormat="1" applyFont="1" applyFill="1" applyBorder="1" applyAlignment="1" applyProtection="1">
      <alignment horizontal="right" vertical="center"/>
      <protection hidden="1"/>
    </xf>
    <xf numFmtId="168" fontId="23" fillId="0" borderId="29" xfId="1" applyNumberFormat="1" applyFont="1" applyBorder="1" applyAlignment="1" applyProtection="1">
      <alignment horizontal="right" vertical="center"/>
      <protection hidden="1"/>
    </xf>
    <xf numFmtId="168" fontId="23" fillId="0" borderId="12" xfId="1" applyNumberFormat="1" applyFont="1" applyBorder="1" applyAlignment="1" applyProtection="1">
      <alignment horizontal="right" vertical="center"/>
      <protection hidden="1"/>
    </xf>
    <xf numFmtId="0" fontId="35" fillId="45" borderId="48" xfId="0" applyFont="1" applyFill="1" applyBorder="1" applyAlignment="1" applyProtection="1">
      <alignment vertical="center"/>
      <protection hidden="1"/>
    </xf>
    <xf numFmtId="0" fontId="16" fillId="45" borderId="48" xfId="0" applyNumberFormat="1" applyFont="1" applyFill="1" applyBorder="1" applyAlignment="1" applyProtection="1">
      <alignment horizontal="left" vertical="center"/>
      <protection hidden="1"/>
    </xf>
    <xf numFmtId="0" fontId="20" fillId="45" borderId="26" xfId="0" applyFont="1" applyFill="1" applyBorder="1" applyAlignment="1">
      <alignment vertical="center"/>
    </xf>
    <xf numFmtId="0" fontId="16" fillId="45" borderId="36" xfId="0" applyNumberFormat="1" applyFont="1" applyFill="1" applyBorder="1" applyAlignment="1" applyProtection="1">
      <alignment horizontal="left" vertical="center"/>
      <protection hidden="1"/>
    </xf>
    <xf numFmtId="0" fontId="35" fillId="45" borderId="36" xfId="0" applyFont="1" applyFill="1" applyBorder="1" applyAlignment="1" applyProtection="1">
      <alignment vertical="center"/>
      <protection hidden="1"/>
    </xf>
    <xf numFmtId="0" fontId="21" fillId="0" borderId="44" xfId="0" applyNumberFormat="1" applyFont="1" applyFill="1" applyBorder="1" applyAlignment="1">
      <alignment horizontal="left" vertical="center"/>
    </xf>
    <xf numFmtId="0" fontId="21" fillId="0" borderId="10" xfId="0" applyNumberFormat="1" applyFont="1" applyFill="1" applyBorder="1" applyAlignment="1">
      <alignment horizontal="left" vertical="center"/>
    </xf>
    <xf numFmtId="0" fontId="21" fillId="34" borderId="10" xfId="0" applyNumberFormat="1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1" fillId="45" borderId="33" xfId="0" applyFont="1" applyFill="1" applyBorder="1" applyAlignment="1">
      <alignment horizontal="center" vertical="center"/>
    </xf>
    <xf numFmtId="0" fontId="21" fillId="45" borderId="33" xfId="0" applyFont="1" applyFill="1" applyBorder="1" applyAlignment="1">
      <alignment horizontal="center" textRotation="90"/>
    </xf>
    <xf numFmtId="0" fontId="21" fillId="45" borderId="35" xfId="0" applyFont="1" applyFill="1" applyBorder="1" applyAlignment="1">
      <alignment horizontal="center" textRotation="90"/>
    </xf>
    <xf numFmtId="0" fontId="21" fillId="45" borderId="34" xfId="0" applyFont="1" applyFill="1" applyBorder="1" applyAlignment="1">
      <alignment horizontal="center" textRotation="90"/>
    </xf>
    <xf numFmtId="0" fontId="21" fillId="45" borderId="19" xfId="0" applyFont="1" applyFill="1" applyBorder="1" applyAlignment="1">
      <alignment horizontal="center" vertical="center"/>
    </xf>
    <xf numFmtId="165" fontId="20" fillId="0" borderId="12" xfId="42" applyNumberFormat="1" applyFont="1" applyFill="1" applyBorder="1" applyAlignment="1">
      <alignment vertical="center"/>
    </xf>
    <xf numFmtId="0" fontId="21" fillId="0" borderId="13" xfId="42" applyNumberFormat="1" applyFont="1" applyFill="1" applyBorder="1" applyAlignment="1">
      <alignment vertical="center"/>
    </xf>
    <xf numFmtId="165" fontId="20" fillId="0" borderId="8" xfId="42" applyNumberFormat="1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18" fillId="36" borderId="12" xfId="0" applyNumberFormat="1" applyFont="1" applyFill="1" applyBorder="1" applyAlignment="1" applyProtection="1">
      <alignment vertical="center"/>
      <protection hidden="1"/>
    </xf>
    <xf numFmtId="0" fontId="21" fillId="0" borderId="10" xfId="0" applyNumberFormat="1" applyFont="1" applyFill="1" applyBorder="1" applyAlignment="1" applyProtection="1">
      <alignment vertical="center"/>
      <protection hidden="1"/>
    </xf>
    <xf numFmtId="0" fontId="21" fillId="35" borderId="10" xfId="0" applyNumberFormat="1" applyFont="1" applyFill="1" applyBorder="1" applyAlignment="1" applyProtection="1">
      <alignment horizontal="left" vertical="center"/>
      <protection hidden="1"/>
    </xf>
    <xf numFmtId="0" fontId="21" fillId="0" borderId="10" xfId="0" applyNumberFormat="1" applyFont="1" applyFill="1" applyBorder="1" applyAlignment="1" applyProtection="1">
      <alignment horizontal="left" vertical="center"/>
      <protection hidden="1"/>
    </xf>
    <xf numFmtId="0" fontId="21" fillId="0" borderId="13" xfId="0" applyNumberFormat="1" applyFont="1" applyFill="1" applyBorder="1" applyAlignment="1" applyProtection="1">
      <alignment horizontal="left" vertical="center"/>
      <protection hidden="1"/>
    </xf>
    <xf numFmtId="0" fontId="21" fillId="0" borderId="13" xfId="0" applyNumberFormat="1" applyFont="1" applyBorder="1" applyAlignment="1" applyProtection="1">
      <alignment vertical="center"/>
      <protection hidden="1"/>
    </xf>
    <xf numFmtId="0" fontId="21" fillId="0" borderId="0" xfId="0" applyNumberFormat="1" applyFont="1" applyFill="1" applyBorder="1" applyAlignment="1" applyProtection="1">
      <alignment horizontal="left" vertical="center"/>
      <protection hidden="1"/>
    </xf>
    <xf numFmtId="164" fontId="18" fillId="0" borderId="36" xfId="0" applyNumberFormat="1" applyFont="1" applyFill="1" applyBorder="1" applyAlignment="1" applyProtection="1">
      <alignment horizontal="right" vertical="center"/>
      <protection hidden="1"/>
    </xf>
    <xf numFmtId="164" fontId="18" fillId="0" borderId="0" xfId="0" applyNumberFormat="1" applyFont="1" applyFill="1" applyBorder="1" applyAlignment="1" applyProtection="1">
      <alignment horizontal="right" vertical="center"/>
      <protection hidden="1"/>
    </xf>
    <xf numFmtId="168" fontId="23" fillId="0" borderId="12" xfId="1" applyNumberFormat="1" applyFont="1" applyFill="1" applyBorder="1" applyAlignment="1" applyProtection="1">
      <alignment horizontal="right" vertical="center"/>
      <protection hidden="1"/>
    </xf>
    <xf numFmtId="168" fontId="23" fillId="0" borderId="43" xfId="1" applyNumberFormat="1" applyFont="1" applyFill="1" applyBorder="1" applyAlignment="1" applyProtection="1">
      <alignment horizontal="right" vertical="center"/>
      <protection hidden="1"/>
    </xf>
    <xf numFmtId="168" fontId="23" fillId="0" borderId="43" xfId="1" applyNumberFormat="1" applyFont="1" applyBorder="1" applyAlignment="1" applyProtection="1">
      <alignment horizontal="right" vertical="center"/>
      <protection hidden="1"/>
    </xf>
    <xf numFmtId="9" fontId="20" fillId="33" borderId="12" xfId="1" applyFont="1" applyFill="1" applyBorder="1" applyAlignment="1" applyProtection="1">
      <alignment horizontal="right" vertical="center"/>
      <protection locked="0"/>
    </xf>
    <xf numFmtId="9" fontId="20" fillId="45" borderId="48" xfId="1" applyFont="1" applyFill="1" applyBorder="1" applyAlignment="1" applyProtection="1">
      <alignment horizontal="right" vertical="center"/>
      <protection hidden="1"/>
    </xf>
    <xf numFmtId="49" fontId="21" fillId="45" borderId="48" xfId="0" applyNumberFormat="1" applyFont="1" applyFill="1" applyBorder="1" applyAlignment="1" applyProtection="1">
      <alignment vertical="center"/>
      <protection hidden="1"/>
    </xf>
    <xf numFmtId="0" fontId="19" fillId="43" borderId="49" xfId="42" applyNumberFormat="1" applyFont="1" applyFill="1" applyBorder="1" applyAlignment="1" applyProtection="1">
      <alignment horizontal="left" vertical="center"/>
      <protection hidden="1"/>
    </xf>
    <xf numFmtId="9" fontId="19" fillId="43" borderId="50" xfId="1" applyFont="1" applyFill="1" applyBorder="1" applyAlignment="1" applyProtection="1">
      <alignment horizontal="right" vertical="center"/>
      <protection hidden="1"/>
    </xf>
    <xf numFmtId="0" fontId="19" fillId="43" borderId="50" xfId="42" applyNumberFormat="1" applyFont="1" applyFill="1" applyBorder="1" applyAlignment="1" applyProtection="1">
      <alignment vertical="center"/>
      <protection hidden="1"/>
    </xf>
    <xf numFmtId="0" fontId="19" fillId="43" borderId="50" xfId="42" applyNumberFormat="1" applyFont="1" applyFill="1" applyBorder="1" applyAlignment="1" applyProtection="1">
      <alignment horizontal="left" vertical="center"/>
      <protection hidden="1"/>
    </xf>
    <xf numFmtId="0" fontId="19" fillId="43" borderId="50" xfId="42" applyNumberFormat="1" applyFont="1" applyFill="1" applyBorder="1" applyAlignment="1" applyProtection="1">
      <alignment horizontal="right" vertical="center"/>
      <protection hidden="1"/>
    </xf>
    <xf numFmtId="164" fontId="19" fillId="43" borderId="50" xfId="42" applyFont="1" applyFill="1" applyBorder="1" applyAlignment="1" applyProtection="1">
      <alignment horizontal="right" vertical="center"/>
      <protection hidden="1"/>
    </xf>
    <xf numFmtId="0" fontId="40" fillId="0" borderId="10" xfId="0" applyFont="1" applyFill="1" applyBorder="1" applyAlignment="1" applyProtection="1">
      <alignment vertical="center"/>
      <protection hidden="1"/>
    </xf>
    <xf numFmtId="0" fontId="22" fillId="0" borderId="9" xfId="0" applyFont="1" applyFill="1" applyBorder="1" applyAlignment="1" applyProtection="1">
      <alignment vertical="center"/>
      <protection hidden="1"/>
    </xf>
    <xf numFmtId="0" fontId="22" fillId="0" borderId="10" xfId="0" applyFont="1" applyFill="1" applyBorder="1" applyAlignment="1" applyProtection="1">
      <alignment vertical="center"/>
      <protection hidden="1"/>
    </xf>
    <xf numFmtId="0" fontId="19" fillId="0" borderId="9" xfId="42" applyNumberFormat="1" applyFont="1" applyFill="1" applyBorder="1" applyAlignment="1" applyProtection="1">
      <alignment horizontal="right" vertical="center"/>
      <protection hidden="1"/>
    </xf>
    <xf numFmtId="9" fontId="20" fillId="45" borderId="9" xfId="1" applyFont="1" applyFill="1" applyBorder="1" applyAlignment="1" applyProtection="1">
      <alignment horizontal="center" vertical="center"/>
      <protection hidden="1"/>
    </xf>
    <xf numFmtId="9" fontId="20" fillId="45" borderId="40" xfId="1" applyFont="1" applyFill="1" applyBorder="1" applyAlignment="1" applyProtection="1">
      <alignment horizontal="center" vertical="center"/>
      <protection hidden="1"/>
    </xf>
    <xf numFmtId="49" fontId="20" fillId="0" borderId="0" xfId="0" applyNumberFormat="1" applyFont="1" applyFill="1" applyBorder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19" fillId="43" borderId="51" xfId="42" applyNumberFormat="1" applyFont="1" applyFill="1" applyBorder="1" applyAlignment="1" applyProtection="1">
      <alignment horizontal="center" vertical="center"/>
      <protection hidden="1"/>
    </xf>
    <xf numFmtId="0" fontId="21" fillId="38" borderId="50" xfId="0" applyFont="1" applyFill="1" applyBorder="1" applyAlignment="1" applyProtection="1">
      <alignment vertical="center"/>
      <protection hidden="1"/>
    </xf>
    <xf numFmtId="0" fontId="21" fillId="38" borderId="49" xfId="0" applyNumberFormat="1" applyFont="1" applyFill="1" applyBorder="1" applyAlignment="1" applyProtection="1">
      <alignment vertical="center"/>
      <protection hidden="1"/>
    </xf>
    <xf numFmtId="165" fontId="21" fillId="38" borderId="51" xfId="0" applyNumberFormat="1" applyFont="1" applyFill="1" applyBorder="1" applyAlignment="1" applyProtection="1">
      <alignment horizontal="right" vertical="center"/>
      <protection hidden="1"/>
    </xf>
    <xf numFmtId="0" fontId="21" fillId="37" borderId="50" xfId="0" applyFont="1" applyFill="1" applyBorder="1" applyAlignment="1" applyProtection="1">
      <alignment vertical="center"/>
      <protection hidden="1"/>
    </xf>
    <xf numFmtId="165" fontId="21" fillId="37" borderId="51" xfId="0" applyNumberFormat="1" applyFont="1" applyFill="1" applyBorder="1" applyAlignment="1" applyProtection="1">
      <alignment horizontal="right" vertical="center"/>
      <protection hidden="1"/>
    </xf>
    <xf numFmtId="0" fontId="21" fillId="36" borderId="21" xfId="0" applyFont="1" applyFill="1" applyBorder="1" applyAlignment="1" applyProtection="1">
      <alignment vertical="center"/>
      <protection hidden="1"/>
    </xf>
    <xf numFmtId="165" fontId="21" fillId="36" borderId="22" xfId="42" applyNumberFormat="1" applyFont="1" applyFill="1" applyBorder="1" applyAlignment="1" applyProtection="1">
      <alignment horizontal="right" vertical="center"/>
      <protection hidden="1"/>
    </xf>
    <xf numFmtId="0" fontId="21" fillId="36" borderId="36" xfId="0" applyFont="1" applyFill="1" applyBorder="1" applyAlignment="1" applyProtection="1">
      <alignment vertical="center"/>
      <protection hidden="1"/>
    </xf>
    <xf numFmtId="165" fontId="21" fillId="36" borderId="32" xfId="0" applyNumberFormat="1" applyFont="1" applyFill="1" applyBorder="1" applyAlignment="1" applyProtection="1">
      <alignment horizontal="right" vertical="center"/>
      <protection hidden="1"/>
    </xf>
    <xf numFmtId="0" fontId="21" fillId="36" borderId="31" xfId="0" applyNumberFormat="1" applyFont="1" applyFill="1" applyBorder="1" applyAlignment="1" applyProtection="1">
      <alignment vertical="center"/>
      <protection hidden="1"/>
    </xf>
    <xf numFmtId="0" fontId="31" fillId="36" borderId="31" xfId="0" applyNumberFormat="1" applyFont="1" applyFill="1" applyBorder="1" applyAlignment="1" applyProtection="1">
      <alignment vertical="center"/>
      <protection hidden="1"/>
    </xf>
    <xf numFmtId="0" fontId="31" fillId="36" borderId="36" xfId="0" applyFont="1" applyFill="1" applyBorder="1" applyAlignment="1" applyProtection="1">
      <alignment vertical="center"/>
      <protection hidden="1"/>
    </xf>
    <xf numFmtId="9" fontId="31" fillId="36" borderId="32" xfId="1" applyFont="1" applyFill="1" applyBorder="1" applyAlignment="1" applyProtection="1">
      <alignment horizontal="right" vertical="center"/>
      <protection hidden="1"/>
    </xf>
    <xf numFmtId="0" fontId="20" fillId="38" borderId="50" xfId="0" applyFont="1" applyFill="1" applyBorder="1" applyAlignment="1" applyProtection="1">
      <alignment vertical="center"/>
      <protection hidden="1"/>
    </xf>
    <xf numFmtId="165" fontId="21" fillId="38" borderId="51" xfId="42" applyNumberFormat="1" applyFont="1" applyFill="1" applyBorder="1" applyAlignment="1" applyProtection="1">
      <alignment horizontal="right" vertical="center"/>
      <protection hidden="1"/>
    </xf>
    <xf numFmtId="0" fontId="21" fillId="36" borderId="20" xfId="0" applyNumberFormat="1" applyFont="1" applyFill="1" applyBorder="1" applyAlignment="1" applyProtection="1">
      <alignment vertical="center"/>
      <protection hidden="1"/>
    </xf>
    <xf numFmtId="0" fontId="21" fillId="37" borderId="49" xfId="0" applyNumberFormat="1" applyFont="1" applyFill="1" applyBorder="1" applyAlignment="1" applyProtection="1">
      <alignment vertical="center"/>
      <protection hidden="1"/>
    </xf>
    <xf numFmtId="0" fontId="21" fillId="0" borderId="52" xfId="0" applyNumberFormat="1" applyFont="1" applyFill="1" applyBorder="1" applyAlignment="1" applyProtection="1">
      <alignment vertical="center"/>
      <protection hidden="1"/>
    </xf>
    <xf numFmtId="0" fontId="21" fillId="0" borderId="39" xfId="0" applyNumberFormat="1" applyFont="1" applyFill="1" applyBorder="1" applyAlignment="1" applyProtection="1">
      <alignment vertical="center"/>
      <protection hidden="1"/>
    </xf>
    <xf numFmtId="168" fontId="23" fillId="0" borderId="56" xfId="1" applyNumberFormat="1" applyFont="1" applyBorder="1" applyAlignment="1" applyProtection="1">
      <alignment horizontal="right" vertical="center"/>
      <protection hidden="1"/>
    </xf>
    <xf numFmtId="0" fontId="31" fillId="0" borderId="52" xfId="0" applyNumberFormat="1" applyFont="1" applyFill="1" applyBorder="1" applyAlignment="1" applyProtection="1">
      <alignment vertical="center"/>
      <protection hidden="1"/>
    </xf>
    <xf numFmtId="0" fontId="42" fillId="0" borderId="54" xfId="0" applyFont="1" applyBorder="1" applyAlignment="1" applyProtection="1">
      <alignment vertical="center"/>
      <protection hidden="1"/>
    </xf>
    <xf numFmtId="168" fontId="27" fillId="0" borderId="56" xfId="1" applyNumberFormat="1" applyFont="1" applyBorder="1" applyAlignment="1" applyProtection="1">
      <alignment horizontal="right" vertical="center"/>
      <protection hidden="1"/>
    </xf>
    <xf numFmtId="0" fontId="31" fillId="0" borderId="10" xfId="0" applyNumberFormat="1" applyFont="1" applyFill="1" applyBorder="1" applyAlignment="1" applyProtection="1">
      <alignment vertical="center"/>
      <protection hidden="1"/>
    </xf>
    <xf numFmtId="0" fontId="42" fillId="0" borderId="9" xfId="0" applyFont="1" applyBorder="1" applyAlignment="1" applyProtection="1">
      <alignment vertical="center"/>
      <protection hidden="1"/>
    </xf>
    <xf numFmtId="168" fontId="27" fillId="0" borderId="12" xfId="1" applyNumberFormat="1" applyFont="1" applyBorder="1" applyAlignment="1" applyProtection="1">
      <alignment horizontal="right" vertical="center"/>
      <protection hidden="1"/>
    </xf>
    <xf numFmtId="0" fontId="31" fillId="0" borderId="39" xfId="0" applyNumberFormat="1" applyFont="1" applyFill="1" applyBorder="1" applyAlignment="1" applyProtection="1">
      <alignment vertical="center"/>
      <protection hidden="1"/>
    </xf>
    <xf numFmtId="0" fontId="42" fillId="0" borderId="40" xfId="0" applyFont="1" applyFill="1" applyBorder="1" applyAlignment="1" applyProtection="1">
      <alignment vertical="center"/>
      <protection hidden="1"/>
    </xf>
    <xf numFmtId="168" fontId="27" fillId="0" borderId="43" xfId="1" applyNumberFormat="1" applyFont="1" applyBorder="1" applyAlignment="1" applyProtection="1">
      <alignment horizontal="right" vertical="center"/>
      <protection hidden="1"/>
    </xf>
    <xf numFmtId="165" fontId="18" fillId="0" borderId="54" xfId="0" applyNumberFormat="1" applyFont="1" applyBorder="1" applyAlignment="1" applyProtection="1">
      <alignment horizontal="right" vertical="center"/>
      <protection hidden="1"/>
    </xf>
    <xf numFmtId="165" fontId="18" fillId="0" borderId="9" xfId="0" applyNumberFormat="1" applyFont="1" applyBorder="1" applyAlignment="1" applyProtection="1">
      <alignment horizontal="right" vertical="center"/>
      <protection hidden="1"/>
    </xf>
    <xf numFmtId="165" fontId="21" fillId="0" borderId="40" xfId="0" applyNumberFormat="1" applyFont="1" applyFill="1" applyBorder="1" applyAlignment="1" applyProtection="1">
      <alignment horizontal="right" vertical="center"/>
      <protection hidden="1"/>
    </xf>
    <xf numFmtId="165" fontId="18" fillId="0" borderId="9" xfId="0" applyNumberFormat="1" applyFont="1" applyFill="1" applyBorder="1" applyAlignment="1" applyProtection="1">
      <alignment horizontal="right" vertical="center"/>
      <protection hidden="1"/>
    </xf>
    <xf numFmtId="0" fontId="21" fillId="37" borderId="55" xfId="0" applyNumberFormat="1" applyFont="1" applyFill="1" applyBorder="1" applyAlignment="1" applyProtection="1">
      <alignment vertical="center"/>
      <protection hidden="1"/>
    </xf>
    <xf numFmtId="0" fontId="23" fillId="46" borderId="55" xfId="0" applyFont="1" applyFill="1" applyBorder="1" applyAlignment="1" applyProtection="1">
      <alignment horizontal="center" vertical="center"/>
      <protection locked="0"/>
    </xf>
    <xf numFmtId="165" fontId="21" fillId="45" borderId="12" xfId="42" applyNumberFormat="1" applyFont="1" applyFill="1" applyBorder="1" applyAlignment="1" applyProtection="1">
      <alignment vertical="center"/>
      <protection hidden="1"/>
    </xf>
    <xf numFmtId="165" fontId="21" fillId="0" borderId="0" xfId="42" applyNumberFormat="1" applyFont="1" applyFill="1" applyBorder="1" applyAlignment="1" applyProtection="1">
      <alignment vertical="center"/>
      <protection hidden="1"/>
    </xf>
    <xf numFmtId="165" fontId="21" fillId="0" borderId="0" xfId="42" applyNumberFormat="1" applyFont="1" applyFill="1" applyBorder="1" applyAlignment="1" applyProtection="1">
      <alignment horizontal="right" vertical="center"/>
      <protection hidden="1"/>
    </xf>
    <xf numFmtId="165" fontId="18" fillId="0" borderId="0" xfId="42" applyNumberFormat="1" applyFont="1" applyBorder="1" applyAlignment="1" applyProtection="1">
      <alignment vertical="center"/>
      <protection hidden="1"/>
    </xf>
    <xf numFmtId="165" fontId="42" fillId="0" borderId="0" xfId="42" applyNumberFormat="1" applyFont="1" applyBorder="1" applyAlignment="1" applyProtection="1">
      <alignment vertical="center"/>
      <protection hidden="1"/>
    </xf>
    <xf numFmtId="165" fontId="23" fillId="0" borderId="0" xfId="42" applyNumberFormat="1" applyFont="1" applyBorder="1" applyAlignment="1" applyProtection="1">
      <alignment vertical="center"/>
      <protection hidden="1"/>
    </xf>
    <xf numFmtId="0" fontId="16" fillId="44" borderId="31" xfId="0" applyFont="1" applyFill="1" applyBorder="1" applyAlignment="1" applyProtection="1">
      <alignment vertical="center"/>
      <protection hidden="1"/>
    </xf>
    <xf numFmtId="0" fontId="16" fillId="44" borderId="36" xfId="0" applyFont="1" applyFill="1" applyBorder="1" applyAlignment="1" applyProtection="1">
      <alignment vertical="center"/>
      <protection hidden="1"/>
    </xf>
    <xf numFmtId="9" fontId="16" fillId="44" borderId="36" xfId="1" applyFont="1" applyFill="1" applyBorder="1" applyAlignment="1" applyProtection="1">
      <alignment horizontal="right" vertical="center"/>
      <protection hidden="1"/>
    </xf>
    <xf numFmtId="0" fontId="16" fillId="44" borderId="36" xfId="0" applyNumberFormat="1" applyFont="1" applyFill="1" applyBorder="1" applyAlignment="1" applyProtection="1">
      <alignment horizontal="left" vertical="center"/>
      <protection hidden="1"/>
    </xf>
    <xf numFmtId="0" fontId="35" fillId="44" borderId="36" xfId="0" applyFont="1" applyFill="1" applyBorder="1" applyAlignment="1" applyProtection="1">
      <alignment vertical="center"/>
      <protection hidden="1"/>
    </xf>
    <xf numFmtId="0" fontId="16" fillId="44" borderId="39" xfId="0" applyFont="1" applyFill="1" applyBorder="1" applyAlignment="1" applyProtection="1">
      <alignment vertical="center"/>
      <protection hidden="1"/>
    </xf>
    <xf numFmtId="0" fontId="16" fillId="44" borderId="48" xfId="0" applyFont="1" applyFill="1" applyBorder="1" applyAlignment="1" applyProtection="1">
      <alignment vertical="center"/>
      <protection hidden="1"/>
    </xf>
    <xf numFmtId="9" fontId="16" fillId="44" borderId="48" xfId="1" applyFont="1" applyFill="1" applyBorder="1" applyAlignment="1" applyProtection="1">
      <alignment horizontal="right" vertical="center"/>
      <protection hidden="1"/>
    </xf>
    <xf numFmtId="0" fontId="16" fillId="44" borderId="48" xfId="0" applyNumberFormat="1" applyFont="1" applyFill="1" applyBorder="1" applyAlignment="1" applyProtection="1">
      <alignment horizontal="left" vertical="center"/>
      <protection hidden="1"/>
    </xf>
    <xf numFmtId="0" fontId="35" fillId="44" borderId="48" xfId="0" applyFont="1" applyFill="1" applyBorder="1" applyAlignment="1" applyProtection="1">
      <alignment vertical="center"/>
      <protection hidden="1"/>
    </xf>
    <xf numFmtId="0" fontId="16" fillId="44" borderId="40" xfId="0" applyNumberFormat="1" applyFont="1" applyFill="1" applyBorder="1" applyAlignment="1" applyProtection="1">
      <alignment horizontal="left" vertical="center"/>
      <protection hidden="1"/>
    </xf>
    <xf numFmtId="0" fontId="16" fillId="44" borderId="39" xfId="0" applyFont="1" applyFill="1" applyBorder="1" applyAlignment="1" applyProtection="1">
      <alignment horizontal="left" vertical="center"/>
      <protection hidden="1"/>
    </xf>
    <xf numFmtId="0" fontId="16" fillId="44" borderId="36" xfId="0" applyFont="1" applyFill="1" applyBorder="1" applyAlignment="1" applyProtection="1">
      <alignment horizontal="center" vertical="center"/>
      <protection hidden="1"/>
    </xf>
    <xf numFmtId="9" fontId="16" fillId="44" borderId="36" xfId="1" applyFont="1" applyFill="1" applyBorder="1" applyAlignment="1" applyProtection="1">
      <alignment horizontal="center" vertical="center"/>
      <protection hidden="1"/>
    </xf>
    <xf numFmtId="9" fontId="16" fillId="44" borderId="32" xfId="1" applyFont="1" applyFill="1" applyBorder="1" applyAlignment="1" applyProtection="1">
      <alignment horizontal="right" vertical="center"/>
      <protection hidden="1"/>
    </xf>
    <xf numFmtId="0" fontId="16" fillId="44" borderId="48" xfId="0" applyFont="1" applyFill="1" applyBorder="1" applyAlignment="1" applyProtection="1">
      <alignment horizontal="center" vertical="center"/>
      <protection hidden="1"/>
    </xf>
    <xf numFmtId="9" fontId="16" fillId="44" borderId="48" xfId="1" applyFont="1" applyFill="1" applyBorder="1" applyAlignment="1" applyProtection="1">
      <alignment horizontal="center" vertical="center"/>
      <protection hidden="1"/>
    </xf>
    <xf numFmtId="9" fontId="16" fillId="44" borderId="40" xfId="1" applyFont="1" applyFill="1" applyBorder="1" applyAlignment="1" applyProtection="1">
      <alignment horizontal="right" vertical="center"/>
      <protection hidden="1"/>
    </xf>
    <xf numFmtId="0" fontId="19" fillId="43" borderId="45" xfId="0" applyFont="1" applyFill="1" applyBorder="1" applyAlignment="1">
      <alignment horizontal="right" vertical="center"/>
    </xf>
    <xf numFmtId="0" fontId="19" fillId="43" borderId="46" xfId="0" applyFont="1" applyFill="1" applyBorder="1" applyAlignment="1">
      <alignment horizontal="right" vertical="center"/>
    </xf>
    <xf numFmtId="0" fontId="19" fillId="43" borderId="0" xfId="0" applyFont="1" applyFill="1" applyBorder="1" applyAlignment="1">
      <alignment horizontal="right" vertical="center"/>
    </xf>
    <xf numFmtId="0" fontId="19" fillId="43" borderId="9" xfId="0" applyFont="1" applyFill="1" applyBorder="1" applyAlignment="1">
      <alignment horizontal="right" vertical="center"/>
    </xf>
    <xf numFmtId="0" fontId="19" fillId="43" borderId="19" xfId="0" applyFont="1" applyFill="1" applyBorder="1" applyAlignment="1">
      <alignment horizontal="center" vertical="center"/>
    </xf>
    <xf numFmtId="0" fontId="19" fillId="43" borderId="49" xfId="0" applyFont="1" applyFill="1" applyBorder="1" applyAlignment="1">
      <alignment vertical="center"/>
    </xf>
    <xf numFmtId="0" fontId="19" fillId="43" borderId="50" xfId="0" applyFont="1" applyFill="1" applyBorder="1" applyAlignment="1">
      <alignment vertical="center"/>
    </xf>
    <xf numFmtId="0" fontId="19" fillId="43" borderId="51" xfId="0" applyFont="1" applyFill="1" applyBorder="1" applyAlignment="1">
      <alignment vertical="center"/>
    </xf>
    <xf numFmtId="0" fontId="19" fillId="43" borderId="49" xfId="0" applyFont="1" applyFill="1" applyBorder="1" applyAlignment="1">
      <alignment horizontal="left" vertical="center"/>
    </xf>
    <xf numFmtId="0" fontId="19" fillId="43" borderId="50" xfId="0" applyFont="1" applyFill="1" applyBorder="1" applyAlignment="1">
      <alignment horizontal="right" vertical="center"/>
    </xf>
    <xf numFmtId="169" fontId="20" fillId="40" borderId="55" xfId="42" applyNumberFormat="1" applyFont="1" applyFill="1" applyBorder="1" applyAlignment="1" applyProtection="1">
      <alignment horizontal="right" vertical="center"/>
      <protection hidden="1"/>
    </xf>
    <xf numFmtId="165" fontId="20" fillId="40" borderId="55" xfId="42" applyNumberFormat="1" applyFont="1" applyFill="1" applyBorder="1" applyAlignment="1" applyProtection="1">
      <alignment horizontal="right" vertical="center"/>
      <protection hidden="1"/>
    </xf>
    <xf numFmtId="2" fontId="21" fillId="39" borderId="0" xfId="42" applyNumberFormat="1" applyFont="1" applyFill="1" applyBorder="1" applyAlignment="1" applyProtection="1">
      <alignment horizontal="left" vertical="center"/>
      <protection hidden="1"/>
    </xf>
    <xf numFmtId="0" fontId="21" fillId="39" borderId="9" xfId="42" applyNumberFormat="1" applyFont="1" applyFill="1" applyBorder="1" applyAlignment="1" applyProtection="1">
      <alignment vertical="center"/>
      <protection hidden="1"/>
    </xf>
    <xf numFmtId="0" fontId="21" fillId="39" borderId="0" xfId="42" applyNumberFormat="1" applyFont="1" applyFill="1" applyBorder="1" applyAlignment="1" applyProtection="1">
      <alignment vertical="center"/>
      <protection hidden="1"/>
    </xf>
    <xf numFmtId="165" fontId="21" fillId="39" borderId="10" xfId="42" applyNumberFormat="1" applyFont="1" applyFill="1" applyBorder="1" applyAlignment="1" applyProtection="1">
      <alignment horizontal="right" vertical="center"/>
      <protection hidden="1"/>
    </xf>
    <xf numFmtId="169" fontId="21" fillId="39" borderId="12" xfId="42" applyNumberFormat="1" applyFont="1" applyFill="1" applyBorder="1" applyAlignment="1" applyProtection="1">
      <alignment horizontal="right" vertical="center"/>
      <protection hidden="1"/>
    </xf>
    <xf numFmtId="0" fontId="20" fillId="39" borderId="12" xfId="42" applyNumberFormat="1" applyFont="1" applyFill="1" applyBorder="1" applyAlignment="1" applyProtection="1">
      <alignment vertical="center"/>
      <protection hidden="1"/>
    </xf>
    <xf numFmtId="164" fontId="21" fillId="45" borderId="0" xfId="42" applyFont="1" applyFill="1" applyBorder="1" applyAlignment="1" applyProtection="1">
      <alignment horizontal="center" vertical="center"/>
      <protection hidden="1"/>
    </xf>
    <xf numFmtId="164" fontId="21" fillId="45" borderId="48" xfId="42" applyFont="1" applyFill="1" applyBorder="1" applyAlignment="1" applyProtection="1">
      <alignment horizontal="center" vertical="center"/>
      <protection hidden="1"/>
    </xf>
    <xf numFmtId="0" fontId="19" fillId="43" borderId="50" xfId="42" applyNumberFormat="1" applyFont="1" applyFill="1" applyBorder="1" applyAlignment="1" applyProtection="1">
      <alignment horizontal="center" vertical="center"/>
      <protection hidden="1"/>
    </xf>
    <xf numFmtId="0" fontId="26" fillId="45" borderId="12" xfId="42" applyNumberFormat="1" applyFont="1" applyFill="1" applyBorder="1" applyAlignment="1" applyProtection="1">
      <alignment horizontal="center" vertical="center"/>
      <protection hidden="1"/>
    </xf>
    <xf numFmtId="0" fontId="21" fillId="0" borderId="0" xfId="0" applyNumberFormat="1" applyFont="1" applyFill="1" applyBorder="1" applyAlignment="1" applyProtection="1">
      <alignment horizontal="center" vertical="center"/>
      <protection hidden="1"/>
    </xf>
    <xf numFmtId="164" fontId="21" fillId="0" borderId="0" xfId="42" applyFont="1" applyFill="1" applyBorder="1" applyAlignment="1" applyProtection="1">
      <alignment horizontal="center" vertical="center"/>
      <protection hidden="1"/>
    </xf>
    <xf numFmtId="164" fontId="18" fillId="0" borderId="0" xfId="42" applyFont="1" applyBorder="1" applyAlignment="1" applyProtection="1">
      <alignment horizontal="center" vertical="center"/>
      <protection hidden="1"/>
    </xf>
    <xf numFmtId="164" fontId="42" fillId="0" borderId="0" xfId="42" applyFont="1" applyBorder="1" applyAlignment="1" applyProtection="1">
      <alignment horizontal="center" vertical="center"/>
      <protection hidden="1"/>
    </xf>
    <xf numFmtId="164" fontId="23" fillId="0" borderId="0" xfId="42" applyFont="1" applyBorder="1" applyAlignment="1" applyProtection="1">
      <alignment horizontal="center" vertical="center"/>
      <protection hidden="1"/>
    </xf>
    <xf numFmtId="169" fontId="21" fillId="32" borderId="10" xfId="42" applyNumberFormat="1" applyFont="1" applyFill="1" applyBorder="1" applyAlignment="1" applyProtection="1">
      <alignment horizontal="right" vertical="center"/>
      <protection hidden="1"/>
    </xf>
    <xf numFmtId="0" fontId="21" fillId="32" borderId="9" xfId="42" applyNumberFormat="1" applyFont="1" applyFill="1" applyBorder="1" applyAlignment="1" applyProtection="1">
      <alignment horizontal="center" vertical="center"/>
      <protection hidden="1"/>
    </xf>
    <xf numFmtId="0" fontId="21" fillId="34" borderId="10" xfId="42" applyNumberFormat="1" applyFont="1" applyFill="1" applyBorder="1" applyAlignment="1" applyProtection="1">
      <alignment vertical="center"/>
      <protection locked="0"/>
    </xf>
    <xf numFmtId="0" fontId="21" fillId="34" borderId="0" xfId="42" applyNumberFormat="1" applyFont="1" applyFill="1" applyBorder="1" applyAlignment="1" applyProtection="1">
      <alignment vertical="center"/>
      <protection locked="0"/>
    </xf>
    <xf numFmtId="0" fontId="18" fillId="34" borderId="10" xfId="0" applyNumberFormat="1" applyFont="1" applyFill="1" applyBorder="1" applyAlignment="1" applyProtection="1">
      <alignment vertical="center"/>
      <protection locked="0"/>
    </xf>
    <xf numFmtId="0" fontId="18" fillId="34" borderId="0" xfId="0" applyNumberFormat="1" applyFont="1" applyFill="1" applyBorder="1" applyAlignment="1" applyProtection="1">
      <alignment vertical="center"/>
      <protection locked="0"/>
    </xf>
    <xf numFmtId="0" fontId="21" fillId="34" borderId="0" xfId="0" applyNumberFormat="1" applyFont="1" applyFill="1" applyBorder="1" applyAlignment="1" applyProtection="1">
      <alignment vertical="center"/>
      <protection locked="0"/>
    </xf>
    <xf numFmtId="0" fontId="21" fillId="34" borderId="11" xfId="42" applyNumberFormat="1" applyFont="1" applyFill="1" applyBorder="1" applyAlignment="1" applyProtection="1">
      <alignment vertical="center"/>
      <protection locked="0"/>
    </xf>
    <xf numFmtId="0" fontId="21" fillId="34" borderId="9" xfId="42" applyNumberFormat="1" applyFont="1" applyFill="1" applyBorder="1" applyAlignment="1" applyProtection="1">
      <alignment vertical="center"/>
      <protection locked="0"/>
    </xf>
    <xf numFmtId="0" fontId="21" fillId="34" borderId="39" xfId="42" applyNumberFormat="1" applyFont="1" applyFill="1" applyBorder="1" applyAlignment="1" applyProtection="1">
      <alignment vertical="center"/>
      <protection locked="0"/>
    </xf>
    <xf numFmtId="0" fontId="20" fillId="45" borderId="24" xfId="0" applyNumberFormat="1" applyFont="1" applyFill="1" applyBorder="1" applyAlignment="1" applyProtection="1">
      <alignment vertical="center"/>
      <protection locked="0"/>
    </xf>
    <xf numFmtId="0" fontId="20" fillId="45" borderId="25" xfId="0" applyNumberFormat="1" applyFont="1" applyFill="1" applyBorder="1" applyAlignment="1" applyProtection="1">
      <alignment horizontal="left" vertical="center"/>
      <protection locked="0"/>
    </xf>
    <xf numFmtId="0" fontId="20" fillId="45" borderId="23" xfId="0" applyNumberFormat="1" applyFont="1" applyFill="1" applyBorder="1" applyAlignment="1" applyProtection="1">
      <alignment horizontal="left" vertical="center"/>
      <protection locked="0"/>
    </xf>
    <xf numFmtId="0" fontId="21" fillId="0" borderId="24" xfId="0" applyNumberFormat="1" applyFont="1" applyBorder="1" applyAlignment="1" applyProtection="1">
      <alignment vertical="center"/>
      <protection locked="0"/>
    </xf>
    <xf numFmtId="0" fontId="37" fillId="0" borderId="25" xfId="43" applyNumberFormat="1" applyFont="1" applyBorder="1" applyAlignment="1" applyProtection="1">
      <alignment horizontal="left" vertical="center"/>
      <protection locked="0"/>
    </xf>
    <xf numFmtId="0" fontId="18" fillId="0" borderId="23" xfId="1" applyNumberFormat="1" applyFont="1" applyBorder="1" applyAlignment="1" applyProtection="1">
      <alignment horizontal="left" vertical="center"/>
      <protection locked="0"/>
    </xf>
    <xf numFmtId="0" fontId="21" fillId="0" borderId="10" xfId="0" applyNumberFormat="1" applyFont="1" applyBorder="1" applyAlignment="1" applyProtection="1">
      <alignment vertical="center"/>
      <protection locked="0"/>
    </xf>
    <xf numFmtId="0" fontId="37" fillId="0" borderId="0" xfId="43" applyNumberFormat="1" applyFont="1" applyBorder="1" applyAlignment="1" applyProtection="1">
      <alignment horizontal="left" vertical="center"/>
      <protection locked="0"/>
    </xf>
    <xf numFmtId="0" fontId="18" fillId="0" borderId="9" xfId="1" applyNumberFormat="1" applyFont="1" applyBorder="1" applyAlignment="1" applyProtection="1">
      <alignment horizontal="left" vertical="center"/>
      <protection locked="0"/>
    </xf>
    <xf numFmtId="0" fontId="20" fillId="45" borderId="50" xfId="0" applyFont="1" applyFill="1" applyBorder="1" applyAlignment="1">
      <alignment vertical="center"/>
    </xf>
    <xf numFmtId="165" fontId="21" fillId="0" borderId="48" xfId="42" applyNumberFormat="1" applyFont="1" applyFill="1" applyBorder="1" applyAlignment="1">
      <alignment vertical="center"/>
    </xf>
    <xf numFmtId="165" fontId="18" fillId="34" borderId="48" xfId="42" applyNumberFormat="1" applyFont="1" applyFill="1" applyBorder="1" applyAlignment="1">
      <alignment vertical="center"/>
    </xf>
    <xf numFmtId="165" fontId="18" fillId="31" borderId="50" xfId="42" applyNumberFormat="1" applyFont="1" applyFill="1" applyBorder="1" applyAlignment="1">
      <alignment vertical="center"/>
    </xf>
    <xf numFmtId="165" fontId="21" fillId="34" borderId="48" xfId="42" applyNumberFormat="1" applyFont="1" applyFill="1" applyBorder="1" applyAlignment="1">
      <alignment vertical="center"/>
    </xf>
    <xf numFmtId="164" fontId="18" fillId="0" borderId="48" xfId="42" applyFont="1" applyFill="1" applyBorder="1" applyAlignment="1">
      <alignment vertical="center"/>
    </xf>
    <xf numFmtId="164" fontId="18" fillId="31" borderId="50" xfId="42" applyFont="1" applyFill="1" applyBorder="1" applyAlignment="1">
      <alignment vertical="center"/>
    </xf>
    <xf numFmtId="166" fontId="18" fillId="31" borderId="50" xfId="42" applyNumberFormat="1" applyFont="1" applyFill="1" applyBorder="1" applyAlignment="1">
      <alignment vertical="center"/>
    </xf>
    <xf numFmtId="164" fontId="18" fillId="0" borderId="36" xfId="42" applyFont="1" applyFill="1" applyBorder="1" applyAlignment="1">
      <alignment vertical="center"/>
    </xf>
    <xf numFmtId="164" fontId="18" fillId="34" borderId="36" xfId="42" applyFont="1" applyFill="1" applyBorder="1" applyAlignment="1">
      <alignment vertical="center"/>
    </xf>
    <xf numFmtId="164" fontId="18" fillId="34" borderId="48" xfId="42" applyFont="1" applyFill="1" applyBorder="1" applyAlignment="1">
      <alignment vertical="center"/>
    </xf>
    <xf numFmtId="166" fontId="18" fillId="0" borderId="48" xfId="1" applyNumberFormat="1" applyFont="1" applyFill="1" applyBorder="1" applyAlignment="1">
      <alignment vertical="center"/>
    </xf>
    <xf numFmtId="166" fontId="18" fillId="34" borderId="48" xfId="1" applyNumberFormat="1" applyFont="1" applyFill="1" applyBorder="1" applyAlignment="1">
      <alignment vertical="center"/>
    </xf>
    <xf numFmtId="166" fontId="18" fillId="31" borderId="50" xfId="1" applyNumberFormat="1" applyFont="1" applyFill="1" applyBorder="1" applyAlignment="1">
      <alignment vertical="center"/>
    </xf>
    <xf numFmtId="164" fontId="18" fillId="0" borderId="48" xfId="42" applyNumberFormat="1" applyFont="1" applyFill="1" applyBorder="1" applyAlignment="1">
      <alignment vertical="center"/>
    </xf>
    <xf numFmtId="164" fontId="21" fillId="34" borderId="48" xfId="42" applyFont="1" applyFill="1" applyBorder="1" applyAlignment="1">
      <alignment vertical="center"/>
    </xf>
    <xf numFmtId="165" fontId="18" fillId="0" borderId="48" xfId="42" applyNumberFormat="1" applyFont="1" applyFill="1" applyBorder="1" applyAlignment="1">
      <alignment vertical="center"/>
    </xf>
    <xf numFmtId="0" fontId="20" fillId="31" borderId="50" xfId="0" applyFont="1" applyFill="1" applyBorder="1" applyAlignment="1">
      <alignment vertical="center"/>
    </xf>
    <xf numFmtId="164" fontId="21" fillId="34" borderId="36" xfId="42" applyFont="1" applyFill="1" applyBorder="1" applyAlignment="1">
      <alignment vertical="center"/>
    </xf>
    <xf numFmtId="164" fontId="21" fillId="0" borderId="36" xfId="42" applyFont="1" applyFill="1" applyBorder="1" applyAlignment="1">
      <alignment vertical="center"/>
    </xf>
    <xf numFmtId="164" fontId="21" fillId="0" borderId="48" xfId="42" applyFont="1" applyFill="1" applyBorder="1" applyAlignment="1">
      <alignment vertical="center"/>
    </xf>
    <xf numFmtId="165" fontId="21" fillId="34" borderId="36" xfId="42" applyNumberFormat="1" applyFont="1" applyFill="1" applyBorder="1" applyAlignment="1">
      <alignment vertical="center"/>
    </xf>
    <xf numFmtId="165" fontId="21" fillId="0" borderId="36" xfId="42" applyNumberFormat="1" applyFont="1" applyFill="1" applyBorder="1" applyAlignment="1">
      <alignment vertical="center"/>
    </xf>
    <xf numFmtId="0" fontId="20" fillId="45" borderId="49" xfId="0" applyFont="1" applyFill="1" applyBorder="1" applyAlignment="1">
      <alignment vertical="center"/>
    </xf>
    <xf numFmtId="0" fontId="20" fillId="45" borderId="51" xfId="0" applyFont="1" applyFill="1" applyBorder="1" applyAlignment="1">
      <alignment vertical="center"/>
    </xf>
    <xf numFmtId="0" fontId="24" fillId="43" borderId="50" xfId="0" applyFont="1" applyFill="1" applyBorder="1" applyAlignment="1">
      <alignment vertical="center"/>
    </xf>
    <xf numFmtId="0" fontId="21" fillId="31" borderId="43" xfId="42" applyNumberFormat="1" applyFont="1" applyFill="1" applyBorder="1" applyAlignment="1">
      <alignment vertical="center"/>
    </xf>
    <xf numFmtId="0" fontId="21" fillId="0" borderId="48" xfId="42" applyNumberFormat="1" applyFont="1" applyFill="1" applyBorder="1" applyAlignment="1">
      <alignment vertical="center"/>
    </xf>
    <xf numFmtId="0" fontId="21" fillId="31" borderId="48" xfId="42" applyNumberFormat="1" applyFont="1" applyFill="1" applyBorder="1" applyAlignment="1">
      <alignment vertical="center"/>
    </xf>
    <xf numFmtId="164" fontId="18" fillId="0" borderId="32" xfId="42" applyFont="1" applyFill="1" applyBorder="1" applyAlignment="1">
      <alignment vertical="center"/>
    </xf>
    <xf numFmtId="165" fontId="21" fillId="0" borderId="40" xfId="42" applyNumberFormat="1" applyFont="1" applyFill="1" applyBorder="1" applyAlignment="1">
      <alignment vertical="center"/>
    </xf>
    <xf numFmtId="164" fontId="18" fillId="0" borderId="40" xfId="42" applyFont="1" applyFill="1" applyBorder="1" applyAlignment="1">
      <alignment vertical="center"/>
    </xf>
    <xf numFmtId="164" fontId="18" fillId="34" borderId="40" xfId="42" applyFont="1" applyFill="1" applyBorder="1" applyAlignment="1">
      <alignment vertical="center"/>
    </xf>
    <xf numFmtId="0" fontId="26" fillId="0" borderId="48" xfId="0" applyFont="1" applyBorder="1" applyAlignment="1">
      <alignment horizontal="right" vertical="center"/>
    </xf>
    <xf numFmtId="0" fontId="20" fillId="31" borderId="49" xfId="0" applyFont="1" applyFill="1" applyBorder="1" applyAlignment="1">
      <alignment vertical="center"/>
    </xf>
    <xf numFmtId="0" fontId="20" fillId="31" borderId="50" xfId="0" applyFont="1" applyFill="1" applyBorder="1" applyAlignment="1">
      <alignment horizontal="left" vertical="center"/>
    </xf>
    <xf numFmtId="164" fontId="18" fillId="31" borderId="51" xfId="42" applyFont="1" applyFill="1" applyBorder="1" applyAlignment="1">
      <alignment vertical="center"/>
    </xf>
    <xf numFmtId="0" fontId="26" fillId="0" borderId="31" xfId="0" applyFont="1" applyBorder="1" applyAlignment="1">
      <alignment horizontal="left" vertical="center"/>
    </xf>
    <xf numFmtId="0" fontId="26" fillId="0" borderId="36" xfId="0" applyFont="1" applyBorder="1" applyAlignment="1">
      <alignment horizontal="right" vertical="center"/>
    </xf>
    <xf numFmtId="165" fontId="18" fillId="34" borderId="40" xfId="42" applyNumberFormat="1" applyFont="1" applyFill="1" applyBorder="1" applyAlignment="1">
      <alignment vertical="center"/>
    </xf>
    <xf numFmtId="164" fontId="21" fillId="34" borderId="40" xfId="42" applyFont="1" applyFill="1" applyBorder="1" applyAlignment="1">
      <alignment vertical="center"/>
    </xf>
    <xf numFmtId="165" fontId="21" fillId="34" borderId="40" xfId="42" applyNumberFormat="1" applyFont="1" applyFill="1" applyBorder="1" applyAlignment="1">
      <alignment vertical="center"/>
    </xf>
    <xf numFmtId="0" fontId="20" fillId="31" borderId="51" xfId="0" applyFont="1" applyFill="1" applyBorder="1" applyAlignment="1">
      <alignment vertical="center"/>
    </xf>
    <xf numFmtId="166" fontId="18" fillId="0" borderId="40" xfId="1" applyNumberFormat="1" applyFont="1" applyFill="1" applyBorder="1" applyAlignment="1">
      <alignment vertical="center"/>
    </xf>
    <xf numFmtId="166" fontId="18" fillId="34" borderId="40" xfId="1" applyNumberFormat="1" applyFont="1" applyFill="1" applyBorder="1" applyAlignment="1">
      <alignment vertical="center"/>
    </xf>
    <xf numFmtId="164" fontId="18" fillId="0" borderId="40" xfId="42" applyNumberFormat="1" applyFont="1" applyFill="1" applyBorder="1" applyAlignment="1">
      <alignment vertical="center"/>
    </xf>
    <xf numFmtId="165" fontId="18" fillId="0" borderId="40" xfId="42" applyNumberFormat="1" applyFont="1" applyFill="1" applyBorder="1" applyAlignment="1">
      <alignment vertical="center"/>
    </xf>
    <xf numFmtId="0" fontId="26" fillId="31" borderId="39" xfId="0" applyFont="1" applyFill="1" applyBorder="1" applyAlignment="1">
      <alignment horizontal="left" vertical="center"/>
    </xf>
    <xf numFmtId="0" fontId="26" fillId="31" borderId="48" xfId="0" applyFont="1" applyFill="1" applyBorder="1" applyAlignment="1">
      <alignment horizontal="right" vertical="center"/>
    </xf>
    <xf numFmtId="0" fontId="18" fillId="34" borderId="31" xfId="0" applyNumberFormat="1" applyFont="1" applyFill="1" applyBorder="1" applyAlignment="1">
      <alignment vertical="center"/>
    </xf>
    <xf numFmtId="0" fontId="18" fillId="34" borderId="36" xfId="0" applyNumberFormat="1" applyFont="1" applyFill="1" applyBorder="1" applyAlignment="1">
      <alignment vertical="center"/>
    </xf>
    <xf numFmtId="0" fontId="18" fillId="34" borderId="32" xfId="0" applyNumberFormat="1" applyFont="1" applyFill="1" applyBorder="1" applyAlignment="1">
      <alignment vertical="center"/>
    </xf>
    <xf numFmtId="0" fontId="18" fillId="34" borderId="31" xfId="0" applyNumberFormat="1" applyFont="1" applyFill="1" applyBorder="1" applyAlignment="1">
      <alignment horizontal="left" vertical="center"/>
    </xf>
    <xf numFmtId="0" fontId="18" fillId="34" borderId="36" xfId="0" applyNumberFormat="1" applyFont="1" applyFill="1" applyBorder="1" applyAlignment="1">
      <alignment horizontal="right" vertical="center"/>
    </xf>
    <xf numFmtId="0" fontId="18" fillId="34" borderId="9" xfId="0" applyNumberFormat="1" applyFont="1" applyFill="1" applyBorder="1" applyAlignment="1">
      <alignment vertical="center"/>
    </xf>
    <xf numFmtId="0" fontId="18" fillId="34" borderId="12" xfId="0" applyNumberFormat="1" applyFont="1" applyFill="1" applyBorder="1" applyAlignment="1">
      <alignment vertical="center"/>
    </xf>
    <xf numFmtId="0" fontId="18" fillId="34" borderId="10" xfId="0" applyNumberFormat="1" applyFont="1" applyFill="1" applyBorder="1" applyAlignment="1">
      <alignment horizontal="left" vertical="center"/>
    </xf>
    <xf numFmtId="0" fontId="18" fillId="34" borderId="0" xfId="0" applyNumberFormat="1" applyFont="1" applyFill="1" applyBorder="1" applyAlignment="1">
      <alignment horizontal="right" vertical="center"/>
    </xf>
    <xf numFmtId="0" fontId="18" fillId="34" borderId="49" xfId="0" applyNumberFormat="1" applyFont="1" applyFill="1" applyBorder="1" applyAlignment="1">
      <alignment vertical="center"/>
    </xf>
    <xf numFmtId="0" fontId="18" fillId="34" borderId="50" xfId="0" applyNumberFormat="1" applyFont="1" applyFill="1" applyBorder="1" applyAlignment="1">
      <alignment vertical="center"/>
    </xf>
    <xf numFmtId="0" fontId="18" fillId="34" borderId="51" xfId="0" applyNumberFormat="1" applyFont="1" applyFill="1" applyBorder="1" applyAlignment="1">
      <alignment vertical="center"/>
    </xf>
    <xf numFmtId="164" fontId="18" fillId="0" borderId="31" xfId="42" applyFont="1" applyFill="1" applyBorder="1" applyAlignment="1">
      <alignment vertical="center"/>
    </xf>
    <xf numFmtId="164" fontId="18" fillId="0" borderId="10" xfId="42" applyFont="1" applyFill="1" applyBorder="1" applyAlignment="1">
      <alignment vertical="center"/>
    </xf>
    <xf numFmtId="164" fontId="18" fillId="0" borderId="39" xfId="42" applyFont="1" applyFill="1" applyBorder="1" applyAlignment="1">
      <alignment vertical="center"/>
    </xf>
    <xf numFmtId="164" fontId="18" fillId="31" borderId="49" xfId="42" applyFont="1" applyFill="1" applyBorder="1" applyAlignment="1">
      <alignment vertical="center"/>
    </xf>
    <xf numFmtId="49" fontId="36" fillId="0" borderId="10" xfId="0" applyNumberFormat="1" applyFont="1" applyFill="1" applyBorder="1" applyAlignment="1" applyProtection="1">
      <alignment vertical="center"/>
      <protection hidden="1"/>
    </xf>
    <xf numFmtId="0" fontId="16" fillId="44" borderId="39" xfId="0" applyNumberFormat="1" applyFont="1" applyFill="1" applyBorder="1" applyAlignment="1" applyProtection="1">
      <alignment vertical="center"/>
      <protection hidden="1"/>
    </xf>
    <xf numFmtId="0" fontId="16" fillId="44" borderId="48" xfId="0" applyNumberFormat="1" applyFont="1" applyFill="1" applyBorder="1" applyAlignment="1" applyProtection="1">
      <alignment vertical="center"/>
      <protection hidden="1"/>
    </xf>
    <xf numFmtId="0" fontId="16" fillId="44" borderId="48" xfId="1" applyNumberFormat="1" applyFont="1" applyFill="1" applyBorder="1" applyAlignment="1" applyProtection="1">
      <alignment horizontal="right" vertical="center"/>
      <protection hidden="1"/>
    </xf>
    <xf numFmtId="0" fontId="18" fillId="0" borderId="0" xfId="0" applyNumberFormat="1" applyFont="1" applyAlignment="1">
      <alignment horizontal="left" vertical="center"/>
    </xf>
    <xf numFmtId="0" fontId="18" fillId="0" borderId="0" xfId="42" applyNumberFormat="1" applyFont="1" applyBorder="1" applyAlignment="1">
      <alignment horizontal="left" vertical="center"/>
    </xf>
    <xf numFmtId="0" fontId="23" fillId="0" borderId="0" xfId="0" applyNumberFormat="1" applyFont="1" applyAlignment="1">
      <alignment vertical="center"/>
    </xf>
    <xf numFmtId="0" fontId="24" fillId="43" borderId="50" xfId="0" applyNumberFormat="1" applyFont="1" applyFill="1" applyBorder="1" applyAlignment="1">
      <alignment vertical="center"/>
    </xf>
    <xf numFmtId="0" fontId="20" fillId="45" borderId="50" xfId="0" applyNumberFormat="1" applyFont="1" applyFill="1" applyBorder="1" applyAlignment="1">
      <alignment vertical="center"/>
    </xf>
    <xf numFmtId="0" fontId="20" fillId="45" borderId="50" xfId="42" applyNumberFormat="1" applyFont="1" applyFill="1" applyBorder="1" applyAlignment="1">
      <alignment horizontal="left" vertical="center"/>
    </xf>
    <xf numFmtId="0" fontId="19" fillId="43" borderId="50" xfId="0" applyNumberFormat="1" applyFont="1" applyFill="1" applyBorder="1" applyAlignment="1">
      <alignment vertical="center"/>
    </xf>
    <xf numFmtId="0" fontId="19" fillId="43" borderId="50" xfId="42" applyNumberFormat="1" applyFont="1" applyFill="1" applyBorder="1" applyAlignment="1">
      <alignment horizontal="left" vertical="center"/>
    </xf>
    <xf numFmtId="0" fontId="21" fillId="0" borderId="0" xfId="42" applyNumberFormat="1" applyFont="1" applyFill="1" applyBorder="1" applyAlignment="1">
      <alignment horizontal="left" vertical="center"/>
    </xf>
    <xf numFmtId="0" fontId="21" fillId="0" borderId="48" xfId="42" applyNumberFormat="1" applyFont="1" applyFill="1" applyBorder="1" applyAlignment="1">
      <alignment horizontal="left" vertical="center"/>
    </xf>
    <xf numFmtId="0" fontId="21" fillId="31" borderId="0" xfId="42" applyNumberFormat="1" applyFont="1" applyFill="1" applyBorder="1" applyAlignment="1">
      <alignment horizontal="left" vertical="center"/>
    </xf>
    <xf numFmtId="0" fontId="21" fillId="31" borderId="48" xfId="42" applyNumberFormat="1" applyFont="1" applyFill="1" applyBorder="1" applyAlignment="1">
      <alignment horizontal="left" vertical="center"/>
    </xf>
    <xf numFmtId="0" fontId="20" fillId="31" borderId="49" xfId="42" applyNumberFormat="1" applyFont="1" applyFill="1" applyBorder="1" applyAlignment="1">
      <alignment vertical="center"/>
    </xf>
    <xf numFmtId="0" fontId="20" fillId="31" borderId="50" xfId="42" applyNumberFormat="1" applyFont="1" applyFill="1" applyBorder="1" applyAlignment="1">
      <alignment vertical="center"/>
    </xf>
    <xf numFmtId="164" fontId="21" fillId="31" borderId="50" xfId="42" applyFont="1" applyFill="1" applyBorder="1" applyAlignment="1">
      <alignment vertical="center"/>
    </xf>
    <xf numFmtId="164" fontId="21" fillId="31" borderId="51" xfId="42" applyFont="1" applyFill="1" applyBorder="1" applyAlignment="1">
      <alignment vertical="center"/>
    </xf>
    <xf numFmtId="0" fontId="20" fillId="46" borderId="51" xfId="42" applyNumberFormat="1" applyFont="1" applyFill="1" applyBorder="1" applyAlignment="1" applyProtection="1">
      <alignment horizontal="center" vertical="center"/>
      <protection locked="0" hidden="1"/>
    </xf>
    <xf numFmtId="0" fontId="20" fillId="33" borderId="51" xfId="42" applyNumberFormat="1" applyFont="1" applyFill="1" applyBorder="1" applyAlignment="1">
      <alignment horizontal="right" vertical="center"/>
    </xf>
    <xf numFmtId="0" fontId="21" fillId="45" borderId="51" xfId="42" applyNumberFormat="1" applyFont="1" applyFill="1" applyBorder="1" applyAlignment="1">
      <alignment horizontal="right" vertical="center"/>
    </xf>
    <xf numFmtId="0" fontId="23" fillId="0" borderId="32" xfId="0" applyFont="1" applyBorder="1" applyAlignment="1">
      <alignment vertical="center"/>
    </xf>
    <xf numFmtId="0" fontId="18" fillId="0" borderId="9" xfId="0" applyNumberFormat="1" applyFont="1" applyBorder="1" applyAlignment="1">
      <alignment vertical="center"/>
    </xf>
    <xf numFmtId="0" fontId="18" fillId="0" borderId="31" xfId="0" applyNumberFormat="1" applyFont="1" applyBorder="1" applyAlignment="1">
      <alignment horizontal="left" vertical="center"/>
    </xf>
    <xf numFmtId="0" fontId="18" fillId="0" borderId="10" xfId="0" applyNumberFormat="1" applyFont="1" applyBorder="1" applyAlignment="1">
      <alignment horizontal="left" vertical="center"/>
    </xf>
    <xf numFmtId="0" fontId="18" fillId="0" borderId="39" xfId="0" applyNumberFormat="1" applyFont="1" applyBorder="1" applyAlignment="1">
      <alignment horizontal="left" vertical="center"/>
    </xf>
    <xf numFmtId="0" fontId="32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0" fontId="18" fillId="47" borderId="10" xfId="0" applyFont="1" applyFill="1" applyBorder="1" applyAlignment="1">
      <alignment vertical="center"/>
    </xf>
    <xf numFmtId="0" fontId="18" fillId="47" borderId="0" xfId="0" applyFont="1" applyFill="1" applyBorder="1" applyAlignment="1">
      <alignment vertical="center"/>
    </xf>
    <xf numFmtId="164" fontId="18" fillId="0" borderId="10" xfId="42" applyNumberFormat="1" applyFont="1" applyFill="1" applyBorder="1" applyAlignment="1">
      <alignment vertical="center"/>
    </xf>
    <xf numFmtId="164" fontId="18" fillId="0" borderId="0" xfId="42" applyNumberFormat="1" applyFont="1" applyFill="1" applyBorder="1" applyAlignment="1">
      <alignment vertical="center"/>
    </xf>
    <xf numFmtId="164" fontId="18" fillId="0" borderId="9" xfId="42" applyNumberFormat="1" applyFont="1" applyFill="1" applyBorder="1" applyAlignment="1">
      <alignment vertical="center"/>
    </xf>
    <xf numFmtId="164" fontId="18" fillId="0" borderId="39" xfId="42" applyNumberFormat="1" applyFont="1" applyFill="1" applyBorder="1" applyAlignment="1">
      <alignment vertical="center"/>
    </xf>
    <xf numFmtId="164" fontId="18" fillId="0" borderId="48" xfId="42" applyNumberFormat="1" applyFont="1" applyFill="1" applyBorder="1" applyAlignment="1">
      <alignment vertical="center"/>
    </xf>
    <xf numFmtId="164" fontId="18" fillId="0" borderId="40" xfId="42" applyNumberFormat="1" applyFont="1" applyFill="1" applyBorder="1" applyAlignment="1">
      <alignment vertical="center"/>
    </xf>
    <xf numFmtId="164" fontId="18" fillId="31" borderId="50" xfId="42" applyNumberFormat="1" applyFont="1" applyFill="1" applyBorder="1" applyAlignment="1">
      <alignment vertical="center"/>
    </xf>
    <xf numFmtId="2" fontId="21" fillId="36" borderId="10" xfId="42" applyNumberFormat="1" applyFont="1" applyFill="1" applyBorder="1" applyAlignment="1" applyProtection="1">
      <alignment horizontal="left" vertical="center"/>
      <protection hidden="1"/>
    </xf>
    <xf numFmtId="9" fontId="20" fillId="33" borderId="10" xfId="1" applyFont="1" applyFill="1" applyBorder="1" applyAlignment="1" applyProtection="1">
      <alignment horizontal="right" vertical="center"/>
      <protection locked="0"/>
    </xf>
    <xf numFmtId="0" fontId="18" fillId="0" borderId="40" xfId="0" applyFont="1" applyBorder="1" applyAlignment="1">
      <alignment vertical="center"/>
    </xf>
    <xf numFmtId="0" fontId="21" fillId="34" borderId="12" xfId="0" applyNumberFormat="1" applyFont="1" applyFill="1" applyBorder="1" applyAlignment="1">
      <alignment vertical="center"/>
    </xf>
    <xf numFmtId="0" fontId="21" fillId="0" borderId="58" xfId="42" applyNumberFormat="1" applyFont="1" applyFill="1" applyBorder="1" applyAlignment="1">
      <alignment vertical="center"/>
    </xf>
    <xf numFmtId="0" fontId="21" fillId="0" borderId="8" xfId="42" applyNumberFormat="1" applyFont="1" applyFill="1" applyBorder="1" applyAlignment="1">
      <alignment vertical="center"/>
    </xf>
    <xf numFmtId="164" fontId="18" fillId="0" borderId="48" xfId="42" applyFont="1" applyFill="1" applyBorder="1"/>
    <xf numFmtId="164" fontId="18" fillId="0" borderId="0" xfId="42" applyFont="1" applyFill="1" applyBorder="1"/>
    <xf numFmtId="164" fontId="21" fillId="0" borderId="31" xfId="42" applyFont="1" applyFill="1" applyBorder="1" applyAlignment="1">
      <alignment vertical="center"/>
    </xf>
    <xf numFmtId="0" fontId="20" fillId="37" borderId="58" xfId="42" applyNumberFormat="1" applyFont="1" applyFill="1" applyBorder="1" applyAlignment="1" applyProtection="1">
      <alignment vertical="center"/>
      <protection hidden="1"/>
    </xf>
    <xf numFmtId="173" fontId="18" fillId="0" borderId="40" xfId="1" applyNumberFormat="1" applyFont="1" applyFill="1" applyBorder="1" applyAlignment="1">
      <alignment vertical="center"/>
    </xf>
    <xf numFmtId="173" fontId="18" fillId="0" borderId="9" xfId="1" applyNumberFormat="1" applyFont="1" applyFill="1" applyBorder="1" applyAlignment="1">
      <alignment vertical="center"/>
    </xf>
    <xf numFmtId="172" fontId="18" fillId="31" borderId="50" xfId="42" applyNumberFormat="1" applyFont="1" applyFill="1" applyBorder="1" applyAlignment="1">
      <alignment vertical="center"/>
    </xf>
    <xf numFmtId="173" fontId="18" fillId="31" borderId="50" xfId="42" applyNumberFormat="1" applyFont="1" applyFill="1" applyBorder="1" applyAlignment="1">
      <alignment vertical="center"/>
    </xf>
    <xf numFmtId="172" fontId="18" fillId="0" borderId="40" xfId="42" applyNumberFormat="1" applyFont="1" applyFill="1" applyBorder="1" applyAlignment="1">
      <alignment vertical="center"/>
    </xf>
    <xf numFmtId="172" fontId="18" fillId="0" borderId="48" xfId="42" applyNumberFormat="1" applyFont="1" applyFill="1" applyBorder="1" applyAlignment="1">
      <alignment vertical="center"/>
    </xf>
    <xf numFmtId="172" fontId="18" fillId="0" borderId="39" xfId="42" applyNumberFormat="1" applyFont="1" applyFill="1" applyBorder="1" applyAlignment="1">
      <alignment vertical="center"/>
    </xf>
    <xf numFmtId="172" fontId="18" fillId="0" borderId="9" xfId="42" applyNumberFormat="1" applyFont="1" applyFill="1" applyBorder="1" applyAlignment="1">
      <alignment vertical="center"/>
    </xf>
    <xf numFmtId="172" fontId="18" fillId="0" borderId="0" xfId="42" applyNumberFormat="1" applyFont="1" applyFill="1" applyBorder="1" applyAlignment="1">
      <alignment vertical="center"/>
    </xf>
    <xf numFmtId="172" fontId="18" fillId="0" borderId="10" xfId="42" applyNumberFormat="1" applyFont="1" applyFill="1" applyBorder="1" applyAlignment="1">
      <alignment vertical="center"/>
    </xf>
    <xf numFmtId="173" fontId="18" fillId="0" borderId="48" xfId="1" applyNumberFormat="1" applyFont="1" applyFill="1" applyBorder="1" applyAlignment="1">
      <alignment vertical="center"/>
    </xf>
    <xf numFmtId="173" fontId="21" fillId="0" borderId="0" xfId="1" applyNumberFormat="1" applyFont="1" applyFill="1" applyBorder="1" applyAlignment="1">
      <alignment vertical="center"/>
    </xf>
    <xf numFmtId="173" fontId="18" fillId="0" borderId="0" xfId="1" applyNumberFormat="1" applyFont="1" applyFill="1" applyBorder="1" applyAlignment="1">
      <alignment vertical="center"/>
    </xf>
    <xf numFmtId="164" fontId="21" fillId="0" borderId="32" xfId="42" applyFont="1" applyFill="1" applyBorder="1" applyAlignment="1">
      <alignment vertical="center"/>
    </xf>
    <xf numFmtId="164" fontId="21" fillId="0" borderId="40" xfId="42" applyFont="1" applyFill="1" applyBorder="1" applyAlignment="1">
      <alignment vertical="center"/>
    </xf>
    <xf numFmtId="2" fontId="21" fillId="31" borderId="39" xfId="42" applyNumberFormat="1" applyFont="1" applyFill="1" applyBorder="1" applyAlignment="1">
      <alignment horizontal="left" vertical="center"/>
    </xf>
    <xf numFmtId="2" fontId="21" fillId="31" borderId="10" xfId="42" applyNumberFormat="1" applyFont="1" applyFill="1" applyBorder="1" applyAlignment="1">
      <alignment horizontal="left" vertical="center"/>
    </xf>
    <xf numFmtId="2" fontId="21" fillId="0" borderId="39" xfId="42" applyNumberFormat="1" applyFont="1" applyFill="1" applyBorder="1" applyAlignment="1">
      <alignment horizontal="left" vertical="center"/>
    </xf>
    <xf numFmtId="2" fontId="21" fillId="0" borderId="10" xfId="42" applyNumberFormat="1" applyFont="1" applyFill="1" applyBorder="1" applyAlignment="1">
      <alignment horizontal="left" vertical="center"/>
    </xf>
    <xf numFmtId="173" fontId="21" fillId="37" borderId="10" xfId="1" applyNumberFormat="1" applyFont="1" applyFill="1" applyBorder="1" applyAlignment="1" applyProtection="1">
      <alignment horizontal="right" vertical="center"/>
      <protection hidden="1"/>
    </xf>
    <xf numFmtId="173" fontId="21" fillId="37" borderId="13" xfId="1" applyNumberFormat="1" applyFont="1" applyFill="1" applyBorder="1" applyAlignment="1" applyProtection="1">
      <alignment horizontal="right" vertical="center"/>
      <protection hidden="1"/>
    </xf>
    <xf numFmtId="173" fontId="21" fillId="36" borderId="10" xfId="1" applyNumberFormat="1" applyFont="1" applyFill="1" applyBorder="1" applyAlignment="1" applyProtection="1">
      <alignment horizontal="right" vertical="center"/>
      <protection hidden="1"/>
    </xf>
    <xf numFmtId="172" fontId="21" fillId="37" borderId="10" xfId="42" applyNumberFormat="1" applyFont="1" applyFill="1" applyBorder="1" applyAlignment="1" applyProtection="1">
      <alignment horizontal="right" vertical="center"/>
      <protection hidden="1"/>
    </xf>
    <xf numFmtId="172" fontId="21" fillId="36" borderId="10" xfId="42" applyNumberFormat="1" applyFont="1" applyFill="1" applyBorder="1" applyAlignment="1" applyProtection="1">
      <alignment horizontal="right" vertical="center"/>
      <protection hidden="1"/>
    </xf>
    <xf numFmtId="49" fontId="20" fillId="0" borderId="10" xfId="0" applyNumberFormat="1" applyFont="1" applyFill="1" applyBorder="1" applyAlignment="1" applyProtection="1">
      <alignment vertical="center"/>
      <protection hidden="1"/>
    </xf>
    <xf numFmtId="49" fontId="21" fillId="0" borderId="10" xfId="0" applyNumberFormat="1" applyFont="1" applyFill="1" applyBorder="1" applyAlignment="1" applyProtection="1">
      <alignment vertical="center"/>
      <protection hidden="1"/>
    </xf>
    <xf numFmtId="165" fontId="19" fillId="43" borderId="57" xfId="42" applyNumberFormat="1" applyFont="1" applyFill="1" applyBorder="1" applyAlignment="1" applyProtection="1">
      <alignment horizontal="right" vertical="center"/>
      <protection hidden="1"/>
    </xf>
    <xf numFmtId="165" fontId="21" fillId="45" borderId="8" xfId="42" applyNumberFormat="1" applyFont="1" applyFill="1" applyBorder="1" applyAlignment="1" applyProtection="1">
      <alignment vertical="center"/>
      <protection hidden="1"/>
    </xf>
    <xf numFmtId="165" fontId="24" fillId="44" borderId="58" xfId="42" applyNumberFormat="1" applyFont="1" applyFill="1" applyBorder="1" applyAlignment="1" applyProtection="1">
      <alignment vertical="center"/>
      <protection hidden="1"/>
    </xf>
    <xf numFmtId="165" fontId="21" fillId="34" borderId="8" xfId="42" applyNumberFormat="1" applyFont="1" applyFill="1" applyBorder="1" applyAlignment="1" applyProtection="1">
      <alignment horizontal="right" vertical="center"/>
      <protection hidden="1"/>
    </xf>
    <xf numFmtId="165" fontId="21" fillId="34" borderId="58" xfId="42" applyNumberFormat="1" applyFont="1" applyFill="1" applyBorder="1" applyAlignment="1" applyProtection="1">
      <alignment horizontal="right" vertical="center"/>
      <protection hidden="1"/>
    </xf>
    <xf numFmtId="165" fontId="21" fillId="34" borderId="12" xfId="42" applyNumberFormat="1" applyFont="1" applyFill="1" applyBorder="1" applyAlignment="1" applyProtection="1">
      <alignment horizontal="right" vertical="center"/>
      <protection hidden="1"/>
    </xf>
    <xf numFmtId="169" fontId="21" fillId="37" borderId="58" xfId="42" applyNumberFormat="1" applyFont="1" applyFill="1" applyBorder="1" applyAlignment="1" applyProtection="1">
      <alignment horizontal="right" vertical="center"/>
      <protection hidden="1"/>
    </xf>
    <xf numFmtId="165" fontId="21" fillId="37" borderId="61" xfId="42" applyNumberFormat="1" applyFont="1" applyFill="1" applyBorder="1" applyAlignment="1" applyProtection="1">
      <alignment horizontal="right" vertical="center"/>
      <protection hidden="1"/>
    </xf>
    <xf numFmtId="2" fontId="21" fillId="37" borderId="61" xfId="42" applyNumberFormat="1" applyFont="1" applyFill="1" applyBorder="1" applyAlignment="1" applyProtection="1">
      <alignment horizontal="left" vertical="center"/>
      <protection hidden="1"/>
    </xf>
    <xf numFmtId="167" fontId="21" fillId="45" borderId="62" xfId="1" applyNumberFormat="1" applyFont="1" applyFill="1" applyBorder="1" applyAlignment="1" applyProtection="1">
      <alignment horizontal="right" vertical="center"/>
      <protection hidden="1"/>
    </xf>
    <xf numFmtId="0" fontId="20" fillId="37" borderId="8" xfId="42" applyNumberFormat="1" applyFont="1" applyFill="1" applyBorder="1" applyAlignment="1" applyProtection="1">
      <alignment vertical="center"/>
      <protection hidden="1"/>
    </xf>
    <xf numFmtId="0" fontId="20" fillId="37" borderId="12" xfId="42" applyNumberFormat="1" applyFont="1" applyFill="1" applyBorder="1" applyAlignment="1" applyProtection="1">
      <alignment vertical="center"/>
      <protection hidden="1"/>
    </xf>
    <xf numFmtId="0" fontId="26" fillId="45" borderId="8" xfId="42" applyNumberFormat="1" applyFont="1" applyFill="1" applyBorder="1" applyAlignment="1" applyProtection="1">
      <alignment horizontal="center" vertical="center"/>
      <protection hidden="1"/>
    </xf>
    <xf numFmtId="169" fontId="21" fillId="39" borderId="8" xfId="42" applyNumberFormat="1" applyFont="1" applyFill="1" applyBorder="1" applyAlignment="1" applyProtection="1">
      <alignment horizontal="right" vertical="center"/>
      <protection hidden="1"/>
    </xf>
    <xf numFmtId="0" fontId="21" fillId="39" borderId="14" xfId="42" applyNumberFormat="1" applyFont="1" applyFill="1" applyBorder="1" applyAlignment="1" applyProtection="1">
      <alignment vertical="center"/>
      <protection hidden="1"/>
    </xf>
    <xf numFmtId="165" fontId="21" fillId="39" borderId="13" xfId="42" applyNumberFormat="1" applyFont="1" applyFill="1" applyBorder="1" applyAlignment="1" applyProtection="1">
      <alignment horizontal="right" vertical="center"/>
      <protection hidden="1"/>
    </xf>
    <xf numFmtId="0" fontId="21" fillId="39" borderId="11" xfId="42" applyNumberFormat="1" applyFont="1" applyFill="1" applyBorder="1" applyAlignment="1" applyProtection="1">
      <alignment vertical="center"/>
      <protection hidden="1"/>
    </xf>
    <xf numFmtId="2" fontId="21" fillId="39" borderId="11" xfId="42" applyNumberFormat="1" applyFont="1" applyFill="1" applyBorder="1" applyAlignment="1" applyProtection="1">
      <alignment horizontal="left" vertical="center"/>
      <protection hidden="1"/>
    </xf>
    <xf numFmtId="0" fontId="26" fillId="45" borderId="58" xfId="42" applyNumberFormat="1" applyFont="1" applyFill="1" applyBorder="1" applyAlignment="1" applyProtection="1">
      <alignment horizontal="center" vertical="center"/>
      <protection hidden="1"/>
    </xf>
    <xf numFmtId="169" fontId="21" fillId="39" borderId="58" xfId="42" applyNumberFormat="1" applyFont="1" applyFill="1" applyBorder="1" applyAlignment="1" applyProtection="1">
      <alignment horizontal="right" vertical="center"/>
      <protection hidden="1"/>
    </xf>
    <xf numFmtId="165" fontId="21" fillId="39" borderId="61" xfId="42" applyNumberFormat="1" applyFont="1" applyFill="1" applyBorder="1" applyAlignment="1" applyProtection="1">
      <alignment horizontal="right" vertical="center"/>
      <protection hidden="1"/>
    </xf>
    <xf numFmtId="9" fontId="21" fillId="45" borderId="61" xfId="1" applyFont="1" applyFill="1" applyBorder="1" applyAlignment="1" applyProtection="1">
      <alignment horizontal="right" vertical="center"/>
      <protection hidden="1"/>
    </xf>
    <xf numFmtId="0" fontId="21" fillId="39" borderId="60" xfId="42" applyNumberFormat="1" applyFont="1" applyFill="1" applyBorder="1" applyAlignment="1" applyProtection="1">
      <alignment vertical="center"/>
      <protection hidden="1"/>
    </xf>
    <xf numFmtId="9" fontId="20" fillId="33" borderId="57" xfId="1" applyFont="1" applyFill="1" applyBorder="1" applyAlignment="1" applyProtection="1">
      <alignment horizontal="right" vertical="center"/>
      <protection locked="0"/>
    </xf>
    <xf numFmtId="0" fontId="18" fillId="0" borderId="0" xfId="0" applyFont="1" applyBorder="1" applyAlignment="1">
      <alignment vertical="center"/>
    </xf>
    <xf numFmtId="0" fontId="18" fillId="0" borderId="10" xfId="0" applyFont="1" applyBorder="1" applyAlignment="1">
      <alignment vertical="center"/>
    </xf>
    <xf numFmtId="0" fontId="20" fillId="0" borderId="0" xfId="42" applyNumberFormat="1" applyFont="1" applyFill="1" applyBorder="1" applyAlignment="1" applyProtection="1">
      <alignment horizontal="right" vertical="center"/>
      <protection hidden="1"/>
    </xf>
    <xf numFmtId="169" fontId="21" fillId="0" borderId="0" xfId="42" applyNumberFormat="1" applyFont="1" applyFill="1" applyBorder="1" applyAlignment="1" applyProtection="1">
      <alignment vertical="center"/>
      <protection hidden="1"/>
    </xf>
    <xf numFmtId="0" fontId="20" fillId="0" borderId="0" xfId="0" applyFont="1" applyFill="1" applyBorder="1" applyAlignment="1" applyProtection="1">
      <alignment vertical="center" textRotation="90"/>
      <protection hidden="1"/>
    </xf>
    <xf numFmtId="0" fontId="41" fillId="0" borderId="10" xfId="0" applyFont="1" applyFill="1" applyBorder="1" applyAlignment="1" applyProtection="1">
      <alignment horizontal="left" vertical="center"/>
      <protection hidden="1"/>
    </xf>
    <xf numFmtId="0" fontId="41" fillId="0" borderId="0" xfId="0" applyFont="1" applyFill="1" applyBorder="1" applyAlignment="1" applyProtection="1">
      <alignment horizontal="left" vertical="center"/>
      <protection hidden="1"/>
    </xf>
    <xf numFmtId="169" fontId="21" fillId="0" borderId="48" xfId="42" applyNumberFormat="1" applyFont="1" applyFill="1" applyBorder="1" applyAlignment="1" applyProtection="1">
      <alignment vertical="center"/>
      <protection hidden="1"/>
    </xf>
    <xf numFmtId="0" fontId="21" fillId="0" borderId="61" xfId="42" applyNumberFormat="1" applyFont="1" applyFill="1" applyBorder="1" applyAlignment="1">
      <alignment vertical="center"/>
    </xf>
    <xf numFmtId="0" fontId="21" fillId="0" borderId="59" xfId="42" applyNumberFormat="1" applyFont="1" applyFill="1" applyBorder="1" applyAlignment="1">
      <alignment vertical="center"/>
    </xf>
    <xf numFmtId="164" fontId="21" fillId="34" borderId="59" xfId="42" applyFont="1" applyFill="1" applyBorder="1" applyAlignment="1">
      <alignment vertical="center"/>
    </xf>
    <xf numFmtId="164" fontId="21" fillId="0" borderId="59" xfId="42" applyFont="1" applyFill="1" applyBorder="1" applyAlignment="1">
      <alignment vertical="center"/>
    </xf>
    <xf numFmtId="0" fontId="19" fillId="43" borderId="62" xfId="0" applyFont="1" applyFill="1" applyBorder="1" applyAlignment="1">
      <alignment vertical="center"/>
    </xf>
    <xf numFmtId="164" fontId="18" fillId="34" borderId="31" xfId="42" applyFont="1" applyFill="1" applyBorder="1" applyAlignment="1">
      <alignment vertical="center"/>
    </xf>
    <xf numFmtId="164" fontId="18" fillId="34" borderId="10" xfId="42" applyFont="1" applyFill="1" applyBorder="1" applyAlignment="1">
      <alignment vertical="center"/>
    </xf>
    <xf numFmtId="164" fontId="18" fillId="34" borderId="39" xfId="42" applyFont="1" applyFill="1" applyBorder="1" applyAlignment="1">
      <alignment vertical="center"/>
    </xf>
    <xf numFmtId="164" fontId="21" fillId="34" borderId="0" xfId="42" applyFont="1" applyFill="1" applyBorder="1" applyAlignment="1">
      <alignment horizontal="center" vertical="center"/>
    </xf>
    <xf numFmtId="0" fontId="43" fillId="44" borderId="10" xfId="0" applyFont="1" applyFill="1" applyBorder="1" applyAlignment="1" applyProtection="1">
      <alignment vertical="center"/>
      <protection hidden="1"/>
    </xf>
    <xf numFmtId="0" fontId="43" fillId="44" borderId="0" xfId="0" applyFont="1" applyFill="1" applyBorder="1" applyAlignment="1" applyProtection="1">
      <alignment vertical="center"/>
      <protection hidden="1"/>
    </xf>
    <xf numFmtId="0" fontId="43" fillId="44" borderId="9" xfId="0" applyFont="1" applyFill="1" applyBorder="1" applyAlignment="1" applyProtection="1">
      <alignment vertical="center"/>
      <protection hidden="1"/>
    </xf>
    <xf numFmtId="0" fontId="21" fillId="0" borderId="10" xfId="0" applyFont="1" applyFill="1" applyBorder="1" applyAlignment="1" applyProtection="1">
      <alignment horizontal="left" vertical="center"/>
      <protection hidden="1"/>
    </xf>
    <xf numFmtId="0" fontId="21" fillId="0" borderId="39" xfId="0" applyFont="1" applyFill="1" applyBorder="1" applyAlignment="1" applyProtection="1">
      <alignment horizontal="left" vertical="center"/>
      <protection hidden="1"/>
    </xf>
    <xf numFmtId="0" fontId="24" fillId="43" borderId="15" xfId="0" applyNumberFormat="1" applyFont="1" applyFill="1" applyBorder="1" applyAlignment="1">
      <alignment horizontal="left" vertical="center"/>
    </xf>
    <xf numFmtId="0" fontId="24" fillId="43" borderId="27" xfId="0" applyNumberFormat="1" applyFont="1" applyFill="1" applyBorder="1" applyAlignment="1">
      <alignment horizontal="left" vertical="center"/>
    </xf>
    <xf numFmtId="0" fontId="24" fillId="43" borderId="27" xfId="0" applyFont="1" applyFill="1" applyBorder="1" applyAlignment="1">
      <alignment vertical="center"/>
    </xf>
    <xf numFmtId="0" fontId="24" fillId="43" borderId="27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173" fontId="18" fillId="0" borderId="10" xfId="42" applyNumberFormat="1" applyFont="1" applyFill="1" applyBorder="1" applyAlignment="1">
      <alignment vertical="center"/>
    </xf>
    <xf numFmtId="173" fontId="18" fillId="0" borderId="39" xfId="42" applyNumberFormat="1" applyFont="1" applyFill="1" applyBorder="1" applyAlignment="1">
      <alignment vertical="center"/>
    </xf>
    <xf numFmtId="164" fontId="21" fillId="34" borderId="31" xfId="42" applyFont="1" applyFill="1" applyBorder="1" applyAlignment="1">
      <alignment vertical="center"/>
    </xf>
    <xf numFmtId="164" fontId="21" fillId="34" borderId="10" xfId="42" applyFont="1" applyFill="1" applyBorder="1" applyAlignment="1">
      <alignment vertical="center"/>
    </xf>
    <xf numFmtId="164" fontId="21" fillId="34" borderId="39" xfId="42" applyFont="1" applyFill="1" applyBorder="1" applyAlignment="1">
      <alignment vertical="center"/>
    </xf>
    <xf numFmtId="164" fontId="18" fillId="34" borderId="31" xfId="42" applyNumberFormat="1" applyFont="1" applyFill="1" applyBorder="1" applyAlignment="1">
      <alignment vertical="center"/>
    </xf>
    <xf numFmtId="164" fontId="18" fillId="34" borderId="36" xfId="42" applyNumberFormat="1" applyFont="1" applyFill="1" applyBorder="1" applyAlignment="1">
      <alignment vertical="center"/>
    </xf>
    <xf numFmtId="164" fontId="18" fillId="34" borderId="10" xfId="42" applyNumberFormat="1" applyFont="1" applyFill="1" applyBorder="1" applyAlignment="1">
      <alignment vertical="center"/>
    </xf>
    <xf numFmtId="164" fontId="18" fillId="34" borderId="0" xfId="42" applyNumberFormat="1" applyFont="1" applyFill="1" applyBorder="1" applyAlignment="1">
      <alignment vertical="center"/>
    </xf>
    <xf numFmtId="164" fontId="18" fillId="34" borderId="39" xfId="42" applyNumberFormat="1" applyFont="1" applyFill="1" applyBorder="1" applyAlignment="1">
      <alignment vertical="center"/>
    </xf>
    <xf numFmtId="164" fontId="18" fillId="34" borderId="48" xfId="42" applyNumberFormat="1" applyFont="1" applyFill="1" applyBorder="1" applyAlignment="1">
      <alignment vertical="center"/>
    </xf>
    <xf numFmtId="0" fontId="24" fillId="43" borderId="62" xfId="0" applyNumberFormat="1" applyFont="1" applyFill="1" applyBorder="1" applyAlignment="1">
      <alignment vertical="center"/>
    </xf>
    <xf numFmtId="0" fontId="24" fillId="43" borderId="64" xfId="0" applyNumberFormat="1" applyFont="1" applyFill="1" applyBorder="1" applyAlignment="1">
      <alignment vertical="center"/>
    </xf>
    <xf numFmtId="0" fontId="20" fillId="45" borderId="62" xfId="0" applyNumberFormat="1" applyFont="1" applyFill="1" applyBorder="1" applyAlignment="1">
      <alignment horizontal="left" vertical="center"/>
    </xf>
    <xf numFmtId="0" fontId="20" fillId="45" borderId="57" xfId="0" applyNumberFormat="1" applyFont="1" applyFill="1" applyBorder="1" applyAlignment="1">
      <alignment vertical="center"/>
    </xf>
    <xf numFmtId="0" fontId="20" fillId="45" borderId="64" xfId="0" applyFont="1" applyFill="1" applyBorder="1" applyAlignment="1">
      <alignment vertical="center"/>
    </xf>
    <xf numFmtId="0" fontId="20" fillId="45" borderId="62" xfId="0" applyFont="1" applyFill="1" applyBorder="1" applyAlignment="1">
      <alignment vertical="center"/>
    </xf>
    <xf numFmtId="0" fontId="19" fillId="43" borderId="62" xfId="0" applyNumberFormat="1" applyFont="1" applyFill="1" applyBorder="1" applyAlignment="1">
      <alignment vertical="center"/>
    </xf>
    <xf numFmtId="0" fontId="19" fillId="43" borderId="57" xfId="0" applyNumberFormat="1" applyFont="1" applyFill="1" applyBorder="1" applyAlignment="1">
      <alignment vertical="center"/>
    </xf>
    <xf numFmtId="0" fontId="19" fillId="43" borderId="64" xfId="0" applyFont="1" applyFill="1" applyBorder="1" applyAlignment="1">
      <alignment vertical="center"/>
    </xf>
    <xf numFmtId="0" fontId="18" fillId="34" borderId="44" xfId="0" applyNumberFormat="1" applyFont="1" applyFill="1" applyBorder="1" applyAlignment="1">
      <alignment vertical="center"/>
    </xf>
    <xf numFmtId="0" fontId="18" fillId="34" borderId="45" xfId="0" applyNumberFormat="1" applyFont="1" applyFill="1" applyBorder="1" applyAlignment="1">
      <alignment vertical="center"/>
    </xf>
    <xf numFmtId="0" fontId="18" fillId="34" borderId="45" xfId="42" applyNumberFormat="1" applyFont="1" applyFill="1" applyBorder="1" applyAlignment="1">
      <alignment horizontal="left" vertical="center"/>
    </xf>
    <xf numFmtId="0" fontId="18" fillId="34" borderId="47" xfId="0" applyNumberFormat="1" applyFont="1" applyFill="1" applyBorder="1" applyAlignment="1">
      <alignment vertical="center"/>
    </xf>
    <xf numFmtId="0" fontId="18" fillId="34" borderId="46" xfId="0" applyNumberFormat="1" applyFont="1" applyFill="1" applyBorder="1" applyAlignment="1">
      <alignment vertical="center"/>
    </xf>
    <xf numFmtId="0" fontId="18" fillId="34" borderId="62" xfId="0" applyNumberFormat="1" applyFont="1" applyFill="1" applyBorder="1" applyAlignment="1">
      <alignment vertical="center"/>
    </xf>
    <xf numFmtId="0" fontId="18" fillId="34" borderId="57" xfId="0" applyNumberFormat="1" applyFont="1" applyFill="1" applyBorder="1" applyAlignment="1">
      <alignment vertical="center"/>
    </xf>
    <xf numFmtId="0" fontId="18" fillId="34" borderId="64" xfId="0" applyNumberFormat="1" applyFont="1" applyFill="1" applyBorder="1" applyAlignment="1">
      <alignment vertical="center"/>
    </xf>
    <xf numFmtId="0" fontId="21" fillId="34" borderId="47" xfId="42" applyNumberFormat="1" applyFont="1" applyFill="1" applyBorder="1" applyAlignment="1">
      <alignment vertical="center"/>
    </xf>
    <xf numFmtId="164" fontId="18" fillId="0" borderId="44" xfId="42" applyNumberFormat="1" applyFont="1" applyFill="1" applyBorder="1" applyAlignment="1">
      <alignment vertical="center"/>
    </xf>
    <xf numFmtId="164" fontId="18" fillId="0" borderId="45" xfId="42" applyNumberFormat="1" applyFont="1" applyFill="1" applyBorder="1" applyAlignment="1">
      <alignment vertical="center"/>
    </xf>
    <xf numFmtId="164" fontId="18" fillId="0" borderId="46" xfId="42" applyNumberFormat="1" applyFont="1" applyFill="1" applyBorder="1" applyAlignment="1">
      <alignment vertical="center"/>
    </xf>
    <xf numFmtId="165" fontId="18" fillId="31" borderId="45" xfId="42" applyNumberFormat="1" applyFont="1" applyFill="1" applyBorder="1" applyAlignment="1">
      <alignment vertical="center"/>
    </xf>
    <xf numFmtId="165" fontId="18" fillId="31" borderId="64" xfId="42" applyNumberFormat="1" applyFont="1" applyFill="1" applyBorder="1" applyAlignment="1">
      <alignment vertical="center"/>
    </xf>
    <xf numFmtId="164" fontId="18" fillId="31" borderId="62" xfId="42" applyNumberFormat="1" applyFont="1" applyFill="1" applyBorder="1" applyAlignment="1">
      <alignment vertical="center"/>
    </xf>
    <xf numFmtId="164" fontId="18" fillId="31" borderId="64" xfId="42" applyNumberFormat="1" applyFont="1" applyFill="1" applyBorder="1" applyAlignment="1">
      <alignment vertical="center"/>
    </xf>
    <xf numFmtId="2" fontId="21" fillId="0" borderId="44" xfId="42" applyNumberFormat="1" applyFont="1" applyFill="1" applyBorder="1" applyAlignment="1">
      <alignment horizontal="left" vertical="center"/>
    </xf>
    <xf numFmtId="0" fontId="21" fillId="0" borderId="45" xfId="42" applyNumberFormat="1" applyFont="1" applyFill="1" applyBorder="1" applyAlignment="1">
      <alignment vertical="center"/>
    </xf>
    <xf numFmtId="0" fontId="21" fillId="0" borderId="45" xfId="42" applyNumberFormat="1" applyFont="1" applyFill="1" applyBorder="1" applyAlignment="1">
      <alignment horizontal="left" vertical="center"/>
    </xf>
    <xf numFmtId="0" fontId="21" fillId="0" borderId="47" xfId="42" applyNumberFormat="1" applyFont="1" applyFill="1" applyBorder="1" applyAlignment="1">
      <alignment vertical="center"/>
    </xf>
    <xf numFmtId="165" fontId="18" fillId="34" borderId="45" xfId="42" applyNumberFormat="1" applyFont="1" applyFill="1" applyBorder="1" applyAlignment="1">
      <alignment vertical="center"/>
    </xf>
    <xf numFmtId="165" fontId="18" fillId="34" borderId="46" xfId="42" applyNumberFormat="1" applyFont="1" applyFill="1" applyBorder="1" applyAlignment="1">
      <alignment vertical="center"/>
    </xf>
    <xf numFmtId="164" fontId="18" fillId="31" borderId="64" xfId="42" applyFont="1" applyFill="1" applyBorder="1" applyAlignment="1">
      <alignment vertical="center"/>
    </xf>
    <xf numFmtId="173" fontId="18" fillId="0" borderId="45" xfId="1" applyNumberFormat="1" applyFont="1" applyFill="1" applyBorder="1" applyAlignment="1">
      <alignment vertical="center"/>
    </xf>
    <xf numFmtId="172" fontId="18" fillId="0" borderId="44" xfId="42" applyNumberFormat="1" applyFont="1" applyFill="1" applyBorder="1" applyAlignment="1">
      <alignment vertical="center"/>
    </xf>
    <xf numFmtId="172" fontId="18" fillId="0" borderId="45" xfId="42" applyNumberFormat="1" applyFont="1" applyFill="1" applyBorder="1" applyAlignment="1">
      <alignment vertical="center"/>
    </xf>
    <xf numFmtId="172" fontId="18" fillId="0" borderId="46" xfId="42" applyNumberFormat="1" applyFont="1" applyFill="1" applyBorder="1" applyAlignment="1">
      <alignment vertical="center"/>
    </xf>
    <xf numFmtId="166" fontId="18" fillId="31" borderId="64" xfId="42" applyNumberFormat="1" applyFont="1" applyFill="1" applyBorder="1" applyAlignment="1">
      <alignment vertical="center"/>
    </xf>
    <xf numFmtId="172" fontId="18" fillId="31" borderId="62" xfId="42" applyNumberFormat="1" applyFont="1" applyFill="1" applyBorder="1" applyAlignment="1">
      <alignment vertical="center"/>
    </xf>
    <xf numFmtId="172" fontId="18" fillId="31" borderId="64" xfId="42" applyNumberFormat="1" applyFont="1" applyFill="1" applyBorder="1" applyAlignment="1">
      <alignment vertical="center"/>
    </xf>
    <xf numFmtId="164" fontId="18" fillId="0" borderId="45" xfId="42" applyFont="1" applyFill="1" applyBorder="1" applyAlignment="1">
      <alignment vertical="center"/>
    </xf>
    <xf numFmtId="173" fontId="18" fillId="0" borderId="44" xfId="42" applyNumberFormat="1" applyFont="1" applyFill="1" applyBorder="1" applyAlignment="1">
      <alignment vertical="center"/>
    </xf>
    <xf numFmtId="164" fontId="18" fillId="34" borderId="45" xfId="42" applyFont="1" applyFill="1" applyBorder="1" applyAlignment="1">
      <alignment vertical="center"/>
    </xf>
    <xf numFmtId="164" fontId="18" fillId="34" borderId="46" xfId="42" applyFont="1" applyFill="1" applyBorder="1" applyAlignment="1">
      <alignment vertical="center"/>
    </xf>
    <xf numFmtId="164" fontId="21" fillId="34" borderId="45" xfId="42" applyFont="1" applyFill="1" applyBorder="1" applyAlignment="1">
      <alignment vertical="center"/>
    </xf>
    <xf numFmtId="164" fontId="21" fillId="34" borderId="46" xfId="42" applyFont="1" applyFill="1" applyBorder="1" applyAlignment="1">
      <alignment vertical="center"/>
    </xf>
    <xf numFmtId="166" fontId="18" fillId="34" borderId="45" xfId="1" applyNumberFormat="1" applyFont="1" applyFill="1" applyBorder="1" applyAlignment="1">
      <alignment vertical="center"/>
    </xf>
    <xf numFmtId="166" fontId="18" fillId="34" borderId="46" xfId="1" applyNumberFormat="1" applyFont="1" applyFill="1" applyBorder="1" applyAlignment="1">
      <alignment vertical="center"/>
    </xf>
    <xf numFmtId="166" fontId="18" fillId="31" borderId="64" xfId="1" applyNumberFormat="1" applyFont="1" applyFill="1" applyBorder="1" applyAlignment="1">
      <alignment vertical="center"/>
    </xf>
    <xf numFmtId="164" fontId="18" fillId="0" borderId="46" xfId="42" applyFont="1" applyFill="1" applyBorder="1" applyAlignment="1">
      <alignment vertical="center"/>
    </xf>
    <xf numFmtId="173" fontId="18" fillId="0" borderId="46" xfId="1" applyNumberFormat="1" applyFont="1" applyFill="1" applyBorder="1" applyAlignment="1">
      <alignment vertical="center"/>
    </xf>
    <xf numFmtId="164" fontId="18" fillId="0" borderId="45" xfId="42" applyNumberFormat="1" applyFont="1" applyFill="1" applyBorder="1" applyAlignment="1">
      <alignment vertical="center"/>
    </xf>
    <xf numFmtId="164" fontId="18" fillId="0" borderId="46" xfId="42" applyNumberFormat="1" applyFont="1" applyFill="1" applyBorder="1" applyAlignment="1">
      <alignment vertical="center"/>
    </xf>
    <xf numFmtId="165" fontId="21" fillId="34" borderId="45" xfId="42" applyNumberFormat="1" applyFont="1" applyFill="1" applyBorder="1" applyAlignment="1">
      <alignment vertical="center"/>
    </xf>
    <xf numFmtId="165" fontId="21" fillId="34" borderId="46" xfId="42" applyNumberFormat="1" applyFont="1" applyFill="1" applyBorder="1" applyAlignment="1">
      <alignment vertical="center"/>
    </xf>
    <xf numFmtId="166" fontId="18" fillId="0" borderId="45" xfId="1" applyNumberFormat="1" applyFont="1" applyFill="1" applyBorder="1" applyAlignment="1">
      <alignment vertical="center"/>
    </xf>
    <xf numFmtId="166" fontId="18" fillId="0" borderId="46" xfId="1" applyNumberFormat="1" applyFont="1" applyFill="1" applyBorder="1" applyAlignment="1">
      <alignment vertical="center"/>
    </xf>
    <xf numFmtId="165" fontId="18" fillId="0" borderId="45" xfId="42" applyNumberFormat="1" applyFont="1" applyFill="1" applyBorder="1" applyAlignment="1">
      <alignment vertical="center"/>
    </xf>
    <xf numFmtId="165" fontId="18" fillId="0" borderId="46" xfId="42" applyNumberFormat="1" applyFont="1" applyFill="1" applyBorder="1" applyAlignment="1">
      <alignment vertical="center"/>
    </xf>
    <xf numFmtId="0" fontId="19" fillId="43" borderId="44" xfId="0" applyFont="1" applyFill="1" applyBorder="1" applyAlignment="1">
      <alignment horizontal="left" vertical="center"/>
    </xf>
    <xf numFmtId="165" fontId="18" fillId="0" borderId="46" xfId="42" applyNumberFormat="1" applyFont="1" applyFill="1" applyBorder="1" applyAlignment="1">
      <alignment horizontal="right" vertical="center"/>
    </xf>
    <xf numFmtId="0" fontId="21" fillId="0" borderId="62" xfId="0" applyNumberFormat="1" applyFont="1" applyFill="1" applyBorder="1" applyAlignment="1">
      <alignment horizontal="left" vertical="center"/>
    </xf>
    <xf numFmtId="165" fontId="18" fillId="0" borderId="63" xfId="42" applyNumberFormat="1" applyFont="1" applyFill="1" applyBorder="1" applyAlignment="1">
      <alignment horizontal="right" vertical="center"/>
    </xf>
    <xf numFmtId="165" fontId="18" fillId="0" borderId="64" xfId="42" applyNumberFormat="1" applyFont="1" applyFill="1" applyBorder="1" applyAlignment="1">
      <alignment horizontal="right" vertical="center"/>
    </xf>
    <xf numFmtId="0" fontId="19" fillId="43" borderId="10" xfId="0" applyFont="1" applyFill="1" applyBorder="1" applyAlignment="1">
      <alignment horizontal="left" vertical="center"/>
    </xf>
    <xf numFmtId="165" fontId="21" fillId="0" borderId="63" xfId="42" applyNumberFormat="1" applyFont="1" applyFill="1" applyBorder="1" applyAlignment="1">
      <alignment horizontal="right" vertical="center"/>
    </xf>
    <xf numFmtId="165" fontId="21" fillId="0" borderId="64" xfId="42" applyNumberFormat="1" applyFont="1" applyFill="1" applyBorder="1" applyAlignment="1">
      <alignment horizontal="right" vertical="center"/>
    </xf>
    <xf numFmtId="0" fontId="20" fillId="45" borderId="62" xfId="0" applyFont="1" applyFill="1" applyBorder="1" applyAlignment="1">
      <alignment horizontal="left" vertical="center"/>
    </xf>
    <xf numFmtId="0" fontId="20" fillId="45" borderId="63" xfId="0" applyFont="1" applyFill="1" applyBorder="1" applyAlignment="1">
      <alignment horizontal="right" vertical="center"/>
    </xf>
    <xf numFmtId="0" fontId="20" fillId="45" borderId="64" xfId="0" applyFont="1" applyFill="1" applyBorder="1" applyAlignment="1">
      <alignment horizontal="right" vertical="center"/>
    </xf>
    <xf numFmtId="0" fontId="21" fillId="34" borderId="13" xfId="0" applyNumberFormat="1" applyFont="1" applyFill="1" applyBorder="1" applyAlignment="1">
      <alignment horizontal="left" vertical="center"/>
    </xf>
    <xf numFmtId="0" fontId="40" fillId="0" borderId="10" xfId="0" applyFont="1" applyFill="1" applyBorder="1" applyAlignment="1" applyProtection="1">
      <alignment horizontal="left" vertical="center"/>
      <protection hidden="1"/>
    </xf>
    <xf numFmtId="0" fontId="40" fillId="0" borderId="0" xfId="0" applyFont="1" applyFill="1" applyBorder="1" applyAlignment="1" applyProtection="1">
      <alignment horizontal="left" vertical="center"/>
      <protection hidden="1"/>
    </xf>
    <xf numFmtId="172" fontId="52" fillId="56" borderId="94" xfId="47">
      <alignment horizontal="right" vertical="center"/>
    </xf>
    <xf numFmtId="164" fontId="18" fillId="0" borderId="45" xfId="42" applyFont="1" applyBorder="1" applyAlignment="1">
      <alignment horizontal="right" vertical="center"/>
    </xf>
    <xf numFmtId="164" fontId="18" fillId="0" borderId="46" xfId="42" applyFont="1" applyBorder="1" applyAlignment="1">
      <alignment horizontal="right" vertical="center"/>
    </xf>
    <xf numFmtId="164" fontId="18" fillId="0" borderId="0" xfId="42" applyFont="1" applyBorder="1" applyAlignment="1">
      <alignment horizontal="right" vertical="center"/>
    </xf>
    <xf numFmtId="164" fontId="18" fillId="0" borderId="9" xfId="42" applyFont="1" applyBorder="1" applyAlignment="1">
      <alignment horizontal="right" vertical="center"/>
    </xf>
    <xf numFmtId="164" fontId="18" fillId="0" borderId="0" xfId="42" applyFont="1" applyFill="1" applyBorder="1" applyAlignment="1">
      <alignment horizontal="right" vertical="center"/>
    </xf>
    <xf numFmtId="164" fontId="18" fillId="0" borderId="9" xfId="42" applyFont="1" applyFill="1" applyBorder="1" applyAlignment="1">
      <alignment horizontal="right" vertical="center"/>
    </xf>
    <xf numFmtId="164" fontId="18" fillId="0" borderId="63" xfId="42" applyFont="1" applyFill="1" applyBorder="1" applyAlignment="1">
      <alignment horizontal="right" vertical="center"/>
    </xf>
    <xf numFmtId="164" fontId="18" fillId="0" borderId="64" xfId="42" applyFont="1" applyFill="1" applyBorder="1" applyAlignment="1">
      <alignment horizontal="right" vertical="center"/>
    </xf>
    <xf numFmtId="164" fontId="18" fillId="34" borderId="0" xfId="42" applyFont="1" applyFill="1" applyBorder="1" applyAlignment="1">
      <alignment horizontal="right" vertical="center"/>
    </xf>
    <xf numFmtId="164" fontId="18" fillId="34" borderId="9" xfId="42" applyFont="1" applyFill="1" applyBorder="1" applyAlignment="1">
      <alignment horizontal="right" vertical="center"/>
    </xf>
    <xf numFmtId="164" fontId="18" fillId="34" borderId="11" xfId="42" applyFont="1" applyFill="1" applyBorder="1" applyAlignment="1">
      <alignment horizontal="right" vertical="center"/>
    </xf>
    <xf numFmtId="164" fontId="18" fillId="34" borderId="14" xfId="42" applyFont="1" applyFill="1" applyBorder="1" applyAlignment="1">
      <alignment horizontal="right" vertical="center"/>
    </xf>
    <xf numFmtId="174" fontId="52" fillId="56" borderId="68" xfId="47" applyNumberFormat="1" applyBorder="1">
      <alignment horizontal="right" vertical="center"/>
    </xf>
    <xf numFmtId="174" fontId="52" fillId="56" borderId="69" xfId="47" applyNumberFormat="1" applyBorder="1">
      <alignment horizontal="right" vertical="center"/>
    </xf>
    <xf numFmtId="174" fontId="52" fillId="56" borderId="70" xfId="47" applyNumberFormat="1" applyBorder="1">
      <alignment horizontal="right" vertical="center"/>
    </xf>
    <xf numFmtId="174" fontId="52" fillId="56" borderId="71" xfId="47" applyNumberFormat="1" applyBorder="1">
      <alignment horizontal="right" vertical="center"/>
    </xf>
    <xf numFmtId="174" fontId="52" fillId="56" borderId="66" xfId="47" applyNumberFormat="1" applyBorder="1">
      <alignment horizontal="right" vertical="center"/>
    </xf>
    <xf numFmtId="174" fontId="52" fillId="56" borderId="72" xfId="47" applyNumberFormat="1" applyBorder="1">
      <alignment horizontal="right" vertical="center"/>
    </xf>
    <xf numFmtId="174" fontId="52" fillId="56" borderId="73" xfId="47" applyNumberFormat="1" applyBorder="1">
      <alignment horizontal="right" vertical="center"/>
    </xf>
    <xf numFmtId="174" fontId="52" fillId="56" borderId="74" xfId="47" applyNumberFormat="1" applyBorder="1">
      <alignment horizontal="right" vertical="center"/>
    </xf>
    <xf numFmtId="174" fontId="52" fillId="56" borderId="75" xfId="47" applyNumberFormat="1" applyBorder="1">
      <alignment horizontal="right" vertical="center"/>
    </xf>
    <xf numFmtId="0" fontId="20" fillId="36" borderId="58" xfId="42" applyNumberFormat="1" applyFont="1" applyFill="1" applyBorder="1" applyAlignment="1" applyProtection="1">
      <alignment vertical="center"/>
      <protection hidden="1"/>
    </xf>
    <xf numFmtId="9" fontId="20" fillId="33" borderId="58" xfId="1" applyFont="1" applyFill="1" applyBorder="1" applyAlignment="1" applyProtection="1">
      <alignment horizontal="right" vertical="center"/>
      <protection locked="0"/>
    </xf>
    <xf numFmtId="2" fontId="21" fillId="36" borderId="59" xfId="42" applyNumberFormat="1" applyFont="1" applyFill="1" applyBorder="1" applyAlignment="1" applyProtection="1">
      <alignment horizontal="left" vertical="center"/>
      <protection hidden="1"/>
    </xf>
    <xf numFmtId="0" fontId="21" fillId="36" borderId="60" xfId="42" applyNumberFormat="1" applyFont="1" applyFill="1" applyBorder="1" applyAlignment="1" applyProtection="1">
      <alignment vertical="center"/>
      <protection hidden="1"/>
    </xf>
    <xf numFmtId="9" fontId="21" fillId="45" borderId="57" xfId="1" applyFont="1" applyFill="1" applyBorder="1" applyAlignment="1" applyProtection="1">
      <alignment horizontal="right" vertical="center"/>
      <protection hidden="1"/>
    </xf>
    <xf numFmtId="167" fontId="21" fillId="45" borderId="57" xfId="1" applyNumberFormat="1" applyFont="1" applyFill="1" applyBorder="1" applyAlignment="1" applyProtection="1">
      <alignment horizontal="right" vertical="center"/>
      <protection hidden="1"/>
    </xf>
    <xf numFmtId="165" fontId="21" fillId="36" borderId="61" xfId="42" applyNumberFormat="1" applyFont="1" applyFill="1" applyBorder="1" applyAlignment="1" applyProtection="1">
      <alignment horizontal="right" vertical="center"/>
      <protection hidden="1"/>
    </xf>
    <xf numFmtId="169" fontId="21" fillId="36" borderId="58" xfId="42" applyNumberFormat="1" applyFont="1" applyFill="1" applyBorder="1" applyAlignment="1" applyProtection="1">
      <alignment horizontal="right" vertical="center"/>
      <protection hidden="1"/>
    </xf>
    <xf numFmtId="0" fontId="19" fillId="44" borderId="57" xfId="42" applyNumberFormat="1" applyFont="1" applyFill="1" applyBorder="1" applyAlignment="1" applyProtection="1">
      <alignment horizontal="center" vertical="center"/>
      <protection hidden="1"/>
    </xf>
    <xf numFmtId="9" fontId="21" fillId="45" borderId="50" xfId="1" applyFont="1" applyFill="1" applyBorder="1" applyAlignment="1" applyProtection="1">
      <alignment horizontal="right" vertical="center"/>
      <protection hidden="1"/>
    </xf>
    <xf numFmtId="0" fontId="31" fillId="36" borderId="12" xfId="42" applyNumberFormat="1" applyFont="1" applyFill="1" applyBorder="1" applyAlignment="1" applyProtection="1">
      <alignment horizontal="center" vertical="center"/>
      <protection hidden="1"/>
    </xf>
    <xf numFmtId="165" fontId="21" fillId="36" borderId="13" xfId="42" applyNumberFormat="1" applyFont="1" applyFill="1" applyBorder="1" applyAlignment="1" applyProtection="1">
      <alignment horizontal="right" vertical="center"/>
      <protection hidden="1"/>
    </xf>
    <xf numFmtId="169" fontId="21" fillId="36" borderId="8" xfId="42" applyNumberFormat="1" applyFont="1" applyFill="1" applyBorder="1" applyAlignment="1" applyProtection="1">
      <alignment horizontal="right" vertical="center"/>
      <protection hidden="1"/>
    </xf>
    <xf numFmtId="0" fontId="20" fillId="36" borderId="60" xfId="42" applyNumberFormat="1" applyFont="1" applyFill="1" applyBorder="1" applyAlignment="1" applyProtection="1">
      <alignment vertical="center"/>
      <protection hidden="1"/>
    </xf>
    <xf numFmtId="2" fontId="21" fillId="36" borderId="61" xfId="42" applyNumberFormat="1" applyFont="1" applyFill="1" applyBorder="1" applyAlignment="1" applyProtection="1">
      <alignment horizontal="left" vertical="center"/>
      <protection hidden="1"/>
    </xf>
    <xf numFmtId="9" fontId="21" fillId="45" borderId="45" xfId="1" applyFont="1" applyFill="1" applyBorder="1" applyAlignment="1" applyProtection="1">
      <alignment horizontal="right" vertical="center"/>
      <protection hidden="1"/>
    </xf>
    <xf numFmtId="172" fontId="21" fillId="36" borderId="61" xfId="42" applyNumberFormat="1" applyFont="1" applyFill="1" applyBorder="1" applyAlignment="1" applyProtection="1">
      <alignment horizontal="right" vertical="center"/>
      <protection hidden="1"/>
    </xf>
    <xf numFmtId="0" fontId="31" fillId="36" borderId="58" xfId="42" applyNumberFormat="1" applyFont="1" applyFill="1" applyBorder="1" applyAlignment="1" applyProtection="1">
      <alignment horizontal="center" vertical="center"/>
      <protection hidden="1"/>
    </xf>
    <xf numFmtId="164" fontId="30" fillId="32" borderId="45" xfId="42" applyFont="1" applyFill="1" applyBorder="1" applyAlignment="1" applyProtection="1">
      <alignment horizontal="right" vertical="center"/>
      <protection hidden="1"/>
    </xf>
    <xf numFmtId="169" fontId="21" fillId="32" borderId="61" xfId="42" applyNumberFormat="1" applyFont="1" applyFill="1" applyBorder="1" applyAlignment="1" applyProtection="1">
      <alignment horizontal="right" vertical="center"/>
      <protection hidden="1"/>
    </xf>
    <xf numFmtId="0" fontId="21" fillId="32" borderId="60" xfId="42" applyNumberFormat="1" applyFont="1" applyFill="1" applyBorder="1" applyAlignment="1" applyProtection="1">
      <alignment horizontal="center" vertical="center"/>
      <protection hidden="1"/>
    </xf>
    <xf numFmtId="172" fontId="21" fillId="36" borderId="13" xfId="42" applyNumberFormat="1" applyFont="1" applyFill="1" applyBorder="1" applyAlignment="1" applyProtection="1">
      <alignment horizontal="right" vertical="center"/>
      <protection hidden="1"/>
    </xf>
    <xf numFmtId="169" fontId="21" fillId="32" borderId="13" xfId="42" applyNumberFormat="1" applyFont="1" applyFill="1" applyBorder="1" applyAlignment="1" applyProtection="1">
      <alignment horizontal="right" vertical="center"/>
      <protection hidden="1"/>
    </xf>
    <xf numFmtId="0" fontId="21" fillId="32" borderId="14" xfId="42" applyNumberFormat="1" applyFont="1" applyFill="1" applyBorder="1" applyAlignment="1" applyProtection="1">
      <alignment horizontal="center" vertical="center"/>
      <protection hidden="1"/>
    </xf>
    <xf numFmtId="0" fontId="31" fillId="36" borderId="8" xfId="42" applyNumberFormat="1" applyFont="1" applyFill="1" applyBorder="1" applyAlignment="1" applyProtection="1">
      <alignment horizontal="center" vertical="center"/>
      <protection hidden="1"/>
    </xf>
    <xf numFmtId="0" fontId="18" fillId="36" borderId="8" xfId="0" applyNumberFormat="1" applyFont="1" applyFill="1" applyBorder="1" applyAlignment="1" applyProtection="1">
      <alignment vertical="center"/>
      <protection hidden="1"/>
    </xf>
    <xf numFmtId="173" fontId="21" fillId="36" borderId="13" xfId="1" applyNumberFormat="1" applyFont="1" applyFill="1" applyBorder="1" applyAlignment="1" applyProtection="1">
      <alignment horizontal="right" vertical="center"/>
      <protection hidden="1"/>
    </xf>
    <xf numFmtId="2" fontId="21" fillId="37" borderId="45" xfId="42" applyNumberFormat="1" applyFont="1" applyFill="1" applyBorder="1" applyAlignment="1" applyProtection="1">
      <alignment horizontal="left" vertical="center"/>
      <protection hidden="1"/>
    </xf>
    <xf numFmtId="0" fontId="21" fillId="37" borderId="60" xfId="42" applyNumberFormat="1" applyFont="1" applyFill="1" applyBorder="1" applyAlignment="1" applyProtection="1">
      <alignment vertical="center"/>
      <protection hidden="1"/>
    </xf>
    <xf numFmtId="0" fontId="31" fillId="37" borderId="12" xfId="42" applyNumberFormat="1" applyFont="1" applyFill="1" applyBorder="1" applyAlignment="1" applyProtection="1">
      <alignment horizontal="center" vertical="center"/>
      <protection hidden="1"/>
    </xf>
    <xf numFmtId="0" fontId="20" fillId="37" borderId="60" xfId="42" applyNumberFormat="1" applyFont="1" applyFill="1" applyBorder="1" applyAlignment="1" applyProtection="1">
      <alignment vertical="center"/>
      <protection hidden="1"/>
    </xf>
    <xf numFmtId="0" fontId="21" fillId="37" borderId="45" xfId="42" applyNumberFormat="1" applyFont="1" applyFill="1" applyBorder="1" applyAlignment="1" applyProtection="1">
      <alignment vertical="center"/>
      <protection hidden="1"/>
    </xf>
    <xf numFmtId="164" fontId="30" fillId="32" borderId="61" xfId="42" applyFont="1" applyFill="1" applyBorder="1" applyAlignment="1" applyProtection="1">
      <alignment horizontal="right" vertical="center"/>
      <protection hidden="1"/>
    </xf>
    <xf numFmtId="164" fontId="21" fillId="37" borderId="61" xfId="42" applyNumberFormat="1" applyFont="1" applyFill="1" applyBorder="1" applyAlignment="1" applyProtection="1">
      <alignment horizontal="right" vertical="center"/>
      <protection hidden="1"/>
    </xf>
    <xf numFmtId="0" fontId="31" fillId="37" borderId="60" xfId="42" applyNumberFormat="1" applyFont="1" applyFill="1" applyBorder="1" applyAlignment="1" applyProtection="1">
      <alignment horizontal="center" vertical="center"/>
      <protection hidden="1"/>
    </xf>
    <xf numFmtId="0" fontId="31" fillId="37" borderId="9" xfId="42" applyNumberFormat="1" applyFont="1" applyFill="1" applyBorder="1" applyAlignment="1" applyProtection="1">
      <alignment horizontal="center" vertical="center"/>
      <protection hidden="1"/>
    </xf>
    <xf numFmtId="172" fontId="21" fillId="37" borderId="61" xfId="42" applyNumberFormat="1" applyFont="1" applyFill="1" applyBorder="1" applyAlignment="1" applyProtection="1">
      <alignment horizontal="right" vertical="center"/>
      <protection hidden="1"/>
    </xf>
    <xf numFmtId="0" fontId="31" fillId="37" borderId="58" xfId="42" applyNumberFormat="1" applyFont="1" applyFill="1" applyBorder="1" applyAlignment="1" applyProtection="1">
      <alignment horizontal="center" vertical="center"/>
      <protection hidden="1"/>
    </xf>
    <xf numFmtId="0" fontId="31" fillId="37" borderId="8" xfId="42" applyNumberFormat="1" applyFont="1" applyFill="1" applyBorder="1" applyAlignment="1" applyProtection="1">
      <alignment horizontal="center" vertical="center"/>
      <protection hidden="1"/>
    </xf>
    <xf numFmtId="0" fontId="20" fillId="38" borderId="58" xfId="42" applyNumberFormat="1" applyFont="1" applyFill="1" applyBorder="1" applyAlignment="1" applyProtection="1">
      <alignment vertical="center"/>
      <protection hidden="1"/>
    </xf>
    <xf numFmtId="2" fontId="21" fillId="38" borderId="45" xfId="42" applyNumberFormat="1" applyFont="1" applyFill="1" applyBorder="1" applyAlignment="1" applyProtection="1">
      <alignment horizontal="left" vertical="center"/>
      <protection hidden="1"/>
    </xf>
    <xf numFmtId="0" fontId="21" fillId="38" borderId="60" xfId="42" applyNumberFormat="1" applyFont="1" applyFill="1" applyBorder="1" applyAlignment="1" applyProtection="1">
      <alignment vertical="center"/>
      <protection hidden="1"/>
    </xf>
    <xf numFmtId="165" fontId="21" fillId="38" borderId="61" xfId="42" applyNumberFormat="1" applyFont="1" applyFill="1" applyBorder="1" applyAlignment="1" applyProtection="1">
      <alignment horizontal="right" vertical="center"/>
      <protection hidden="1"/>
    </xf>
    <xf numFmtId="169" fontId="21" fillId="38" borderId="58" xfId="42" applyNumberFormat="1" applyFont="1" applyFill="1" applyBorder="1" applyAlignment="1" applyProtection="1">
      <alignment horizontal="right" vertical="center"/>
      <protection hidden="1"/>
    </xf>
    <xf numFmtId="0" fontId="20" fillId="39" borderId="58" xfId="42" applyNumberFormat="1" applyFont="1" applyFill="1" applyBorder="1" applyAlignment="1" applyProtection="1">
      <alignment vertical="center"/>
      <protection hidden="1"/>
    </xf>
    <xf numFmtId="2" fontId="21" fillId="39" borderId="45" xfId="42" applyNumberFormat="1" applyFont="1" applyFill="1" applyBorder="1" applyAlignment="1" applyProtection="1">
      <alignment horizontal="left" vertical="center"/>
      <protection hidden="1"/>
    </xf>
    <xf numFmtId="9" fontId="21" fillId="45" borderId="62" xfId="1" applyFont="1" applyFill="1" applyBorder="1" applyAlignment="1" applyProtection="1">
      <alignment horizontal="right" vertical="center"/>
      <protection hidden="1"/>
    </xf>
    <xf numFmtId="172" fontId="21" fillId="39" borderId="61" xfId="42" applyNumberFormat="1" applyFont="1" applyFill="1" applyBorder="1" applyAlignment="1" applyProtection="1">
      <alignment horizontal="right" vertical="center"/>
      <protection hidden="1"/>
    </xf>
    <xf numFmtId="0" fontId="31" fillId="39" borderId="58" xfId="42" applyNumberFormat="1" applyFont="1" applyFill="1" applyBorder="1" applyAlignment="1" applyProtection="1">
      <alignment horizontal="center" vertical="center"/>
      <protection hidden="1"/>
    </xf>
    <xf numFmtId="0" fontId="31" fillId="39" borderId="12" xfId="42" applyNumberFormat="1" applyFont="1" applyFill="1" applyBorder="1" applyAlignment="1" applyProtection="1">
      <alignment horizontal="center" vertical="center"/>
      <protection hidden="1"/>
    </xf>
    <xf numFmtId="0" fontId="20" fillId="39" borderId="8" xfId="42" applyNumberFormat="1" applyFont="1" applyFill="1" applyBorder="1" applyAlignment="1" applyProtection="1">
      <alignment vertical="center"/>
      <protection hidden="1"/>
    </xf>
    <xf numFmtId="0" fontId="31" fillId="39" borderId="8" xfId="42" applyNumberFormat="1" applyFont="1" applyFill="1" applyBorder="1" applyAlignment="1" applyProtection="1">
      <alignment horizontal="center" vertical="center"/>
      <protection hidden="1"/>
    </xf>
    <xf numFmtId="9" fontId="21" fillId="45" borderId="77" xfId="1" applyFont="1" applyFill="1" applyBorder="1" applyAlignment="1" applyProtection="1">
      <alignment horizontal="right" vertical="center"/>
      <protection hidden="1"/>
    </xf>
    <xf numFmtId="172" fontId="52" fillId="56" borderId="80" xfId="47" applyBorder="1">
      <alignment horizontal="right" vertical="center"/>
    </xf>
    <xf numFmtId="172" fontId="52" fillId="56" borderId="81" xfId="47" applyBorder="1">
      <alignment horizontal="right" vertical="center"/>
    </xf>
    <xf numFmtId="172" fontId="52" fillId="56" borderId="82" xfId="47" applyBorder="1">
      <alignment horizontal="right" vertical="center"/>
    </xf>
    <xf numFmtId="172" fontId="30" fillId="56" borderId="80" xfId="47" applyFont="1" applyBorder="1">
      <alignment horizontal="right" vertical="center"/>
    </xf>
    <xf numFmtId="172" fontId="30" fillId="56" borderId="81" xfId="47" applyFont="1" applyBorder="1">
      <alignment horizontal="right" vertical="center"/>
    </xf>
    <xf numFmtId="172" fontId="30" fillId="56" borderId="82" xfId="47" applyFont="1" applyBorder="1">
      <alignment horizontal="right" vertical="center"/>
    </xf>
    <xf numFmtId="174" fontId="52" fillId="56" borderId="80" xfId="47" applyNumberFormat="1" applyBorder="1">
      <alignment horizontal="right" vertical="center"/>
    </xf>
    <xf numFmtId="174" fontId="52" fillId="56" borderId="81" xfId="47" applyNumberFormat="1" applyBorder="1">
      <alignment horizontal="right" vertical="center"/>
    </xf>
    <xf numFmtId="174" fontId="52" fillId="56" borderId="82" xfId="47" applyNumberFormat="1" applyBorder="1">
      <alignment horizontal="right" vertical="center"/>
    </xf>
    <xf numFmtId="174" fontId="52" fillId="56" borderId="16" xfId="47" applyNumberFormat="1" applyBorder="1">
      <alignment horizontal="right" vertical="center"/>
    </xf>
    <xf numFmtId="174" fontId="52" fillId="56" borderId="83" xfId="47" applyNumberFormat="1" applyBorder="1">
      <alignment horizontal="right" vertical="center"/>
    </xf>
    <xf numFmtId="174" fontId="52" fillId="56" borderId="78" xfId="47" applyNumberFormat="1" applyBorder="1">
      <alignment horizontal="right" vertical="center"/>
    </xf>
    <xf numFmtId="174" fontId="52" fillId="56" borderId="84" xfId="47" applyNumberFormat="1" applyBorder="1">
      <alignment horizontal="right" vertical="center"/>
    </xf>
    <xf numFmtId="174" fontId="52" fillId="56" borderId="85" xfId="47" applyNumberFormat="1" applyBorder="1">
      <alignment horizontal="right" vertical="center"/>
    </xf>
    <xf numFmtId="174" fontId="52" fillId="56" borderId="86" xfId="47" applyNumberFormat="1" applyBorder="1">
      <alignment horizontal="right" vertical="center"/>
    </xf>
    <xf numFmtId="174" fontId="52" fillId="56" borderId="87" xfId="47" applyNumberFormat="1" applyBorder="1">
      <alignment horizontal="right" vertical="center"/>
    </xf>
    <xf numFmtId="174" fontId="52" fillId="56" borderId="88" xfId="47" applyNumberFormat="1" applyBorder="1">
      <alignment horizontal="right" vertical="center"/>
    </xf>
    <xf numFmtId="174" fontId="52" fillId="56" borderId="89" xfId="47" applyNumberFormat="1" applyBorder="1">
      <alignment horizontal="right" vertical="center"/>
    </xf>
    <xf numFmtId="174" fontId="52" fillId="56" borderId="90" xfId="47" applyNumberFormat="1" applyBorder="1">
      <alignment horizontal="right" vertical="center"/>
    </xf>
    <xf numFmtId="174" fontId="52" fillId="56" borderId="91" xfId="47" applyNumberFormat="1" applyBorder="1">
      <alignment horizontal="right" vertical="center"/>
    </xf>
    <xf numFmtId="174" fontId="52" fillId="56" borderId="92" xfId="47" applyNumberFormat="1" applyBorder="1">
      <alignment horizontal="right" vertical="center"/>
    </xf>
    <xf numFmtId="174" fontId="52" fillId="56" borderId="76" xfId="47" applyNumberFormat="1" applyBorder="1">
      <alignment horizontal="right" vertical="center"/>
    </xf>
    <xf numFmtId="174" fontId="52" fillId="56" borderId="93" xfId="47" applyNumberFormat="1" applyBorder="1">
      <alignment horizontal="right" vertical="center"/>
    </xf>
    <xf numFmtId="9" fontId="30" fillId="55" borderId="80" xfId="58" applyNumberFormat="1" applyFont="1" applyBorder="1">
      <alignment horizontal="right"/>
    </xf>
    <xf numFmtId="9" fontId="30" fillId="55" borderId="81" xfId="58" applyNumberFormat="1" applyFont="1" applyBorder="1">
      <alignment horizontal="right"/>
    </xf>
    <xf numFmtId="9" fontId="30" fillId="55" borderId="82" xfId="58" applyNumberFormat="1" applyFont="1" applyBorder="1">
      <alignment horizontal="right"/>
    </xf>
    <xf numFmtId="0" fontId="20" fillId="39" borderId="9" xfId="42" applyNumberFormat="1" applyFont="1" applyFill="1" applyBorder="1" applyAlignment="1" applyProtection="1">
      <alignment vertical="center"/>
      <protection hidden="1"/>
    </xf>
    <xf numFmtId="0" fontId="20" fillId="39" borderId="14" xfId="42" applyNumberFormat="1" applyFont="1" applyFill="1" applyBorder="1" applyAlignment="1" applyProtection="1">
      <alignment vertical="center"/>
      <protection hidden="1"/>
    </xf>
    <xf numFmtId="0" fontId="20" fillId="39" borderId="60" xfId="42" applyNumberFormat="1" applyFont="1" applyFill="1" applyBorder="1" applyAlignment="1" applyProtection="1">
      <alignment vertical="center"/>
      <protection hidden="1"/>
    </xf>
    <xf numFmtId="9" fontId="21" fillId="45" borderId="12" xfId="1" applyFont="1" applyFill="1" applyBorder="1" applyAlignment="1" applyProtection="1">
      <alignment vertical="center"/>
      <protection hidden="1"/>
    </xf>
    <xf numFmtId="9" fontId="21" fillId="45" borderId="10" xfId="1" applyFont="1" applyFill="1" applyBorder="1" applyAlignment="1" applyProtection="1">
      <alignment vertical="center"/>
      <protection hidden="1"/>
    </xf>
    <xf numFmtId="9" fontId="30" fillId="55" borderId="57" xfId="58" applyNumberFormat="1" applyFont="1" applyBorder="1">
      <alignment horizontal="right"/>
    </xf>
    <xf numFmtId="172" fontId="52" fillId="56" borderId="80" xfId="47" applyFont="1" applyBorder="1">
      <alignment horizontal="right" vertical="center"/>
    </xf>
    <xf numFmtId="172" fontId="52" fillId="56" borderId="81" xfId="47" applyFont="1" applyBorder="1">
      <alignment horizontal="right" vertical="center"/>
    </xf>
    <xf numFmtId="172" fontId="52" fillId="56" borderId="82" xfId="47" applyFont="1" applyBorder="1">
      <alignment horizontal="right" vertical="center"/>
    </xf>
    <xf numFmtId="0" fontId="43" fillId="44" borderId="13" xfId="0" applyFont="1" applyFill="1" applyBorder="1" applyAlignment="1" applyProtection="1">
      <alignment vertical="center"/>
      <protection hidden="1"/>
    </xf>
    <xf numFmtId="0" fontId="43" fillId="44" borderId="11" xfId="0" applyFont="1" applyFill="1" applyBorder="1" applyAlignment="1" applyProtection="1">
      <alignment vertical="center"/>
      <protection hidden="1"/>
    </xf>
    <xf numFmtId="0" fontId="43" fillId="44" borderId="14" xfId="0" applyFont="1" applyFill="1" applyBorder="1" applyAlignment="1" applyProtection="1">
      <alignment vertical="center"/>
      <protection hidden="1"/>
    </xf>
    <xf numFmtId="0" fontId="17" fillId="0" borderId="0" xfId="0" applyFont="1" applyFill="1" applyBorder="1" applyAlignment="1" applyProtection="1">
      <alignment vertical="center"/>
      <protection hidden="1"/>
    </xf>
    <xf numFmtId="0" fontId="20" fillId="0" borderId="0" xfId="0" applyFont="1" applyFill="1" applyBorder="1" applyAlignment="1" applyProtection="1">
      <alignment vertical="center"/>
      <protection hidden="1"/>
    </xf>
    <xf numFmtId="0" fontId="55" fillId="0" borderId="0" xfId="0" applyFont="1" applyFill="1" applyBorder="1" applyAlignment="1" applyProtection="1">
      <alignment vertical="center"/>
      <protection hidden="1"/>
    </xf>
    <xf numFmtId="0" fontId="40" fillId="0" borderId="11" xfId="0" applyFont="1" applyFill="1" applyBorder="1" applyAlignment="1" applyProtection="1">
      <alignment horizontal="center" vertical="center"/>
      <protection hidden="1"/>
    </xf>
    <xf numFmtId="171" fontId="20" fillId="33" borderId="79" xfId="0" applyNumberFormat="1" applyFont="1" applyFill="1" applyBorder="1" applyAlignment="1" applyProtection="1">
      <alignment horizontal="right" vertical="center"/>
      <protection locked="0"/>
    </xf>
    <xf numFmtId="0" fontId="20" fillId="40" borderId="79" xfId="1" applyNumberFormat="1" applyFont="1" applyFill="1" applyBorder="1" applyAlignment="1" applyProtection="1">
      <alignment horizontal="center" vertical="center"/>
    </xf>
    <xf numFmtId="0" fontId="20" fillId="41" borderId="79" xfId="1" applyNumberFormat="1" applyFont="1" applyFill="1" applyBorder="1" applyAlignment="1" applyProtection="1">
      <alignment horizontal="center" vertical="center"/>
    </xf>
    <xf numFmtId="0" fontId="20" fillId="42" borderId="79" xfId="1" applyNumberFormat="1" applyFont="1" applyFill="1" applyBorder="1" applyAlignment="1" applyProtection="1">
      <alignment horizontal="center" vertical="center"/>
    </xf>
    <xf numFmtId="0" fontId="20" fillId="43" borderId="79" xfId="1" applyNumberFormat="1" applyFont="1" applyFill="1" applyBorder="1" applyAlignment="1" applyProtection="1">
      <alignment horizontal="center" vertical="center"/>
    </xf>
    <xf numFmtId="0" fontId="20" fillId="44" borderId="79" xfId="1" applyNumberFormat="1" applyFont="1" applyFill="1" applyBorder="1" applyAlignment="1" applyProtection="1">
      <alignment horizontal="center" vertical="center"/>
    </xf>
    <xf numFmtId="0" fontId="22" fillId="0" borderId="14" xfId="0" applyFont="1" applyFill="1" applyBorder="1" applyAlignment="1" applyProtection="1">
      <alignment vertical="center"/>
      <protection hidden="1"/>
    </xf>
    <xf numFmtId="169" fontId="18" fillId="0" borderId="0" xfId="42" applyNumberFormat="1" applyFont="1" applyBorder="1" applyAlignment="1">
      <alignment horizontal="right" vertical="center"/>
    </xf>
    <xf numFmtId="169" fontId="18" fillId="0" borderId="9" xfId="42" applyNumberFormat="1" applyFont="1" applyBorder="1" applyAlignment="1">
      <alignment horizontal="right" vertical="center"/>
    </xf>
    <xf numFmtId="0" fontId="18" fillId="0" borderId="39" xfId="0" applyFont="1" applyBorder="1" applyAlignment="1">
      <alignment vertical="center"/>
    </xf>
    <xf numFmtId="169" fontId="18" fillId="0" borderId="48" xfId="42" applyNumberFormat="1" applyFont="1" applyBorder="1" applyAlignment="1">
      <alignment horizontal="right" vertical="center"/>
    </xf>
    <xf numFmtId="169" fontId="18" fillId="0" borderId="40" xfId="42" applyNumberFormat="1" applyFont="1" applyBorder="1" applyAlignment="1">
      <alignment horizontal="right" vertical="center"/>
    </xf>
    <xf numFmtId="164" fontId="35" fillId="45" borderId="36" xfId="42" applyFont="1" applyFill="1" applyBorder="1" applyAlignment="1" applyProtection="1">
      <alignment horizontal="right" vertical="center"/>
      <protection hidden="1"/>
    </xf>
    <xf numFmtId="164" fontId="35" fillId="45" borderId="36" xfId="42" applyFont="1" applyFill="1" applyBorder="1" applyAlignment="1" applyProtection="1">
      <alignment vertical="center"/>
      <protection hidden="1"/>
    </xf>
    <xf numFmtId="164" fontId="35" fillId="45" borderId="32" xfId="42" applyFont="1" applyFill="1" applyBorder="1" applyAlignment="1" applyProtection="1">
      <alignment vertical="center"/>
      <protection hidden="1"/>
    </xf>
    <xf numFmtId="164" fontId="35" fillId="45" borderId="48" xfId="42" applyFont="1" applyFill="1" applyBorder="1" applyAlignment="1" applyProtection="1">
      <alignment horizontal="right" vertical="center"/>
      <protection hidden="1"/>
    </xf>
    <xf numFmtId="164" fontId="35" fillId="45" borderId="48" xfId="42" applyFont="1" applyFill="1" applyBorder="1" applyAlignment="1" applyProtection="1">
      <alignment vertical="center"/>
      <protection hidden="1"/>
    </xf>
    <xf numFmtId="164" fontId="35" fillId="45" borderId="40" xfId="42" applyFont="1" applyFill="1" applyBorder="1" applyAlignment="1" applyProtection="1">
      <alignment vertical="center"/>
      <protection hidden="1"/>
    </xf>
    <xf numFmtId="164" fontId="18" fillId="0" borderId="0" xfId="42" applyFont="1" applyBorder="1" applyAlignment="1">
      <alignment horizontal="left" vertical="center"/>
    </xf>
    <xf numFmtId="164" fontId="24" fillId="43" borderId="27" xfId="42" applyFont="1" applyFill="1" applyBorder="1" applyAlignment="1">
      <alignment horizontal="right" vertical="center"/>
    </xf>
    <xf numFmtId="164" fontId="24" fillId="43" borderId="27" xfId="42" applyFont="1" applyFill="1" applyBorder="1" applyAlignment="1">
      <alignment horizontal="left" vertical="center"/>
    </xf>
    <xf numFmtId="164" fontId="24" fillId="43" borderId="17" xfId="42" applyFont="1" applyFill="1" applyBorder="1" applyAlignment="1">
      <alignment horizontal="left" vertical="center"/>
    </xf>
    <xf numFmtId="164" fontId="20" fillId="45" borderId="11" xfId="42" applyFont="1" applyFill="1" applyBorder="1" applyAlignment="1">
      <alignment horizontal="right" vertical="center"/>
    </xf>
    <xf numFmtId="164" fontId="20" fillId="45" borderId="11" xfId="42" applyFont="1" applyFill="1" applyBorder="1" applyAlignment="1">
      <alignment horizontal="left" vertical="center"/>
    </xf>
    <xf numFmtId="164" fontId="20" fillId="45" borderId="14" xfId="42" applyFont="1" applyFill="1" applyBorder="1" applyAlignment="1">
      <alignment horizontal="left" vertical="center"/>
    </xf>
    <xf numFmtId="164" fontId="21" fillId="34" borderId="0" xfId="42" applyFont="1" applyFill="1" applyBorder="1" applyAlignment="1">
      <alignment horizontal="right" vertical="center"/>
    </xf>
    <xf numFmtId="164" fontId="21" fillId="34" borderId="0" xfId="42" applyFont="1" applyFill="1" applyBorder="1" applyAlignment="1">
      <alignment horizontal="left" vertical="center"/>
    </xf>
    <xf numFmtId="164" fontId="21" fillId="34" borderId="9" xfId="42" applyFont="1" applyFill="1" applyBorder="1" applyAlignment="1">
      <alignment horizontal="left" vertical="center"/>
    </xf>
    <xf numFmtId="164" fontId="18" fillId="34" borderId="0" xfId="42" applyFont="1" applyFill="1" applyBorder="1" applyAlignment="1">
      <alignment horizontal="left" vertical="center"/>
    </xf>
    <xf numFmtId="164" fontId="18" fillId="34" borderId="9" xfId="42" applyFont="1" applyFill="1" applyBorder="1" applyAlignment="1">
      <alignment horizontal="left" vertical="center"/>
    </xf>
    <xf numFmtId="164" fontId="27" fillId="34" borderId="0" xfId="42" applyFont="1" applyFill="1" applyBorder="1" applyAlignment="1">
      <alignment horizontal="right" vertical="center"/>
    </xf>
    <xf numFmtId="164" fontId="27" fillId="34" borderId="0" xfId="42" applyFont="1" applyFill="1" applyBorder="1" applyAlignment="1">
      <alignment horizontal="left" vertical="center"/>
    </xf>
    <xf numFmtId="164" fontId="18" fillId="34" borderId="11" xfId="42" applyFont="1" applyFill="1" applyBorder="1" applyAlignment="1">
      <alignment horizontal="left" vertical="center"/>
    </xf>
    <xf numFmtId="164" fontId="18" fillId="34" borderId="14" xfId="42" applyFont="1" applyFill="1" applyBorder="1" applyAlignment="1">
      <alignment horizontal="left" vertical="center"/>
    </xf>
    <xf numFmtId="164" fontId="35" fillId="44" borderId="36" xfId="42" applyFont="1" applyFill="1" applyBorder="1" applyAlignment="1" applyProtection="1">
      <alignment horizontal="right" vertical="center"/>
      <protection hidden="1"/>
    </xf>
    <xf numFmtId="164" fontId="35" fillId="44" borderId="48" xfId="42" applyFont="1" applyFill="1" applyBorder="1" applyAlignment="1" applyProtection="1">
      <alignment horizontal="right" vertical="center"/>
      <protection hidden="1"/>
    </xf>
    <xf numFmtId="164" fontId="18" fillId="0" borderId="14" xfId="42" applyFont="1" applyBorder="1" applyAlignment="1">
      <alignment horizontal="right" vertical="center"/>
    </xf>
    <xf numFmtId="9" fontId="30" fillId="55" borderId="83" xfId="58" applyNumberFormat="1" applyFont="1" applyBorder="1">
      <alignment horizontal="right"/>
    </xf>
    <xf numFmtId="0" fontId="54" fillId="44" borderId="33" xfId="0" applyFont="1" applyFill="1" applyBorder="1" applyAlignment="1" applyProtection="1">
      <alignment vertical="center"/>
      <protection hidden="1"/>
    </xf>
    <xf numFmtId="0" fontId="54" fillId="44" borderId="35" xfId="0" applyFont="1" applyFill="1" applyBorder="1" applyAlignment="1" applyProtection="1">
      <alignment vertical="center"/>
      <protection hidden="1"/>
    </xf>
    <xf numFmtId="0" fontId="54" fillId="44" borderId="34" xfId="0" applyFont="1" applyFill="1" applyBorder="1" applyAlignment="1" applyProtection="1">
      <alignment vertical="center"/>
      <protection hidden="1"/>
    </xf>
    <xf numFmtId="164" fontId="16" fillId="45" borderId="31" xfId="42" applyFont="1" applyFill="1" applyBorder="1" applyAlignment="1" applyProtection="1">
      <alignment vertical="center"/>
      <protection hidden="1"/>
    </xf>
    <xf numFmtId="164" fontId="16" fillId="45" borderId="36" xfId="42" applyFont="1" applyFill="1" applyBorder="1" applyAlignment="1" applyProtection="1">
      <alignment vertical="center"/>
      <protection hidden="1"/>
    </xf>
    <xf numFmtId="164" fontId="16" fillId="45" borderId="13" xfId="42" applyFont="1" applyFill="1" applyBorder="1" applyAlignment="1" applyProtection="1">
      <alignment vertical="center"/>
      <protection hidden="1"/>
    </xf>
    <xf numFmtId="164" fontId="16" fillId="45" borderId="11" xfId="42" applyFont="1" applyFill="1" applyBorder="1" applyAlignment="1" applyProtection="1">
      <alignment vertical="center"/>
      <protection hidden="1"/>
    </xf>
    <xf numFmtId="169" fontId="21" fillId="37" borderId="96" xfId="42" applyNumberFormat="1" applyFont="1" applyFill="1" applyBorder="1" applyAlignment="1" applyProtection="1">
      <alignment horizontal="right" vertical="center"/>
      <protection hidden="1"/>
    </xf>
    <xf numFmtId="169" fontId="21" fillId="37" borderId="10" xfId="42" applyNumberFormat="1" applyFont="1" applyFill="1" applyBorder="1" applyAlignment="1" applyProtection="1">
      <alignment horizontal="right" vertical="center"/>
      <protection hidden="1"/>
    </xf>
    <xf numFmtId="169" fontId="21" fillId="37" borderId="13" xfId="42" applyNumberFormat="1" applyFont="1" applyFill="1" applyBorder="1" applyAlignment="1" applyProtection="1">
      <alignment horizontal="right" vertical="center"/>
      <protection hidden="1"/>
    </xf>
    <xf numFmtId="0" fontId="19" fillId="44" borderId="97" xfId="42" applyNumberFormat="1" applyFont="1" applyFill="1" applyBorder="1" applyAlignment="1" applyProtection="1">
      <alignment horizontal="center" vertical="center"/>
      <protection hidden="1"/>
    </xf>
    <xf numFmtId="0" fontId="31" fillId="37" borderId="97" xfId="42" applyNumberFormat="1" applyFont="1" applyFill="1" applyBorder="1" applyAlignment="1" applyProtection="1">
      <alignment horizontal="center" vertical="center"/>
      <protection hidden="1"/>
    </xf>
    <xf numFmtId="0" fontId="31" fillId="37" borderId="14" xfId="42" applyNumberFormat="1" applyFont="1" applyFill="1" applyBorder="1" applyAlignment="1" applyProtection="1">
      <alignment horizontal="center" vertical="center"/>
      <protection hidden="1"/>
    </xf>
    <xf numFmtId="0" fontId="26" fillId="45" borderId="95" xfId="42" applyNumberFormat="1" applyFont="1" applyFill="1" applyBorder="1" applyAlignment="1" applyProtection="1">
      <alignment horizontal="center" vertical="center"/>
      <protection hidden="1"/>
    </xf>
    <xf numFmtId="0" fontId="26" fillId="45" borderId="43" xfId="42" applyNumberFormat="1" applyFont="1" applyFill="1" applyBorder="1" applyAlignment="1" applyProtection="1">
      <alignment horizontal="center" vertical="center"/>
      <protection hidden="1"/>
    </xf>
    <xf numFmtId="10" fontId="56" fillId="0" borderId="0" xfId="1" applyNumberFormat="1" applyFont="1" applyFill="1" applyBorder="1" applyAlignment="1" applyProtection="1">
      <alignment vertical="center"/>
      <protection hidden="1"/>
    </xf>
    <xf numFmtId="175" fontId="21" fillId="31" borderId="57" xfId="1" applyNumberFormat="1" applyFont="1" applyFill="1" applyBorder="1" applyAlignment="1" applyProtection="1">
      <alignment horizontal="left" vertical="center"/>
      <protection hidden="1"/>
    </xf>
    <xf numFmtId="0" fontId="21" fillId="0" borderId="0" xfId="0" applyFont="1" applyAlignment="1">
      <alignment vertical="center"/>
    </xf>
    <xf numFmtId="14" fontId="21" fillId="31" borderId="79" xfId="42" applyNumberFormat="1" applyFont="1" applyFill="1" applyBorder="1" applyAlignment="1">
      <alignment horizontal="left" vertical="center"/>
    </xf>
    <xf numFmtId="14" fontId="21" fillId="0" borderId="0" xfId="42" applyNumberFormat="1" applyFont="1" applyBorder="1" applyAlignment="1">
      <alignment horizontal="left" vertical="center"/>
    </xf>
    <xf numFmtId="170" fontId="18" fillId="0" borderId="0" xfId="42" applyNumberFormat="1" applyFont="1" applyBorder="1" applyAlignment="1">
      <alignment horizontal="left" vertical="center"/>
    </xf>
    <xf numFmtId="170" fontId="21" fillId="0" borderId="0" xfId="42" applyNumberFormat="1" applyFont="1" applyBorder="1" applyAlignment="1">
      <alignment horizontal="left" vertical="center"/>
    </xf>
    <xf numFmtId="170" fontId="21" fillId="0" borderId="0" xfId="42" applyNumberFormat="1" applyFont="1" applyBorder="1" applyAlignment="1">
      <alignment horizontal="right" vertical="center"/>
    </xf>
    <xf numFmtId="14" fontId="23" fillId="0" borderId="0" xfId="42" applyNumberFormat="1" applyFont="1" applyBorder="1" applyAlignment="1">
      <alignment horizontal="left" vertical="center"/>
    </xf>
    <xf numFmtId="170" fontId="23" fillId="0" borderId="0" xfId="42" applyNumberFormat="1" applyFont="1" applyBorder="1" applyAlignment="1">
      <alignment horizontal="left" vertical="center"/>
    </xf>
    <xf numFmtId="170" fontId="23" fillId="0" borderId="0" xfId="42" applyNumberFormat="1" applyFont="1" applyBorder="1" applyAlignment="1">
      <alignment horizontal="right" vertical="center"/>
    </xf>
    <xf numFmtId="0" fontId="21" fillId="0" borderId="0" xfId="42" applyNumberFormat="1" applyFont="1" applyBorder="1" applyAlignment="1">
      <alignment horizontal="left" vertical="center"/>
    </xf>
    <xf numFmtId="170" fontId="21" fillId="48" borderId="0" xfId="42" applyNumberFormat="1" applyFont="1" applyFill="1" applyBorder="1" applyAlignment="1">
      <alignment horizontal="left" vertical="center"/>
    </xf>
    <xf numFmtId="0" fontId="21" fillId="0" borderId="0" xfId="0" applyNumberFormat="1" applyFont="1" applyAlignment="1">
      <alignment horizontal="left" vertical="center"/>
    </xf>
    <xf numFmtId="2" fontId="18" fillId="31" borderId="50" xfId="42" applyNumberFormat="1" applyFont="1" applyFill="1" applyBorder="1" applyAlignment="1">
      <alignment vertical="center"/>
    </xf>
    <xf numFmtId="2" fontId="18" fillId="31" borderId="64" xfId="42" applyNumberFormat="1" applyFont="1" applyFill="1" applyBorder="1" applyAlignment="1">
      <alignment vertical="center"/>
    </xf>
    <xf numFmtId="0" fontId="18" fillId="47" borderId="97" xfId="0" applyFont="1" applyFill="1" applyBorder="1" applyAlignment="1">
      <alignment vertical="center"/>
    </xf>
    <xf numFmtId="0" fontId="18" fillId="47" borderId="9" xfId="0" applyFont="1" applyFill="1" applyBorder="1" applyAlignment="1">
      <alignment vertical="center"/>
    </xf>
    <xf numFmtId="0" fontId="18" fillId="47" borderId="40" xfId="0" applyFont="1" applyFill="1" applyBorder="1" applyAlignment="1">
      <alignment vertical="center"/>
    </xf>
    <xf numFmtId="9" fontId="22" fillId="31" borderId="96" xfId="0" applyNumberFormat="1" applyFont="1" applyFill="1" applyBorder="1" applyAlignment="1" applyProtection="1">
      <alignment vertical="center"/>
      <protection hidden="1"/>
    </xf>
    <xf numFmtId="9" fontId="22" fillId="31" borderId="59" xfId="0" applyNumberFormat="1" applyFont="1" applyFill="1" applyBorder="1" applyAlignment="1" applyProtection="1">
      <alignment vertical="center"/>
      <protection hidden="1"/>
    </xf>
    <xf numFmtId="9" fontId="22" fillId="31" borderId="60" xfId="0" applyNumberFormat="1" applyFont="1" applyFill="1" applyBorder="1" applyAlignment="1" applyProtection="1">
      <alignment vertical="center"/>
      <protection hidden="1"/>
    </xf>
    <xf numFmtId="9" fontId="22" fillId="31" borderId="10" xfId="0" applyNumberFormat="1" applyFont="1" applyFill="1" applyBorder="1" applyAlignment="1" applyProtection="1">
      <alignment vertical="center"/>
      <protection hidden="1"/>
    </xf>
    <xf numFmtId="9" fontId="22" fillId="31" borderId="0" xfId="0" applyNumberFormat="1" applyFont="1" applyFill="1" applyBorder="1" applyAlignment="1" applyProtection="1">
      <alignment vertical="center"/>
      <protection hidden="1"/>
    </xf>
    <xf numFmtId="9" fontId="22" fillId="31" borderId="9" xfId="0" applyNumberFormat="1" applyFont="1" applyFill="1" applyBorder="1" applyAlignment="1" applyProtection="1">
      <alignment vertical="center"/>
      <protection hidden="1"/>
    </xf>
    <xf numFmtId="9" fontId="22" fillId="31" borderId="39" xfId="0" applyNumberFormat="1" applyFont="1" applyFill="1" applyBorder="1" applyAlignment="1" applyProtection="1">
      <alignment vertical="center"/>
      <protection hidden="1"/>
    </xf>
    <xf numFmtId="9" fontId="22" fillId="31" borderId="11" xfId="0" applyNumberFormat="1" applyFont="1" applyFill="1" applyBorder="1" applyAlignment="1" applyProtection="1">
      <alignment vertical="center"/>
      <protection hidden="1"/>
    </xf>
    <xf numFmtId="9" fontId="22" fillId="31" borderId="14" xfId="0" applyNumberFormat="1" applyFont="1" applyFill="1" applyBorder="1" applyAlignment="1" applyProtection="1">
      <alignment vertical="center"/>
      <protection hidden="1"/>
    </xf>
    <xf numFmtId="0" fontId="56" fillId="0" borderId="0" xfId="0" applyFont="1" applyFill="1" applyBorder="1" applyAlignment="1" applyProtection="1">
      <alignment vertical="center"/>
      <protection hidden="1"/>
    </xf>
    <xf numFmtId="0" fontId="54" fillId="44" borderId="63" xfId="0" applyFont="1" applyFill="1" applyBorder="1" applyAlignment="1" applyProtection="1">
      <alignment vertical="center"/>
      <protection hidden="1"/>
    </xf>
    <xf numFmtId="0" fontId="43" fillId="44" borderId="59" xfId="0" applyFont="1" applyFill="1" applyBorder="1" applyAlignment="1" applyProtection="1">
      <alignment vertical="center"/>
      <protection hidden="1"/>
    </xf>
    <xf numFmtId="169" fontId="20" fillId="0" borderId="98" xfId="42" applyNumberFormat="1" applyFont="1" applyFill="1" applyBorder="1" applyAlignment="1" applyProtection="1">
      <alignment horizontal="center" vertical="center"/>
      <protection locked="0"/>
    </xf>
    <xf numFmtId="176" fontId="41" fillId="0" borderId="10" xfId="0" applyNumberFormat="1" applyFont="1" applyFill="1" applyBorder="1" applyAlignment="1" applyProtection="1">
      <alignment horizontal="left" vertical="center"/>
      <protection hidden="1"/>
    </xf>
    <xf numFmtId="0" fontId="20" fillId="0" borderId="31" xfId="0" applyFont="1" applyFill="1" applyBorder="1" applyAlignment="1" applyProtection="1">
      <alignment vertical="center"/>
      <protection hidden="1"/>
    </xf>
    <xf numFmtId="0" fontId="20" fillId="0" borderId="59" xfId="0" applyFont="1" applyFill="1" applyBorder="1" applyAlignment="1" applyProtection="1">
      <alignment vertical="center"/>
      <protection hidden="1"/>
    </xf>
    <xf numFmtId="0" fontId="20" fillId="0" borderId="36" xfId="0" applyFont="1" applyFill="1" applyBorder="1" applyAlignment="1" applyProtection="1">
      <alignment vertical="center"/>
      <protection hidden="1"/>
    </xf>
    <xf numFmtId="0" fontId="20" fillId="0" borderId="36" xfId="0" applyFont="1" applyFill="1" applyBorder="1" applyAlignment="1" applyProtection="1">
      <alignment vertical="center" textRotation="90"/>
      <protection hidden="1"/>
    </xf>
    <xf numFmtId="0" fontId="20" fillId="0" borderId="32" xfId="0" applyFont="1" applyFill="1" applyBorder="1" applyAlignment="1" applyProtection="1">
      <alignment vertical="center"/>
      <protection hidden="1"/>
    </xf>
    <xf numFmtId="0" fontId="20" fillId="0" borderId="11" xfId="0" applyFont="1" applyFill="1" applyBorder="1" applyAlignment="1" applyProtection="1">
      <alignment horizontal="left" vertical="center"/>
      <protection hidden="1"/>
    </xf>
    <xf numFmtId="0" fontId="20" fillId="0" borderId="13" xfId="0" applyFont="1" applyFill="1" applyBorder="1" applyAlignment="1" applyProtection="1">
      <alignment horizontal="left" vertical="center"/>
      <protection hidden="1"/>
    </xf>
    <xf numFmtId="174" fontId="41" fillId="0" borderId="0" xfId="0" applyNumberFormat="1" applyFont="1" applyFill="1" applyBorder="1" applyAlignment="1" applyProtection="1">
      <alignment horizontal="right" vertical="center"/>
      <protection hidden="1"/>
    </xf>
    <xf numFmtId="175" fontId="21" fillId="31" borderId="43" xfId="1" applyNumberFormat="1" applyFont="1" applyFill="1" applyBorder="1" applyAlignment="1" applyProtection="1">
      <alignment horizontal="left" vertical="center"/>
      <protection hidden="1"/>
    </xf>
    <xf numFmtId="0" fontId="19" fillId="43" borderId="100" xfId="0" applyFont="1" applyFill="1" applyBorder="1" applyAlignment="1">
      <alignment horizontal="left" vertical="center"/>
    </xf>
    <xf numFmtId="0" fontId="19" fillId="43" borderId="101" xfId="0" applyFont="1" applyFill="1" applyBorder="1" applyAlignment="1">
      <alignment horizontal="right" vertical="center"/>
    </xf>
    <xf numFmtId="0" fontId="19" fillId="43" borderId="99" xfId="0" applyFont="1" applyFill="1" applyBorder="1" applyAlignment="1">
      <alignment horizontal="right" vertical="center"/>
    </xf>
    <xf numFmtId="0" fontId="57" fillId="44" borderId="61" xfId="56" applyFont="1" applyBorder="1" applyAlignment="1">
      <alignment vertical="center"/>
    </xf>
    <xf numFmtId="0" fontId="57" fillId="44" borderId="59" xfId="56" applyFont="1" applyBorder="1" applyAlignment="1">
      <alignment vertical="center"/>
    </xf>
    <xf numFmtId="0" fontId="57" fillId="44" borderId="60" xfId="56" applyFont="1" applyBorder="1" applyAlignment="1">
      <alignment vertical="center"/>
    </xf>
    <xf numFmtId="0" fontId="57" fillId="44" borderId="100" xfId="56" applyFont="1" applyBorder="1" applyAlignment="1">
      <alignment vertical="center"/>
    </xf>
    <xf numFmtId="0" fontId="57" fillId="44" borderId="101" xfId="56" applyFont="1" applyBorder="1" applyAlignment="1">
      <alignment vertical="center"/>
    </xf>
    <xf numFmtId="0" fontId="21" fillId="0" borderId="12" xfId="0" applyFont="1" applyFill="1" applyBorder="1" applyAlignment="1" applyProtection="1">
      <alignment vertical="center"/>
      <protection hidden="1"/>
    </xf>
    <xf numFmtId="0" fontId="21" fillId="0" borderId="43" xfId="0" applyFont="1" applyFill="1" applyBorder="1" applyAlignment="1" applyProtection="1">
      <alignment vertical="center"/>
      <protection hidden="1"/>
    </xf>
    <xf numFmtId="0" fontId="57" fillId="44" borderId="95" xfId="56" applyFont="1" applyBorder="1" applyAlignment="1">
      <alignment vertical="center"/>
    </xf>
    <xf numFmtId="0" fontId="19" fillId="43" borderId="98" xfId="0" applyFont="1" applyFill="1" applyBorder="1" applyAlignment="1">
      <alignment horizontal="left" vertical="center"/>
    </xf>
    <xf numFmtId="0" fontId="20" fillId="50" borderId="57" xfId="49" applyAlignment="1" applyProtection="1">
      <alignment horizontal="center" vertical="center"/>
      <protection locked="0"/>
    </xf>
    <xf numFmtId="0" fontId="43" fillId="44" borderId="61" xfId="0" applyFont="1" applyFill="1" applyBorder="1" applyAlignment="1" applyProtection="1">
      <alignment vertical="center"/>
      <protection hidden="1"/>
    </xf>
    <xf numFmtId="0" fontId="43" fillId="44" borderId="60" xfId="0" applyFont="1" applyFill="1" applyBorder="1" applyAlignment="1" applyProtection="1">
      <alignment vertical="center"/>
      <protection hidden="1"/>
    </xf>
    <xf numFmtId="169" fontId="21" fillId="0" borderId="11" xfId="42" applyNumberFormat="1" applyFont="1" applyFill="1" applyBorder="1" applyAlignment="1" applyProtection="1">
      <alignment vertical="center"/>
      <protection hidden="1"/>
    </xf>
    <xf numFmtId="0" fontId="19" fillId="43" borderId="60" xfId="0" applyFont="1" applyFill="1" applyBorder="1" applyAlignment="1">
      <alignment horizontal="right" vertical="center"/>
    </xf>
    <xf numFmtId="169" fontId="21" fillId="51" borderId="95" xfId="50" applyNumberFormat="1" applyBorder="1">
      <alignment vertical="center"/>
    </xf>
    <xf numFmtId="169" fontId="21" fillId="51" borderId="12" xfId="50" applyNumberFormat="1" applyBorder="1">
      <alignment vertical="center"/>
    </xf>
    <xf numFmtId="169" fontId="21" fillId="51" borderId="43" xfId="50" applyNumberFormat="1" applyBorder="1">
      <alignment vertical="center"/>
    </xf>
    <xf numFmtId="0" fontId="57" fillId="44" borderId="99" xfId="56" applyFont="1" applyBorder="1" applyAlignment="1">
      <alignment vertical="center"/>
    </xf>
    <xf numFmtId="164" fontId="18" fillId="31" borderId="98" xfId="42" applyFont="1" applyFill="1" applyBorder="1" applyAlignment="1">
      <alignment horizontal="right" vertical="center"/>
    </xf>
    <xf numFmtId="0" fontId="58" fillId="0" borderId="0" xfId="0" applyNumberFormat="1" applyFont="1" applyFill="1" applyBorder="1" applyAlignment="1" applyProtection="1">
      <alignment horizontal="center" vertical="center"/>
      <protection hidden="1"/>
    </xf>
    <xf numFmtId="0" fontId="24" fillId="43" borderId="98" xfId="0" applyFont="1" applyFill="1" applyBorder="1" applyAlignment="1">
      <alignment vertical="center"/>
    </xf>
    <xf numFmtId="0" fontId="24" fillId="43" borderId="98" xfId="0" applyFont="1" applyFill="1" applyBorder="1" applyAlignment="1">
      <alignment horizontal="left" vertical="center"/>
    </xf>
    <xf numFmtId="0" fontId="21" fillId="31" borderId="12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21" fillId="34" borderId="95" xfId="0" applyNumberFormat="1" applyFont="1" applyFill="1" applyBorder="1" applyAlignment="1">
      <alignment horizontal="left" vertical="center"/>
    </xf>
    <xf numFmtId="0" fontId="21" fillId="34" borderId="12" xfId="0" applyNumberFormat="1" applyFont="1" applyFill="1" applyBorder="1" applyAlignment="1">
      <alignment horizontal="left" vertical="center"/>
    </xf>
    <xf numFmtId="0" fontId="21" fillId="34" borderId="98" xfId="0" applyNumberFormat="1" applyFont="1" applyFill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/>
    </xf>
    <xf numFmtId="0" fontId="21" fillId="0" borderId="95" xfId="0" applyFont="1" applyBorder="1" applyAlignment="1">
      <alignment horizontal="left" vertical="center"/>
    </xf>
    <xf numFmtId="0" fontId="21" fillId="31" borderId="43" xfId="0" applyFont="1" applyFill="1" applyBorder="1" applyAlignment="1">
      <alignment horizontal="left" vertical="center"/>
    </xf>
    <xf numFmtId="164" fontId="36" fillId="45" borderId="32" xfId="42" applyFont="1" applyFill="1" applyBorder="1" applyAlignment="1" applyProtection="1">
      <alignment horizontal="left" vertical="center"/>
      <protection hidden="1"/>
    </xf>
    <xf numFmtId="164" fontId="36" fillId="45" borderId="14" xfId="42" applyFont="1" applyFill="1" applyBorder="1" applyAlignment="1" applyProtection="1">
      <alignment horizontal="left" vertical="center"/>
      <protection hidden="1"/>
    </xf>
    <xf numFmtId="0" fontId="21" fillId="45" borderId="98" xfId="0" applyFont="1" applyFill="1" applyBorder="1" applyAlignment="1">
      <alignment horizontal="left" vertical="center"/>
    </xf>
    <xf numFmtId="0" fontId="21" fillId="43" borderId="98" xfId="0" applyFont="1" applyFill="1" applyBorder="1" applyAlignment="1">
      <alignment horizontal="left" vertical="center"/>
    </xf>
    <xf numFmtId="0" fontId="20" fillId="45" borderId="98" xfId="0" applyFont="1" applyFill="1" applyBorder="1" applyAlignment="1">
      <alignment vertical="center"/>
    </xf>
    <xf numFmtId="0" fontId="19" fillId="43" borderId="98" xfId="0" applyFont="1" applyFill="1" applyBorder="1" applyAlignment="1">
      <alignment vertical="center"/>
    </xf>
    <xf numFmtId="164" fontId="21" fillId="34" borderId="12" xfId="42" applyFont="1" applyFill="1" applyBorder="1" applyAlignment="1">
      <alignment vertical="center"/>
    </xf>
    <xf numFmtId="164" fontId="21" fillId="34" borderId="95" xfId="42" applyFont="1" applyFill="1" applyBorder="1" applyAlignment="1">
      <alignment vertical="center"/>
    </xf>
    <xf numFmtId="164" fontId="21" fillId="0" borderId="95" xfId="42" applyFont="1" applyFill="1" applyBorder="1" applyAlignment="1">
      <alignment vertical="center"/>
    </xf>
    <xf numFmtId="164" fontId="21" fillId="0" borderId="12" xfId="42" applyFont="1" applyFill="1" applyBorder="1" applyAlignment="1">
      <alignment vertical="center"/>
    </xf>
    <xf numFmtId="0" fontId="20" fillId="43" borderId="98" xfId="0" applyFont="1" applyFill="1" applyBorder="1" applyAlignment="1">
      <alignment vertical="center"/>
    </xf>
    <xf numFmtId="165" fontId="21" fillId="34" borderId="95" xfId="42" applyNumberFormat="1" applyFont="1" applyFill="1" applyBorder="1" applyAlignment="1">
      <alignment vertical="center"/>
    </xf>
    <xf numFmtId="165" fontId="21" fillId="34" borderId="12" xfId="42" applyNumberFormat="1" applyFont="1" applyFill="1" applyBorder="1" applyAlignment="1">
      <alignment vertical="center"/>
    </xf>
    <xf numFmtId="165" fontId="21" fillId="0" borderId="95" xfId="42" applyNumberFormat="1" applyFont="1" applyFill="1" applyBorder="1" applyAlignment="1">
      <alignment vertical="center"/>
    </xf>
    <xf numFmtId="165" fontId="21" fillId="0" borderId="12" xfId="42" applyNumberFormat="1" applyFont="1" applyFill="1" applyBorder="1" applyAlignment="1">
      <alignment vertical="center"/>
    </xf>
    <xf numFmtId="165" fontId="21" fillId="34" borderId="95" xfId="42" applyNumberFormat="1" applyFont="1" applyFill="1" applyBorder="1" applyAlignment="1">
      <alignment horizontal="right" vertical="center"/>
    </xf>
    <xf numFmtId="0" fontId="19" fillId="39" borderId="96" xfId="0" applyFont="1" applyFill="1" applyBorder="1" applyAlignment="1" applyProtection="1">
      <alignment vertical="center"/>
      <protection locked="0"/>
    </xf>
    <xf numFmtId="0" fontId="19" fillId="39" borderId="102" xfId="0" applyFont="1" applyFill="1" applyBorder="1" applyAlignment="1" applyProtection="1">
      <alignment vertical="center"/>
      <protection locked="0"/>
    </xf>
    <xf numFmtId="165" fontId="19" fillId="39" borderId="97" xfId="42" applyNumberFormat="1" applyFont="1" applyFill="1" applyBorder="1" applyAlignment="1" applyProtection="1">
      <alignment vertical="center"/>
      <protection locked="0"/>
    </xf>
    <xf numFmtId="0" fontId="19" fillId="43" borderId="11" xfId="0" applyFont="1" applyFill="1" applyBorder="1" applyAlignment="1">
      <alignment vertical="center"/>
    </xf>
    <xf numFmtId="0" fontId="18" fillId="34" borderId="9" xfId="0" applyNumberFormat="1" applyFont="1" applyFill="1" applyBorder="1" applyAlignment="1" applyProtection="1">
      <alignment vertical="center"/>
      <protection locked="0"/>
    </xf>
    <xf numFmtId="0" fontId="21" fillId="34" borderId="14" xfId="42" applyNumberFormat="1" applyFont="1" applyFill="1" applyBorder="1" applyAlignment="1" applyProtection="1">
      <alignment vertical="center"/>
      <protection locked="0"/>
    </xf>
    <xf numFmtId="174" fontId="52" fillId="56" borderId="103" xfId="47" applyNumberFormat="1" applyBorder="1">
      <alignment horizontal="right" vertical="center"/>
    </xf>
    <xf numFmtId="0" fontId="20" fillId="45" borderId="14" xfId="0" applyFont="1" applyFill="1" applyBorder="1" applyAlignment="1">
      <alignment vertical="center"/>
    </xf>
    <xf numFmtId="0" fontId="20" fillId="45" borderId="101" xfId="0" applyFont="1" applyFill="1" applyBorder="1" applyAlignment="1">
      <alignment vertical="center"/>
    </xf>
    <xf numFmtId="0" fontId="20" fillId="45" borderId="99" xfId="0" applyFont="1" applyFill="1" applyBorder="1" applyAlignment="1">
      <alignment vertical="center"/>
    </xf>
    <xf numFmtId="0" fontId="20" fillId="45" borderId="100" xfId="0" applyFont="1" applyFill="1" applyBorder="1" applyAlignment="1">
      <alignment vertical="center"/>
    </xf>
    <xf numFmtId="165" fontId="20" fillId="45" borderId="101" xfId="42" applyNumberFormat="1" applyFont="1" applyFill="1" applyBorder="1" applyAlignment="1">
      <alignment vertical="center"/>
    </xf>
    <xf numFmtId="0" fontId="19" fillId="43" borderId="100" xfId="0" applyFont="1" applyFill="1" applyBorder="1" applyAlignment="1">
      <alignment vertical="center"/>
    </xf>
    <xf numFmtId="0" fontId="19" fillId="43" borderId="101" xfId="0" applyFont="1" applyFill="1" applyBorder="1" applyAlignment="1">
      <alignment vertical="center"/>
    </xf>
    <xf numFmtId="165" fontId="19" fillId="43" borderId="101" xfId="42" applyNumberFormat="1" applyFont="1" applyFill="1" applyBorder="1" applyAlignment="1">
      <alignment vertical="center"/>
    </xf>
    <xf numFmtId="0" fontId="20" fillId="43" borderId="101" xfId="0" applyFont="1" applyFill="1" applyBorder="1" applyAlignment="1">
      <alignment vertical="center"/>
    </xf>
    <xf numFmtId="0" fontId="20" fillId="45" borderId="39" xfId="0" applyNumberFormat="1" applyFont="1" applyFill="1" applyBorder="1" applyAlignment="1">
      <alignment vertical="center"/>
    </xf>
    <xf numFmtId="0" fontId="20" fillId="45" borderId="11" xfId="0" applyNumberFormat="1" applyFont="1" applyFill="1" applyBorder="1" applyAlignment="1">
      <alignment vertical="center"/>
    </xf>
    <xf numFmtId="0" fontId="20" fillId="45" borderId="11" xfId="42" applyNumberFormat="1" applyFont="1" applyFill="1" applyBorder="1" applyAlignment="1">
      <alignment vertical="center"/>
    </xf>
    <xf numFmtId="172" fontId="52" fillId="56" borderId="103" xfId="47" applyBorder="1">
      <alignment horizontal="right" vertical="center"/>
    </xf>
    <xf numFmtId="172" fontId="52" fillId="56" borderId="16" xfId="47" applyBorder="1">
      <alignment horizontal="right" vertical="center"/>
    </xf>
    <xf numFmtId="164" fontId="21" fillId="34" borderId="8" xfId="42" applyFont="1" applyFill="1" applyBorder="1" applyAlignment="1">
      <alignment vertical="center"/>
    </xf>
    <xf numFmtId="164" fontId="21" fillId="0" borderId="8" xfId="42" applyFont="1" applyFill="1" applyBorder="1" applyAlignment="1">
      <alignment vertical="center"/>
    </xf>
    <xf numFmtId="165" fontId="21" fillId="34" borderId="8" xfId="42" applyNumberFormat="1" applyFont="1" applyFill="1" applyBorder="1" applyAlignment="1">
      <alignment vertical="center"/>
    </xf>
    <xf numFmtId="165" fontId="21" fillId="34" borderId="8" xfId="42" applyNumberFormat="1" applyFont="1" applyFill="1" applyBorder="1" applyAlignment="1">
      <alignment horizontal="right" vertical="center"/>
    </xf>
    <xf numFmtId="0" fontId="20" fillId="45" borderId="9" xfId="0" applyFont="1" applyFill="1" applyBorder="1" applyAlignment="1">
      <alignment vertical="center"/>
    </xf>
    <xf numFmtId="0" fontId="24" fillId="43" borderId="96" xfId="0" applyFont="1" applyFill="1" applyBorder="1" applyAlignment="1">
      <alignment vertical="center"/>
    </xf>
    <xf numFmtId="0" fontId="24" fillId="43" borderId="102" xfId="0" applyFont="1" applyFill="1" applyBorder="1" applyAlignment="1">
      <alignment vertical="center"/>
    </xf>
    <xf numFmtId="165" fontId="24" fillId="43" borderId="102" xfId="42" applyNumberFormat="1" applyFont="1" applyFill="1" applyBorder="1" applyAlignment="1">
      <alignment vertical="center"/>
    </xf>
    <xf numFmtId="0" fontId="19" fillId="43" borderId="13" xfId="0" applyFont="1" applyFill="1" applyBorder="1" applyAlignment="1">
      <alignment vertical="center"/>
    </xf>
    <xf numFmtId="165" fontId="19" fillId="43" borderId="11" xfId="42" applyNumberFormat="1" applyFont="1" applyFill="1" applyBorder="1" applyAlignment="1">
      <alignment vertical="center"/>
    </xf>
    <xf numFmtId="165" fontId="20" fillId="45" borderId="101" xfId="42" applyNumberFormat="1" applyFont="1" applyFill="1" applyBorder="1" applyAlignment="1">
      <alignment horizontal="right" vertical="center"/>
    </xf>
    <xf numFmtId="0" fontId="24" fillId="44" borderId="49" xfId="42" applyNumberFormat="1" applyFont="1" applyFill="1" applyBorder="1" applyAlignment="1" applyProtection="1">
      <alignment vertical="center"/>
      <protection hidden="1"/>
    </xf>
    <xf numFmtId="0" fontId="24" fillId="44" borderId="50" xfId="42" applyNumberFormat="1" applyFont="1" applyFill="1" applyBorder="1" applyAlignment="1" applyProtection="1">
      <alignment vertical="center"/>
      <protection hidden="1"/>
    </xf>
    <xf numFmtId="0" fontId="24" fillId="44" borderId="51" xfId="42" applyNumberFormat="1" applyFont="1" applyFill="1" applyBorder="1" applyAlignment="1" applyProtection="1">
      <alignment vertical="center"/>
      <protection hidden="1"/>
    </xf>
    <xf numFmtId="164" fontId="32" fillId="0" borderId="0" xfId="42" applyFont="1" applyBorder="1" applyAlignment="1" applyProtection="1">
      <alignment horizontal="right" vertical="center"/>
      <protection hidden="1"/>
    </xf>
    <xf numFmtId="0" fontId="45" fillId="0" borderId="0" xfId="42" applyNumberFormat="1" applyFont="1" applyFill="1" applyBorder="1" applyAlignment="1" applyProtection="1">
      <alignment horizontal="left" vertical="center"/>
      <protection hidden="1"/>
    </xf>
    <xf numFmtId="9" fontId="45" fillId="0" borderId="0" xfId="1" applyFont="1" applyFill="1" applyBorder="1" applyAlignment="1" applyProtection="1">
      <alignment horizontal="right" vertical="center"/>
      <protection hidden="1"/>
    </xf>
    <xf numFmtId="164" fontId="36" fillId="0" borderId="0" xfId="42" applyFont="1" applyFill="1" applyBorder="1" applyAlignment="1" applyProtection="1">
      <alignment horizontal="right" vertical="center"/>
      <protection hidden="1"/>
    </xf>
    <xf numFmtId="0" fontId="36" fillId="0" borderId="0" xfId="0" applyNumberFormat="1" applyFont="1" applyFill="1" applyBorder="1" applyAlignment="1" applyProtection="1">
      <alignment vertical="center"/>
      <protection hidden="1"/>
    </xf>
    <xf numFmtId="49" fontId="36" fillId="0" borderId="0" xfId="0" applyNumberFormat="1" applyFont="1" applyFill="1" applyBorder="1" applyAlignment="1" applyProtection="1">
      <alignment horizontal="right" vertical="center"/>
      <protection hidden="1"/>
    </xf>
    <xf numFmtId="164" fontId="36" fillId="0" borderId="0" xfId="42" applyFont="1" applyFill="1" applyBorder="1" applyAlignment="1" applyProtection="1">
      <alignment horizontal="center" vertical="center"/>
      <protection hidden="1"/>
    </xf>
    <xf numFmtId="49" fontId="45" fillId="0" borderId="0" xfId="0" applyNumberFormat="1" applyFont="1" applyFill="1" applyBorder="1" applyAlignment="1" applyProtection="1">
      <alignment horizontal="center" vertical="center"/>
      <protection hidden="1"/>
    </xf>
    <xf numFmtId="165" fontId="36" fillId="0" borderId="0" xfId="42" applyNumberFormat="1" applyFont="1" applyFill="1" applyBorder="1" applyAlignment="1" applyProtection="1">
      <alignment horizontal="right" vertical="center"/>
      <protection hidden="1"/>
    </xf>
    <xf numFmtId="0" fontId="20" fillId="46" borderId="100" xfId="42" applyNumberFormat="1" applyFont="1" applyFill="1" applyBorder="1" applyAlignment="1" applyProtection="1">
      <alignment horizontal="center" vertical="center"/>
      <protection locked="0"/>
    </xf>
    <xf numFmtId="164" fontId="18" fillId="0" borderId="0" xfId="0" applyNumberFormat="1" applyFont="1" applyAlignment="1">
      <alignment vertical="center"/>
    </xf>
    <xf numFmtId="164" fontId="18" fillId="0" borderId="0" xfId="0" applyNumberFormat="1" applyFont="1" applyAlignment="1">
      <alignment horizontal="right" vertical="center"/>
    </xf>
    <xf numFmtId="0" fontId="16" fillId="44" borderId="61" xfId="0" applyNumberFormat="1" applyFont="1" applyFill="1" applyBorder="1" applyAlignment="1" applyProtection="1">
      <alignment vertical="center"/>
      <protection hidden="1"/>
    </xf>
    <xf numFmtId="0" fontId="16" fillId="44" borderId="59" xfId="0" applyNumberFormat="1" applyFont="1" applyFill="1" applyBorder="1" applyAlignment="1" applyProtection="1">
      <alignment vertical="center"/>
      <protection hidden="1"/>
    </xf>
    <xf numFmtId="0" fontId="16" fillId="44" borderId="59" xfId="1" applyNumberFormat="1" applyFont="1" applyFill="1" applyBorder="1" applyAlignment="1" applyProtection="1">
      <alignment horizontal="right" vertical="center"/>
      <protection hidden="1"/>
    </xf>
    <xf numFmtId="0" fontId="16" fillId="44" borderId="59" xfId="0" applyNumberFormat="1" applyFont="1" applyFill="1" applyBorder="1" applyAlignment="1" applyProtection="1">
      <alignment horizontal="left" vertical="center"/>
      <protection hidden="1"/>
    </xf>
    <xf numFmtId="0" fontId="35" fillId="44" borderId="59" xfId="0" applyFont="1" applyFill="1" applyBorder="1" applyAlignment="1" applyProtection="1">
      <alignment vertical="center"/>
      <protection hidden="1"/>
    </xf>
    <xf numFmtId="0" fontId="35" fillId="44" borderId="60" xfId="0" applyFont="1" applyFill="1" applyBorder="1" applyAlignment="1" applyProtection="1">
      <alignment vertical="center"/>
      <protection hidden="1"/>
    </xf>
    <xf numFmtId="0" fontId="35" fillId="44" borderId="40" xfId="0" applyFont="1" applyFill="1" applyBorder="1" applyAlignment="1" applyProtection="1">
      <alignment vertical="center"/>
      <protection hidden="1"/>
    </xf>
    <xf numFmtId="0" fontId="16" fillId="44" borderId="61" xfId="0" applyFont="1" applyFill="1" applyBorder="1" applyAlignment="1" applyProtection="1">
      <alignment vertical="center"/>
      <protection hidden="1"/>
    </xf>
    <xf numFmtId="0" fontId="16" fillId="44" borderId="59" xfId="0" applyFont="1" applyFill="1" applyBorder="1" applyAlignment="1" applyProtection="1">
      <alignment vertical="center"/>
      <protection hidden="1"/>
    </xf>
    <xf numFmtId="9" fontId="16" fillId="44" borderId="59" xfId="1" applyFont="1" applyFill="1" applyBorder="1" applyAlignment="1" applyProtection="1">
      <alignment horizontal="right" vertical="center"/>
      <protection hidden="1"/>
    </xf>
    <xf numFmtId="0" fontId="16" fillId="44" borderId="60" xfId="0" applyNumberFormat="1" applyFont="1" applyFill="1" applyBorder="1" applyAlignment="1" applyProtection="1">
      <alignment horizontal="left" vertical="center"/>
      <protection hidden="1"/>
    </xf>
    <xf numFmtId="0" fontId="16" fillId="44" borderId="61" xfId="0" applyFont="1" applyFill="1" applyBorder="1" applyAlignment="1" applyProtection="1">
      <alignment horizontal="left" vertical="center"/>
      <protection hidden="1"/>
    </xf>
    <xf numFmtId="0" fontId="24" fillId="44" borderId="77" xfId="0" applyFont="1" applyFill="1" applyBorder="1" applyAlignment="1" applyProtection="1">
      <alignment vertical="center"/>
      <protection hidden="1"/>
    </xf>
    <xf numFmtId="0" fontId="24" fillId="44" borderId="63" xfId="0" applyFont="1" applyFill="1" applyBorder="1" applyAlignment="1" applyProtection="1">
      <alignment vertical="center"/>
      <protection hidden="1"/>
    </xf>
    <xf numFmtId="0" fontId="24" fillId="44" borderId="104" xfId="0" applyFont="1" applyFill="1" applyBorder="1" applyAlignment="1" applyProtection="1">
      <alignment vertical="center"/>
      <protection hidden="1"/>
    </xf>
    <xf numFmtId="0" fontId="19" fillId="43" borderId="77" xfId="42" applyNumberFormat="1" applyFont="1" applyFill="1" applyBorder="1" applyAlignment="1" applyProtection="1">
      <alignment horizontal="left" vertical="center"/>
      <protection hidden="1"/>
    </xf>
    <xf numFmtId="9" fontId="19" fillId="43" borderId="63" xfId="1" applyFont="1" applyFill="1" applyBorder="1" applyAlignment="1" applyProtection="1">
      <alignment horizontal="right" vertical="center"/>
      <protection hidden="1"/>
    </xf>
    <xf numFmtId="0" fontId="19" fillId="43" borderId="63" xfId="42" applyNumberFormat="1" applyFont="1" applyFill="1" applyBorder="1" applyAlignment="1" applyProtection="1">
      <alignment vertical="center"/>
      <protection hidden="1"/>
    </xf>
    <xf numFmtId="0" fontId="19" fillId="43" borderId="63" xfId="42" applyNumberFormat="1" applyFont="1" applyFill="1" applyBorder="1" applyAlignment="1" applyProtection="1">
      <alignment horizontal="left" vertical="center"/>
      <protection hidden="1"/>
    </xf>
    <xf numFmtId="0" fontId="19" fillId="43" borderId="63" xfId="42" applyNumberFormat="1" applyFont="1" applyFill="1" applyBorder="1" applyAlignment="1" applyProtection="1">
      <alignment horizontal="right" vertical="center"/>
      <protection hidden="1"/>
    </xf>
    <xf numFmtId="164" fontId="19" fillId="43" borderId="63" xfId="42" applyFont="1" applyFill="1" applyBorder="1" applyAlignment="1" applyProtection="1">
      <alignment horizontal="right" vertical="center"/>
      <protection hidden="1"/>
    </xf>
    <xf numFmtId="0" fontId="19" fillId="43" borderId="63" xfId="42" applyNumberFormat="1" applyFont="1" applyFill="1" applyBorder="1" applyAlignment="1" applyProtection="1">
      <alignment horizontal="center" vertical="center"/>
      <protection hidden="1"/>
    </xf>
    <xf numFmtId="165" fontId="19" fillId="43" borderId="79" xfId="42" applyNumberFormat="1" applyFont="1" applyFill="1" applyBorder="1" applyAlignment="1" applyProtection="1">
      <alignment vertical="center"/>
      <protection hidden="1"/>
    </xf>
    <xf numFmtId="0" fontId="19" fillId="43" borderId="104" xfId="42" applyNumberFormat="1" applyFont="1" applyFill="1" applyBorder="1" applyAlignment="1" applyProtection="1">
      <alignment horizontal="center" vertical="center"/>
      <protection hidden="1"/>
    </xf>
    <xf numFmtId="0" fontId="19" fillId="0" borderId="0" xfId="0" applyNumberFormat="1" applyFont="1" applyFill="1" applyBorder="1" applyAlignment="1" applyProtection="1">
      <alignment vertical="center"/>
      <protection hidden="1"/>
    </xf>
    <xf numFmtId="0" fontId="21" fillId="57" borderId="61" xfId="0" applyNumberFormat="1" applyFont="1" applyFill="1" applyBorder="1" applyAlignment="1" applyProtection="1">
      <alignment horizontal="left" vertical="center"/>
      <protection hidden="1"/>
    </xf>
    <xf numFmtId="0" fontId="21" fillId="57" borderId="59" xfId="0" applyNumberFormat="1" applyFont="1" applyFill="1" applyBorder="1" applyAlignment="1" applyProtection="1">
      <alignment vertical="center"/>
      <protection hidden="1"/>
    </xf>
    <xf numFmtId="0" fontId="21" fillId="57" borderId="60" xfId="0" applyNumberFormat="1" applyFont="1" applyFill="1" applyBorder="1" applyAlignment="1" applyProtection="1">
      <alignment vertical="center"/>
      <protection hidden="1"/>
    </xf>
    <xf numFmtId="0" fontId="21" fillId="0" borderId="0" xfId="0" applyNumberFormat="1" applyFont="1" applyAlignment="1" applyProtection="1">
      <alignment vertical="center"/>
      <protection hidden="1"/>
    </xf>
    <xf numFmtId="0" fontId="21" fillId="57" borderId="10" xfId="0" applyNumberFormat="1" applyFont="1" applyFill="1" applyBorder="1" applyAlignment="1" applyProtection="1">
      <alignment horizontal="left" vertical="center"/>
      <protection hidden="1"/>
    </xf>
    <xf numFmtId="0" fontId="21" fillId="57" borderId="0" xfId="0" applyNumberFormat="1" applyFont="1" applyFill="1" applyBorder="1" applyAlignment="1" applyProtection="1">
      <alignment vertical="center"/>
      <protection hidden="1"/>
    </xf>
    <xf numFmtId="0" fontId="21" fillId="57" borderId="9" xfId="0" applyNumberFormat="1" applyFont="1" applyFill="1" applyBorder="1" applyAlignment="1" applyProtection="1">
      <alignment vertical="center"/>
      <protection hidden="1"/>
    </xf>
    <xf numFmtId="0" fontId="61" fillId="57" borderId="10" xfId="0" applyNumberFormat="1" applyFont="1" applyFill="1" applyBorder="1" applyAlignment="1" applyProtection="1">
      <alignment horizontal="left" vertical="center"/>
      <protection hidden="1"/>
    </xf>
    <xf numFmtId="0" fontId="21" fillId="57" borderId="0" xfId="0" applyNumberFormat="1" applyFont="1" applyFill="1" applyBorder="1" applyAlignment="1" applyProtection="1">
      <alignment horizontal="left" vertical="center"/>
      <protection hidden="1"/>
    </xf>
    <xf numFmtId="0" fontId="60" fillId="57" borderId="0" xfId="0" applyNumberFormat="1" applyFont="1" applyFill="1" applyBorder="1" applyAlignment="1" applyProtection="1">
      <alignment horizontal="left" vertical="center"/>
      <protection hidden="1"/>
    </xf>
    <xf numFmtId="0" fontId="21" fillId="57" borderId="58" xfId="0" applyNumberFormat="1" applyFont="1" applyFill="1" applyBorder="1" applyAlignment="1" applyProtection="1">
      <alignment vertical="center"/>
      <protection hidden="1"/>
    </xf>
    <xf numFmtId="0" fontId="21" fillId="57" borderId="12" xfId="0" applyNumberFormat="1" applyFont="1" applyFill="1" applyBorder="1" applyAlignment="1" applyProtection="1">
      <alignment vertical="center"/>
      <protection hidden="1"/>
    </xf>
    <xf numFmtId="0" fontId="59" fillId="57" borderId="10" xfId="0" quotePrefix="1" applyNumberFormat="1" applyFont="1" applyFill="1" applyBorder="1" applyAlignment="1" applyProtection="1">
      <alignment horizontal="left" vertical="center"/>
      <protection hidden="1"/>
    </xf>
    <xf numFmtId="0" fontId="22" fillId="0" borderId="0" xfId="0" applyNumberFormat="1" applyFont="1" applyFill="1" applyBorder="1" applyAlignment="1" applyProtection="1">
      <alignment vertical="center"/>
      <protection hidden="1"/>
    </xf>
    <xf numFmtId="0" fontId="21" fillId="45" borderId="12" xfId="1" applyNumberFormat="1" applyFont="1" applyFill="1" applyBorder="1" applyAlignment="1" applyProtection="1">
      <alignment horizontal="left" vertical="center"/>
      <protection hidden="1"/>
    </xf>
    <xf numFmtId="0" fontId="21" fillId="45" borderId="43" xfId="1" applyNumberFormat="1" applyFont="1" applyFill="1" applyBorder="1" applyAlignment="1" applyProtection="1">
      <alignment horizontal="left" vertical="center"/>
      <protection hidden="1"/>
    </xf>
    <xf numFmtId="0" fontId="20" fillId="40" borderId="31" xfId="0" applyNumberFormat="1" applyFont="1" applyFill="1" applyBorder="1" applyAlignment="1" applyProtection="1">
      <alignment vertical="center"/>
      <protection hidden="1"/>
    </xf>
    <xf numFmtId="0" fontId="20" fillId="40" borderId="59" xfId="0" applyNumberFormat="1" applyFont="1" applyFill="1" applyBorder="1" applyAlignment="1" applyProtection="1">
      <alignment vertical="center"/>
      <protection hidden="1"/>
    </xf>
    <xf numFmtId="0" fontId="20" fillId="40" borderId="36" xfId="0" applyNumberFormat="1" applyFont="1" applyFill="1" applyBorder="1" applyAlignment="1" applyProtection="1">
      <alignment vertical="center"/>
      <protection hidden="1"/>
    </xf>
    <xf numFmtId="0" fontId="20" fillId="40" borderId="36" xfId="0" applyNumberFormat="1" applyFont="1" applyFill="1" applyBorder="1" applyAlignment="1" applyProtection="1">
      <alignment vertical="center" textRotation="90"/>
      <protection hidden="1"/>
    </xf>
    <xf numFmtId="0" fontId="20" fillId="40" borderId="32" xfId="0" applyNumberFormat="1" applyFont="1" applyFill="1" applyBorder="1" applyAlignment="1" applyProtection="1">
      <alignment vertical="center"/>
      <protection hidden="1"/>
    </xf>
    <xf numFmtId="0" fontId="20" fillId="40" borderId="77" xfId="0" applyNumberFormat="1" applyFont="1" applyFill="1" applyBorder="1" applyAlignment="1" applyProtection="1">
      <alignment vertical="center"/>
      <protection hidden="1"/>
    </xf>
    <xf numFmtId="0" fontId="20" fillId="40" borderId="63" xfId="0" applyNumberFormat="1" applyFont="1" applyFill="1" applyBorder="1" applyAlignment="1" applyProtection="1">
      <alignment vertical="center"/>
      <protection hidden="1"/>
    </xf>
    <xf numFmtId="0" fontId="20" fillId="40" borderId="104" xfId="0" applyNumberFormat="1" applyFont="1" applyFill="1" applyBorder="1" applyAlignment="1" applyProtection="1">
      <alignment vertical="center"/>
      <protection hidden="1"/>
    </xf>
    <xf numFmtId="0" fontId="19" fillId="40" borderId="79" xfId="42" applyNumberFormat="1" applyFont="1" applyFill="1" applyBorder="1" applyAlignment="1" applyProtection="1">
      <alignment vertical="center"/>
      <protection hidden="1"/>
    </xf>
    <xf numFmtId="9" fontId="22" fillId="31" borderId="52" xfId="0" applyNumberFormat="1" applyFont="1" applyFill="1" applyBorder="1" applyAlignment="1" applyProtection="1">
      <alignment horizontal="center" vertical="center"/>
      <protection hidden="1"/>
    </xf>
    <xf numFmtId="9" fontId="22" fillId="31" borderId="59" xfId="0" applyNumberFormat="1" applyFont="1" applyFill="1" applyBorder="1" applyAlignment="1" applyProtection="1">
      <alignment horizontal="center" vertical="center"/>
      <protection hidden="1"/>
    </xf>
    <xf numFmtId="9" fontId="22" fillId="31" borderId="36" xfId="0" applyNumberFormat="1" applyFont="1" applyFill="1" applyBorder="1" applyAlignment="1" applyProtection="1">
      <alignment horizontal="center" vertical="center"/>
      <protection hidden="1"/>
    </xf>
    <xf numFmtId="9" fontId="22" fillId="31" borderId="53" xfId="0" applyNumberFormat="1" applyFont="1" applyFill="1" applyBorder="1" applyAlignment="1" applyProtection="1">
      <alignment horizontal="center" vertical="center"/>
      <protection hidden="1"/>
    </xf>
    <xf numFmtId="9" fontId="22" fillId="31" borderId="54" xfId="0" applyNumberFormat="1" applyFont="1" applyFill="1" applyBorder="1" applyAlignment="1" applyProtection="1">
      <alignment horizontal="center" vertical="center"/>
      <protection hidden="1"/>
    </xf>
    <xf numFmtId="9" fontId="22" fillId="31" borderId="10" xfId="0" applyNumberFormat="1" applyFont="1" applyFill="1" applyBorder="1" applyAlignment="1" applyProtection="1">
      <alignment horizontal="center" vertical="center"/>
      <protection hidden="1"/>
    </xf>
    <xf numFmtId="9" fontId="22" fillId="31" borderId="0" xfId="0" applyNumberFormat="1" applyFont="1" applyFill="1" applyBorder="1" applyAlignment="1" applyProtection="1">
      <alignment horizontal="center" vertical="center"/>
      <protection hidden="1"/>
    </xf>
    <xf numFmtId="9" fontId="22" fillId="31" borderId="9" xfId="0" applyNumberFormat="1" applyFont="1" applyFill="1" applyBorder="1" applyAlignment="1" applyProtection="1">
      <alignment horizontal="center" vertical="center"/>
      <protection hidden="1"/>
    </xf>
    <xf numFmtId="9" fontId="22" fillId="31" borderId="39" xfId="0" applyNumberFormat="1" applyFont="1" applyFill="1" applyBorder="1" applyAlignment="1" applyProtection="1">
      <alignment horizontal="center" vertical="center"/>
      <protection hidden="1"/>
    </xf>
    <xf numFmtId="9" fontId="22" fillId="31" borderId="11" xfId="0" applyNumberFormat="1" applyFont="1" applyFill="1" applyBorder="1" applyAlignment="1" applyProtection="1">
      <alignment horizontal="center" vertical="center"/>
      <protection hidden="1"/>
    </xf>
    <xf numFmtId="9" fontId="22" fillId="31" borderId="48" xfId="0" applyNumberFormat="1" applyFont="1" applyFill="1" applyBorder="1" applyAlignment="1" applyProtection="1">
      <alignment horizontal="center" vertical="center"/>
      <protection hidden="1"/>
    </xf>
    <xf numFmtId="9" fontId="22" fillId="31" borderId="40" xfId="0" applyNumberFormat="1" applyFont="1" applyFill="1" applyBorder="1" applyAlignment="1" applyProtection="1">
      <alignment horizontal="center" vertical="center"/>
      <protection hidden="1"/>
    </xf>
    <xf numFmtId="0" fontId="20" fillId="45" borderId="39" xfId="0" applyNumberFormat="1" applyFont="1" applyFill="1" applyBorder="1" applyAlignment="1" applyProtection="1">
      <alignment horizontal="left" vertical="center"/>
      <protection hidden="1"/>
    </xf>
    <xf numFmtId="0" fontId="20" fillId="45" borderId="48" xfId="0" applyNumberFormat="1" applyFont="1" applyFill="1" applyBorder="1" applyAlignment="1" applyProtection="1">
      <alignment horizontal="left" vertical="center"/>
      <protection hidden="1"/>
    </xf>
    <xf numFmtId="0" fontId="20" fillId="45" borderId="40" xfId="0" applyNumberFormat="1" applyFont="1" applyFill="1" applyBorder="1" applyAlignment="1" applyProtection="1">
      <alignment horizontal="left" vertical="center"/>
      <protection hidden="1"/>
    </xf>
    <xf numFmtId="0" fontId="20" fillId="45" borderId="62" xfId="0" applyNumberFormat="1" applyFont="1" applyFill="1" applyBorder="1" applyAlignment="1" applyProtection="1">
      <alignment horizontal="left" vertical="center"/>
      <protection hidden="1"/>
    </xf>
    <xf numFmtId="0" fontId="20" fillId="45" borderId="50" xfId="0" applyNumberFormat="1" applyFont="1" applyFill="1" applyBorder="1" applyAlignment="1" applyProtection="1">
      <alignment horizontal="left" vertical="center"/>
      <protection hidden="1"/>
    </xf>
    <xf numFmtId="0" fontId="20" fillId="45" borderId="64" xfId="0" applyNumberFormat="1" applyFont="1" applyFill="1" applyBorder="1" applyAlignment="1" applyProtection="1">
      <alignment horizontal="left" vertical="center"/>
      <protection hidden="1"/>
    </xf>
    <xf numFmtId="0" fontId="20" fillId="45" borderId="39" xfId="0" applyNumberFormat="1" applyFont="1" applyFill="1" applyBorder="1" applyAlignment="1" applyProtection="1">
      <alignment horizontal="center" vertical="center"/>
      <protection hidden="1"/>
    </xf>
    <xf numFmtId="0" fontId="20" fillId="45" borderId="48" xfId="0" applyNumberFormat="1" applyFont="1" applyFill="1" applyBorder="1" applyAlignment="1" applyProtection="1">
      <alignment horizontal="center" vertical="center"/>
      <protection hidden="1"/>
    </xf>
    <xf numFmtId="0" fontId="20" fillId="45" borderId="40" xfId="0" applyNumberFormat="1" applyFont="1" applyFill="1" applyBorder="1" applyAlignment="1" applyProtection="1">
      <alignment horizontal="center" vertical="center"/>
      <protection hidden="1"/>
    </xf>
    <xf numFmtId="0" fontId="24" fillId="43" borderId="62" xfId="0" applyFont="1" applyFill="1" applyBorder="1" applyAlignment="1">
      <alignment horizontal="center" vertical="center"/>
    </xf>
    <xf numFmtId="0" fontId="24" fillId="43" borderId="50" xfId="0" applyFont="1" applyFill="1" applyBorder="1" applyAlignment="1">
      <alignment horizontal="center" vertical="center"/>
    </xf>
    <xf numFmtId="0" fontId="24" fillId="43" borderId="64" xfId="0" applyFont="1" applyFill="1" applyBorder="1" applyAlignment="1">
      <alignment horizontal="center" vertical="center"/>
    </xf>
    <xf numFmtId="0" fontId="24" fillId="43" borderId="49" xfId="0" applyFont="1" applyFill="1" applyBorder="1" applyAlignment="1">
      <alignment horizontal="center" vertical="center"/>
    </xf>
    <xf numFmtId="0" fontId="24" fillId="43" borderId="51" xfId="0" applyFont="1" applyFill="1" applyBorder="1" applyAlignment="1">
      <alignment horizontal="center" vertical="center"/>
    </xf>
    <xf numFmtId="0" fontId="24" fillId="43" borderId="49" xfId="0" applyNumberFormat="1" applyFont="1" applyFill="1" applyBorder="1" applyAlignment="1">
      <alignment horizontal="left" vertical="center"/>
    </xf>
    <xf numFmtId="0" fontId="24" fillId="43" borderId="50" xfId="0" applyNumberFormat="1" applyFont="1" applyFill="1" applyBorder="1" applyAlignment="1">
      <alignment horizontal="left" vertical="center"/>
    </xf>
    <xf numFmtId="0" fontId="24" fillId="43" borderId="51" xfId="0" applyNumberFormat="1" applyFont="1" applyFill="1" applyBorder="1" applyAlignment="1">
      <alignment horizontal="left" vertical="center"/>
    </xf>
    <xf numFmtId="0" fontId="19" fillId="43" borderId="33" xfId="0" applyFont="1" applyFill="1" applyBorder="1" applyAlignment="1">
      <alignment horizontal="center" vertical="center"/>
    </xf>
    <xf numFmtId="0" fontId="19" fillId="43" borderId="35" xfId="0" applyFont="1" applyFill="1" applyBorder="1" applyAlignment="1">
      <alignment horizontal="center" vertical="center"/>
    </xf>
    <xf numFmtId="0" fontId="19" fillId="43" borderId="34" xfId="0" applyFont="1" applyFill="1" applyBorder="1" applyAlignment="1">
      <alignment horizontal="center" vertical="center"/>
    </xf>
    <xf numFmtId="0" fontId="20" fillId="40" borderId="77" xfId="0" applyFont="1" applyFill="1" applyBorder="1" applyAlignment="1" applyProtection="1">
      <alignment vertical="center"/>
      <protection hidden="1"/>
    </xf>
    <xf numFmtId="0" fontId="20" fillId="40" borderId="63" xfId="0" applyFont="1" applyFill="1" applyBorder="1" applyAlignment="1" applyProtection="1">
      <alignment vertical="center"/>
      <protection hidden="1"/>
    </xf>
    <xf numFmtId="0" fontId="20" fillId="40" borderId="104" xfId="0" applyFont="1" applyFill="1" applyBorder="1" applyAlignment="1" applyProtection="1">
      <alignment vertical="center"/>
      <protection hidden="1"/>
    </xf>
    <xf numFmtId="165" fontId="19" fillId="40" borderId="79" xfId="42" applyNumberFormat="1" applyFont="1" applyFill="1" applyBorder="1" applyAlignment="1" applyProtection="1">
      <alignment vertical="center"/>
      <protection hidden="1"/>
    </xf>
  </cellXfs>
  <cellStyles count="60">
    <cellStyle name="=C:\WINNT35\SYSTEM32\COMMAND.COM" xfId="46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Binary Flag" xfId="47"/>
    <cellStyle name="Calculation" xfId="12" builtinId="22" customBuiltin="1"/>
    <cellStyle name="Check Cell" xfId="14" builtinId="23" customBuiltin="1"/>
    <cellStyle name="Code_Output" xfId="48"/>
    <cellStyle name="Comma" xfId="42" builtinId="3" customBuiltin="1"/>
    <cellStyle name="Dropdown" xfId="49"/>
    <cellStyle name="Empty_Cell" xfId="50"/>
    <cellStyle name="Explanatory Text" xfId="16" builtinId="53" customBuiltin="1"/>
    <cellStyle name="Followed Hyperlink" xfId="44" builtinId="9" hidden="1"/>
    <cellStyle name="Followed Hyperlink" xfId="45" builtinId="9" hidden="1"/>
    <cellStyle name="Formula" xfId="5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e_Summary" xfId="52"/>
    <cellStyle name="Linked Cell" xfId="13" builtinId="24" customBuiltin="1"/>
    <cellStyle name="Neutral" xfId="9" builtinId="28" customBuiltin="1"/>
    <cellStyle name="Normal" xfId="0" builtinId="0" customBuiltin="1"/>
    <cellStyle name="Normal 2" xfId="53"/>
    <cellStyle name="Output" xfId="11" builtinId="21" customBuiltin="1"/>
    <cellStyle name="Percent" xfId="1" builtinId="5" customBuiltin="1"/>
    <cellStyle name="Red Comma [0]" xfId="54"/>
    <cellStyle name="Red Percent [0]" xfId="55"/>
    <cellStyle name="SheetHeader" xfId="56"/>
    <cellStyle name="Table_Header_1" xfId="57"/>
    <cellStyle name="Technical_Input" xfId="58"/>
    <cellStyle name="Title" xfId="2" builtinId="15" customBuiltin="1"/>
    <cellStyle name="Total" xfId="17" builtinId="25" customBuiltin="1"/>
    <cellStyle name="unit" xfId="59"/>
    <cellStyle name="Warning Text" xfId="15" builtinId="11" customBuiltin="1"/>
  </cellStyles>
  <dxfs count="21">
    <dxf>
      <font>
        <b/>
        <i val="0"/>
        <color rgb="FFCDDA00"/>
      </font>
      <fill>
        <patternFill patternType="solid">
          <fgColor rgb="FFA0CA3B"/>
          <bgColor rgb="FFCDDA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auto="1"/>
      </font>
      <fill>
        <patternFill patternType="solid">
          <fgColor theme="0"/>
          <bgColor rgb="FFCDDA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</font>
      <fill>
        <patternFill>
          <bgColor rgb="FFCDDA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Up">
          <fgColor theme="0" tint="-0.24994659260841701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</font>
      <fill>
        <patternFill>
          <bgColor rgb="FFCDDA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bgColor theme="0" tint="-0.24994659260841701"/>
        </patternFill>
      </fill>
    </dxf>
    <dxf>
      <font>
        <b val="0"/>
        <i/>
        <color theme="0" tint="-0.34998626667073579"/>
      </font>
    </dxf>
    <dxf>
      <font>
        <b val="0"/>
        <i val="0"/>
      </font>
      <fill>
        <patternFill>
          <bgColor theme="0" tint="-0.24994659260841701"/>
        </patternFill>
      </fill>
    </dxf>
    <dxf>
      <fill>
        <patternFill patternType="lightUp">
          <fgColor theme="0" tint="-0.34998626667073579"/>
          <bgColor auto="1"/>
        </patternFill>
      </fill>
    </dxf>
    <dxf>
      <font>
        <b/>
        <i val="0"/>
        <color auto="1"/>
      </font>
      <fill>
        <patternFill patternType="solid">
          <fgColor theme="0"/>
          <bgColor rgb="FFCDDA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0" tint="-0.24994659260841701"/>
        </patternFill>
      </fill>
    </dxf>
    <dxf>
      <fill>
        <patternFill>
          <bgColor rgb="FF3B5C37"/>
        </patternFill>
      </fill>
    </dxf>
    <dxf>
      <fill>
        <patternFill>
          <bgColor rgb="FF63883B"/>
        </patternFill>
      </fill>
    </dxf>
    <dxf>
      <fill>
        <patternFill>
          <bgColor rgb="FF74BB43"/>
        </patternFill>
      </fill>
    </dxf>
    <dxf>
      <fill>
        <patternFill>
          <bgColor rgb="FFA0CA3B"/>
        </patternFill>
      </fill>
    </dxf>
    <dxf>
      <fill>
        <patternFill>
          <bgColor rgb="FFCDDA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</dxf>
  </dxfs>
  <tableStyles count="0" defaultTableStyle="TableStyleMedium9" defaultPivotStyle="PivotStyleLight16"/>
  <colors>
    <mruColors>
      <color rgb="FFCDDA00"/>
      <color rgb="FFA0CA3B"/>
      <color rgb="FFFFFFCC"/>
      <color rgb="FF63883B"/>
      <color rgb="FF3B5C37"/>
      <color rgb="FF74BB43"/>
      <color rgb="FFBBBDBF"/>
      <color rgb="FF0ABAFF"/>
      <color rgb="FF59D0FF"/>
      <color rgb="FFD1F2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624975639031164"/>
          <c:y val="9.579020623045352E-3"/>
          <c:w val="0.81680831272775489"/>
          <c:h val="0.98084195875390934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ChartData!$B$57</c:f>
              <c:strCache>
                <c:ptCount val="1"/>
                <c:pt idx="0">
                  <c:v>0.00 to 1.00</c:v>
                </c:pt>
              </c:strCache>
            </c:strRef>
          </c:tx>
          <c:spPr>
            <a:solidFill>
              <a:srgbClr val="3B5C37"/>
            </a:solidFill>
            <a:ln w="12700">
              <a:noFill/>
            </a:ln>
          </c:spPr>
          <c:invertIfNegative val="0"/>
          <c:cat>
            <c:strRef>
              <c:f>ChartData!$A$58:$A$83</c:f>
              <c:strCache>
                <c:ptCount val="26"/>
                <c:pt idx="0">
                  <c:v>Brazil</c:v>
                </c:pt>
                <c:pt idx="1">
                  <c:v>Chile</c:v>
                </c:pt>
                <c:pt idx="2">
                  <c:v>Nicaragua</c:v>
                </c:pt>
                <c:pt idx="3">
                  <c:v>Peru</c:v>
                </c:pt>
                <c:pt idx="4">
                  <c:v>Mexico</c:v>
                </c:pt>
                <c:pt idx="5">
                  <c:v>Uruguay</c:v>
                </c:pt>
                <c:pt idx="6">
                  <c:v>Argentina</c:v>
                </c:pt>
                <c:pt idx="7">
                  <c:v>Dominican Republic</c:v>
                </c:pt>
                <c:pt idx="8">
                  <c:v>Colombia</c:v>
                </c:pt>
                <c:pt idx="9">
                  <c:v>Panama</c:v>
                </c:pt>
                <c:pt idx="10">
                  <c:v>Costa Rica</c:v>
                </c:pt>
                <c:pt idx="11">
                  <c:v>Guatemala</c:v>
                </c:pt>
                <c:pt idx="12">
                  <c:v>Ecuador</c:v>
                </c:pt>
                <c:pt idx="13">
                  <c:v>Honduras</c:v>
                </c:pt>
                <c:pt idx="14">
                  <c:v>El Salvador</c:v>
                </c:pt>
                <c:pt idx="15">
                  <c:v>Belize</c:v>
                </c:pt>
                <c:pt idx="16">
                  <c:v>Jamaica</c:v>
                </c:pt>
                <c:pt idx="17">
                  <c:v>Paraguay</c:v>
                </c:pt>
                <c:pt idx="18">
                  <c:v>Bolivia</c:v>
                </c:pt>
                <c:pt idx="19">
                  <c:v>Venezuela</c:v>
                </c:pt>
                <c:pt idx="20">
                  <c:v>Bahamas</c:v>
                </c:pt>
                <c:pt idx="21">
                  <c:v>Haiti</c:v>
                </c:pt>
                <c:pt idx="22">
                  <c:v>Guyana</c:v>
                </c:pt>
                <c:pt idx="23">
                  <c:v>Trinidad &amp; Tobago</c:v>
                </c:pt>
                <c:pt idx="24">
                  <c:v>Barbados</c:v>
                </c:pt>
                <c:pt idx="25">
                  <c:v>Suriname</c:v>
                </c:pt>
              </c:strCache>
            </c:strRef>
          </c:cat>
          <c:val>
            <c:numRef>
              <c:f>ChartData!$B$58:$B$83</c:f>
              <c:numCache>
                <c:formatCode>_-* #,##0.000_-;\-* #,##0.000_-;_-* "-"??_-;_-@_-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0.99838461685035851</c:v>
                </c:pt>
                <c:pt idx="16">
                  <c:v>0.93559969189148329</c:v>
                </c:pt>
                <c:pt idx="17">
                  <c:v>0.89780561757652433</c:v>
                </c:pt>
                <c:pt idx="18">
                  <c:v>0.86145895525760319</c:v>
                </c:pt>
                <c:pt idx="19">
                  <c:v>0.80918593246217529</c:v>
                </c:pt>
                <c:pt idx="20">
                  <c:v>0.79773499210786503</c:v>
                </c:pt>
                <c:pt idx="21">
                  <c:v>0.710515676647688</c:v>
                </c:pt>
                <c:pt idx="22">
                  <c:v>0.66719937371368621</c:v>
                </c:pt>
                <c:pt idx="23">
                  <c:v>0.537315372514797</c:v>
                </c:pt>
                <c:pt idx="24">
                  <c:v>0.44607825642070192</c:v>
                </c:pt>
                <c:pt idx="25">
                  <c:v>0.33322524459315506</c:v>
                </c:pt>
              </c:numCache>
            </c:numRef>
          </c:val>
        </c:ser>
        <c:ser>
          <c:idx val="0"/>
          <c:order val="1"/>
          <c:tx>
            <c:strRef>
              <c:f>ChartData!$C$57</c:f>
              <c:strCache>
                <c:ptCount val="1"/>
                <c:pt idx="0">
                  <c:v>1.01 to 2.00</c:v>
                </c:pt>
              </c:strCache>
            </c:strRef>
          </c:tx>
          <c:spPr>
            <a:solidFill>
              <a:srgbClr val="63883B"/>
            </a:solidFill>
          </c:spPr>
          <c:invertIfNegative val="0"/>
          <c:cat>
            <c:strRef>
              <c:f>ChartData!$A$58:$A$83</c:f>
              <c:strCache>
                <c:ptCount val="26"/>
                <c:pt idx="0">
                  <c:v>Brazil</c:v>
                </c:pt>
                <c:pt idx="1">
                  <c:v>Chile</c:v>
                </c:pt>
                <c:pt idx="2">
                  <c:v>Nicaragua</c:v>
                </c:pt>
                <c:pt idx="3">
                  <c:v>Peru</c:v>
                </c:pt>
                <c:pt idx="4">
                  <c:v>Mexico</c:v>
                </c:pt>
                <c:pt idx="5">
                  <c:v>Uruguay</c:v>
                </c:pt>
                <c:pt idx="6">
                  <c:v>Argentina</c:v>
                </c:pt>
                <c:pt idx="7">
                  <c:v>Dominican Republic</c:v>
                </c:pt>
                <c:pt idx="8">
                  <c:v>Colombia</c:v>
                </c:pt>
                <c:pt idx="9">
                  <c:v>Panama</c:v>
                </c:pt>
                <c:pt idx="10">
                  <c:v>Costa Rica</c:v>
                </c:pt>
                <c:pt idx="11">
                  <c:v>Guatemala</c:v>
                </c:pt>
                <c:pt idx="12">
                  <c:v>Ecuador</c:v>
                </c:pt>
                <c:pt idx="13">
                  <c:v>Honduras</c:v>
                </c:pt>
                <c:pt idx="14">
                  <c:v>El Salvador</c:v>
                </c:pt>
                <c:pt idx="15">
                  <c:v>Belize</c:v>
                </c:pt>
                <c:pt idx="16">
                  <c:v>Jamaica</c:v>
                </c:pt>
                <c:pt idx="17">
                  <c:v>Paraguay</c:v>
                </c:pt>
                <c:pt idx="18">
                  <c:v>Bolivia</c:v>
                </c:pt>
                <c:pt idx="19">
                  <c:v>Venezuela</c:v>
                </c:pt>
                <c:pt idx="20">
                  <c:v>Bahamas</c:v>
                </c:pt>
                <c:pt idx="21">
                  <c:v>Haiti</c:v>
                </c:pt>
                <c:pt idx="22">
                  <c:v>Guyana</c:v>
                </c:pt>
                <c:pt idx="23">
                  <c:v>Trinidad &amp; Tobago</c:v>
                </c:pt>
                <c:pt idx="24">
                  <c:v>Barbados</c:v>
                </c:pt>
                <c:pt idx="25">
                  <c:v>Suriname</c:v>
                </c:pt>
              </c:strCache>
            </c:strRef>
          </c:cat>
          <c:val>
            <c:numRef>
              <c:f>ChartData!$C$58:$C$83</c:f>
              <c:numCache>
                <c:formatCode>_-* #,##0.000_-;\-* #,##0.000_-;_-* "-"??_-;_-@_-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1.6663378644286779</c:v>
                </c:pt>
                <c:pt idx="6">
                  <c:v>1.6660775463109065</c:v>
                </c:pt>
                <c:pt idx="7">
                  <c:v>1.5811001122845354</c:v>
                </c:pt>
                <c:pt idx="8">
                  <c:v>1.5430458186129992</c:v>
                </c:pt>
                <c:pt idx="9">
                  <c:v>1.4449322737798895</c:v>
                </c:pt>
                <c:pt idx="10">
                  <c:v>1.3605020693003842</c:v>
                </c:pt>
                <c:pt idx="11">
                  <c:v>1.3373084647149844</c:v>
                </c:pt>
                <c:pt idx="12">
                  <c:v>1.268029964257984</c:v>
                </c:pt>
                <c:pt idx="13">
                  <c:v>1.2347954940521071</c:v>
                </c:pt>
                <c:pt idx="14">
                  <c:v>1.0829763396265171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ser>
          <c:idx val="2"/>
          <c:order val="2"/>
          <c:tx>
            <c:strRef>
              <c:f>ChartData!$D$57</c:f>
              <c:strCache>
                <c:ptCount val="1"/>
                <c:pt idx="0">
                  <c:v>2.01 to 3.01</c:v>
                </c:pt>
              </c:strCache>
            </c:strRef>
          </c:tx>
          <c:spPr>
            <a:solidFill>
              <a:srgbClr val="74BB43"/>
            </a:solidFill>
          </c:spPr>
          <c:invertIfNegative val="0"/>
          <c:cat>
            <c:strRef>
              <c:f>ChartData!$A$58:$A$83</c:f>
              <c:strCache>
                <c:ptCount val="26"/>
                <c:pt idx="0">
                  <c:v>Brazil</c:v>
                </c:pt>
                <c:pt idx="1">
                  <c:v>Chile</c:v>
                </c:pt>
                <c:pt idx="2">
                  <c:v>Nicaragua</c:v>
                </c:pt>
                <c:pt idx="3">
                  <c:v>Peru</c:v>
                </c:pt>
                <c:pt idx="4">
                  <c:v>Mexico</c:v>
                </c:pt>
                <c:pt idx="5">
                  <c:v>Uruguay</c:v>
                </c:pt>
                <c:pt idx="6">
                  <c:v>Argentina</c:v>
                </c:pt>
                <c:pt idx="7">
                  <c:v>Dominican Republic</c:v>
                </c:pt>
                <c:pt idx="8">
                  <c:v>Colombia</c:v>
                </c:pt>
                <c:pt idx="9">
                  <c:v>Panama</c:v>
                </c:pt>
                <c:pt idx="10">
                  <c:v>Costa Rica</c:v>
                </c:pt>
                <c:pt idx="11">
                  <c:v>Guatemala</c:v>
                </c:pt>
                <c:pt idx="12">
                  <c:v>Ecuador</c:v>
                </c:pt>
                <c:pt idx="13">
                  <c:v>Honduras</c:v>
                </c:pt>
                <c:pt idx="14">
                  <c:v>El Salvador</c:v>
                </c:pt>
                <c:pt idx="15">
                  <c:v>Belize</c:v>
                </c:pt>
                <c:pt idx="16">
                  <c:v>Jamaica</c:v>
                </c:pt>
                <c:pt idx="17">
                  <c:v>Paraguay</c:v>
                </c:pt>
                <c:pt idx="18">
                  <c:v>Bolivia</c:v>
                </c:pt>
                <c:pt idx="19">
                  <c:v>Venezuela</c:v>
                </c:pt>
                <c:pt idx="20">
                  <c:v>Bahamas</c:v>
                </c:pt>
                <c:pt idx="21">
                  <c:v>Haiti</c:v>
                </c:pt>
                <c:pt idx="22">
                  <c:v>Guyana</c:v>
                </c:pt>
                <c:pt idx="23">
                  <c:v>Trinidad &amp; Tobago</c:v>
                </c:pt>
                <c:pt idx="24">
                  <c:v>Barbados</c:v>
                </c:pt>
                <c:pt idx="25">
                  <c:v>Suriname</c:v>
                </c:pt>
              </c:strCache>
            </c:strRef>
          </c:cat>
          <c:val>
            <c:numRef>
              <c:f>ChartData!$D$58:$D$83</c:f>
              <c:numCache>
                <c:formatCode>_-* #,##0.000_-;\-* #,##0.000_-;_-* "-"??_-;_-@_-</c:formatCode>
                <c:ptCount val="26"/>
                <c:pt idx="0">
                  <c:v>2.4727326749130318</c:v>
                </c:pt>
                <c:pt idx="1">
                  <c:v>2.4094666752634253</c:v>
                </c:pt>
                <c:pt idx="2">
                  <c:v>2.2582408765252313</c:v>
                </c:pt>
                <c:pt idx="3">
                  <c:v>2.2513997144899829</c:v>
                </c:pt>
                <c:pt idx="4">
                  <c:v>2.1895912454456359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ser>
          <c:idx val="3"/>
          <c:order val="3"/>
          <c:tx>
            <c:strRef>
              <c:f>ChartData!$E$57</c:f>
              <c:strCache>
                <c:ptCount val="1"/>
                <c:pt idx="0">
                  <c:v>3.01 to 4.00</c:v>
                </c:pt>
              </c:strCache>
            </c:strRef>
          </c:tx>
          <c:spPr>
            <a:solidFill>
              <a:srgbClr val="A0CA3B"/>
            </a:solidFill>
          </c:spPr>
          <c:invertIfNegative val="0"/>
          <c:cat>
            <c:strRef>
              <c:f>ChartData!$A$58:$A$83</c:f>
              <c:strCache>
                <c:ptCount val="26"/>
                <c:pt idx="0">
                  <c:v>Brazil</c:v>
                </c:pt>
                <c:pt idx="1">
                  <c:v>Chile</c:v>
                </c:pt>
                <c:pt idx="2">
                  <c:v>Nicaragua</c:v>
                </c:pt>
                <c:pt idx="3">
                  <c:v>Peru</c:v>
                </c:pt>
                <c:pt idx="4">
                  <c:v>Mexico</c:v>
                </c:pt>
                <c:pt idx="5">
                  <c:v>Uruguay</c:v>
                </c:pt>
                <c:pt idx="6">
                  <c:v>Argentina</c:v>
                </c:pt>
                <c:pt idx="7">
                  <c:v>Dominican Republic</c:v>
                </c:pt>
                <c:pt idx="8">
                  <c:v>Colombia</c:v>
                </c:pt>
                <c:pt idx="9">
                  <c:v>Panama</c:v>
                </c:pt>
                <c:pt idx="10">
                  <c:v>Costa Rica</c:v>
                </c:pt>
                <c:pt idx="11">
                  <c:v>Guatemala</c:v>
                </c:pt>
                <c:pt idx="12">
                  <c:v>Ecuador</c:v>
                </c:pt>
                <c:pt idx="13">
                  <c:v>Honduras</c:v>
                </c:pt>
                <c:pt idx="14">
                  <c:v>El Salvador</c:v>
                </c:pt>
                <c:pt idx="15">
                  <c:v>Belize</c:v>
                </c:pt>
                <c:pt idx="16">
                  <c:v>Jamaica</c:v>
                </c:pt>
                <c:pt idx="17">
                  <c:v>Paraguay</c:v>
                </c:pt>
                <c:pt idx="18">
                  <c:v>Bolivia</c:v>
                </c:pt>
                <c:pt idx="19">
                  <c:v>Venezuela</c:v>
                </c:pt>
                <c:pt idx="20">
                  <c:v>Bahamas</c:v>
                </c:pt>
                <c:pt idx="21">
                  <c:v>Haiti</c:v>
                </c:pt>
                <c:pt idx="22">
                  <c:v>Guyana</c:v>
                </c:pt>
                <c:pt idx="23">
                  <c:v>Trinidad &amp; Tobago</c:v>
                </c:pt>
                <c:pt idx="24">
                  <c:v>Barbados</c:v>
                </c:pt>
                <c:pt idx="25">
                  <c:v>Suriname</c:v>
                </c:pt>
              </c:strCache>
            </c:strRef>
          </c:cat>
          <c:val>
            <c:numRef>
              <c:f>ChartData!$E$58:$E$83</c:f>
              <c:numCache>
                <c:formatCode>_-* #,##0.000_-;\-* #,##0.000_-;_-* "-"??_-;_-@_-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ser>
          <c:idx val="4"/>
          <c:order val="4"/>
          <c:tx>
            <c:strRef>
              <c:f>ChartData!$F$57</c:f>
              <c:strCache>
                <c:ptCount val="1"/>
                <c:pt idx="0">
                  <c:v>4.01 to 5.00</c:v>
                </c:pt>
              </c:strCache>
            </c:strRef>
          </c:tx>
          <c:spPr>
            <a:solidFill>
              <a:srgbClr val="CDDA00"/>
            </a:solidFill>
          </c:spPr>
          <c:invertIfNegative val="0"/>
          <c:cat>
            <c:strRef>
              <c:f>ChartData!$A$58:$A$83</c:f>
              <c:strCache>
                <c:ptCount val="26"/>
                <c:pt idx="0">
                  <c:v>Brazil</c:v>
                </c:pt>
                <c:pt idx="1">
                  <c:v>Chile</c:v>
                </c:pt>
                <c:pt idx="2">
                  <c:v>Nicaragua</c:v>
                </c:pt>
                <c:pt idx="3">
                  <c:v>Peru</c:v>
                </c:pt>
                <c:pt idx="4">
                  <c:v>Mexico</c:v>
                </c:pt>
                <c:pt idx="5">
                  <c:v>Uruguay</c:v>
                </c:pt>
                <c:pt idx="6">
                  <c:v>Argentina</c:v>
                </c:pt>
                <c:pt idx="7">
                  <c:v>Dominican Republic</c:v>
                </c:pt>
                <c:pt idx="8">
                  <c:v>Colombia</c:v>
                </c:pt>
                <c:pt idx="9">
                  <c:v>Panama</c:v>
                </c:pt>
                <c:pt idx="10">
                  <c:v>Costa Rica</c:v>
                </c:pt>
                <c:pt idx="11">
                  <c:v>Guatemala</c:v>
                </c:pt>
                <c:pt idx="12">
                  <c:v>Ecuador</c:v>
                </c:pt>
                <c:pt idx="13">
                  <c:v>Honduras</c:v>
                </c:pt>
                <c:pt idx="14">
                  <c:v>El Salvador</c:v>
                </c:pt>
                <c:pt idx="15">
                  <c:v>Belize</c:v>
                </c:pt>
                <c:pt idx="16">
                  <c:v>Jamaica</c:v>
                </c:pt>
                <c:pt idx="17">
                  <c:v>Paraguay</c:v>
                </c:pt>
                <c:pt idx="18">
                  <c:v>Bolivia</c:v>
                </c:pt>
                <c:pt idx="19">
                  <c:v>Venezuela</c:v>
                </c:pt>
                <c:pt idx="20">
                  <c:v>Bahamas</c:v>
                </c:pt>
                <c:pt idx="21">
                  <c:v>Haiti</c:v>
                </c:pt>
                <c:pt idx="22">
                  <c:v>Guyana</c:v>
                </c:pt>
                <c:pt idx="23">
                  <c:v>Trinidad &amp; Tobago</c:v>
                </c:pt>
                <c:pt idx="24">
                  <c:v>Barbados</c:v>
                </c:pt>
                <c:pt idx="25">
                  <c:v>Suriname</c:v>
                </c:pt>
              </c:strCache>
            </c:strRef>
          </c:cat>
          <c:val>
            <c:numRef>
              <c:f>ChartData!$F$58:$F$83</c:f>
              <c:numCache>
                <c:formatCode>_-* #,##0.000_-;\-* #,##0.000_-;_-* "-"??_-;_-@_-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435127040"/>
        <c:axId val="435128576"/>
      </c:barChart>
      <c:catAx>
        <c:axId val="43512704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435128576"/>
        <c:crosses val="autoZero"/>
        <c:auto val="1"/>
        <c:lblAlgn val="ctr"/>
        <c:lblOffset val="100"/>
        <c:noMultiLvlLbl val="0"/>
      </c:catAx>
      <c:valAx>
        <c:axId val="435128576"/>
        <c:scaling>
          <c:orientation val="minMax"/>
        </c:scaling>
        <c:delete val="1"/>
        <c:axPos val="t"/>
        <c:numFmt formatCode="#,##0" sourceLinked="0"/>
        <c:majorTickMark val="out"/>
        <c:minorTickMark val="none"/>
        <c:tickLblPos val="none"/>
        <c:crossAx val="4351270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0146634253424"/>
          <c:y val="0.36190050327333323"/>
          <c:w val="0.11901436050773841"/>
          <c:h val="0.27619899345333349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ysClr val="window" lastClr="FFFFFF">
              <a:lumMod val="50000"/>
            </a:sysClr>
          </a:solidFill>
        </a:ln>
      </c:sp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>
          <a:solidFill>
            <a:schemeClr val="tx1">
              <a:lumMod val="65000"/>
              <a:lumOff val="35000"/>
            </a:schemeClr>
          </a:solidFill>
          <a:latin typeface="+mn-lt"/>
          <a:cs typeface="Arial" pitchFamily="34" charset="0"/>
        </a:defRPr>
      </a:pPr>
      <a:endParaRPr lang="en-US"/>
    </a:p>
  </c:tx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9.9145210154515814E-2"/>
          <c:y val="3.2433371201734472E-2"/>
          <c:w val="0.61072173734443291"/>
          <c:h val="0.804246042652402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ChartData!$A$9</c:f>
              <c:strCache>
                <c:ptCount val="1"/>
                <c:pt idx="0">
                  <c:v>Biomass &amp; Waste</c:v>
                </c:pt>
              </c:strCache>
            </c:strRef>
          </c:tx>
          <c:spPr>
            <a:solidFill>
              <a:srgbClr val="725492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ChartData!$B$8:$H$8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ChartData!$B$9:$H$9</c:f>
              <c:numCache>
                <c:formatCode>_-* #,##0_-;\-* #,##0_-;_-* "-"??_-;_-@_-</c:formatCode>
                <c:ptCount val="7"/>
                <c:pt idx="0">
                  <c:v>2909.4400000000005</c:v>
                </c:pt>
                <c:pt idx="1">
                  <c:v>3636.8</c:v>
                </c:pt>
                <c:pt idx="2">
                  <c:v>4546</c:v>
                </c:pt>
                <c:pt idx="3">
                  <c:v>5439</c:v>
                </c:pt>
                <c:pt idx="4">
                  <c:v>6703</c:v>
                </c:pt>
                <c:pt idx="5">
                  <c:v>8622</c:v>
                </c:pt>
                <c:pt idx="6">
                  <c:v>9815.9</c:v>
                </c:pt>
              </c:numCache>
            </c:numRef>
          </c:val>
        </c:ser>
        <c:ser>
          <c:idx val="1"/>
          <c:order val="1"/>
          <c:tx>
            <c:strRef>
              <c:f>ChartData!$A$10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6F75B4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ChartData!$B$8:$H$8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ChartData!$B$10:$H$10</c:f>
              <c:numCache>
                <c:formatCode>_-* #,##0_-;\-* #,##0_-;_-*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ChartData!$A$11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BCA6D0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ChartData!$B$8:$H$8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ChartData!$B$11:$H$11</c:f>
              <c:numCache>
                <c:formatCode>_-* #,##0_-;\-* #,##0_-;_-*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3"/>
          <c:order val="3"/>
          <c:tx>
            <c:strRef>
              <c:f>ChartData!$A$12</c:f>
              <c:strCache>
                <c:ptCount val="1"/>
                <c:pt idx="0">
                  <c:v>Small Hydro</c:v>
                </c:pt>
              </c:strCache>
            </c:strRef>
          </c:tx>
          <c:spPr>
            <a:solidFill>
              <a:srgbClr val="2F8FCC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ChartData!$B$8:$H$8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ChartData!$B$12:$H$12</c:f>
              <c:numCache>
                <c:formatCode>_-* #,##0_-;\-* #,##0_-;_-* "-"??_-;_-@_-</c:formatCode>
                <c:ptCount val="7"/>
                <c:pt idx="0">
                  <c:v>1673</c:v>
                </c:pt>
                <c:pt idx="1">
                  <c:v>1932</c:v>
                </c:pt>
                <c:pt idx="2">
                  <c:v>2644</c:v>
                </c:pt>
                <c:pt idx="3">
                  <c:v>3126</c:v>
                </c:pt>
                <c:pt idx="4">
                  <c:v>3613</c:v>
                </c:pt>
                <c:pt idx="5">
                  <c:v>3989</c:v>
                </c:pt>
                <c:pt idx="6">
                  <c:v>4247.8</c:v>
                </c:pt>
              </c:numCache>
            </c:numRef>
          </c:val>
        </c:ser>
        <c:ser>
          <c:idx val="4"/>
          <c:order val="4"/>
          <c:tx>
            <c:strRef>
              <c:f>ChartData!$A$13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00B9E4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ChartData!$B$8:$H$8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ChartData!$B$13:$H$13</c:f>
              <c:numCache>
                <c:formatCode>_-* #,##0_-;\-* #,##0_-;_-*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1.1000000000000001</c:v>
                </c:pt>
                <c:pt idx="6">
                  <c:v>1.5</c:v>
                </c:pt>
              </c:numCache>
            </c:numRef>
          </c:val>
        </c:ser>
        <c:ser>
          <c:idx val="5"/>
          <c:order val="5"/>
          <c:tx>
            <c:strRef>
              <c:f>ChartData!$A$14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84D1EC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ChartData!$B$8:$H$8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ChartData!$B$14:$H$14</c:f>
              <c:numCache>
                <c:formatCode>_-* #,##0_-;\-* #,##0_-;_-* "-"??_-;_-@_-</c:formatCode>
                <c:ptCount val="7"/>
                <c:pt idx="0">
                  <c:v>237</c:v>
                </c:pt>
                <c:pt idx="1">
                  <c:v>247</c:v>
                </c:pt>
                <c:pt idx="2">
                  <c:v>398</c:v>
                </c:pt>
                <c:pt idx="3">
                  <c:v>602</c:v>
                </c:pt>
                <c:pt idx="4">
                  <c:v>927</c:v>
                </c:pt>
                <c:pt idx="5">
                  <c:v>1250</c:v>
                </c:pt>
                <c:pt idx="6">
                  <c:v>1815.7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439028736"/>
        <c:axId val="439042816"/>
      </c:barChart>
      <c:catAx>
        <c:axId val="43902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9042816"/>
        <c:crosses val="autoZero"/>
        <c:auto val="1"/>
        <c:lblAlgn val="ctr"/>
        <c:lblOffset val="100"/>
        <c:tickLblSkip val="1"/>
        <c:noMultiLvlLbl val="0"/>
      </c:catAx>
      <c:valAx>
        <c:axId val="439042816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crossAx val="439028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solidFill>
            <a:sysClr val="windowText" lastClr="000000"/>
          </a:solidFill>
          <a:latin typeface="+mn-lt"/>
          <a:cs typeface="Arial" pitchFamily="34" charset="0"/>
        </a:defRPr>
      </a:pPr>
      <a:endParaRPr lang="en-US"/>
    </a:p>
  </c:txPr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9.9145210154515814E-2"/>
          <c:y val="3.2433371201734472E-2"/>
          <c:w val="0.61844662448065701"/>
          <c:h val="0.8676272182395206"/>
        </c:manualLayout>
      </c:layout>
      <c:areaChart>
        <c:grouping val="stacked"/>
        <c:varyColors val="0"/>
        <c:ser>
          <c:idx val="0"/>
          <c:order val="0"/>
          <c:tx>
            <c:strRef>
              <c:f>ChartData!$A$19</c:f>
              <c:strCache>
                <c:ptCount val="1"/>
                <c:pt idx="0">
                  <c:v>Biomass &amp; Waste</c:v>
                </c:pt>
              </c:strCache>
            </c:strRef>
          </c:tx>
          <c:spPr>
            <a:solidFill>
              <a:srgbClr val="725492"/>
            </a:solidFill>
            <a:ln w="12700">
              <a:solidFill>
                <a:srgbClr val="C0C0C0"/>
              </a:solidFill>
            </a:ln>
          </c:spPr>
          <c:cat>
            <c:numRef>
              <c:f>ChartData!$B$18:$H$18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ChartData!$B$19:$H$19</c:f>
              <c:numCache>
                <c:formatCode>_-* #,##0_-;\-* #,##0_-;_-* "-"??_-;_-@_-</c:formatCode>
                <c:ptCount val="7"/>
                <c:pt idx="0">
                  <c:v>18687</c:v>
                </c:pt>
                <c:pt idx="1">
                  <c:v>21675</c:v>
                </c:pt>
                <c:pt idx="2">
                  <c:v>23339</c:v>
                </c:pt>
                <c:pt idx="3">
                  <c:v>24447</c:v>
                </c:pt>
                <c:pt idx="4">
                  <c:v>34880</c:v>
                </c:pt>
                <c:pt idx="5">
                  <c:v>37223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ChartData!$A$20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6F75B4"/>
            </a:solidFill>
            <a:ln w="12700">
              <a:solidFill>
                <a:srgbClr val="C0C0C0"/>
              </a:solidFill>
            </a:ln>
          </c:spPr>
          <c:cat>
            <c:numRef>
              <c:f>ChartData!$B$18:$H$18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ChartData!$B$20:$H$20</c:f>
              <c:numCache>
                <c:formatCode>_-* #,##0_-;\-* #,##0_-;_-*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ChartData!$A$21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BCA6D0"/>
            </a:solidFill>
            <a:ln w="12700">
              <a:solidFill>
                <a:srgbClr val="C0C0C0"/>
              </a:solidFill>
            </a:ln>
          </c:spPr>
          <c:cat>
            <c:numRef>
              <c:f>ChartData!$B$18:$H$18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ChartData!$B$21:$H$21</c:f>
              <c:numCache>
                <c:formatCode>_-* #,##0_-;\-* #,##0_-;_-*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3"/>
          <c:order val="3"/>
          <c:tx>
            <c:strRef>
              <c:f>ChartData!$A$22</c:f>
              <c:strCache>
                <c:ptCount val="1"/>
                <c:pt idx="0">
                  <c:v>Small Hydro</c:v>
                </c:pt>
              </c:strCache>
            </c:strRef>
          </c:tx>
          <c:spPr>
            <a:solidFill>
              <a:srgbClr val="2F8FCC"/>
            </a:solidFill>
            <a:ln w="12700">
              <a:solidFill>
                <a:srgbClr val="C0C0C0"/>
              </a:solidFill>
            </a:ln>
          </c:spPr>
          <c:cat>
            <c:numRef>
              <c:f>ChartData!$B$18:$H$18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ChartData!$B$22:$H$22</c:f>
              <c:numCache>
                <c:formatCode>_-* #,##0_-;\-* #,##0_-;_-* "-"??_-;_-@_-</c:formatCode>
                <c:ptCount val="7"/>
                <c:pt idx="0">
                  <c:v>7327.74</c:v>
                </c:pt>
                <c:pt idx="1">
                  <c:v>8462.16</c:v>
                </c:pt>
                <c:pt idx="2">
                  <c:v>11580.72</c:v>
                </c:pt>
                <c:pt idx="3">
                  <c:v>13691.88</c:v>
                </c:pt>
                <c:pt idx="4">
                  <c:v>15824.94</c:v>
                </c:pt>
                <c:pt idx="5">
                  <c:v>17471.82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strRef>
              <c:f>ChartData!$A$23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00B9E4"/>
            </a:solidFill>
            <a:ln w="12700">
              <a:solidFill>
                <a:srgbClr val="C0C0C0"/>
              </a:solidFill>
            </a:ln>
          </c:spPr>
          <c:cat>
            <c:numRef>
              <c:f>ChartData!$B$18:$H$18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ChartData!$B$23:$H$23</c:f>
              <c:numCache>
                <c:formatCode>_-* #,##0_-;\-* #,##0_-;_-*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strRef>
              <c:f>ChartData!$A$24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84D1EC"/>
            </a:solidFill>
            <a:ln w="12700">
              <a:solidFill>
                <a:srgbClr val="C0C0C0"/>
              </a:solidFill>
            </a:ln>
          </c:spPr>
          <c:cat>
            <c:numRef>
              <c:f>ChartData!$B$18:$H$18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ChartData!$B$24:$H$24</c:f>
              <c:numCache>
                <c:formatCode>_-* #,##0_-;\-* #,##0_-;_-* "-"??_-;_-@_-</c:formatCode>
                <c:ptCount val="7"/>
                <c:pt idx="0">
                  <c:v>237</c:v>
                </c:pt>
                <c:pt idx="1">
                  <c:v>559</c:v>
                </c:pt>
                <c:pt idx="2">
                  <c:v>1183</c:v>
                </c:pt>
                <c:pt idx="3">
                  <c:v>1446</c:v>
                </c:pt>
                <c:pt idx="4">
                  <c:v>2248</c:v>
                </c:pt>
                <c:pt idx="5">
                  <c:v>2705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087488"/>
        <c:axId val="439089024"/>
      </c:areaChart>
      <c:catAx>
        <c:axId val="43908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9089024"/>
        <c:crosses val="autoZero"/>
        <c:auto val="1"/>
        <c:lblAlgn val="ctr"/>
        <c:lblOffset val="100"/>
        <c:noMultiLvlLbl val="0"/>
      </c:catAx>
      <c:valAx>
        <c:axId val="439089024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crossAx val="439087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solidFill>
            <a:sysClr val="windowText" lastClr="000000"/>
          </a:solidFill>
          <a:latin typeface="+mn-lt"/>
          <a:cs typeface="Arial" pitchFamily="34" charset="0"/>
        </a:defRPr>
      </a:pPr>
      <a:endParaRPr lang="en-US"/>
    </a:p>
  </c:txPr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9.9145210154515814E-2"/>
          <c:y val="3.2433371201734472E-2"/>
          <c:w val="0.6143504927415957"/>
          <c:h val="0.86762721823952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ChartData!$A$29</c:f>
              <c:strCache>
                <c:ptCount val="1"/>
                <c:pt idx="0">
                  <c:v>Biofuels</c:v>
                </c:pt>
              </c:strCache>
            </c:strRef>
          </c:tx>
          <c:spPr>
            <a:solidFill>
              <a:srgbClr val="725492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ChartData!$B$29:$H$29</c:f>
              <c:numCache>
                <c:formatCode>_(* #,##0.00_);_(* \(#,##0.00\);_(* "-"??_);_(@_)</c:formatCode>
                <c:ptCount val="7"/>
                <c:pt idx="0">
                  <c:v>2811.4729134164149</c:v>
                </c:pt>
                <c:pt idx="1">
                  <c:v>11790.503772842683</c:v>
                </c:pt>
                <c:pt idx="2">
                  <c:v>21712.572606652429</c:v>
                </c:pt>
                <c:pt idx="3">
                  <c:v>29185.361365193145</c:v>
                </c:pt>
                <c:pt idx="4">
                  <c:v>36666.316274522833</c:v>
                </c:pt>
                <c:pt idx="5">
                  <c:v>40628.441554286575</c:v>
                </c:pt>
                <c:pt idx="6">
                  <c:v>41364.043438202418</c:v>
                </c:pt>
              </c:numCache>
            </c:numRef>
          </c:val>
        </c:ser>
        <c:ser>
          <c:idx val="1"/>
          <c:order val="1"/>
          <c:tx>
            <c:strRef>
              <c:f>ChartData!$A$30</c:f>
              <c:strCache>
                <c:ptCount val="1"/>
                <c:pt idx="0">
                  <c:v>Biomass &amp; Waste</c:v>
                </c:pt>
              </c:strCache>
            </c:strRef>
          </c:tx>
          <c:spPr>
            <a:solidFill>
              <a:srgbClr val="6F75B4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ChartData!$B$30:$H$30</c:f>
              <c:numCache>
                <c:formatCode>_(* #,##0.00_);_(* \(#,##0.00\);_(* "-"??_);_(@_)</c:formatCode>
                <c:ptCount val="7"/>
                <c:pt idx="0">
                  <c:v>508.96111191661589</c:v>
                </c:pt>
                <c:pt idx="1">
                  <c:v>1053.5502265354171</c:v>
                </c:pt>
                <c:pt idx="2">
                  <c:v>2922.1363527430212</c:v>
                </c:pt>
                <c:pt idx="3">
                  <c:v>3769.0849535823345</c:v>
                </c:pt>
                <c:pt idx="4">
                  <c:v>4754.9124397410287</c:v>
                </c:pt>
                <c:pt idx="5">
                  <c:v>5440.2277919251101</c:v>
                </c:pt>
                <c:pt idx="6">
                  <c:v>6170.0834967032097</c:v>
                </c:pt>
              </c:numCache>
            </c:numRef>
          </c:val>
        </c:ser>
        <c:ser>
          <c:idx val="2"/>
          <c:order val="2"/>
          <c:tx>
            <c:strRef>
              <c:f>ChartData!$A$31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BCA6D0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ChartData!$B$31:$H$31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3"/>
          <c:order val="3"/>
          <c:tx>
            <c:strRef>
              <c:f>ChartData!$A$32</c:f>
              <c:strCache>
                <c:ptCount val="1"/>
                <c:pt idx="0">
                  <c:v>Small Hydro</c:v>
                </c:pt>
              </c:strCache>
            </c:strRef>
          </c:tx>
          <c:spPr>
            <a:solidFill>
              <a:srgbClr val="2F8FCC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ChartData!$B$32:$H$32</c:f>
              <c:numCache>
                <c:formatCode>_(* #,##0.00_);_(* \(#,##0.00\);_(* "-"??_);_(@_)</c:formatCode>
                <c:ptCount val="7"/>
                <c:pt idx="0">
                  <c:v>1521.6440249349203</c:v>
                </c:pt>
                <c:pt idx="1">
                  <c:v>3754.8942144101165</c:v>
                </c:pt>
                <c:pt idx="2">
                  <c:v>6194.4770260277037</c:v>
                </c:pt>
                <c:pt idx="3">
                  <c:v>7498.362590740825</c:v>
                </c:pt>
                <c:pt idx="4">
                  <c:v>8772.0259775076738</c:v>
                </c:pt>
                <c:pt idx="5">
                  <c:v>10375.328939577541</c:v>
                </c:pt>
                <c:pt idx="6">
                  <c:v>11500.052727018847</c:v>
                </c:pt>
              </c:numCache>
            </c:numRef>
          </c:val>
        </c:ser>
        <c:ser>
          <c:idx val="4"/>
          <c:order val="4"/>
          <c:tx>
            <c:strRef>
              <c:f>ChartData!$A$33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00B9E4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ChartData!$B$33:$H$33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5.8354339941330524</c:v>
                </c:pt>
                <c:pt idx="5">
                  <c:v>34.732896524300507</c:v>
                </c:pt>
                <c:pt idx="6">
                  <c:v>90.168461116037605</c:v>
                </c:pt>
              </c:numCache>
            </c:numRef>
          </c:val>
        </c:ser>
        <c:ser>
          <c:idx val="5"/>
          <c:order val="5"/>
          <c:tx>
            <c:strRef>
              <c:f>ChartData!$A$34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84D1EC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ChartData!$B$34:$H$34</c:f>
              <c:numCache>
                <c:formatCode>_(* #,##0.00_);_(* \(#,##0.00\);_(* "-"??_);_(@_)</c:formatCode>
                <c:ptCount val="7"/>
                <c:pt idx="0">
                  <c:v>167.09646364491337</c:v>
                </c:pt>
                <c:pt idx="1">
                  <c:v>1236.2324642605165</c:v>
                </c:pt>
                <c:pt idx="2">
                  <c:v>2259.2150415657093</c:v>
                </c:pt>
                <c:pt idx="3">
                  <c:v>4399.4552989934637</c:v>
                </c:pt>
                <c:pt idx="4">
                  <c:v>8203.151230547177</c:v>
                </c:pt>
                <c:pt idx="5">
                  <c:v>16396.686113998003</c:v>
                </c:pt>
                <c:pt idx="6">
                  <c:v>22937.484673358962</c:v>
                </c:pt>
              </c:numCache>
            </c:numRef>
          </c:val>
        </c:ser>
        <c:ser>
          <c:idx val="6"/>
          <c:order val="6"/>
          <c:tx>
            <c:strRef>
              <c:f>ChartData!$A$35</c:f>
              <c:strCache>
                <c:ptCount val="1"/>
                <c:pt idx="0">
                  <c:v>Other Clean Energy</c:v>
                </c:pt>
              </c:strCache>
            </c:strRef>
          </c:tx>
          <c:spPr>
            <a:solidFill>
              <a:srgbClr val="008060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ChartData!$B$35:$H$35</c:f>
              <c:numCache>
                <c:formatCode>_(* #,##0.00_);_(* \(#,##0.00\);_(* "-"??_);_(@_)</c:formatCode>
                <c:ptCount val="7"/>
                <c:pt idx="0">
                  <c:v>8.4274459999999998</c:v>
                </c:pt>
                <c:pt idx="1">
                  <c:v>8.4274459999999998</c:v>
                </c:pt>
                <c:pt idx="2">
                  <c:v>113.7962712554733</c:v>
                </c:pt>
                <c:pt idx="3">
                  <c:v>113.7962712554733</c:v>
                </c:pt>
                <c:pt idx="4">
                  <c:v>127.44701863460598</c:v>
                </c:pt>
                <c:pt idx="5">
                  <c:v>127.44701863460598</c:v>
                </c:pt>
                <c:pt idx="6">
                  <c:v>148.90639286286338</c:v>
                </c:pt>
              </c:numCache>
            </c:numRef>
          </c:val>
        </c:ser>
        <c:ser>
          <c:idx val="7"/>
          <c:order val="7"/>
          <c:tx>
            <c:strRef>
              <c:f>ChartData!$A$36</c:f>
              <c:strCache>
                <c:ptCount val="1"/>
                <c:pt idx="0">
                  <c:v>Small Scale Dist.</c:v>
                </c:pt>
              </c:strCache>
            </c:strRef>
          </c:tx>
          <c:spPr>
            <a:solidFill>
              <a:srgbClr val="00C78B"/>
            </a:solidFill>
            <a:ln w="12700">
              <a:solidFill>
                <a:srgbClr val="C0C0C0"/>
              </a:solidFill>
            </a:ln>
          </c:spPr>
          <c:invertIfNegative val="0"/>
          <c:cat>
            <c:numRef>
              <c:f>ChartData!$B$28:$H$28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cat>
          <c:val>
            <c:numRef>
              <c:f>ChartData!$B$36:$H$36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440986624"/>
        <c:axId val="440877824"/>
      </c:barChart>
      <c:catAx>
        <c:axId val="44098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0877824"/>
        <c:crosses val="autoZero"/>
        <c:auto val="1"/>
        <c:lblAlgn val="ctr"/>
        <c:lblOffset val="100"/>
        <c:tickLblSkip val="1"/>
        <c:noMultiLvlLbl val="0"/>
      </c:catAx>
      <c:valAx>
        <c:axId val="440877824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crossAx val="440986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solidFill>
            <a:sysClr val="windowText" lastClr="000000"/>
          </a:solidFill>
          <a:latin typeface="+mn-lt"/>
          <a:cs typeface="Arial" pitchFamily="34" charset="0"/>
        </a:defRPr>
      </a:pPr>
      <a:endParaRPr lang="en-US"/>
    </a:p>
  </c:txPr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bnef.com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hyperlink" Target="http://www5.iadb.org/mif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190499</xdr:colOff>
      <xdr:row>33</xdr:row>
      <xdr:rowOff>123264</xdr:rowOff>
    </xdr:from>
    <xdr:to>
      <xdr:col>15</xdr:col>
      <xdr:colOff>67235</xdr:colOff>
      <xdr:row>60</xdr:row>
      <xdr:rowOff>44824</xdr:rowOff>
    </xdr:to>
    <xdr:graphicFrame macro="">
      <xdr:nvGraphicFramePr>
        <xdr:cNvPr id="3" name="Chart_Scor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171817</xdr:colOff>
      <xdr:row>65</xdr:row>
      <xdr:rowOff>78441</xdr:rowOff>
    </xdr:from>
    <xdr:to>
      <xdr:col>14</xdr:col>
      <xdr:colOff>1236936</xdr:colOff>
      <xdr:row>68</xdr:row>
      <xdr:rowOff>102534</xdr:rowOff>
    </xdr:to>
    <xdr:pic>
      <xdr:nvPicPr>
        <xdr:cNvPr id="8" name="Picture 7" descr="bnef_white.png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48464" y="7698441"/>
          <a:ext cx="2409825" cy="561975"/>
        </a:xfrm>
        <a:prstGeom prst="rect">
          <a:avLst/>
        </a:prstGeom>
      </xdr:spPr>
    </xdr:pic>
    <xdr:clientData/>
  </xdr:twoCellAnchor>
  <xdr:twoCellAnchor editAs="oneCell">
    <xdr:from>
      <xdr:col>1</xdr:col>
      <xdr:colOff>139875</xdr:colOff>
      <xdr:row>64</xdr:row>
      <xdr:rowOff>112059</xdr:rowOff>
    </xdr:from>
    <xdr:to>
      <xdr:col>3</xdr:col>
      <xdr:colOff>762000</xdr:colOff>
      <xdr:row>69</xdr:row>
      <xdr:rowOff>87175</xdr:rowOff>
    </xdr:to>
    <xdr:pic>
      <xdr:nvPicPr>
        <xdr:cNvPr id="5" name="Picture 4" descr="Fomin_neg_English_2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1581" y="7552765"/>
          <a:ext cx="1417743" cy="8715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84044</xdr:colOff>
          <xdr:row>30</xdr:row>
          <xdr:rowOff>61071</xdr:rowOff>
        </xdr:from>
        <xdr:to>
          <xdr:col>5</xdr:col>
          <xdr:colOff>26894</xdr:colOff>
          <xdr:row>32</xdr:row>
          <xdr:rowOff>99731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654424</xdr:colOff>
          <xdr:row>30</xdr:row>
          <xdr:rowOff>72277</xdr:rowOff>
        </xdr:from>
        <xdr:to>
          <xdr:col>15</xdr:col>
          <xdr:colOff>147358</xdr:colOff>
          <xdr:row>32</xdr:row>
          <xdr:rowOff>91887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Country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638736</xdr:colOff>
          <xdr:row>61</xdr:row>
          <xdr:rowOff>66675</xdr:rowOff>
        </xdr:from>
        <xdr:to>
          <xdr:col>15</xdr:col>
          <xdr:colOff>133350</xdr:colOff>
          <xdr:row>63</xdr:row>
          <xdr:rowOff>85725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84044</xdr:colOff>
          <xdr:row>61</xdr:row>
          <xdr:rowOff>54344</xdr:rowOff>
        </xdr:from>
        <xdr:to>
          <xdr:col>3</xdr:col>
          <xdr:colOff>1317251</xdr:colOff>
          <xdr:row>63</xdr:row>
          <xdr:rowOff>93004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1383926</xdr:colOff>
          <xdr:row>61</xdr:row>
          <xdr:rowOff>54344</xdr:rowOff>
        </xdr:from>
        <xdr:to>
          <xdr:col>4</xdr:col>
          <xdr:colOff>1533525</xdr:colOff>
          <xdr:row>63</xdr:row>
          <xdr:rowOff>93004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166688</xdr:colOff>
      <xdr:row>112</xdr:row>
      <xdr:rowOff>35720</xdr:rowOff>
    </xdr:from>
    <xdr:to>
      <xdr:col>3</xdr:col>
      <xdr:colOff>1357313</xdr:colOff>
      <xdr:row>128</xdr:row>
      <xdr:rowOff>11906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166688</xdr:colOff>
      <xdr:row>138</xdr:row>
      <xdr:rowOff>71438</xdr:rowOff>
    </xdr:from>
    <xdr:to>
      <xdr:col>3</xdr:col>
      <xdr:colOff>1309688</xdr:colOff>
      <xdr:row>153</xdr:row>
      <xdr:rowOff>130968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154783</xdr:colOff>
      <xdr:row>173</xdr:row>
      <xdr:rowOff>47624</xdr:rowOff>
    </xdr:from>
    <xdr:to>
      <xdr:col>3</xdr:col>
      <xdr:colOff>1309689</xdr:colOff>
      <xdr:row>188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441512</xdr:colOff>
          <xdr:row>25</xdr:row>
          <xdr:rowOff>71158</xdr:rowOff>
        </xdr:from>
        <xdr:to>
          <xdr:col>13</xdr:col>
          <xdr:colOff>393887</xdr:colOff>
          <xdr:row>28</xdr:row>
          <xdr:rowOff>78443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25213</xdr:colOff>
          <xdr:row>25</xdr:row>
          <xdr:rowOff>64994</xdr:rowOff>
        </xdr:from>
        <xdr:to>
          <xdr:col>10</xdr:col>
          <xdr:colOff>355787</xdr:colOff>
          <xdr:row>28</xdr:row>
          <xdr:rowOff>89647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 Weights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198482</xdr:colOff>
      <xdr:row>0</xdr:row>
      <xdr:rowOff>95952</xdr:rowOff>
    </xdr:from>
    <xdr:to>
      <xdr:col>17</xdr:col>
      <xdr:colOff>481853</xdr:colOff>
      <xdr:row>1</xdr:row>
      <xdr:rowOff>175323</xdr:rowOff>
    </xdr:to>
    <xdr:pic>
      <xdr:nvPicPr>
        <xdr:cNvPr id="2" name="Picture 1" descr="bnef_white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15570" y="95952"/>
          <a:ext cx="1493607" cy="3483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12606</xdr:colOff>
      <xdr:row>0</xdr:row>
      <xdr:rowOff>84745</xdr:rowOff>
    </xdr:from>
    <xdr:to>
      <xdr:col>12</xdr:col>
      <xdr:colOff>739588</xdr:colOff>
      <xdr:row>1</xdr:row>
      <xdr:rowOff>183943</xdr:rowOff>
    </xdr:to>
    <xdr:pic>
      <xdr:nvPicPr>
        <xdr:cNvPr id="2" name="Picture 1" descr="bnef_white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1253" y="84745"/>
          <a:ext cx="1578629" cy="36813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1290779</xdr:colOff>
      <xdr:row>0</xdr:row>
      <xdr:rowOff>94551</xdr:rowOff>
    </xdr:from>
    <xdr:to>
      <xdr:col>7</xdr:col>
      <xdr:colOff>549090</xdr:colOff>
      <xdr:row>1</xdr:row>
      <xdr:rowOff>170066</xdr:rowOff>
    </xdr:to>
    <xdr:pic>
      <xdr:nvPicPr>
        <xdr:cNvPr id="2" name="Picture 1" descr="bnef_white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5691" y="94551"/>
          <a:ext cx="1477075" cy="3444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460702</xdr:colOff>
      <xdr:row>0</xdr:row>
      <xdr:rowOff>94551</xdr:rowOff>
    </xdr:from>
    <xdr:to>
      <xdr:col>10</xdr:col>
      <xdr:colOff>593912</xdr:colOff>
      <xdr:row>1</xdr:row>
      <xdr:rowOff>185942</xdr:rowOff>
    </xdr:to>
    <xdr:pic>
      <xdr:nvPicPr>
        <xdr:cNvPr id="2" name="Picture 1" descr="bnef_white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9143" y="94551"/>
          <a:ext cx="1545151" cy="36033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26616</xdr:colOff>
      <xdr:row>0</xdr:row>
      <xdr:rowOff>105757</xdr:rowOff>
    </xdr:from>
    <xdr:to>
      <xdr:col>25</xdr:col>
      <xdr:colOff>918884</xdr:colOff>
      <xdr:row>1</xdr:row>
      <xdr:rowOff>180782</xdr:rowOff>
    </xdr:to>
    <xdr:pic>
      <xdr:nvPicPr>
        <xdr:cNvPr id="2" name="Picture 1" descr="bnef_white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6204" y="105757"/>
          <a:ext cx="1474974" cy="343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2:V128"/>
  <sheetViews>
    <sheetView showGridLines="0" tabSelected="1" zoomScale="85" zoomScaleNormal="85" zoomScalePageLayoutView="80" workbookViewId="0">
      <pane ySplit="33" topLeftCell="A34" activePane="bottomLeft" state="frozen"/>
      <selection pane="bottomLeft" activeCell="N89" sqref="N89"/>
    </sheetView>
  </sheetViews>
  <sheetFormatPr defaultColWidth="8.85546875" defaultRowHeight="14.25" outlineLevelRow="1" x14ac:dyDescent="0.2"/>
  <cols>
    <col min="1" max="1" width="3" style="139" customWidth="1"/>
    <col min="2" max="2" width="5.140625" style="139" customWidth="1"/>
    <col min="3" max="3" width="6.7109375" style="139" customWidth="1"/>
    <col min="4" max="4" width="27.85546875" style="139" customWidth="1"/>
    <col min="5" max="5" width="23" style="142" bestFit="1" customWidth="1"/>
    <col min="6" max="6" width="13.140625" style="143" customWidth="1"/>
    <col min="7" max="11" width="13.28515625" style="139" customWidth="1"/>
    <col min="12" max="12" width="10.28515625" style="139" customWidth="1"/>
    <col min="13" max="13" width="10.7109375" style="139" customWidth="1"/>
    <col min="14" max="14" width="9.42578125" style="139" customWidth="1"/>
    <col min="15" max="15" width="19.28515625" style="139" customWidth="1"/>
    <col min="16" max="16" width="3.140625" style="139" customWidth="1"/>
    <col min="17" max="17" width="17.140625" style="139" bestFit="1" customWidth="1"/>
    <col min="18" max="19" width="10.85546875" style="139" bestFit="1" customWidth="1"/>
    <col min="20" max="20" width="8.5703125" style="139" bestFit="1" customWidth="1"/>
    <col min="21" max="22" width="8.85546875" style="139" customWidth="1"/>
    <col min="23" max="16384" width="8.85546875" style="139"/>
  </cols>
  <sheetData>
    <row r="2" spans="2:16" s="749" customFormat="1" ht="33.75" x14ac:dyDescent="0.2">
      <c r="B2" s="789" t="s">
        <v>1719</v>
      </c>
      <c r="C2" s="833"/>
      <c r="D2" s="790"/>
      <c r="E2" s="790"/>
      <c r="F2" s="790"/>
      <c r="G2" s="790"/>
      <c r="H2" s="790"/>
      <c r="I2" s="790"/>
      <c r="J2" s="790"/>
      <c r="K2" s="790"/>
      <c r="L2" s="790"/>
      <c r="M2" s="790"/>
      <c r="N2" s="790"/>
      <c r="O2" s="790"/>
      <c r="P2" s="791"/>
    </row>
    <row r="3" spans="2:16" s="968" customFormat="1" ht="12.75" collapsed="1" x14ac:dyDescent="0.2">
      <c r="B3" s="985" t="s">
        <v>3328</v>
      </c>
      <c r="C3" s="986"/>
      <c r="D3" s="987"/>
      <c r="E3" s="987"/>
      <c r="F3" s="987"/>
      <c r="G3" s="987"/>
      <c r="H3" s="987"/>
      <c r="I3" s="987"/>
      <c r="J3" s="987"/>
      <c r="K3" s="988"/>
      <c r="L3" s="988"/>
      <c r="M3" s="988"/>
      <c r="N3" s="987"/>
      <c r="O3" s="987"/>
      <c r="P3" s="989"/>
    </row>
    <row r="4" spans="2:16" s="972" customFormat="1" ht="12.75" hidden="1" outlineLevel="1" x14ac:dyDescent="0.2">
      <c r="B4" s="969" t="s">
        <v>3323</v>
      </c>
      <c r="C4" s="970"/>
      <c r="D4" s="970"/>
      <c r="E4" s="970"/>
      <c r="F4" s="970"/>
      <c r="G4" s="970"/>
      <c r="H4" s="970"/>
      <c r="I4" s="970"/>
      <c r="J4" s="970"/>
      <c r="K4" s="970"/>
      <c r="L4" s="970"/>
      <c r="M4" s="970"/>
      <c r="N4" s="970"/>
      <c r="O4" s="970"/>
      <c r="P4" s="971"/>
    </row>
    <row r="5" spans="2:16" s="972" customFormat="1" ht="12.75" hidden="1" outlineLevel="1" x14ac:dyDescent="0.2">
      <c r="B5" s="973" t="s">
        <v>3343</v>
      </c>
      <c r="C5" s="974"/>
      <c r="D5" s="974"/>
      <c r="E5" s="974"/>
      <c r="F5" s="974"/>
      <c r="G5" s="974"/>
      <c r="H5" s="974"/>
      <c r="I5" s="974"/>
      <c r="J5" s="974"/>
      <c r="K5" s="974"/>
      <c r="L5" s="974"/>
      <c r="M5" s="974"/>
      <c r="N5" s="974"/>
      <c r="O5" s="974"/>
      <c r="P5" s="975"/>
    </row>
    <row r="6" spans="2:16" s="972" customFormat="1" ht="12.75" hidden="1" outlineLevel="1" x14ac:dyDescent="0.2">
      <c r="B6" s="973"/>
      <c r="C6" s="974"/>
      <c r="D6" s="974"/>
      <c r="E6" s="974"/>
      <c r="F6" s="974"/>
      <c r="G6" s="974"/>
      <c r="H6" s="974"/>
      <c r="I6" s="974"/>
      <c r="J6" s="974"/>
      <c r="K6" s="974"/>
      <c r="L6" s="974"/>
      <c r="M6" s="974"/>
      <c r="N6" s="974"/>
      <c r="O6" s="974"/>
      <c r="P6" s="975"/>
    </row>
    <row r="7" spans="2:16" s="972" customFormat="1" ht="12.75" hidden="1" outlineLevel="1" x14ac:dyDescent="0.2">
      <c r="B7" s="976" t="s">
        <v>3342</v>
      </c>
      <c r="C7" s="974"/>
      <c r="D7" s="974"/>
      <c r="E7" s="974"/>
      <c r="F7" s="974"/>
      <c r="G7" s="974"/>
      <c r="H7" s="974"/>
      <c r="I7" s="974"/>
      <c r="J7" s="974"/>
      <c r="K7" s="974"/>
      <c r="L7" s="974"/>
      <c r="M7" s="974"/>
      <c r="N7" s="974"/>
      <c r="O7" s="974"/>
      <c r="P7" s="975"/>
    </row>
    <row r="8" spans="2:16" s="972" customFormat="1" ht="12.75" hidden="1" outlineLevel="1" x14ac:dyDescent="0.2">
      <c r="B8" s="973" t="str">
        <f>"Climatescope scores countries on a 0 to "&amp;dbl_ScoreMax&amp;" scale and is composed of four parameters (see list below) - each of which has a unique weight to the overall final score. See rankings from rows 36 to 62."</f>
        <v>Climatescope scores countries on a 0 to 5 scale and is composed of four parameters (see list below) - each of which has a unique weight to the overall final score. See rankings from rows 36 to 62.</v>
      </c>
      <c r="C8" s="974"/>
      <c r="D8" s="974"/>
      <c r="E8" s="974"/>
      <c r="F8" s="974"/>
      <c r="G8" s="974"/>
      <c r="H8" s="974"/>
      <c r="I8" s="974"/>
      <c r="J8" s="974"/>
      <c r="K8" s="974"/>
      <c r="L8" s="974"/>
      <c r="M8" s="974"/>
      <c r="N8" s="974"/>
      <c r="O8" s="974"/>
      <c r="P8" s="975"/>
    </row>
    <row r="9" spans="2:16" s="972" customFormat="1" ht="12.75" hidden="1" outlineLevel="1" x14ac:dyDescent="0.2">
      <c r="B9" s="973" t="str">
        <f>"The maximum attainable score is "&amp; dbl_ScoreMax&amp; " given the total weight of all parameters and/or categories do not exceed 100%."</f>
        <v>The maximum attainable score is 5 given the total weight of all parameters and/or categories do not exceed 100%.</v>
      </c>
      <c r="C9" s="974"/>
      <c r="D9" s="974"/>
      <c r="E9" s="974"/>
      <c r="F9" s="974"/>
      <c r="G9" s="974"/>
      <c r="H9" s="974"/>
      <c r="I9" s="974"/>
      <c r="J9" s="974"/>
      <c r="K9" s="974"/>
      <c r="L9" s="974"/>
      <c r="M9" s="974"/>
      <c r="N9" s="974"/>
      <c r="O9" s="974"/>
      <c r="P9" s="975"/>
    </row>
    <row r="10" spans="2:16" s="972" customFormat="1" ht="12.75" hidden="1" outlineLevel="1" x14ac:dyDescent="0.2">
      <c r="B10" s="973" t="s">
        <v>3324</v>
      </c>
      <c r="C10" s="977"/>
      <c r="D10" s="974"/>
      <c r="E10" s="974"/>
      <c r="F10" s="974"/>
      <c r="G10" s="974"/>
      <c r="H10" s="974"/>
      <c r="I10" s="974"/>
      <c r="J10" s="974"/>
      <c r="K10" s="974"/>
      <c r="L10" s="974"/>
      <c r="M10" s="974"/>
      <c r="N10" s="974"/>
      <c r="O10" s="974"/>
      <c r="P10" s="975"/>
    </row>
    <row r="11" spans="2:16" s="972" customFormat="1" ht="12.75" hidden="1" outlineLevel="1" x14ac:dyDescent="0.2">
      <c r="B11" s="973" t="s">
        <v>3325</v>
      </c>
      <c r="C11" s="977"/>
      <c r="D11" s="974"/>
      <c r="E11" s="974"/>
      <c r="F11" s="974"/>
      <c r="G11" s="974"/>
      <c r="H11" s="974"/>
      <c r="I11" s="974"/>
      <c r="J11" s="974"/>
      <c r="K11" s="974"/>
      <c r="L11" s="974"/>
      <c r="M11" s="974"/>
      <c r="N11" s="974"/>
      <c r="O11" s="974"/>
      <c r="P11" s="975"/>
    </row>
    <row r="12" spans="2:16" s="972" customFormat="1" ht="12.75" hidden="1" outlineLevel="1" x14ac:dyDescent="0.2">
      <c r="B12" s="973" t="s">
        <v>3326</v>
      </c>
      <c r="C12" s="977"/>
      <c r="D12" s="974"/>
      <c r="E12" s="974"/>
      <c r="F12" s="974"/>
      <c r="G12" s="974"/>
      <c r="H12" s="974"/>
      <c r="I12" s="974"/>
      <c r="J12" s="974"/>
      <c r="K12" s="974"/>
      <c r="L12" s="974"/>
      <c r="M12" s="974"/>
      <c r="N12" s="974"/>
      <c r="O12" s="974"/>
      <c r="P12" s="975"/>
    </row>
    <row r="13" spans="2:16" s="972" customFormat="1" ht="12.75" hidden="1" outlineLevel="1" x14ac:dyDescent="0.2">
      <c r="B13" s="973" t="s">
        <v>3339</v>
      </c>
      <c r="C13" s="977"/>
      <c r="D13" s="974"/>
      <c r="E13" s="974"/>
      <c r="F13" s="974"/>
      <c r="G13" s="974"/>
      <c r="H13" s="974"/>
      <c r="I13" s="974"/>
      <c r="J13" s="974"/>
      <c r="K13" s="974"/>
      <c r="L13" s="974"/>
      <c r="M13" s="974"/>
      <c r="N13" s="974"/>
      <c r="O13" s="974"/>
      <c r="P13" s="975"/>
    </row>
    <row r="14" spans="2:16" s="972" customFormat="1" ht="12.75" hidden="1" outlineLevel="1" x14ac:dyDescent="0.2">
      <c r="B14" s="973" t="s">
        <v>1526</v>
      </c>
      <c r="C14" s="974"/>
      <c r="D14" s="974"/>
      <c r="E14" s="974"/>
      <c r="F14" s="974"/>
      <c r="G14" s="974"/>
      <c r="H14" s="974"/>
      <c r="I14" s="974"/>
      <c r="J14" s="974"/>
      <c r="K14" s="974"/>
      <c r="L14" s="974"/>
      <c r="M14" s="974"/>
      <c r="N14" s="974"/>
      <c r="O14" s="974"/>
      <c r="P14" s="975"/>
    </row>
    <row r="15" spans="2:16" s="972" customFormat="1" ht="12.75" hidden="1" outlineLevel="1" x14ac:dyDescent="0.2">
      <c r="B15" s="976" t="s">
        <v>3328</v>
      </c>
      <c r="C15" s="978"/>
      <c r="D15" s="974"/>
      <c r="E15" s="974"/>
      <c r="F15" s="974"/>
      <c r="G15" s="974"/>
      <c r="H15" s="974"/>
      <c r="I15" s="974"/>
      <c r="J15" s="974"/>
      <c r="K15" s="974"/>
      <c r="L15" s="974"/>
      <c r="M15" s="974"/>
      <c r="N15" s="974"/>
      <c r="O15" s="974"/>
      <c r="P15" s="975"/>
    </row>
    <row r="16" spans="2:16" s="972" customFormat="1" ht="12.75" hidden="1" outlineLevel="1" x14ac:dyDescent="0.2">
      <c r="B16" s="973" t="s">
        <v>3340</v>
      </c>
      <c r="C16" s="977"/>
      <c r="D16" s="974"/>
      <c r="E16" s="974"/>
      <c r="F16" s="974"/>
      <c r="G16" s="974"/>
      <c r="H16" s="974"/>
      <c r="I16" s="974"/>
      <c r="J16" s="974"/>
      <c r="K16" s="974"/>
      <c r="L16" s="974"/>
      <c r="M16" s="974"/>
      <c r="N16" s="974"/>
      <c r="O16" s="974"/>
      <c r="P16" s="975"/>
    </row>
    <row r="17" spans="2:16" s="972" customFormat="1" ht="12.75" hidden="1" outlineLevel="1" x14ac:dyDescent="0.2">
      <c r="B17" s="973" t="s">
        <v>3344</v>
      </c>
      <c r="C17" s="977"/>
      <c r="D17" s="974"/>
      <c r="E17" s="974"/>
      <c r="F17" s="974"/>
      <c r="G17" s="974"/>
      <c r="H17" s="974"/>
      <c r="I17" s="974"/>
      <c r="J17" s="974"/>
      <c r="K17" s="974"/>
      <c r="L17" s="974"/>
      <c r="M17" s="974"/>
      <c r="N17" s="974"/>
      <c r="O17" s="974"/>
      <c r="P17" s="975"/>
    </row>
    <row r="18" spans="2:16" s="972" customFormat="1" ht="12.75" hidden="1" outlineLevel="1" x14ac:dyDescent="0.2">
      <c r="B18" s="973" t="s">
        <v>3345</v>
      </c>
      <c r="C18" s="977"/>
      <c r="D18" s="974"/>
      <c r="E18" s="974"/>
      <c r="F18" s="974"/>
      <c r="G18" s="974"/>
      <c r="H18" s="974"/>
      <c r="I18" s="974"/>
      <c r="J18" s="974"/>
      <c r="K18" s="974"/>
      <c r="L18" s="974"/>
      <c r="M18" s="974"/>
      <c r="N18" s="974"/>
      <c r="O18" s="974"/>
      <c r="P18" s="975"/>
    </row>
    <row r="19" spans="2:16" s="972" customFormat="1" ht="12.75" hidden="1" outlineLevel="1" x14ac:dyDescent="0.2">
      <c r="B19" s="973" t="s">
        <v>3346</v>
      </c>
      <c r="C19" s="977"/>
      <c r="D19" s="974"/>
      <c r="E19" s="974"/>
      <c r="F19" s="974"/>
      <c r="G19" s="974"/>
      <c r="H19" s="974"/>
      <c r="I19" s="974"/>
      <c r="J19" s="974"/>
      <c r="K19" s="974"/>
      <c r="L19" s="974"/>
      <c r="M19" s="974"/>
      <c r="N19" s="974"/>
      <c r="O19" s="974"/>
      <c r="P19" s="975"/>
    </row>
    <row r="20" spans="2:16" s="972" customFormat="1" ht="12.75" hidden="1" outlineLevel="1" x14ac:dyDescent="0.2">
      <c r="B20" s="973" t="s">
        <v>3353</v>
      </c>
      <c r="C20" s="977"/>
      <c r="D20" s="974"/>
      <c r="E20" s="974"/>
      <c r="F20" s="974"/>
      <c r="G20" s="974"/>
      <c r="H20" s="974"/>
      <c r="I20" s="974"/>
      <c r="J20" s="974"/>
      <c r="K20" s="974"/>
      <c r="L20" s="974"/>
      <c r="M20" s="974"/>
      <c r="N20" s="974"/>
      <c r="O20" s="974"/>
      <c r="P20" s="975"/>
    </row>
    <row r="21" spans="2:16" s="972" customFormat="1" ht="12.75" hidden="1" outlineLevel="1" x14ac:dyDescent="0.2">
      <c r="B21" s="973"/>
      <c r="C21" s="977"/>
      <c r="D21" s="974"/>
      <c r="E21" s="974"/>
      <c r="F21" s="974"/>
      <c r="G21" s="974"/>
      <c r="H21" s="974"/>
      <c r="I21" s="974"/>
      <c r="J21" s="974"/>
      <c r="K21" s="974"/>
      <c r="L21" s="974"/>
      <c r="M21" s="974"/>
      <c r="N21" s="974"/>
      <c r="O21" s="974"/>
      <c r="P21" s="975"/>
    </row>
    <row r="22" spans="2:16" s="968" customFormat="1" ht="12.75" hidden="1" outlineLevel="1" x14ac:dyDescent="0.2">
      <c r="B22" s="985" t="s">
        <v>3327</v>
      </c>
      <c r="C22" s="986"/>
      <c r="D22" s="987"/>
      <c r="E22" s="987"/>
      <c r="F22" s="987"/>
      <c r="G22" s="987"/>
      <c r="H22" s="987"/>
      <c r="I22" s="987"/>
      <c r="J22" s="987"/>
      <c r="K22" s="988"/>
      <c r="L22" s="988"/>
      <c r="M22" s="988"/>
      <c r="N22" s="987"/>
      <c r="O22" s="987"/>
      <c r="P22" s="989"/>
    </row>
    <row r="23" spans="2:16" s="140" customFormat="1" ht="12.75" x14ac:dyDescent="0.2">
      <c r="B23" s="837"/>
      <c r="C23" s="838"/>
      <c r="D23" s="839"/>
      <c r="E23" s="839"/>
      <c r="F23" s="839"/>
      <c r="G23" s="839"/>
      <c r="H23" s="839"/>
      <c r="I23" s="839"/>
      <c r="J23" s="839"/>
      <c r="K23" s="840"/>
      <c r="L23" s="840"/>
      <c r="M23" s="840"/>
      <c r="N23" s="839"/>
      <c r="O23" s="839"/>
      <c r="P23" s="841"/>
    </row>
    <row r="24" spans="2:16" s="141" customFormat="1" x14ac:dyDescent="0.2">
      <c r="B24" s="244" t="s">
        <v>60</v>
      </c>
      <c r="C24" s="192"/>
      <c r="D24" s="192"/>
      <c r="E24" s="194" t="str">
        <f>"WEIGHT ("&amp;TEXT(dbl_DBWeightP1+dbl_DBWeightP2+dbl_DBWeightP3+dbl_DBWeightP4, "0%")&amp;")"</f>
        <v>WEIGHT (100%)</v>
      </c>
      <c r="F24" s="159"/>
      <c r="G24" s="832"/>
      <c r="H24" s="832"/>
      <c r="I24" s="832"/>
      <c r="J24" s="748"/>
      <c r="K24" s="159"/>
      <c r="L24" s="528"/>
      <c r="M24" s="528"/>
      <c r="N24" s="159"/>
      <c r="O24" s="750" t="s">
        <v>3310</v>
      </c>
      <c r="P24" s="245"/>
    </row>
    <row r="25" spans="2:16" s="141" customFormat="1" x14ac:dyDescent="0.2">
      <c r="B25" s="244" t="s">
        <v>3318</v>
      </c>
      <c r="C25" s="633"/>
      <c r="D25" s="633"/>
      <c r="E25" s="858" t="s">
        <v>1727</v>
      </c>
      <c r="F25" s="159"/>
      <c r="G25" s="832"/>
      <c r="H25" s="832"/>
      <c r="I25" s="832"/>
      <c r="J25" s="748"/>
      <c r="K25" s="159"/>
      <c r="L25" s="528"/>
      <c r="M25" s="528"/>
      <c r="N25" s="159"/>
      <c r="O25" s="752" t="s">
        <v>1661</v>
      </c>
      <c r="P25" s="245"/>
    </row>
    <row r="26" spans="2:16" s="141" customFormat="1" x14ac:dyDescent="0.2">
      <c r="B26" s="529" t="s">
        <v>1666</v>
      </c>
      <c r="C26" s="530"/>
      <c r="D26" s="193"/>
      <c r="E26" s="751">
        <v>0.4</v>
      </c>
      <c r="F26" s="159"/>
      <c r="G26" s="832"/>
      <c r="H26" s="832"/>
      <c r="I26" s="804"/>
      <c r="J26" s="159"/>
      <c r="K26" s="159"/>
      <c r="L26" s="528"/>
      <c r="M26" s="528"/>
      <c r="N26" s="159"/>
      <c r="O26" s="753" t="s">
        <v>1662</v>
      </c>
      <c r="P26" s="245"/>
    </row>
    <row r="27" spans="2:16" s="141" customFormat="1" x14ac:dyDescent="0.2">
      <c r="B27" s="529" t="s">
        <v>1667</v>
      </c>
      <c r="C27" s="530"/>
      <c r="D27" s="193"/>
      <c r="E27" s="751">
        <v>0.3</v>
      </c>
      <c r="F27" s="159"/>
      <c r="G27" s="832"/>
      <c r="H27" s="832"/>
      <c r="I27" s="832"/>
      <c r="J27" s="159"/>
      <c r="K27" s="159"/>
      <c r="L27" s="528"/>
      <c r="M27" s="528"/>
      <c r="N27" s="159"/>
      <c r="O27" s="754" t="s">
        <v>1663</v>
      </c>
      <c r="P27" s="245"/>
    </row>
    <row r="28" spans="2:16" s="141" customFormat="1" ht="12.75" x14ac:dyDescent="0.2">
      <c r="B28" s="529" t="s">
        <v>1668</v>
      </c>
      <c r="C28" s="530"/>
      <c r="D28" s="193"/>
      <c r="E28" s="751">
        <v>0.1</v>
      </c>
      <c r="F28" s="159"/>
      <c r="G28" s="159"/>
      <c r="H28" s="159"/>
      <c r="I28" s="159"/>
      <c r="J28" s="159"/>
      <c r="K28" s="159"/>
      <c r="L28" s="528"/>
      <c r="M28" s="528"/>
      <c r="N28" s="159"/>
      <c r="O28" s="755" t="s">
        <v>1664</v>
      </c>
      <c r="P28" s="245"/>
    </row>
    <row r="29" spans="2:16" s="141" customFormat="1" ht="12.75" x14ac:dyDescent="0.2">
      <c r="B29" s="529" t="s">
        <v>3284</v>
      </c>
      <c r="C29" s="530"/>
      <c r="D29" s="193"/>
      <c r="E29" s="751">
        <v>0.2</v>
      </c>
      <c r="F29" s="159"/>
      <c r="G29" s="159"/>
      <c r="H29" s="159"/>
      <c r="I29" s="159"/>
      <c r="J29" s="159"/>
      <c r="K29" s="159"/>
      <c r="L29" s="528"/>
      <c r="M29" s="528"/>
      <c r="N29" s="159"/>
      <c r="O29" s="756" t="s">
        <v>1665</v>
      </c>
      <c r="P29" s="245"/>
    </row>
    <row r="30" spans="2:16" s="141" customFormat="1" ht="12.75" x14ac:dyDescent="0.2">
      <c r="B30" s="843"/>
      <c r="C30" s="842"/>
      <c r="D30" s="842"/>
      <c r="E30" s="842"/>
      <c r="F30" s="842"/>
      <c r="G30" s="159"/>
      <c r="H30" s="159"/>
      <c r="I30" s="159"/>
      <c r="J30" s="159"/>
      <c r="K30" s="159"/>
      <c r="L30" s="842"/>
      <c r="M30" s="842"/>
      <c r="N30" s="842"/>
      <c r="O30" s="842"/>
      <c r="P30" s="757"/>
    </row>
    <row r="31" spans="2:16" s="141" customFormat="1" ht="12.75" x14ac:dyDescent="0.2">
      <c r="B31" s="823"/>
      <c r="C31" s="824"/>
      <c r="D31" s="824"/>
      <c r="E31" s="824"/>
      <c r="F31" s="824"/>
      <c r="G31" s="824"/>
      <c r="H31" s="824"/>
      <c r="I31" s="824"/>
      <c r="J31" s="824"/>
      <c r="K31" s="824"/>
      <c r="L31" s="824"/>
      <c r="M31" s="824"/>
      <c r="N31" s="824"/>
      <c r="O31" s="824"/>
      <c r="P31" s="825"/>
    </row>
    <row r="32" spans="2:16" s="141" customFormat="1" ht="12.75" x14ac:dyDescent="0.2">
      <c r="B32" s="826"/>
      <c r="C32" s="827"/>
      <c r="D32" s="827"/>
      <c r="E32" s="827"/>
      <c r="F32" s="827"/>
      <c r="G32" s="827"/>
      <c r="H32" s="827"/>
      <c r="I32" s="827"/>
      <c r="J32" s="827"/>
      <c r="K32" s="827"/>
      <c r="L32" s="827"/>
      <c r="M32" s="827"/>
      <c r="N32" s="827"/>
      <c r="O32" s="827"/>
      <c r="P32" s="828"/>
    </row>
    <row r="33" spans="2:22" s="141" customFormat="1" ht="12.75" x14ac:dyDescent="0.2">
      <c r="B33" s="829"/>
      <c r="C33" s="830"/>
      <c r="D33" s="830"/>
      <c r="E33" s="830"/>
      <c r="F33" s="830"/>
      <c r="G33" s="830"/>
      <c r="H33" s="830"/>
      <c r="I33" s="830"/>
      <c r="J33" s="830"/>
      <c r="K33" s="830"/>
      <c r="L33" s="830"/>
      <c r="M33" s="830"/>
      <c r="N33" s="830"/>
      <c r="O33" s="830"/>
      <c r="P33" s="831"/>
    </row>
    <row r="34" spans="2:22" s="192" customFormat="1" ht="12.75" x14ac:dyDescent="0.2">
      <c r="B34" s="632" t="s">
        <v>3308</v>
      </c>
      <c r="C34" s="868" t="str">
        <f>IF(str_WeightScenario="Custom", "", "∆ 2012")</f>
        <v>∆ 2012</v>
      </c>
      <c r="D34" s="192" t="s">
        <v>3309</v>
      </c>
      <c r="E34" s="194" t="str">
        <f>"CLIMATESCOPE " &amp; int_Year + 1 &amp; " SCORES"</f>
        <v>CLIMATESCOPE 2013 SCORES</v>
      </c>
      <c r="L34" s="526"/>
      <c r="M34" s="526"/>
      <c r="N34" s="526"/>
      <c r="O34" s="526"/>
      <c r="P34" s="247"/>
    </row>
    <row r="35" spans="2:22" s="141" customFormat="1" ht="12.75" x14ac:dyDescent="0.2">
      <c r="B35" s="836">
        <f t="shared" ref="B35:B60" si="0">RANK(E35, $E$35:$E$60)</f>
        <v>1</v>
      </c>
      <c r="C35" s="844">
        <f>IF(str_WeightScenario="Custom", "", RANK(ChartData!J58, ChartData!$J$58:$J$83)-B35)</f>
        <v>0</v>
      </c>
      <c r="D35" s="195" t="s">
        <v>31</v>
      </c>
      <c r="E35" s="835">
        <v>2.4727326749130318</v>
      </c>
      <c r="L35" s="528"/>
      <c r="M35" s="528"/>
      <c r="N35" s="159"/>
      <c r="O35" s="159"/>
      <c r="P35" s="245"/>
      <c r="Q35" s="159"/>
      <c r="R35" s="159"/>
      <c r="S35" s="159"/>
      <c r="T35" s="159"/>
      <c r="U35" s="159"/>
      <c r="V35" s="159"/>
    </row>
    <row r="36" spans="2:22" s="141" customFormat="1" ht="12.75" x14ac:dyDescent="0.2">
      <c r="B36" s="836">
        <f t="shared" si="0"/>
        <v>2</v>
      </c>
      <c r="C36" s="844">
        <f>IF(str_WeightScenario="Custom", "", RANK(ChartData!J59, ChartData!$J$58:$J$83)-B36)</f>
        <v>3</v>
      </c>
      <c r="D36" s="195" t="s">
        <v>8</v>
      </c>
      <c r="E36" s="835">
        <v>2.4094666752634253</v>
      </c>
      <c r="L36" s="528"/>
      <c r="M36" s="528"/>
      <c r="N36" s="159"/>
      <c r="O36" s="159"/>
      <c r="P36" s="245"/>
      <c r="Q36" s="159"/>
      <c r="R36" s="159"/>
      <c r="S36" s="159"/>
      <c r="T36" s="159"/>
      <c r="U36" s="159"/>
      <c r="V36" s="159"/>
    </row>
    <row r="37" spans="2:22" s="141" customFormat="1" ht="12.75" x14ac:dyDescent="0.2">
      <c r="B37" s="836">
        <f t="shared" si="0"/>
        <v>3</v>
      </c>
      <c r="C37" s="844">
        <f>IF(str_WeightScenario="Custom", "", RANK(ChartData!J60, ChartData!$J$58:$J$83)-B37)</f>
        <v>-1</v>
      </c>
      <c r="D37" s="195" t="s">
        <v>2</v>
      </c>
      <c r="E37" s="835">
        <v>2.2582408765252313</v>
      </c>
      <c r="L37" s="528"/>
      <c r="M37" s="528"/>
      <c r="N37" s="159"/>
      <c r="O37" s="159"/>
      <c r="P37" s="245"/>
      <c r="Q37" s="159"/>
      <c r="R37" s="159"/>
      <c r="S37" s="159"/>
      <c r="T37" s="159"/>
      <c r="U37" s="159"/>
      <c r="V37" s="159"/>
    </row>
    <row r="38" spans="2:22" s="141" customFormat="1" ht="12.75" x14ac:dyDescent="0.2">
      <c r="B38" s="836">
        <f t="shared" si="0"/>
        <v>4</v>
      </c>
      <c r="C38" s="844">
        <f>IF(str_WeightScenario="Custom", "", RANK(ChartData!J61, ChartData!$J$58:$J$83)-B38)</f>
        <v>0</v>
      </c>
      <c r="D38" s="195" t="s">
        <v>20</v>
      </c>
      <c r="E38" s="835">
        <v>2.2513997144899829</v>
      </c>
      <c r="L38" s="528"/>
      <c r="M38" s="528"/>
      <c r="N38" s="159"/>
      <c r="O38" s="159"/>
      <c r="P38" s="245"/>
      <c r="Q38" s="159"/>
      <c r="R38" s="159"/>
      <c r="S38" s="159"/>
      <c r="T38" s="159"/>
      <c r="U38" s="159"/>
      <c r="V38" s="159"/>
    </row>
    <row r="39" spans="2:22" s="141" customFormat="1" ht="12.75" x14ac:dyDescent="0.2">
      <c r="B39" s="836">
        <f t="shared" si="0"/>
        <v>5</v>
      </c>
      <c r="C39" s="844">
        <f>IF(str_WeightScenario="Custom", "", RANK(ChartData!J62, ChartData!$J$58:$J$83)-B39)</f>
        <v>1</v>
      </c>
      <c r="D39" s="195" t="s">
        <v>18</v>
      </c>
      <c r="E39" s="835">
        <v>2.1895912454456359</v>
      </c>
      <c r="L39" s="528"/>
      <c r="M39" s="528"/>
      <c r="N39" s="159"/>
      <c r="O39" s="159"/>
      <c r="P39" s="245"/>
      <c r="Q39" s="159"/>
      <c r="R39" s="159"/>
      <c r="S39" s="159"/>
      <c r="T39" s="159"/>
      <c r="U39" s="159"/>
      <c r="V39" s="159"/>
    </row>
    <row r="40" spans="2:22" s="141" customFormat="1" ht="12.75" x14ac:dyDescent="0.2">
      <c r="B40" s="836">
        <f t="shared" si="0"/>
        <v>6</v>
      </c>
      <c r="C40" s="844">
        <f>IF(str_WeightScenario="Custom", "", RANK(ChartData!J63, ChartData!$J$58:$J$83)-B40)</f>
        <v>4</v>
      </c>
      <c r="D40" s="195" t="s">
        <v>22</v>
      </c>
      <c r="E40" s="835">
        <v>1.6663378644286779</v>
      </c>
      <c r="L40" s="528"/>
      <c r="M40" s="528"/>
      <c r="N40" s="159"/>
      <c r="O40" s="159"/>
      <c r="P40" s="245"/>
      <c r="Q40" s="159"/>
      <c r="R40" s="159"/>
      <c r="S40" s="159"/>
      <c r="T40" s="159"/>
      <c r="U40" s="159"/>
      <c r="V40" s="159"/>
    </row>
    <row r="41" spans="2:22" s="141" customFormat="1" ht="12.75" x14ac:dyDescent="0.2">
      <c r="B41" s="836">
        <f t="shared" si="0"/>
        <v>7</v>
      </c>
      <c r="C41" s="844">
        <f>IF(str_WeightScenario="Custom", "", RANK(ChartData!J64, ChartData!$J$58:$J$83)-B41)</f>
        <v>4</v>
      </c>
      <c r="D41" s="195" t="s">
        <v>4</v>
      </c>
      <c r="E41" s="835">
        <v>1.6660775463109065</v>
      </c>
      <c r="L41" s="159"/>
      <c r="M41" s="159"/>
      <c r="N41" s="159"/>
      <c r="O41" s="159"/>
      <c r="P41" s="245"/>
      <c r="Q41" s="159"/>
      <c r="R41" s="159"/>
      <c r="S41" s="159"/>
      <c r="T41" s="159"/>
      <c r="U41" s="159"/>
      <c r="V41" s="159"/>
    </row>
    <row r="42" spans="2:22" s="141" customFormat="1" ht="12.75" x14ac:dyDescent="0.2">
      <c r="B42" s="836">
        <f t="shared" si="0"/>
        <v>8</v>
      </c>
      <c r="C42" s="844">
        <f>IF(str_WeightScenario="Custom", "", RANK(ChartData!J65, ChartData!$J$58:$J$83)-B42)</f>
        <v>7</v>
      </c>
      <c r="D42" s="195" t="s">
        <v>11</v>
      </c>
      <c r="E42" s="835">
        <v>1.5811001122845354</v>
      </c>
      <c r="L42" s="159"/>
      <c r="M42" s="159"/>
      <c r="N42" s="159"/>
      <c r="O42" s="159"/>
      <c r="P42" s="245"/>
      <c r="Q42" s="159"/>
      <c r="R42" s="159"/>
      <c r="S42" s="159"/>
      <c r="T42" s="159"/>
      <c r="U42" s="159"/>
      <c r="V42" s="159"/>
    </row>
    <row r="43" spans="2:22" s="141" customFormat="1" ht="12.75" x14ac:dyDescent="0.2">
      <c r="B43" s="836">
        <f t="shared" si="0"/>
        <v>9</v>
      </c>
      <c r="C43" s="844">
        <f>IF(str_WeightScenario="Custom", "", RANK(ChartData!J66, ChartData!$J$58:$J$83)-B43)</f>
        <v>-2</v>
      </c>
      <c r="D43" s="195" t="s">
        <v>9</v>
      </c>
      <c r="E43" s="835">
        <v>1.5430458186129992</v>
      </c>
      <c r="L43" s="159"/>
      <c r="M43" s="159"/>
      <c r="N43" s="159"/>
      <c r="O43" s="159"/>
      <c r="P43" s="245"/>
      <c r="Q43" s="159"/>
      <c r="R43" s="159"/>
      <c r="S43" s="159"/>
      <c r="T43" s="159"/>
      <c r="U43" s="159"/>
      <c r="V43" s="159"/>
    </row>
    <row r="44" spans="2:22" s="141" customFormat="1" ht="12.75" x14ac:dyDescent="0.2">
      <c r="B44" s="836">
        <f t="shared" si="0"/>
        <v>10</v>
      </c>
      <c r="C44" s="844">
        <f>IF(str_WeightScenario="Custom", "", RANK(ChartData!J67, ChartData!$J$58:$J$83)-B44)</f>
        <v>-7</v>
      </c>
      <c r="D44" s="195" t="s">
        <v>19</v>
      </c>
      <c r="E44" s="835">
        <v>1.4449322737798895</v>
      </c>
      <c r="L44" s="159"/>
      <c r="M44" s="159"/>
      <c r="N44" s="159"/>
      <c r="O44" s="159"/>
      <c r="P44" s="245"/>
      <c r="Q44" s="159"/>
      <c r="R44" s="159"/>
      <c r="S44" s="159"/>
      <c r="T44" s="159"/>
      <c r="U44" s="159"/>
      <c r="V44" s="159"/>
    </row>
    <row r="45" spans="2:22" s="141" customFormat="1" ht="12.75" x14ac:dyDescent="0.2">
      <c r="B45" s="836">
        <f t="shared" si="0"/>
        <v>11</v>
      </c>
      <c r="C45" s="844">
        <f>IF(str_WeightScenario="Custom", "", RANK(ChartData!J68, ChartData!$J$58:$J$83)-B45)</f>
        <v>-3</v>
      </c>
      <c r="D45" s="195" t="s">
        <v>10</v>
      </c>
      <c r="E45" s="835">
        <v>1.3605020693003842</v>
      </c>
      <c r="L45" s="159"/>
      <c r="M45" s="159"/>
      <c r="N45" s="159"/>
      <c r="O45" s="159"/>
      <c r="P45" s="245"/>
      <c r="Q45" s="159"/>
      <c r="R45" s="159"/>
      <c r="S45" s="159"/>
      <c r="T45" s="159"/>
      <c r="U45" s="159"/>
      <c r="V45" s="159"/>
    </row>
    <row r="46" spans="2:22" s="141" customFormat="1" ht="12.75" x14ac:dyDescent="0.2">
      <c r="B46" s="836">
        <f t="shared" si="0"/>
        <v>12</v>
      </c>
      <c r="C46" s="844">
        <f>IF(str_WeightScenario="Custom", "", RANK(ChartData!J69, ChartData!$J$58:$J$83)-B46)</f>
        <v>-3</v>
      </c>
      <c r="D46" s="195" t="s">
        <v>13</v>
      </c>
      <c r="E46" s="835">
        <v>1.3373084647149844</v>
      </c>
      <c r="L46" s="159"/>
      <c r="M46" s="159"/>
      <c r="N46" s="159"/>
      <c r="O46" s="159"/>
      <c r="P46" s="245"/>
      <c r="Q46" s="159"/>
      <c r="R46" s="159"/>
      <c r="S46" s="159"/>
      <c r="T46" s="159"/>
      <c r="U46" s="159"/>
      <c r="V46" s="159"/>
    </row>
    <row r="47" spans="2:22" s="141" customFormat="1" ht="12.75" x14ac:dyDescent="0.2">
      <c r="B47" s="836">
        <f t="shared" si="0"/>
        <v>13</v>
      </c>
      <c r="C47" s="844">
        <f>IF(str_WeightScenario="Custom", "", RANK(ChartData!J70, ChartData!$J$58:$J$83)-B47)</f>
        <v>1</v>
      </c>
      <c r="D47" s="195" t="s">
        <v>12</v>
      </c>
      <c r="E47" s="835">
        <v>1.268029964257984</v>
      </c>
      <c r="L47" s="159"/>
      <c r="M47" s="159"/>
      <c r="N47" s="159"/>
      <c r="O47" s="159"/>
      <c r="P47" s="245"/>
      <c r="Q47" s="159"/>
      <c r="R47" s="159"/>
      <c r="S47" s="159"/>
      <c r="T47" s="159"/>
      <c r="U47" s="159"/>
      <c r="V47" s="159"/>
    </row>
    <row r="48" spans="2:22" s="141" customFormat="1" ht="12.75" x14ac:dyDescent="0.2">
      <c r="B48" s="836">
        <f t="shared" si="0"/>
        <v>14</v>
      </c>
      <c r="C48" s="844">
        <f>IF(str_WeightScenario="Custom", "", RANK(ChartData!J71, ChartData!$J$58:$J$83)-B48)</f>
        <v>-2</v>
      </c>
      <c r="D48" s="195" t="s">
        <v>16</v>
      </c>
      <c r="E48" s="835">
        <v>1.2347954940521071</v>
      </c>
      <c r="L48" s="159"/>
      <c r="M48" s="159"/>
      <c r="N48" s="159"/>
      <c r="O48" s="159"/>
      <c r="P48" s="245"/>
      <c r="Q48" s="159"/>
      <c r="R48" s="159"/>
      <c r="S48" s="159"/>
      <c r="T48" s="159"/>
      <c r="U48" s="159"/>
      <c r="V48" s="159"/>
    </row>
    <row r="49" spans="2:22" s="141" customFormat="1" ht="12.75" x14ac:dyDescent="0.2">
      <c r="B49" s="836">
        <f t="shared" si="0"/>
        <v>15</v>
      </c>
      <c r="C49" s="844">
        <f>IF(str_WeightScenario="Custom", "", RANK(ChartData!J72, ChartData!$J$58:$J$83)-B49)</f>
        <v>-2</v>
      </c>
      <c r="D49" s="195" t="s">
        <v>1</v>
      </c>
      <c r="E49" s="835">
        <v>1.0829763396265171</v>
      </c>
      <c r="L49" s="159"/>
      <c r="M49" s="159"/>
      <c r="N49" s="159"/>
      <c r="O49" s="159"/>
      <c r="P49" s="245"/>
      <c r="Q49" s="159"/>
      <c r="R49" s="159"/>
      <c r="S49" s="159"/>
      <c r="T49" s="159"/>
      <c r="U49" s="159"/>
      <c r="V49" s="159"/>
    </row>
    <row r="50" spans="2:22" s="141" customFormat="1" ht="12.75" x14ac:dyDescent="0.2">
      <c r="B50" s="836">
        <f t="shared" si="0"/>
        <v>16</v>
      </c>
      <c r="C50" s="844">
        <f>IF(str_WeightScenario="Custom", "", RANK(ChartData!J73, ChartData!$J$58:$J$83)-B50)</f>
        <v>1</v>
      </c>
      <c r="D50" s="195" t="s">
        <v>143</v>
      </c>
      <c r="E50" s="835">
        <v>0.99838461685035851</v>
      </c>
      <c r="L50" s="159"/>
      <c r="M50" s="159"/>
      <c r="N50" s="159"/>
      <c r="O50" s="159"/>
      <c r="P50" s="245"/>
      <c r="Q50" s="159"/>
      <c r="R50" s="159"/>
      <c r="S50" s="159"/>
      <c r="T50" s="159"/>
      <c r="U50" s="159"/>
      <c r="V50" s="159"/>
    </row>
    <row r="51" spans="2:22" s="141" customFormat="1" ht="12.75" x14ac:dyDescent="0.2">
      <c r="B51" s="836">
        <f t="shared" si="0"/>
        <v>17</v>
      </c>
      <c r="C51" s="844">
        <f>IF(str_WeightScenario="Custom", "", RANK(ChartData!J74, ChartData!$J$58:$J$83)-B51)</f>
        <v>-1</v>
      </c>
      <c r="D51" s="195" t="s">
        <v>17</v>
      </c>
      <c r="E51" s="835">
        <v>0.93559969189148329</v>
      </c>
      <c r="L51" s="159"/>
      <c r="M51" s="159"/>
      <c r="N51" s="159"/>
      <c r="O51" s="159"/>
      <c r="P51" s="245"/>
      <c r="Q51" s="159"/>
      <c r="R51" s="159"/>
      <c r="S51" s="159"/>
      <c r="T51" s="159"/>
      <c r="U51" s="159"/>
      <c r="V51" s="159"/>
    </row>
    <row r="52" spans="2:22" s="141" customFormat="1" ht="12.75" x14ac:dyDescent="0.2">
      <c r="B52" s="836">
        <f t="shared" si="0"/>
        <v>18</v>
      </c>
      <c r="C52" s="844">
        <f>IF(str_WeightScenario="Custom", "", RANK(ChartData!J75, ChartData!$J$58:$J$83)-B52)</f>
        <v>0</v>
      </c>
      <c r="D52" s="195" t="s">
        <v>3</v>
      </c>
      <c r="E52" s="835">
        <v>0.89780561757652433</v>
      </c>
      <c r="L52" s="159"/>
      <c r="M52" s="159"/>
      <c r="N52" s="159"/>
      <c r="O52" s="159"/>
      <c r="P52" s="245"/>
      <c r="Q52" s="159"/>
      <c r="R52" s="159"/>
      <c r="S52" s="159"/>
      <c r="T52" s="159"/>
      <c r="U52" s="159"/>
      <c r="V52" s="159"/>
    </row>
    <row r="53" spans="2:22" s="141" customFormat="1" ht="12.75" x14ac:dyDescent="0.2">
      <c r="B53" s="836">
        <f t="shared" si="0"/>
        <v>19</v>
      </c>
      <c r="C53" s="844">
        <f>IF(str_WeightScenario="Custom", "", RANK(ChartData!J76, ChartData!$J$58:$J$83)-B53)</f>
        <v>0</v>
      </c>
      <c r="D53" s="195" t="s">
        <v>7</v>
      </c>
      <c r="E53" s="835">
        <v>0.86145895525760319</v>
      </c>
      <c r="L53" s="159"/>
      <c r="M53" s="159"/>
      <c r="N53" s="159"/>
      <c r="O53" s="159"/>
      <c r="P53" s="245"/>
      <c r="Q53" s="159"/>
      <c r="R53" s="159"/>
      <c r="S53" s="159"/>
      <c r="T53" s="159"/>
      <c r="U53" s="159"/>
      <c r="V53" s="159"/>
    </row>
    <row r="54" spans="2:22" s="141" customFormat="1" ht="12.75" x14ac:dyDescent="0.2">
      <c r="B54" s="836">
        <f t="shared" si="0"/>
        <v>20</v>
      </c>
      <c r="C54" s="844">
        <f>IF(str_WeightScenario="Custom", "", RANK(ChartData!J77, ChartData!$J$58:$J$83)-B54)</f>
        <v>5</v>
      </c>
      <c r="D54" s="195" t="s">
        <v>23</v>
      </c>
      <c r="E54" s="835">
        <v>0.80918593246217529</v>
      </c>
      <c r="L54" s="159"/>
      <c r="M54" s="159"/>
      <c r="N54" s="159"/>
      <c r="O54" s="159"/>
      <c r="P54" s="245"/>
      <c r="Q54" s="159"/>
      <c r="R54" s="159"/>
      <c r="S54" s="159"/>
      <c r="T54" s="159"/>
      <c r="U54" s="159"/>
      <c r="V54" s="159"/>
    </row>
    <row r="55" spans="2:22" s="141" customFormat="1" ht="12.75" x14ac:dyDescent="0.2">
      <c r="B55" s="836">
        <f t="shared" si="0"/>
        <v>21</v>
      </c>
      <c r="C55" s="844">
        <f>IF(str_WeightScenario="Custom", "", RANK(ChartData!J78, ChartData!$J$58:$J$83)-B55)</f>
        <v>0</v>
      </c>
      <c r="D55" s="195" t="s">
        <v>5</v>
      </c>
      <c r="E55" s="835">
        <v>0.79773499210786503</v>
      </c>
      <c r="L55" s="159"/>
      <c r="M55" s="159"/>
      <c r="N55" s="159"/>
      <c r="O55" s="159"/>
      <c r="P55" s="245"/>
      <c r="Q55" s="159"/>
      <c r="R55" s="159"/>
      <c r="S55" s="159"/>
      <c r="T55" s="159"/>
      <c r="U55" s="159"/>
      <c r="V55" s="159"/>
    </row>
    <row r="56" spans="2:22" s="141" customFormat="1" ht="12.75" x14ac:dyDescent="0.2">
      <c r="B56" s="836">
        <f t="shared" si="0"/>
        <v>22</v>
      </c>
      <c r="C56" s="844">
        <f>IF(str_WeightScenario="Custom", "", RANK(ChartData!J79, ChartData!$J$58:$J$83)-B56)</f>
        <v>0</v>
      </c>
      <c r="D56" s="195" t="s">
        <v>15</v>
      </c>
      <c r="E56" s="835">
        <v>0.710515676647688</v>
      </c>
      <c r="L56" s="159"/>
      <c r="M56" s="159"/>
      <c r="N56" s="159"/>
      <c r="O56" s="159"/>
      <c r="P56" s="245"/>
      <c r="Q56" s="159"/>
      <c r="R56" s="159"/>
      <c r="S56" s="159"/>
      <c r="T56" s="159"/>
      <c r="U56" s="159"/>
      <c r="V56" s="159"/>
    </row>
    <row r="57" spans="2:22" s="141" customFormat="1" ht="12.75" x14ac:dyDescent="0.2">
      <c r="B57" s="836">
        <f t="shared" si="0"/>
        <v>23</v>
      </c>
      <c r="C57" s="844">
        <f>IF(str_WeightScenario="Custom", "", RANK(ChartData!J80, ChartData!$J$58:$J$83)-B57)</f>
        <v>1</v>
      </c>
      <c r="D57" s="195" t="s">
        <v>14</v>
      </c>
      <c r="E57" s="835">
        <v>0.66719937371368621</v>
      </c>
      <c r="L57" s="159"/>
      <c r="M57" s="159"/>
      <c r="N57" s="159"/>
      <c r="O57" s="159"/>
      <c r="P57" s="245"/>
      <c r="Q57" s="159"/>
      <c r="R57" s="159"/>
      <c r="S57" s="159"/>
      <c r="T57" s="159"/>
      <c r="U57" s="159"/>
      <c r="V57" s="159"/>
    </row>
    <row r="58" spans="2:22" s="141" customFormat="1" ht="12.75" x14ac:dyDescent="0.2">
      <c r="B58" s="836">
        <f t="shared" si="0"/>
        <v>24</v>
      </c>
      <c r="C58" s="844">
        <f>IF(str_WeightScenario="Custom", "", RANK(ChartData!J81, ChartData!$J$58:$J$83)-B58)</f>
        <v>-1</v>
      </c>
      <c r="D58" s="195" t="s">
        <v>1096</v>
      </c>
      <c r="E58" s="835">
        <v>0.537315372514797</v>
      </c>
      <c r="L58" s="159"/>
      <c r="M58" s="159"/>
      <c r="N58" s="159"/>
      <c r="O58" s="159"/>
      <c r="P58" s="245"/>
      <c r="Q58" s="159"/>
      <c r="R58" s="159"/>
      <c r="S58" s="159"/>
      <c r="T58" s="159"/>
      <c r="U58" s="159"/>
      <c r="V58" s="159"/>
    </row>
    <row r="59" spans="2:22" s="141" customFormat="1" ht="12.75" x14ac:dyDescent="0.2">
      <c r="B59" s="836">
        <f t="shared" si="0"/>
        <v>25</v>
      </c>
      <c r="C59" s="844">
        <f>IF(str_WeightScenario="Custom", "", RANK(ChartData!J82, ChartData!$J$58:$J$83)-B59)</f>
        <v>-5</v>
      </c>
      <c r="D59" s="195" t="s">
        <v>6</v>
      </c>
      <c r="E59" s="835">
        <v>0.44607825642070192</v>
      </c>
      <c r="L59" s="159"/>
      <c r="M59" s="159"/>
      <c r="N59" s="159"/>
      <c r="O59" s="159"/>
      <c r="P59" s="245"/>
      <c r="Q59" s="159"/>
      <c r="R59" s="159"/>
      <c r="S59" s="159"/>
      <c r="T59" s="159"/>
      <c r="U59" s="159"/>
      <c r="V59" s="159"/>
    </row>
    <row r="60" spans="2:22" s="141" customFormat="1" ht="12.75" x14ac:dyDescent="0.2">
      <c r="B60" s="836">
        <f t="shared" si="0"/>
        <v>26</v>
      </c>
      <c r="C60" s="844">
        <f>IF(str_WeightScenario="Custom", "", RANK(ChartData!J83, ChartData!$J$58:$J$83)-B60)</f>
        <v>0</v>
      </c>
      <c r="D60" s="195" t="s">
        <v>21</v>
      </c>
      <c r="E60" s="835">
        <v>0.33322524459315506</v>
      </c>
      <c r="L60" s="159"/>
      <c r="M60" s="159"/>
      <c r="N60" s="159"/>
      <c r="O60" s="159"/>
      <c r="P60" s="245"/>
      <c r="Q60" s="159"/>
      <c r="R60" s="159"/>
      <c r="S60" s="159"/>
      <c r="T60" s="159"/>
      <c r="U60" s="159"/>
      <c r="V60" s="159"/>
    </row>
    <row r="61" spans="2:22" s="141" customFormat="1" ht="12.75" x14ac:dyDescent="0.2">
      <c r="B61" s="529"/>
      <c r="C61" s="530"/>
      <c r="D61" s="195"/>
      <c r="E61" s="195"/>
      <c r="F61" s="195"/>
      <c r="H61" s="195"/>
      <c r="I61" s="195"/>
      <c r="L61" s="159"/>
      <c r="M61" s="159"/>
      <c r="N61" s="159"/>
      <c r="O61" s="159"/>
      <c r="P61" s="245"/>
      <c r="Q61" s="159"/>
      <c r="R61" s="159"/>
      <c r="S61" s="159"/>
      <c r="T61" s="159"/>
      <c r="U61" s="159"/>
      <c r="V61" s="159"/>
    </row>
    <row r="62" spans="2:22" s="141" customFormat="1" ht="12.75" x14ac:dyDescent="0.2">
      <c r="B62" s="994"/>
      <c r="C62" s="995"/>
      <c r="D62" s="996"/>
      <c r="E62" s="997"/>
      <c r="F62" s="997"/>
      <c r="G62" s="997"/>
      <c r="H62" s="997"/>
      <c r="I62" s="997"/>
      <c r="J62" s="997"/>
      <c r="K62" s="997"/>
      <c r="L62" s="997"/>
      <c r="M62" s="997"/>
      <c r="N62" s="997"/>
      <c r="O62" s="997"/>
      <c r="P62" s="998"/>
    </row>
    <row r="63" spans="2:22" s="141" customFormat="1" ht="12.75" x14ac:dyDescent="0.2">
      <c r="B63" s="999"/>
      <c r="C63" s="1000"/>
      <c r="D63" s="1000"/>
      <c r="E63" s="1000"/>
      <c r="F63" s="1000"/>
      <c r="G63" s="1000"/>
      <c r="H63" s="1000"/>
      <c r="I63" s="1000"/>
      <c r="J63" s="1000"/>
      <c r="K63" s="1000"/>
      <c r="L63" s="1000"/>
      <c r="M63" s="1000"/>
      <c r="N63" s="1000"/>
      <c r="O63" s="1000"/>
      <c r="P63" s="1001"/>
    </row>
    <row r="64" spans="2:22" s="141" customFormat="1" ht="12.75" x14ac:dyDescent="0.2">
      <c r="B64" s="1002"/>
      <c r="C64" s="1003"/>
      <c r="D64" s="1003"/>
      <c r="E64" s="1004"/>
      <c r="F64" s="1004"/>
      <c r="G64" s="1004"/>
      <c r="H64" s="1004"/>
      <c r="I64" s="1004"/>
      <c r="J64" s="1004"/>
      <c r="K64" s="1004"/>
      <c r="L64" s="1004"/>
      <c r="M64" s="1004"/>
      <c r="N64" s="1004"/>
      <c r="O64" s="1004"/>
      <c r="P64" s="1005"/>
    </row>
    <row r="65" spans="2:22" ht="14.25" customHeight="1" x14ac:dyDescent="0.2">
      <c r="B65" s="859"/>
      <c r="C65" s="834"/>
      <c r="D65" s="834"/>
      <c r="E65" s="834"/>
      <c r="F65" s="834"/>
      <c r="G65" s="834"/>
      <c r="H65" s="834"/>
      <c r="I65" s="834"/>
      <c r="J65" s="834"/>
      <c r="K65" s="834"/>
      <c r="L65" s="834"/>
      <c r="M65" s="834"/>
      <c r="N65" s="834"/>
      <c r="O65" s="834"/>
      <c r="P65" s="860"/>
    </row>
    <row r="66" spans="2:22" ht="14.25" customHeight="1" x14ac:dyDescent="0.2">
      <c r="B66" s="541"/>
      <c r="C66" s="542"/>
      <c r="D66" s="542"/>
      <c r="E66" s="542"/>
      <c r="F66" s="542"/>
      <c r="G66" s="542"/>
      <c r="H66" s="542"/>
      <c r="I66" s="542"/>
      <c r="J66" s="542"/>
      <c r="K66" s="542"/>
      <c r="L66" s="542"/>
      <c r="M66" s="542"/>
      <c r="N66" s="542"/>
      <c r="O66" s="542"/>
      <c r="P66" s="543"/>
    </row>
    <row r="67" spans="2:22" ht="14.25" customHeight="1" x14ac:dyDescent="0.2">
      <c r="B67" s="541"/>
      <c r="C67" s="542"/>
      <c r="D67" s="542"/>
      <c r="E67" s="542"/>
      <c r="F67" s="542"/>
      <c r="G67" s="542"/>
      <c r="H67" s="542"/>
      <c r="I67" s="542"/>
      <c r="J67" s="542"/>
      <c r="K67" s="542"/>
      <c r="L67" s="542"/>
      <c r="M67" s="542"/>
      <c r="N67" s="542"/>
      <c r="O67" s="542"/>
      <c r="P67" s="543"/>
    </row>
    <row r="68" spans="2:22" ht="14.25" customHeight="1" x14ac:dyDescent="0.2">
      <c r="B68" s="541"/>
      <c r="C68" s="542"/>
      <c r="D68" s="542"/>
      <c r="E68" s="542"/>
      <c r="F68" s="542"/>
      <c r="G68" s="542"/>
      <c r="H68" s="542"/>
      <c r="I68" s="542"/>
      <c r="J68" s="542"/>
      <c r="K68" s="542"/>
      <c r="L68" s="542"/>
      <c r="M68" s="542"/>
      <c r="N68" s="542"/>
      <c r="O68" s="542"/>
      <c r="P68" s="543"/>
    </row>
    <row r="69" spans="2:22" ht="14.25" customHeight="1" x14ac:dyDescent="0.2">
      <c r="B69" s="541"/>
      <c r="C69" s="542"/>
      <c r="D69" s="542"/>
      <c r="E69" s="542"/>
      <c r="F69" s="542"/>
      <c r="G69" s="542"/>
      <c r="H69" s="542"/>
      <c r="I69" s="542"/>
      <c r="J69" s="542"/>
      <c r="K69" s="542"/>
      <c r="L69" s="542"/>
      <c r="M69" s="542"/>
      <c r="N69" s="542"/>
      <c r="O69" s="542"/>
      <c r="P69" s="543"/>
    </row>
    <row r="70" spans="2:22" ht="14.25" customHeight="1" x14ac:dyDescent="0.2">
      <c r="B70" s="744"/>
      <c r="C70" s="745"/>
      <c r="D70" s="745"/>
      <c r="E70" s="745"/>
      <c r="F70" s="745"/>
      <c r="G70" s="745"/>
      <c r="H70" s="745"/>
      <c r="I70" s="745"/>
      <c r="J70" s="745"/>
      <c r="K70" s="745"/>
      <c r="L70" s="745"/>
      <c r="M70" s="745"/>
      <c r="N70" s="745"/>
      <c r="O70" s="745"/>
      <c r="P70" s="746"/>
    </row>
    <row r="71" spans="2:22" s="141" customFormat="1" ht="12.75" x14ac:dyDescent="0.2">
      <c r="B71" s="530"/>
      <c r="C71" s="530"/>
      <c r="D71" s="530"/>
      <c r="Q71" s="159"/>
      <c r="R71" s="159"/>
      <c r="S71" s="159"/>
      <c r="T71" s="159"/>
      <c r="U71" s="159"/>
      <c r="V71" s="159"/>
    </row>
    <row r="72" spans="2:22" s="141" customFormat="1" ht="12.75" x14ac:dyDescent="0.2"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</row>
    <row r="73" spans="2:22" s="141" customFormat="1" ht="12.75" x14ac:dyDescent="0.2"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</row>
    <row r="82" spans="8:8" x14ac:dyDescent="0.2">
      <c r="H82" s="832"/>
    </row>
    <row r="126" spans="5:8" x14ac:dyDescent="0.2">
      <c r="E126" s="139"/>
      <c r="F126" s="139"/>
    </row>
    <row r="127" spans="5:8" x14ac:dyDescent="0.2">
      <c r="E127" s="139"/>
      <c r="F127" s="142"/>
      <c r="G127" s="143"/>
    </row>
    <row r="128" spans="5:8" x14ac:dyDescent="0.2">
      <c r="E128" s="139"/>
      <c r="F128" s="139"/>
      <c r="G128" s="142"/>
      <c r="H128" s="143"/>
    </row>
  </sheetData>
  <sheetProtection password="ECD7" sheet="1" objects="1" scenarios="1"/>
  <sortState ref="D37:E62">
    <sortCondition descending="1" ref="E37"/>
  </sortState>
  <dataConsolidate/>
  <mergeCells count="1">
    <mergeCell ref="B62:P64"/>
  </mergeCells>
  <conditionalFormatting sqref="C35:C60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I35:I60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B25">
    <cfRule type="expression" dxfId="20" priority="169">
      <formula>#REF!="No"</formula>
    </cfRule>
  </conditionalFormatting>
  <conditionalFormatting sqref="E25">
    <cfRule type="expression" dxfId="19" priority="170">
      <formula>#REF!="No"</formula>
    </cfRule>
  </conditionalFormatting>
  <conditionalFormatting sqref="E35:E60">
    <cfRule type="expression" dxfId="18" priority="171">
      <formula>$E35&gt;4</formula>
    </cfRule>
    <cfRule type="expression" dxfId="17" priority="172">
      <formula>AND($E35&gt;3,$E35&lt;=4)</formula>
    </cfRule>
    <cfRule type="expression" dxfId="16" priority="173">
      <formula>AND($E35&gt;2,$E35&lt;=3)</formula>
    </cfRule>
    <cfRule type="expression" dxfId="15" priority="174">
      <formula>AND($E35&gt;1,$E35&lt;=2)</formula>
    </cfRule>
    <cfRule type="expression" dxfId="14" priority="175">
      <formula>$E35&lt;=1</formula>
    </cfRule>
  </conditionalFormatting>
  <conditionalFormatting sqref="E26:E29">
    <cfRule type="expression" dxfId="13" priority="1">
      <formula>str_WeightScenario&lt;&gt;"Custom"</formula>
    </cfRule>
  </conditionalFormatting>
  <dataValidations count="1">
    <dataValidation type="list" allowBlank="1" showInputMessage="1" showErrorMessage="1" sqref="E25">
      <formula1>"Defaults, 100% P1, 100% P2, 100% P3, 100% P4, Custom"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cores">
                <anchor moveWithCells="1" sizeWithCells="1">
                  <from>
                    <xdr:col>1</xdr:col>
                    <xdr:colOff>85725</xdr:colOff>
                    <xdr:row>30</xdr:row>
                    <xdr:rowOff>57150</xdr:rowOff>
                  </from>
                  <to>
                    <xdr:col>5</xdr:col>
                    <xdr:colOff>28575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GoToCountry">
                <anchor moveWithCells="1" sizeWithCells="1">
                  <from>
                    <xdr:col>11</xdr:col>
                    <xdr:colOff>657225</xdr:colOff>
                    <xdr:row>30</xdr:row>
                    <xdr:rowOff>76200</xdr:rowOff>
                  </from>
                  <to>
                    <xdr:col>15</xdr:col>
                    <xdr:colOff>142875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ResetWeightsButton">
                <anchor moveWithCells="1" sizeWithCells="1">
                  <from>
                    <xdr:col>11</xdr:col>
                    <xdr:colOff>638175</xdr:colOff>
                    <xdr:row>61</xdr:row>
                    <xdr:rowOff>66675</xdr:rowOff>
                  </from>
                  <to>
                    <xdr:col>15</xdr:col>
                    <xdr:colOff>133350</xdr:colOff>
                    <xdr:row>63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Button 16">
              <controlPr defaultSize="0" print="0" autoFill="0" autoPict="0" macro="[0]!ProtectAll">
                <anchor moveWithCells="1" sizeWithCells="1">
                  <from>
                    <xdr:col>1</xdr:col>
                    <xdr:colOff>85725</xdr:colOff>
                    <xdr:row>61</xdr:row>
                    <xdr:rowOff>57150</xdr:rowOff>
                  </from>
                  <to>
                    <xdr:col>3</xdr:col>
                    <xdr:colOff>1314450</xdr:colOff>
                    <xdr:row>63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UnprotectAll">
                <anchor moveWithCells="1" sizeWithCells="1">
                  <from>
                    <xdr:col>3</xdr:col>
                    <xdr:colOff>1381125</xdr:colOff>
                    <xdr:row>61</xdr:row>
                    <xdr:rowOff>57150</xdr:rowOff>
                  </from>
                  <to>
                    <xdr:col>4</xdr:col>
                    <xdr:colOff>1533525</xdr:colOff>
                    <xdr:row>63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outlinePr summaryBelow="0"/>
  </sheetPr>
  <dimension ref="B2:P296"/>
  <sheetViews>
    <sheetView showGridLines="0" zoomScale="85" zoomScaleNormal="85" zoomScalePageLayoutView="80" workbookViewId="0">
      <pane ySplit="30" topLeftCell="A31" activePane="bottomLeft" state="frozen"/>
      <selection pane="bottomLeft" activeCell="K12" sqref="K12"/>
    </sheetView>
  </sheetViews>
  <sheetFormatPr defaultRowHeight="12.75" outlineLevelRow="1" x14ac:dyDescent="0.2"/>
  <cols>
    <col min="1" max="1" width="2.7109375" style="51" customWidth="1"/>
    <col min="2" max="2" width="34.85546875" style="229" customWidth="1"/>
    <col min="3" max="3" width="21.85546875" style="66" customWidth="1"/>
    <col min="4" max="4" width="21.140625" style="53" customWidth="1"/>
    <col min="5" max="5" width="7.42578125" style="52" customWidth="1"/>
    <col min="6" max="6" width="4.5703125" style="54" customWidth="1"/>
    <col min="7" max="7" width="33.5703125" style="51" customWidth="1"/>
    <col min="8" max="8" width="7" style="52" customWidth="1"/>
    <col min="9" max="9" width="10.42578125" style="52" customWidth="1"/>
    <col min="10" max="10" width="13.28515625" style="55" customWidth="1"/>
    <col min="11" max="11" width="15" style="56" bestFit="1" customWidth="1"/>
    <col min="12" max="12" width="7.28515625" style="57" customWidth="1"/>
    <col min="13" max="13" width="12.140625" style="336" customWidth="1"/>
    <col min="14" max="14" width="7.42578125" style="250" bestFit="1" customWidth="1"/>
    <col min="15" max="15" width="4.85546875" style="291" hidden="1" customWidth="1"/>
    <col min="16" max="16" width="11" style="51" customWidth="1"/>
    <col min="17" max="16384" width="9.140625" style="51"/>
  </cols>
  <sheetData>
    <row r="2" spans="2:16" s="50" customFormat="1" ht="21" x14ac:dyDescent="0.2">
      <c r="B2" s="956" t="s">
        <v>59</v>
      </c>
      <c r="C2" s="957"/>
      <c r="D2" s="957"/>
      <c r="E2" s="957"/>
      <c r="F2" s="957"/>
      <c r="G2" s="957"/>
      <c r="H2" s="957"/>
      <c r="I2" s="957"/>
      <c r="J2" s="957"/>
      <c r="K2" s="957"/>
      <c r="L2" s="957"/>
      <c r="M2" s="957"/>
      <c r="N2" s="958"/>
      <c r="O2" s="502"/>
      <c r="P2" s="424"/>
    </row>
    <row r="3" spans="2:16" s="56" customFormat="1" collapsed="1" x14ac:dyDescent="0.2">
      <c r="B3" s="990" t="s">
        <v>3328</v>
      </c>
      <c r="C3" s="991"/>
      <c r="D3" s="991"/>
      <c r="E3" s="991"/>
      <c r="F3" s="991"/>
      <c r="G3" s="991"/>
      <c r="H3" s="991"/>
      <c r="I3" s="991"/>
      <c r="J3" s="991"/>
      <c r="K3" s="991"/>
      <c r="L3" s="991"/>
      <c r="M3" s="991"/>
      <c r="N3" s="992"/>
      <c r="O3" s="993"/>
      <c r="P3" s="224"/>
    </row>
    <row r="4" spans="2:16" s="972" customFormat="1" hidden="1" outlineLevel="1" x14ac:dyDescent="0.2">
      <c r="B4" s="969" t="s">
        <v>3323</v>
      </c>
      <c r="C4" s="970"/>
      <c r="D4" s="970"/>
      <c r="E4" s="970"/>
      <c r="F4" s="970"/>
      <c r="G4" s="970"/>
      <c r="H4" s="970"/>
      <c r="I4" s="970"/>
      <c r="J4" s="970"/>
      <c r="K4" s="970"/>
      <c r="L4" s="970"/>
      <c r="M4" s="970"/>
      <c r="N4" s="971"/>
      <c r="O4" s="979"/>
    </row>
    <row r="5" spans="2:16" s="972" customFormat="1" hidden="1" outlineLevel="1" x14ac:dyDescent="0.2">
      <c r="B5" s="973" t="s">
        <v>3343</v>
      </c>
      <c r="C5" s="974"/>
      <c r="D5" s="974"/>
      <c r="E5" s="974"/>
      <c r="F5" s="974"/>
      <c r="G5" s="974"/>
      <c r="H5" s="974"/>
      <c r="I5" s="974"/>
      <c r="J5" s="974"/>
      <c r="K5" s="974"/>
      <c r="L5" s="974"/>
      <c r="M5" s="974"/>
      <c r="N5" s="975"/>
      <c r="O5" s="980"/>
    </row>
    <row r="6" spans="2:16" s="972" customFormat="1" hidden="1" outlineLevel="1" x14ac:dyDescent="0.2">
      <c r="B6" s="973"/>
      <c r="C6" s="974"/>
      <c r="D6" s="974"/>
      <c r="E6" s="974"/>
      <c r="F6" s="974"/>
      <c r="G6" s="974"/>
      <c r="H6" s="974"/>
      <c r="I6" s="974"/>
      <c r="J6" s="974"/>
      <c r="K6" s="974"/>
      <c r="L6" s="974"/>
      <c r="M6" s="974"/>
      <c r="N6" s="975"/>
      <c r="O6" s="980"/>
    </row>
    <row r="7" spans="2:16" s="972" customFormat="1" hidden="1" outlineLevel="1" x14ac:dyDescent="0.2">
      <c r="B7" s="976" t="s">
        <v>3342</v>
      </c>
      <c r="C7" s="974"/>
      <c r="D7" s="974"/>
      <c r="E7" s="974"/>
      <c r="F7" s="974"/>
      <c r="G7" s="974"/>
      <c r="H7" s="974"/>
      <c r="I7" s="974"/>
      <c r="J7" s="974"/>
      <c r="K7" s="974"/>
      <c r="L7" s="974"/>
      <c r="M7" s="974"/>
      <c r="N7" s="975"/>
      <c r="O7" s="980"/>
    </row>
    <row r="8" spans="2:16" s="972" customFormat="1" hidden="1" outlineLevel="1" x14ac:dyDescent="0.2">
      <c r="B8" s="981" t="s">
        <v>3329</v>
      </c>
      <c r="C8" s="977"/>
      <c r="D8" s="974"/>
      <c r="E8" s="974"/>
      <c r="F8" s="974"/>
      <c r="G8" s="974"/>
      <c r="H8" s="974"/>
      <c r="I8" s="974"/>
      <c r="J8" s="974"/>
      <c r="K8" s="974"/>
      <c r="L8" s="974"/>
      <c r="M8" s="974"/>
      <c r="N8" s="975"/>
      <c r="O8" s="980"/>
    </row>
    <row r="9" spans="2:16" s="972" customFormat="1" hidden="1" outlineLevel="1" x14ac:dyDescent="0.2">
      <c r="B9" s="981" t="s">
        <v>3330</v>
      </c>
      <c r="C9" s="977"/>
      <c r="D9" s="974"/>
      <c r="E9" s="974"/>
      <c r="F9" s="974"/>
      <c r="G9" s="974"/>
      <c r="H9" s="974"/>
      <c r="I9" s="974"/>
      <c r="J9" s="974"/>
      <c r="K9" s="974"/>
      <c r="L9" s="974"/>
      <c r="M9" s="974"/>
      <c r="N9" s="975"/>
      <c r="O9" s="980"/>
    </row>
    <row r="10" spans="2:16" s="972" customFormat="1" hidden="1" outlineLevel="1" x14ac:dyDescent="0.2">
      <c r="B10" s="981" t="s">
        <v>3331</v>
      </c>
      <c r="C10" s="977"/>
      <c r="D10" s="974"/>
      <c r="E10" s="974"/>
      <c r="F10" s="974"/>
      <c r="G10" s="974"/>
      <c r="H10" s="974"/>
      <c r="I10" s="974"/>
      <c r="J10" s="974"/>
      <c r="K10" s="974"/>
      <c r="L10" s="974"/>
      <c r="M10" s="974"/>
      <c r="N10" s="975"/>
      <c r="O10" s="980"/>
    </row>
    <row r="11" spans="2:16" s="972" customFormat="1" hidden="1" outlineLevel="1" x14ac:dyDescent="0.2">
      <c r="B11" s="981" t="s">
        <v>3332</v>
      </c>
      <c r="C11" s="977"/>
      <c r="D11" s="974"/>
      <c r="E11" s="974"/>
      <c r="F11" s="974"/>
      <c r="G11" s="974"/>
      <c r="H11" s="974"/>
      <c r="I11" s="974"/>
      <c r="J11" s="974"/>
      <c r="K11" s="974"/>
      <c r="L11" s="974"/>
      <c r="M11" s="974"/>
      <c r="N11" s="975"/>
      <c r="O11" s="980"/>
    </row>
    <row r="12" spans="2:16" s="972" customFormat="1" hidden="1" outlineLevel="1" x14ac:dyDescent="0.2">
      <c r="B12" s="981" t="s">
        <v>3333</v>
      </c>
      <c r="C12" s="977"/>
      <c r="D12" s="974"/>
      <c r="E12" s="974"/>
      <c r="F12" s="974"/>
      <c r="G12" s="974"/>
      <c r="H12" s="974"/>
      <c r="I12" s="974"/>
      <c r="J12" s="974"/>
      <c r="K12" s="974"/>
      <c r="L12" s="974"/>
      <c r="M12" s="974"/>
      <c r="N12" s="975"/>
      <c r="O12" s="980"/>
    </row>
    <row r="13" spans="2:16" s="972" customFormat="1" hidden="1" outlineLevel="1" x14ac:dyDescent="0.2">
      <c r="B13" s="981" t="s">
        <v>3334</v>
      </c>
      <c r="C13" s="977"/>
      <c r="D13" s="974"/>
      <c r="E13" s="974"/>
      <c r="F13" s="974"/>
      <c r="G13" s="974"/>
      <c r="H13" s="974"/>
      <c r="I13" s="974"/>
      <c r="J13" s="974"/>
      <c r="K13" s="974"/>
      <c r="L13" s="974"/>
      <c r="M13" s="974"/>
      <c r="N13" s="975"/>
      <c r="O13" s="980"/>
    </row>
    <row r="14" spans="2:16" s="972" customFormat="1" hidden="1" outlineLevel="1" x14ac:dyDescent="0.2">
      <c r="B14" s="981" t="s">
        <v>3335</v>
      </c>
      <c r="C14" s="977"/>
      <c r="D14" s="974"/>
      <c r="E14" s="974"/>
      <c r="F14" s="974"/>
      <c r="G14" s="974"/>
      <c r="H14" s="974"/>
      <c r="I14" s="974"/>
      <c r="J14" s="974"/>
      <c r="K14" s="974"/>
      <c r="L14" s="974"/>
      <c r="M14" s="974"/>
      <c r="N14" s="975"/>
      <c r="O14" s="980"/>
    </row>
    <row r="15" spans="2:16" s="972" customFormat="1" hidden="1" outlineLevel="1" x14ac:dyDescent="0.2">
      <c r="B15" s="981" t="s">
        <v>3348</v>
      </c>
      <c r="C15" s="977"/>
      <c r="D15" s="974"/>
      <c r="E15" s="974"/>
      <c r="F15" s="974"/>
      <c r="G15" s="974"/>
      <c r="H15" s="974"/>
      <c r="I15" s="974"/>
      <c r="J15" s="974"/>
      <c r="K15" s="974"/>
      <c r="L15" s="974"/>
      <c r="M15" s="974"/>
      <c r="N15" s="975"/>
      <c r="O15" s="980"/>
    </row>
    <row r="16" spans="2:16" s="972" customFormat="1" hidden="1" outlineLevel="1" x14ac:dyDescent="0.2">
      <c r="B16" s="981" t="s">
        <v>3349</v>
      </c>
      <c r="C16" s="977"/>
      <c r="D16" s="974"/>
      <c r="E16" s="974"/>
      <c r="F16" s="974"/>
      <c r="G16" s="974"/>
      <c r="H16" s="974"/>
      <c r="I16" s="974"/>
      <c r="J16" s="974"/>
      <c r="K16" s="974"/>
      <c r="L16" s="974"/>
      <c r="M16" s="974"/>
      <c r="N16" s="975"/>
      <c r="O16" s="980"/>
    </row>
    <row r="17" spans="2:16" s="972" customFormat="1" hidden="1" outlineLevel="1" x14ac:dyDescent="0.2">
      <c r="B17" s="981" t="s">
        <v>3347</v>
      </c>
      <c r="C17" s="977"/>
      <c r="D17" s="974"/>
      <c r="E17" s="974"/>
      <c r="F17" s="974"/>
      <c r="G17" s="974"/>
      <c r="H17" s="974"/>
      <c r="I17" s="974"/>
      <c r="J17" s="974"/>
      <c r="K17" s="974"/>
      <c r="L17" s="974"/>
      <c r="M17" s="974"/>
      <c r="N17" s="975"/>
      <c r="O17" s="980"/>
    </row>
    <row r="18" spans="2:16" s="972" customFormat="1" hidden="1" outlineLevel="1" x14ac:dyDescent="0.2">
      <c r="B18" s="973" t="s">
        <v>1526</v>
      </c>
      <c r="C18" s="974"/>
      <c r="D18" s="974"/>
      <c r="E18" s="974"/>
      <c r="F18" s="974"/>
      <c r="G18" s="974"/>
      <c r="H18" s="974"/>
      <c r="I18" s="974"/>
      <c r="J18" s="974"/>
      <c r="K18" s="974"/>
      <c r="L18" s="974"/>
      <c r="M18" s="974"/>
      <c r="N18" s="975"/>
      <c r="O18" s="980"/>
    </row>
    <row r="19" spans="2:16" s="972" customFormat="1" hidden="1" outlineLevel="1" x14ac:dyDescent="0.2">
      <c r="B19" s="976" t="s">
        <v>3328</v>
      </c>
      <c r="C19" s="974"/>
      <c r="D19" s="974"/>
      <c r="E19" s="974"/>
      <c r="F19" s="974"/>
      <c r="G19" s="974"/>
      <c r="H19" s="974"/>
      <c r="I19" s="974"/>
      <c r="J19" s="974"/>
      <c r="K19" s="974"/>
      <c r="L19" s="974"/>
      <c r="M19" s="974"/>
      <c r="N19" s="975"/>
      <c r="O19" s="980"/>
      <c r="P19" s="982"/>
    </row>
    <row r="20" spans="2:16" s="972" customFormat="1" hidden="1" outlineLevel="1" x14ac:dyDescent="0.2">
      <c r="B20" s="981" t="s">
        <v>3350</v>
      </c>
      <c r="C20" s="977"/>
      <c r="D20" s="974"/>
      <c r="E20" s="974"/>
      <c r="F20" s="974"/>
      <c r="G20" s="974"/>
      <c r="H20" s="974"/>
      <c r="I20" s="974"/>
      <c r="J20" s="974"/>
      <c r="K20" s="974"/>
      <c r="L20" s="974"/>
      <c r="M20" s="974"/>
      <c r="N20" s="975"/>
      <c r="O20" s="980"/>
      <c r="P20" s="982"/>
    </row>
    <row r="21" spans="2:16" s="972" customFormat="1" hidden="1" outlineLevel="1" x14ac:dyDescent="0.2">
      <c r="B21" s="981" t="s">
        <v>3351</v>
      </c>
      <c r="C21" s="977"/>
      <c r="D21" s="974"/>
      <c r="E21" s="974"/>
      <c r="F21" s="974"/>
      <c r="G21" s="974"/>
      <c r="H21" s="974"/>
      <c r="I21" s="974"/>
      <c r="J21" s="974"/>
      <c r="K21" s="974"/>
      <c r="L21" s="974"/>
      <c r="M21" s="974"/>
      <c r="N21" s="975"/>
      <c r="O21" s="980"/>
      <c r="P21" s="982"/>
    </row>
    <row r="22" spans="2:16" s="972" customFormat="1" hidden="1" outlineLevel="1" x14ac:dyDescent="0.2">
      <c r="B22" s="981" t="s">
        <v>3352</v>
      </c>
      <c r="C22" s="977"/>
      <c r="D22" s="974"/>
      <c r="E22" s="974"/>
      <c r="F22" s="974"/>
      <c r="G22" s="974"/>
      <c r="H22" s="974"/>
      <c r="I22" s="974"/>
      <c r="J22" s="974"/>
      <c r="K22" s="974"/>
      <c r="L22" s="974"/>
      <c r="M22" s="974"/>
      <c r="N22" s="975"/>
      <c r="O22" s="980"/>
      <c r="P22" s="982"/>
    </row>
    <row r="23" spans="2:16" s="972" customFormat="1" hidden="1" outlineLevel="1" x14ac:dyDescent="0.2">
      <c r="B23" s="973"/>
      <c r="C23" s="974"/>
      <c r="D23" s="974"/>
      <c r="E23" s="974"/>
      <c r="F23" s="974"/>
      <c r="G23" s="974"/>
      <c r="H23" s="974"/>
      <c r="I23" s="974"/>
      <c r="J23" s="974"/>
      <c r="K23" s="974"/>
      <c r="L23" s="974"/>
      <c r="M23" s="974"/>
      <c r="N23" s="975"/>
      <c r="O23" s="980"/>
      <c r="P23" s="982"/>
    </row>
    <row r="24" spans="2:16" hidden="1" outlineLevel="1" x14ac:dyDescent="0.2">
      <c r="B24" s="1026" t="s">
        <v>3338</v>
      </c>
      <c r="C24" s="1027"/>
      <c r="D24" s="1027"/>
      <c r="E24" s="1027"/>
      <c r="F24" s="1027"/>
      <c r="G24" s="1027"/>
      <c r="H24" s="1027"/>
      <c r="I24" s="1027"/>
      <c r="J24" s="1027"/>
      <c r="K24" s="1027"/>
      <c r="L24" s="1027"/>
      <c r="M24" s="1027"/>
      <c r="N24" s="1028"/>
      <c r="O24" s="1029"/>
      <c r="P24" s="499"/>
    </row>
    <row r="25" spans="2:16" s="141" customFormat="1" x14ac:dyDescent="0.2">
      <c r="B25" s="959" t="s">
        <v>1500</v>
      </c>
      <c r="C25" s="960"/>
      <c r="D25" s="961"/>
      <c r="E25" s="960"/>
      <c r="F25" s="962"/>
      <c r="G25" s="961"/>
      <c r="H25" s="963"/>
      <c r="I25" s="963"/>
      <c r="J25" s="963"/>
      <c r="K25" s="961"/>
      <c r="L25" s="964"/>
      <c r="M25" s="965"/>
      <c r="N25" s="967"/>
      <c r="O25" s="966"/>
      <c r="P25" s="246"/>
    </row>
    <row r="26" spans="2:16" s="141" customFormat="1" x14ac:dyDescent="0.2">
      <c r="B26" s="983" t="s">
        <v>0</v>
      </c>
      <c r="C26" s="941" t="s">
        <v>31</v>
      </c>
      <c r="D26" s="146"/>
      <c r="E26" s="147"/>
      <c r="F26" s="147"/>
      <c r="G26" s="147"/>
      <c r="H26" s="147"/>
      <c r="I26" s="147"/>
      <c r="J26" s="147"/>
      <c r="K26" s="147"/>
      <c r="L26" s="147"/>
      <c r="M26" s="331"/>
      <c r="N26" s="248"/>
      <c r="O26" s="289"/>
      <c r="P26" s="246"/>
    </row>
    <row r="27" spans="2:16" s="141" customFormat="1" x14ac:dyDescent="0.2">
      <c r="B27" s="983" t="s">
        <v>24</v>
      </c>
      <c r="C27" s="444">
        <v>2012</v>
      </c>
      <c r="D27" s="146"/>
      <c r="E27" s="147"/>
      <c r="F27" s="147"/>
      <c r="G27" s="147"/>
      <c r="H27" s="147"/>
      <c r="I27" s="147"/>
      <c r="J27" s="147"/>
      <c r="K27" s="147"/>
      <c r="L27" s="147"/>
      <c r="M27" s="331"/>
      <c r="N27" s="248"/>
      <c r="O27" s="289"/>
      <c r="P27" s="246"/>
    </row>
    <row r="28" spans="2:16" x14ac:dyDescent="0.2">
      <c r="B28" s="983" t="s">
        <v>1659</v>
      </c>
      <c r="C28" s="323">
        <f>SUM(L31:L76)</f>
        <v>2.4727326749130318</v>
      </c>
      <c r="D28" s="146"/>
      <c r="E28" s="147"/>
      <c r="F28" s="147"/>
      <c r="G28" s="147"/>
      <c r="H28" s="147"/>
      <c r="I28" s="147"/>
      <c r="J28" s="147"/>
      <c r="K28" s="147"/>
      <c r="L28" s="147"/>
      <c r="M28" s="331"/>
      <c r="N28" s="248"/>
      <c r="O28" s="289"/>
      <c r="P28" s="499"/>
    </row>
    <row r="29" spans="2:16" x14ac:dyDescent="0.2">
      <c r="B29" s="984" t="s">
        <v>1660</v>
      </c>
      <c r="C29" s="324">
        <f>COUNTIF(J31:J76, "&lt;&gt;0")</f>
        <v>33</v>
      </c>
      <c r="D29" s="148"/>
      <c r="E29" s="236"/>
      <c r="F29" s="237"/>
      <c r="G29" s="237"/>
      <c r="H29" s="237"/>
      <c r="I29" s="237"/>
      <c r="J29" s="237"/>
      <c r="K29" s="237"/>
      <c r="L29" s="237"/>
      <c r="M29" s="332"/>
      <c r="N29" s="249"/>
      <c r="O29" s="501"/>
      <c r="P29" s="499"/>
    </row>
    <row r="30" spans="2:16" s="53" customFormat="1" x14ac:dyDescent="0.2">
      <c r="B30" s="238" t="s">
        <v>60</v>
      </c>
      <c r="C30" s="239" t="s">
        <v>67</v>
      </c>
      <c r="D30" s="240" t="s">
        <v>61</v>
      </c>
      <c r="E30" s="239" t="s">
        <v>67</v>
      </c>
      <c r="F30" s="241" t="s">
        <v>1537</v>
      </c>
      <c r="G30" s="240" t="s">
        <v>29</v>
      </c>
      <c r="H30" s="242" t="s">
        <v>67</v>
      </c>
      <c r="I30" s="242" t="s">
        <v>75</v>
      </c>
      <c r="J30" s="242" t="s">
        <v>30</v>
      </c>
      <c r="K30" s="240" t="s">
        <v>63</v>
      </c>
      <c r="L30" s="243" t="s">
        <v>62</v>
      </c>
      <c r="M30" s="333" t="s">
        <v>1680</v>
      </c>
      <c r="N30" s="253" t="s">
        <v>1312</v>
      </c>
      <c r="O30" s="500" t="s">
        <v>1244</v>
      </c>
      <c r="P30" s="498"/>
    </row>
    <row r="31" spans="2:16" x14ac:dyDescent="0.2">
      <c r="B31" s="656" t="s">
        <v>27</v>
      </c>
      <c r="C31" s="657">
        <v>0.4</v>
      </c>
      <c r="D31" s="656" t="s">
        <v>28</v>
      </c>
      <c r="E31" s="657">
        <v>0.4</v>
      </c>
      <c r="F31" s="658">
        <v>1.01</v>
      </c>
      <c r="G31" s="659" t="s">
        <v>36</v>
      </c>
      <c r="H31" s="660">
        <v>0.6</v>
      </c>
      <c r="I31" s="661">
        <f>IF(H31="", "", C31*E31*H31)</f>
        <v>9.6000000000000016E-2</v>
      </c>
      <c r="J31" s="662">
        <f>IFERROR(INDEX(Database!$E$15:$R$1257, MATCH($F31&amp;" &gt; "&amp;$C$26, Database!$AG$15:$AG$1257, 0), MATCH("Underlying" &amp; " &gt; " &amp; "Data" &amp; " &gt; " &amp; int_Year, Database!$E$14:$R$14, 0)), 0)</f>
        <v>11</v>
      </c>
      <c r="K31" s="659" t="str">
        <f>IF(J31=1, "Policy Type", "Policy Types")</f>
        <v>Policy Types</v>
      </c>
      <c r="L31" s="663">
        <f>IF(I31="", "", IFERROR(I31*dbl_ScoreMax*MAX(0, IFERROR(INDEX(Database!$E$15:$R$1257, MATCH($F31&amp;" &gt; "&amp;$C$26, Database!$AG$15:$AG$1257, 0), MATCH("Benchmarked" &amp; " &gt; " &amp; "Score" &amp; " &gt; " &amp; int_Year, Database!$E$14:$R$14, 0)), 0))/100, 0))</f>
        <v>0.37072707010997957</v>
      </c>
      <c r="M31" s="518">
        <f t="shared" ref="M31:M76" si="0">IF(L31="", "", IFERROR(L31/(I31*dbl_ScoreMax), 0))</f>
        <v>0.77234806272912393</v>
      </c>
      <c r="N31" s="664" t="s">
        <v>1501</v>
      </c>
      <c r="O31" s="504">
        <v>1</v>
      </c>
      <c r="P31" s="499"/>
    </row>
    <row r="32" spans="2:16" x14ac:dyDescent="0.2">
      <c r="B32" s="223"/>
      <c r="C32" s="732">
        <f>Dashboard!$E$26</f>
        <v>0.4</v>
      </c>
      <c r="D32" s="168"/>
      <c r="E32" s="732">
        <f>E31</f>
        <v>0.4</v>
      </c>
      <c r="F32" s="171">
        <f>F31+0.01</f>
        <v>1.02</v>
      </c>
      <c r="G32" s="172" t="s">
        <v>37</v>
      </c>
      <c r="H32" s="665">
        <v>0.3</v>
      </c>
      <c r="I32" s="661">
        <f t="shared" ref="I32:I75" si="1">IF(H32="", "", C32*E32*H32)</f>
        <v>4.8000000000000008E-2</v>
      </c>
      <c r="J32" s="175">
        <f>IFERROR(INDEX(Database!$E$15:$R$1257, MATCH($F32&amp;" &gt; "&amp;$C$26, Database!$AG$15:$AG$1257, 0), MATCH("Underlying" &amp; " &gt; " &amp; "Data" &amp; " &gt; " &amp; int_Year, Database!$E$14:$R$14, 0)), 0)</f>
        <v>8</v>
      </c>
      <c r="K32" s="172" t="str">
        <f>IF(J32=1, "Question", "Questions")</f>
        <v>Questions</v>
      </c>
      <c r="L32" s="176">
        <f>IF(I32="", "", IFERROR(I32*dbl_ScoreMax*MAX(0, IFERROR(INDEX(Database!$E$15:$R$1257, MATCH($F32&amp;" &gt; "&amp;$C$26, Database!$AG$15:$AG$1257, 0), MATCH("Benchmarked" &amp; " &gt; " &amp; "Score" &amp; " &gt; " &amp; int_Year, Database!$E$14:$R$14, 0)), 0))/100, 0))</f>
        <v>0.18000000000000005</v>
      </c>
      <c r="M32" s="334">
        <f t="shared" si="0"/>
        <v>0.75000000000000011</v>
      </c>
      <c r="N32" s="666"/>
      <c r="O32" s="505">
        <f t="shared" ref="O32:O76" si="2">O31+1</f>
        <v>2</v>
      </c>
      <c r="P32" s="499"/>
    </row>
    <row r="33" spans="2:16" x14ac:dyDescent="0.2">
      <c r="B33" s="223"/>
      <c r="C33" s="733">
        <f>Dashboard!$E$26</f>
        <v>0.4</v>
      </c>
      <c r="D33" s="169"/>
      <c r="E33" s="734">
        <f>E32</f>
        <v>0.4</v>
      </c>
      <c r="F33" s="173">
        <f t="shared" ref="F33:F46" si="3">F32+0.01</f>
        <v>1.03</v>
      </c>
      <c r="G33" s="174" t="s">
        <v>1535</v>
      </c>
      <c r="H33" s="665">
        <v>0.1</v>
      </c>
      <c r="I33" s="661">
        <f t="shared" si="1"/>
        <v>1.6000000000000004E-2</v>
      </c>
      <c r="J33" s="667">
        <f>IFERROR(INDEX(Database!$E$15:$R$1257, MATCH($F33&amp;" &gt; "&amp;$C$26, Database!$AG$15:$AG$1257, 0), MATCH("Underlying" &amp; " &gt; " &amp; "Data" &amp; " &gt; " &amp; int_Year, Database!$E$14:$R$14, 0)), 0)</f>
        <v>1</v>
      </c>
      <c r="K33" s="174" t="str">
        <f>IF(J33=1, "Program", "Programs")</f>
        <v>Program</v>
      </c>
      <c r="L33" s="668">
        <f>IF(I33="", "", IFERROR(I33*dbl_ScoreMax*MAX(0, IFERROR(INDEX(Database!$E$15:$R$1257, MATCH($F33&amp;" &gt; "&amp;$C$26, Database!$AG$15:$AG$1257, 0), MATCH("Benchmarked" &amp; " &gt; " &amp; "Score" &amp; " &gt; " &amp; int_Year, Database!$E$14:$R$14, 0)), 0))/100, 0))</f>
        <v>8.0000000000000016E-2</v>
      </c>
      <c r="M33" s="512">
        <f t="shared" si="0"/>
        <v>1</v>
      </c>
      <c r="N33" s="666"/>
      <c r="O33" s="505">
        <f t="shared" si="2"/>
        <v>3</v>
      </c>
      <c r="P33" s="499"/>
    </row>
    <row r="34" spans="2:16" x14ac:dyDescent="0.2">
      <c r="B34" s="223"/>
      <c r="C34" s="733">
        <f>Dashboard!$E$26</f>
        <v>0.4</v>
      </c>
      <c r="D34" s="669" t="s">
        <v>65</v>
      </c>
      <c r="E34" s="235">
        <v>0.4</v>
      </c>
      <c r="F34" s="170">
        <f t="shared" si="3"/>
        <v>1.04</v>
      </c>
      <c r="G34" s="659" t="s">
        <v>32</v>
      </c>
      <c r="H34" s="665">
        <v>0.15</v>
      </c>
      <c r="I34" s="661">
        <f t="shared" si="1"/>
        <v>2.4000000000000004E-2</v>
      </c>
      <c r="J34" s="662">
        <f>IFERROR(INDEX(Database!$E$15:$R$1257, MATCH($F34&amp;" &gt; "&amp;$C$26, Database!$AG$15:$AG$1257, 0), MATCH("Underlying" &amp; " &gt; " &amp; "Data" &amp; " &gt; " &amp; int_Year, Database!$E$14:$R$14, 0)), 0)</f>
        <v>15880.9</v>
      </c>
      <c r="K34" s="659" t="s">
        <v>51</v>
      </c>
      <c r="L34" s="663">
        <f>IF(I34="", "", IFERROR(I34*dbl_ScoreMax*MAX(0, IFERROR(INDEX(Database!$E$15:$R$1257, MATCH($F34&amp;" &gt; "&amp;$C$26, Database!$AG$15:$AG$1257, 0), MATCH("Benchmarked" &amp; " &gt; " &amp; "Score" &amp; " &gt; " &amp; int_Year, Database!$E$14:$R$14, 0)), 0))/100, 0))</f>
        <v>2.4527194094431996E-2</v>
      </c>
      <c r="M34" s="518">
        <f t="shared" si="0"/>
        <v>0.20439328412026658</v>
      </c>
      <c r="N34" s="664" t="s">
        <v>1501</v>
      </c>
      <c r="O34" s="505">
        <f t="shared" si="2"/>
        <v>4</v>
      </c>
      <c r="P34" s="499"/>
    </row>
    <row r="35" spans="2:16" x14ac:dyDescent="0.2">
      <c r="B35" s="223"/>
      <c r="C35" s="733">
        <f>Dashboard!$E$26</f>
        <v>0.4</v>
      </c>
      <c r="D35" s="168"/>
      <c r="E35" s="732">
        <f>E34</f>
        <v>0.4</v>
      </c>
      <c r="F35" s="171">
        <f t="shared" si="3"/>
        <v>1.05</v>
      </c>
      <c r="G35" s="172" t="s">
        <v>53</v>
      </c>
      <c r="H35" s="665">
        <v>0.2</v>
      </c>
      <c r="I35" s="661">
        <f t="shared" si="1"/>
        <v>3.2000000000000008E-2</v>
      </c>
      <c r="J35" s="495">
        <f>IFERROR(INDEX(Database!$E$15:$R$1257, MATCH($F35&amp;" &gt; "&amp;$C$26, Database!$AG$15:$AG$1257, 0), MATCH("Underlying" &amp; " &gt; " &amp; "Data" &amp; " &gt; " &amp; int_Year, Database!$E$14:$R$14, 0)), 0)</f>
        <v>0.14563449982325904</v>
      </c>
      <c r="K35" s="172" t="s">
        <v>52</v>
      </c>
      <c r="L35" s="176">
        <f>IF(I35="", "", IFERROR(I35*dbl_ScoreMax*MAX(0, IFERROR(INDEX(Database!$E$15:$R$1257, MATCH($F35&amp;" &gt; "&amp;$C$26, Database!$AG$15:$AG$1257, 0), MATCH("Benchmarked" &amp; " &gt; " &amp; "Score" &amp; " &gt; " &amp; int_Year, Database!$E$14:$R$14, 0)), 0))/100, 0))</f>
        <v>5.8561829353502091E-2</v>
      </c>
      <c r="M35" s="334">
        <f t="shared" si="0"/>
        <v>0.36601143345938802</v>
      </c>
      <c r="N35" s="666"/>
      <c r="O35" s="505">
        <f t="shared" si="2"/>
        <v>5</v>
      </c>
      <c r="P35" s="499"/>
    </row>
    <row r="36" spans="2:16" x14ac:dyDescent="0.2">
      <c r="B36" s="223"/>
      <c r="C36" s="733">
        <f>Dashboard!$E$26</f>
        <v>0.4</v>
      </c>
      <c r="D36" s="168"/>
      <c r="E36" s="733">
        <f t="shared" ref="E36:E39" si="4">E35</f>
        <v>0.4</v>
      </c>
      <c r="F36" s="171">
        <f t="shared" si="3"/>
        <v>1.06</v>
      </c>
      <c r="G36" s="172" t="s">
        <v>38</v>
      </c>
      <c r="H36" s="665">
        <v>0.15</v>
      </c>
      <c r="I36" s="661">
        <f t="shared" si="1"/>
        <v>2.4000000000000004E-2</v>
      </c>
      <c r="J36" s="175">
        <f>IFERROR(INDEX(Database!$E$15:$R$1257, MATCH($F36&amp;" &gt; "&amp;$C$26, Database!$AG$15:$AG$1257, 0), MATCH("Underlying" &amp; " &gt; " &amp; "Data" &amp; " &gt; " &amp; int_Year, Database!$E$14:$R$14, 0)), 0)</f>
        <v>57399.82</v>
      </c>
      <c r="K36" s="172" t="s">
        <v>1524</v>
      </c>
      <c r="L36" s="176">
        <f>IF(I36="", "", IFERROR(I36*dbl_ScoreMax*MAX(0, IFERROR(INDEX(Database!$E$15:$R$1257, MATCH($F36&amp;" &gt; "&amp;$C$26, Database!$AG$15:$AG$1257, 0), MATCH("Benchmarked" &amp; " &gt; " &amp; "Score" &amp; " &gt; " &amp; int_Year, Database!$E$14:$R$14, 0)), 0))/100, 0))</f>
        <v>1.3319030277349651E-2</v>
      </c>
      <c r="M36" s="334">
        <f t="shared" si="0"/>
        <v>0.11099191897791373</v>
      </c>
      <c r="N36" s="664" t="s">
        <v>1501</v>
      </c>
      <c r="O36" s="505">
        <f t="shared" si="2"/>
        <v>6</v>
      </c>
      <c r="P36" s="499"/>
    </row>
    <row r="37" spans="2:16" x14ac:dyDescent="0.2">
      <c r="B37" s="223"/>
      <c r="C37" s="733">
        <f>Dashboard!$E$26</f>
        <v>0.4</v>
      </c>
      <c r="D37" s="168"/>
      <c r="E37" s="733">
        <f>E36</f>
        <v>0.4</v>
      </c>
      <c r="F37" s="171">
        <f t="shared" si="3"/>
        <v>1.07</v>
      </c>
      <c r="G37" s="172" t="s">
        <v>54</v>
      </c>
      <c r="H37" s="665">
        <v>0.2</v>
      </c>
      <c r="I37" s="661">
        <f t="shared" si="1"/>
        <v>3.2000000000000008E-2</v>
      </c>
      <c r="J37" s="495">
        <f>IFERROR(INDEX(Database!$E$15:$R$1257, MATCH($F37&amp;" &gt; "&amp;$C$26, Database!$AG$15:$AG$1257, 0), MATCH("Underlying" &amp; " &gt; " &amp; "Data" &amp; " &gt; " &amp; int_Year, Database!$E$14:$R$14, 0)), 0)</f>
        <v>0</v>
      </c>
      <c r="K37" s="172" t="s">
        <v>52</v>
      </c>
      <c r="L37" s="176">
        <f>IF(I37="", "", IFERROR(I37*dbl_ScoreMax*MAX(0, IFERROR(INDEX(Database!$E$15:$R$1257, MATCH($F37&amp;" &gt; "&amp;$C$26, Database!$AG$15:$AG$1257, 0), MATCH("Benchmarked" &amp; " &gt; " &amp; "Score" &amp; " &gt; " &amp; int_Year, Database!$E$14:$R$14, 0)), 0))/100, 0))</f>
        <v>0</v>
      </c>
      <c r="M37" s="334">
        <f t="shared" si="0"/>
        <v>0</v>
      </c>
      <c r="N37" s="666"/>
      <c r="O37" s="505">
        <f t="shared" si="2"/>
        <v>7</v>
      </c>
      <c r="P37" s="499"/>
    </row>
    <row r="38" spans="2:16" x14ac:dyDescent="0.2">
      <c r="B38" s="223"/>
      <c r="C38" s="733">
        <f>Dashboard!$E$26</f>
        <v>0.4</v>
      </c>
      <c r="D38" s="168"/>
      <c r="E38" s="733">
        <f t="shared" si="4"/>
        <v>0.4</v>
      </c>
      <c r="F38" s="171">
        <f t="shared" si="3"/>
        <v>1.08</v>
      </c>
      <c r="G38" s="172" t="s">
        <v>39</v>
      </c>
      <c r="H38" s="665">
        <v>0.1</v>
      </c>
      <c r="I38" s="661">
        <f t="shared" si="1"/>
        <v>1.6000000000000004E-2</v>
      </c>
      <c r="J38" s="497">
        <f>IFERROR(INDEX(Database!$E$15:$R$1257, MATCH($F38&amp;" &gt; "&amp;$C$26, Database!$AG$15:$AG$1257, 0), MATCH("Underlying" &amp; " &gt; " &amp; "Data" &amp; " &gt; " &amp; int_Year, Database!$E$14:$R$14, 0)), 0)</f>
        <v>25.274548121999999</v>
      </c>
      <c r="K38" s="172" t="str">
        <f>IF(J38=1, "Billion Litre", "Billion Litres")</f>
        <v>Billion Litres</v>
      </c>
      <c r="L38" s="176">
        <f>IF(I38="", "", IFERROR(I38*dbl_ScoreMax*MAX(0, IFERROR(INDEX(Database!$E$15:$R$1257, MATCH($F38&amp;" &gt; "&amp;$C$26, Database!$AG$15:$AG$1257, 0), MATCH("Benchmarked" &amp; " &gt; " &amp; "Score" &amp; " &gt; " &amp; int_Year, Database!$E$14:$R$14, 0)), 0))/100, 0))</f>
        <v>8.0000000000000016E-2</v>
      </c>
      <c r="M38" s="334">
        <f>IF(L38="", "", IFERROR(L38/(I38*dbl_ScoreMax), 0))</f>
        <v>1</v>
      </c>
      <c r="N38" s="666"/>
      <c r="O38" s="505">
        <f t="shared" si="2"/>
        <v>8</v>
      </c>
      <c r="P38" s="499"/>
    </row>
    <row r="39" spans="2:16" x14ac:dyDescent="0.2">
      <c r="B39" s="223"/>
      <c r="C39" s="733">
        <f>Dashboard!$E$26</f>
        <v>0.4</v>
      </c>
      <c r="D39" s="169"/>
      <c r="E39" s="734">
        <f t="shared" si="4"/>
        <v>0.4</v>
      </c>
      <c r="F39" s="171">
        <f t="shared" si="3"/>
        <v>1.0900000000000001</v>
      </c>
      <c r="G39" s="172" t="s">
        <v>55</v>
      </c>
      <c r="H39" s="665">
        <v>0.2</v>
      </c>
      <c r="I39" s="661">
        <f t="shared" si="1"/>
        <v>3.2000000000000008E-2</v>
      </c>
      <c r="J39" s="495">
        <f>IFERROR(INDEX(Database!$E$15:$R$1257, MATCH($F39&amp;" &gt; "&amp;$C$26, Database!$AG$15:$AG$1257, 0), MATCH("Underlying" &amp; " &gt; " &amp; "Data" &amp; " &gt; " &amp; int_Year, Database!$E$14:$R$14, 0)), 0)</f>
        <v>-3.8707573128584638E-3</v>
      </c>
      <c r="K39" s="172" t="s">
        <v>52</v>
      </c>
      <c r="L39" s="176">
        <f>IF(I39="", "", IFERROR(I39*dbl_ScoreMax*MAX(0, IFERROR(INDEX(Database!$E$15:$R$1257, MATCH($F39&amp;" &gt; "&amp;$C$26, Database!$AG$15:$AG$1257, 0), MATCH("Benchmarked" &amp; " &gt; " &amp; "Score" &amp; " &gt; " &amp; int_Year, Database!$E$14:$R$14, 0)), 0))/100, 0))</f>
        <v>0</v>
      </c>
      <c r="M39" s="334">
        <f t="shared" si="0"/>
        <v>0</v>
      </c>
      <c r="N39" s="666"/>
      <c r="O39" s="505">
        <f t="shared" si="2"/>
        <v>9</v>
      </c>
      <c r="P39" s="499"/>
    </row>
    <row r="40" spans="2:16" x14ac:dyDescent="0.2">
      <c r="B40" s="223"/>
      <c r="C40" s="733">
        <f>Dashboard!$E$26</f>
        <v>0.4</v>
      </c>
      <c r="D40" s="669" t="s">
        <v>64</v>
      </c>
      <c r="E40" s="465">
        <v>0.1</v>
      </c>
      <c r="F40" s="670">
        <f t="shared" si="3"/>
        <v>1.1000000000000001</v>
      </c>
      <c r="G40" s="659" t="s">
        <v>25</v>
      </c>
      <c r="H40" s="671">
        <f>IF(J40=0, 0, 1/COUNTIF($J$40:$J$41, "&lt;&gt;0"))</f>
        <v>0.5</v>
      </c>
      <c r="I40" s="509">
        <f t="shared" si="1"/>
        <v>2.0000000000000004E-2</v>
      </c>
      <c r="J40" s="672">
        <f>IFERROR(INDEX(Database!$E$15:$R$1257, MATCH($F40&amp;" &gt; "&amp;$C$26, Database!$AG$15:$AG$1257, 0), MATCH("Underlying" &amp; " &gt; " &amp; "Data" &amp; " &gt; " &amp; int_Year, Database!$E$14:$R$14, 0)), 0)</f>
        <v>84.201081999999985</v>
      </c>
      <c r="K40" s="659" t="s">
        <v>72</v>
      </c>
      <c r="L40" s="663">
        <f>IF(I40="", "", IFERROR(I40*dbl_ScoreMax*MAX(0, IFERROR(INDEX(Database!$E$15:$R$1257, MATCH($F40&amp;" &gt; "&amp;$C$26, Database!$AG$15:$AG$1257, 0), MATCH("Benchmarked" &amp; " &gt; " &amp; "Score" &amp; " &gt; " &amp; int_Year, Database!$E$14:$R$14, 0)), 0))/100, 0))</f>
        <v>3.7848002517174469E-2</v>
      </c>
      <c r="M40" s="518">
        <f t="shared" si="0"/>
        <v>0.37848002517174462</v>
      </c>
      <c r="N40" s="673"/>
      <c r="O40" s="505">
        <f t="shared" si="2"/>
        <v>10</v>
      </c>
      <c r="P40" s="499"/>
    </row>
    <row r="41" spans="2:16" x14ac:dyDescent="0.2">
      <c r="B41" s="223"/>
      <c r="C41" s="733">
        <f>Dashboard!$E$26</f>
        <v>0.4</v>
      </c>
      <c r="D41" s="168"/>
      <c r="E41" s="740">
        <f>E40</f>
        <v>0.1</v>
      </c>
      <c r="F41" s="171">
        <f t="shared" si="3"/>
        <v>1.1100000000000001</v>
      </c>
      <c r="G41" s="172" t="s">
        <v>56</v>
      </c>
      <c r="H41" s="665">
        <f>IF(J41=0, 0, 1/COUNTIF($J$40:$J$41, "&lt;&gt;0"))</f>
        <v>0.5</v>
      </c>
      <c r="I41" s="509">
        <f>IF(H41="", "", C41*E41*H41)</f>
        <v>2.0000000000000004E-2</v>
      </c>
      <c r="J41" s="497">
        <f>IFERROR(INDEX(Database!$E$15:$R$1257, MATCH($F41&amp;" &gt; "&amp;$C$26, Database!$AG$15:$AG$1257, 0), MATCH("Underlying" &amp; " &gt; " &amp; "Data" &amp; " &gt; " &amp; int_Year, Database!$E$14:$R$14, 0)), 0)</f>
        <v>154.96167999999997</v>
      </c>
      <c r="K41" s="172" t="s">
        <v>72</v>
      </c>
      <c r="L41" s="176">
        <f>IF(I41="", "", IFERROR(I41*dbl_ScoreMax*MAX(0, IFERROR(INDEX(Database!$E$15:$R$1257, MATCH($F41&amp;" &gt; "&amp;$C$26, Database!$AG$15:$AG$1257, 0), MATCH("Benchmarked" &amp; " &gt; " &amp; "Score" &amp; " &gt; " &amp; int_Year, Database!$E$14:$R$14, 0)), 0))/100, 0))</f>
        <v>3.7935363100599688E-2</v>
      </c>
      <c r="M41" s="334">
        <f t="shared" si="0"/>
        <v>0.37935363100599678</v>
      </c>
      <c r="N41" s="666"/>
      <c r="O41" s="505">
        <f t="shared" si="2"/>
        <v>11</v>
      </c>
      <c r="P41" s="499"/>
    </row>
    <row r="42" spans="2:16" x14ac:dyDescent="0.2">
      <c r="B42" s="223"/>
      <c r="C42" s="733">
        <f>Dashboard!$E$26</f>
        <v>0.4</v>
      </c>
      <c r="D42" s="168"/>
      <c r="E42" s="739">
        <v>0</v>
      </c>
      <c r="F42" s="464">
        <f t="shared" si="3"/>
        <v>1.1200000000000001</v>
      </c>
      <c r="G42" s="172" t="s">
        <v>1691</v>
      </c>
      <c r="H42" s="674"/>
      <c r="I42" s="674" t="str">
        <f>IF(H42="", "", C42*E42*H42)</f>
        <v/>
      </c>
      <c r="J42" s="497">
        <f>IFERROR(INDEX(Database!$E$15:$R$1257, MATCH($F42&amp;" &gt; "&amp;$C$26, Database!$AG$15:$AG$1257, 0), MATCH("Underlying" &amp; " &gt; " &amp; "Data" &amp; " &gt; " &amp; int_Year, Database!$E$14:$R$14, 0)), 0)</f>
        <v>171.31127999999998</v>
      </c>
      <c r="K42" s="172" t="s">
        <v>72</v>
      </c>
      <c r="L42" s="675" t="str">
        <f>IF(I42="", "", IFERROR(I42*dbl_ScoreMax*MAX(0, IFERROR(INDEX(Database!$E$15:$R$1257, MATCH($F42&amp;" &gt; "&amp;$C$26, Database!$AG$15:$AG$1257, 0), MATCH("Benchmarked" &amp; " &gt; " &amp; "Score" &amp; " &gt; " &amp; int_Year, Database!$E$14:$R$14, 0)), 0))/100, 0))</f>
        <v/>
      </c>
      <c r="M42" s="676" t="str">
        <f t="shared" si="0"/>
        <v/>
      </c>
      <c r="N42" s="666"/>
      <c r="O42" s="505">
        <f t="shared" si="2"/>
        <v>12</v>
      </c>
      <c r="P42" s="499"/>
    </row>
    <row r="43" spans="2:16" x14ac:dyDescent="0.2">
      <c r="B43" s="223"/>
      <c r="C43" s="733">
        <f>Dashboard!$E$26</f>
        <v>0.4</v>
      </c>
      <c r="D43" s="168"/>
      <c r="E43" s="732">
        <f t="shared" ref="E43:E44" si="5">E42</f>
        <v>0</v>
      </c>
      <c r="F43" s="171">
        <f t="shared" si="3"/>
        <v>1.1300000000000001</v>
      </c>
      <c r="G43" s="172" t="s">
        <v>1703</v>
      </c>
      <c r="H43" s="128"/>
      <c r="I43" s="128" t="str">
        <f t="shared" si="1"/>
        <v/>
      </c>
      <c r="J43" s="497">
        <f>IFERROR(INDEX(Database!$E$15:$R$1257, MATCH($F43&amp;" &gt; "&amp;$C$26, Database!$AG$15:$AG$1257, 0), MATCH("Underlying" &amp; " &gt; " &amp; "Data" &amp; " &gt; " &amp; int_Year, Database!$E$14:$R$14, 0)), 0)</f>
        <v>134.301264</v>
      </c>
      <c r="K43" s="172" t="s">
        <v>72</v>
      </c>
      <c r="L43" s="340" t="str">
        <f>IF(I43="", "", IFERROR(I43*dbl_ScoreMax*MAX(0, IFERROR(INDEX(Database!$E$15:$R$1257, MATCH($F43&amp;" &gt; "&amp;$C$26, Database!$AG$15:$AG$1257, 0), MATCH("Benchmarked" &amp; " &gt; " &amp; "Score" &amp; " &gt; " &amp; int_Year, Database!$E$14:$R$14, 0)), 0))/100, 0))</f>
        <v/>
      </c>
      <c r="M43" s="341" t="str">
        <f t="shared" si="0"/>
        <v/>
      </c>
      <c r="N43" s="666"/>
      <c r="O43" s="505">
        <f t="shared" si="2"/>
        <v>13</v>
      </c>
      <c r="P43" s="499"/>
    </row>
    <row r="44" spans="2:16" x14ac:dyDescent="0.2">
      <c r="B44" s="223"/>
      <c r="C44" s="733">
        <f>Dashboard!$E$26</f>
        <v>0.4</v>
      </c>
      <c r="D44" s="168"/>
      <c r="E44" s="734">
        <f t="shared" si="5"/>
        <v>0</v>
      </c>
      <c r="F44" s="173">
        <f t="shared" si="3"/>
        <v>1.1400000000000001</v>
      </c>
      <c r="G44" s="174" t="s">
        <v>1704</v>
      </c>
      <c r="H44" s="129"/>
      <c r="I44" s="129" t="str">
        <f t="shared" si="1"/>
        <v/>
      </c>
      <c r="J44" s="677">
        <f>IFERROR(INDEX(Database!$E$15:$R$1257, MATCH($F44&amp;" &gt; "&amp;$C$26, Database!$AG$15:$AG$1257, 0), MATCH("Underlying" &amp; " &gt; " &amp; "Data" &amp; " &gt; " &amp; int_Year, Database!$E$14:$R$14, 0)), 0)</f>
        <v>159.27249599999999</v>
      </c>
      <c r="K44" s="174" t="s">
        <v>72</v>
      </c>
      <c r="L44" s="678" t="str">
        <f>IF(I44="", "", IFERROR(I44*dbl_ScoreMax*MAX(0, IFERROR(INDEX(Database!$E$15:$R$1257, MATCH($F44&amp;" &gt; "&amp;$C$26, Database!$AG$15:$AG$1257, 0), MATCH("Benchmarked" &amp; " &gt; " &amp; "Score" &amp; " &gt; " &amp; int_Year, Database!$E$14:$R$14, 0)), 0))/100, 0))</f>
        <v/>
      </c>
      <c r="M44" s="679" t="str">
        <f t="shared" si="0"/>
        <v/>
      </c>
      <c r="N44" s="680"/>
      <c r="O44" s="505">
        <f t="shared" si="2"/>
        <v>14</v>
      </c>
      <c r="P44" s="499"/>
    </row>
    <row r="45" spans="2:16" x14ac:dyDescent="0.2">
      <c r="B45" s="223"/>
      <c r="C45" s="733">
        <f>Dashboard!$E$26</f>
        <v>0.4</v>
      </c>
      <c r="D45" s="669" t="s">
        <v>1499</v>
      </c>
      <c r="E45" s="235">
        <v>0.1</v>
      </c>
      <c r="F45" s="171">
        <f t="shared" si="3"/>
        <v>1.1500000000000001</v>
      </c>
      <c r="G45" s="172" t="s">
        <v>26</v>
      </c>
      <c r="H45" s="665">
        <v>0.49999999999999994</v>
      </c>
      <c r="I45" s="661">
        <f t="shared" si="1"/>
        <v>0.02</v>
      </c>
      <c r="J45" s="177">
        <f>IFERROR(INDEX(Database!$E$15:$R$1257, MATCH($F45&amp;" &gt; "&amp;$C$26, Database!$AG$15:$AG$1257, 0), MATCH("Underlying" &amp; " &gt; " &amp; "Data" &amp; " &gt; " &amp; int_Year, Database!$E$14:$R$14, 0)), 0)</f>
        <v>0</v>
      </c>
      <c r="K45" s="172" t="s">
        <v>52</v>
      </c>
      <c r="L45" s="176">
        <f>IF(I45="", "", IFERROR(I45*dbl_ScoreMax*MAX(0, IFERROR(INDEX(Database!$E$15:$R$1257, MATCH($F45&amp;" &gt; "&amp;$C$26, Database!$AG$15:$AG$1257, 0), MATCH("Benchmarked" &amp; " &gt; " &amp; "Score" &amp; " &gt; " &amp; int_Year, Database!$E$14:$R$14, 0)), 0))/100, 0))</f>
        <v>0</v>
      </c>
      <c r="M45" s="334">
        <f t="shared" si="0"/>
        <v>0</v>
      </c>
      <c r="N45" s="666"/>
      <c r="O45" s="505">
        <f t="shared" si="2"/>
        <v>15</v>
      </c>
      <c r="P45" s="499"/>
    </row>
    <row r="46" spans="2:16" x14ac:dyDescent="0.2">
      <c r="B46" s="681"/>
      <c r="C46" s="734">
        <f>Dashboard!$E$26</f>
        <v>0.4</v>
      </c>
      <c r="D46" s="169"/>
      <c r="E46" s="740">
        <f>E45</f>
        <v>0.1</v>
      </c>
      <c r="F46" s="173">
        <f t="shared" si="3"/>
        <v>1.1600000000000001</v>
      </c>
      <c r="G46" s="174" t="s">
        <v>33</v>
      </c>
      <c r="H46" s="665">
        <v>0.49999999999999994</v>
      </c>
      <c r="I46" s="661">
        <f t="shared" si="1"/>
        <v>0.02</v>
      </c>
      <c r="J46" s="682">
        <f>IFERROR(INDEX(Database!$E$15:$R$1257, MATCH($F46&amp;" &gt; "&amp;$C$26, Database!$AG$15:$AG$1257, 0), MATCH("Underlying" &amp; " &gt; " &amp; "Data" &amp; " &gt; " &amp; int_Year, Database!$E$14:$R$14, 0)), 0)</f>
        <v>0.98299999999999998</v>
      </c>
      <c r="K46" s="174" t="s">
        <v>52</v>
      </c>
      <c r="L46" s="668">
        <f>IF(I46="", "", IFERROR(I46*dbl_ScoreMax*MAX(0, IFERROR(INDEX(Database!$E$15:$R$1257, MATCH($F46&amp;" &gt; "&amp;$C$26, Database!$AG$15:$AG$1257, 0), MATCH("Benchmarked" &amp; " &gt; " &amp; "Score" &amp; " &gt; " &amp; int_Year, Database!$E$14:$R$14, 0)), 0))/100, 0))</f>
        <v>1.5259409969481181E-2</v>
      </c>
      <c r="M46" s="512">
        <f t="shared" si="0"/>
        <v>0.1525940996948118</v>
      </c>
      <c r="N46" s="680"/>
      <c r="O46" s="505">
        <f t="shared" si="2"/>
        <v>16</v>
      </c>
      <c r="P46" s="499"/>
    </row>
    <row r="47" spans="2:16" x14ac:dyDescent="0.2">
      <c r="B47" s="473" t="s">
        <v>1709</v>
      </c>
      <c r="C47" s="235">
        <v>0.3</v>
      </c>
      <c r="D47" s="473" t="s">
        <v>34</v>
      </c>
      <c r="E47" s="235">
        <v>0.45</v>
      </c>
      <c r="F47" s="683">
        <v>2.0099999999999998</v>
      </c>
      <c r="G47" s="684" t="s">
        <v>57</v>
      </c>
      <c r="H47" s="665">
        <v>0.5</v>
      </c>
      <c r="I47" s="661">
        <f>IF(H47="", "", C47*E47*H47)</f>
        <v>6.7500000000000004E-2</v>
      </c>
      <c r="J47" s="507">
        <f>IFERROR(INDEX(Database!$E$15:$R$1257, MATCH($F47&amp;" &gt; "&amp;$C$26, Database!$AG$15:$AG$1257, 0), MATCH("Underlying" &amp; " &gt; " &amp; "Data" &amp; " &gt; " &amp; int_Year, Database!$E$14:$R$14, 0)), 0)</f>
        <v>82210.779189262335</v>
      </c>
      <c r="K47" s="684" t="s">
        <v>1548</v>
      </c>
      <c r="L47" s="506">
        <f>IF(I47="", "", IFERROR(I47*dbl_ScoreMax*MAX(0, IFERROR(INDEX(Database!$E$15:$R$1257, MATCH($F47&amp;" &gt; "&amp;$C$26, Database!$AG$15:$AG$1257, 0), MATCH("Benchmarked" &amp; " &gt; " &amp; "Score" &amp; " &gt; " &amp; int_Year, Database!$E$14:$R$14, 0)), 0))/100, 0))</f>
        <v>8.1261374754253796E-2</v>
      </c>
      <c r="M47" s="518">
        <f t="shared" si="0"/>
        <v>0.24077444371630752</v>
      </c>
      <c r="N47" s="664" t="s">
        <v>1501</v>
      </c>
      <c r="O47" s="505">
        <f t="shared" si="2"/>
        <v>17</v>
      </c>
      <c r="P47" s="499"/>
    </row>
    <row r="48" spans="2:16" x14ac:dyDescent="0.2">
      <c r="B48" s="511" t="s">
        <v>1710</v>
      </c>
      <c r="C48" s="732">
        <f>Dashboard!$E$27</f>
        <v>0.3</v>
      </c>
      <c r="D48" s="161"/>
      <c r="E48" s="740">
        <f>E47</f>
        <v>0.45</v>
      </c>
      <c r="F48" s="164">
        <f t="shared" ref="F48:F60" si="6">F47+0.01</f>
        <v>2.0199999999999996</v>
      </c>
      <c r="G48" s="165" t="s">
        <v>49</v>
      </c>
      <c r="H48" s="671">
        <v>0.5</v>
      </c>
      <c r="I48" s="661">
        <f t="shared" si="1"/>
        <v>6.7500000000000004E-2</v>
      </c>
      <c r="J48" s="494">
        <f>IFERROR(INDEX(Database!$E$15:$R$1257, MATCH($F48&amp;" &gt; "&amp;$C$26, Database!$AG$15:$AG$1257, 0), MATCH("Underlying" &amp; " &gt; " &amp; "Data" &amp; " &gt; " &amp; int_Year, Database!$E$14:$R$14, 0)), 0)</f>
        <v>0.12613056265820766</v>
      </c>
      <c r="K48" s="165" t="s">
        <v>52</v>
      </c>
      <c r="L48" s="167">
        <f>IF(I48="", "", IFERROR(I48*dbl_ScoreMax*MAX(0, IFERROR(INDEX(Database!$E$15:$R$1257, MATCH($F48&amp;" &gt; "&amp;$C$26, Database!$AG$15:$AG$1257, 0), MATCH("Benchmarked" &amp; " &gt; " &amp; "Score" &amp; " &gt; " &amp; int_Year, Database!$E$14:$R$14, 0)), 0))/100, 0))</f>
        <v>4.5845408517950201E-2</v>
      </c>
      <c r="M48" s="334">
        <f t="shared" si="0"/>
        <v>0.13583824746059317</v>
      </c>
      <c r="N48" s="685"/>
      <c r="O48" s="505">
        <f t="shared" si="2"/>
        <v>18</v>
      </c>
      <c r="P48" s="499"/>
    </row>
    <row r="49" spans="2:16" x14ac:dyDescent="0.2">
      <c r="B49" s="511"/>
      <c r="C49" s="733">
        <f>Dashboard!$E$27</f>
        <v>0.3</v>
      </c>
      <c r="D49" s="686" t="s">
        <v>1228</v>
      </c>
      <c r="E49" s="738">
        <v>0</v>
      </c>
      <c r="F49" s="683">
        <f t="shared" si="6"/>
        <v>2.0299999999999994</v>
      </c>
      <c r="G49" s="687" t="s">
        <v>40</v>
      </c>
      <c r="H49" s="688"/>
      <c r="I49" s="674" t="str">
        <f>IF(H49="", "", C49*E49*H49)</f>
        <v/>
      </c>
      <c r="J49" s="689">
        <f>IFERROR(INDEX(Database!$E$15:$R$1257, MATCH($F49&amp;" &gt; "&amp;$C$26, Database!$AG$15:$AG$1257, 0), MATCH("Underlying" &amp; " &gt; " &amp; "Data" &amp; " &gt; " &amp; int_Year, Database!$E$14:$R$14, 0)), 0)</f>
        <v>67604.56476744989</v>
      </c>
      <c r="K49" s="687" t="s">
        <v>1548</v>
      </c>
      <c r="L49" s="675" t="str">
        <f>IF(I49="", "", IFERROR(I49*dbl_ScoreMax*MAX(0, IFERROR(INDEX(Database!$E$15:$R$1257, MATCH($F49&amp;" &gt; "&amp;$C$26, Database!$AG$15:$AG$1257, 0), MATCH("Benchmarked" &amp; " &gt; " &amp; "Score" &amp; " &gt; " &amp; int_Year, Database!$E$14:$R$14, 0)), 0))/100, 0))</f>
        <v/>
      </c>
      <c r="M49" s="676" t="str">
        <f>IF(L49="", "", IFERROR(L49/(I49*dbl_ScoreMax), 0))</f>
        <v/>
      </c>
      <c r="N49" s="690"/>
      <c r="O49" s="505">
        <f t="shared" si="2"/>
        <v>19</v>
      </c>
      <c r="P49" s="499"/>
    </row>
    <row r="50" spans="2:16" x14ac:dyDescent="0.2">
      <c r="B50" s="511"/>
      <c r="C50" s="733">
        <f>Dashboard!$E$27</f>
        <v>0.3</v>
      </c>
      <c r="D50" s="160"/>
      <c r="E50" s="732">
        <f t="shared" ref="E50:E52" si="7">E49</f>
        <v>0</v>
      </c>
      <c r="F50" s="162">
        <f t="shared" si="6"/>
        <v>2.0399999999999991</v>
      </c>
      <c r="G50" s="187" t="s">
        <v>41</v>
      </c>
      <c r="H50" s="117" t="s">
        <v>81</v>
      </c>
      <c r="I50" s="128" t="str">
        <f t="shared" si="1"/>
        <v/>
      </c>
      <c r="J50" s="496">
        <f>IFERROR(INDEX(Database!$E$15:$R$1257, MATCH($F50&amp;" &gt; "&amp;$C$26, Database!$AG$15:$AG$1257, 0), MATCH("Underlying" &amp; " &gt; " &amp; "Data" &amp; " &gt; " &amp; int_Year, Database!$E$14:$R$14, 0)), 0)</f>
        <v>11053.401500657894</v>
      </c>
      <c r="K50" s="187" t="s">
        <v>1548</v>
      </c>
      <c r="L50" s="340" t="str">
        <f>IF(I50="", "", IFERROR(I50*dbl_ScoreMax*MAX(0, IFERROR(INDEX(Database!$E$15:$R$1257, MATCH($F50&amp;" &gt; "&amp;$C$26, Database!$AG$15:$AG$1257, 0), MATCH("Benchmarked" &amp; " &gt; " &amp; "Score" &amp; " &gt; " &amp; int_Year, Database!$E$14:$R$14, 0)), 0))/100, 0))</f>
        <v/>
      </c>
      <c r="M50" s="341" t="str">
        <f t="shared" si="0"/>
        <v/>
      </c>
      <c r="N50" s="691"/>
      <c r="O50" s="505">
        <f t="shared" si="2"/>
        <v>20</v>
      </c>
      <c r="P50" s="499"/>
    </row>
    <row r="51" spans="2:16" x14ac:dyDescent="0.2">
      <c r="B51" s="511"/>
      <c r="C51" s="733">
        <f>Dashboard!$E$27</f>
        <v>0.3</v>
      </c>
      <c r="D51" s="160"/>
      <c r="E51" s="733">
        <f t="shared" si="7"/>
        <v>0</v>
      </c>
      <c r="F51" s="162">
        <f t="shared" si="6"/>
        <v>2.0499999999999989</v>
      </c>
      <c r="G51" s="187" t="s">
        <v>42</v>
      </c>
      <c r="H51" s="117" t="s">
        <v>81</v>
      </c>
      <c r="I51" s="128" t="str">
        <f t="shared" si="1"/>
        <v/>
      </c>
      <c r="J51" s="496">
        <f>IFERROR(INDEX(Database!$E$15:$R$1257, MATCH($F51&amp;" &gt; "&amp;$C$26, Database!$AG$15:$AG$1257, 0), MATCH("Underlying" &amp; " &gt; " &amp; "Data" &amp; " &gt; " &amp; int_Year, Database!$E$14:$R$14, 0)), 0)</f>
        <v>3552.7729211545479</v>
      </c>
      <c r="K51" s="187" t="s">
        <v>1548</v>
      </c>
      <c r="L51" s="340" t="str">
        <f>IF(I51="", "", IFERROR(I51*dbl_ScoreMax*MAX(0, IFERROR(INDEX(Database!$E$15:$R$1257, MATCH($F51&amp;" &gt; "&amp;$C$26, Database!$AG$15:$AG$1257, 0), MATCH("Benchmarked" &amp; " &gt; " &amp; "Score" &amp; " &gt; " &amp; int_Year, Database!$E$14:$R$14, 0)), 0))/100, 0))</f>
        <v/>
      </c>
      <c r="M51" s="341" t="str">
        <f t="shared" si="0"/>
        <v/>
      </c>
      <c r="N51" s="691"/>
      <c r="O51" s="505">
        <f t="shared" si="2"/>
        <v>21</v>
      </c>
      <c r="P51" s="499"/>
    </row>
    <row r="52" spans="2:16" x14ac:dyDescent="0.2">
      <c r="B52" s="511"/>
      <c r="C52" s="733">
        <f>Dashboard!$E$27</f>
        <v>0.3</v>
      </c>
      <c r="D52" s="160"/>
      <c r="E52" s="734">
        <f t="shared" si="7"/>
        <v>0</v>
      </c>
      <c r="F52" s="164">
        <f t="shared" si="6"/>
        <v>2.0599999999999987</v>
      </c>
      <c r="G52" s="188" t="s">
        <v>1234</v>
      </c>
      <c r="H52" s="118" t="s">
        <v>81</v>
      </c>
      <c r="I52" s="129" t="str">
        <f t="shared" si="1"/>
        <v/>
      </c>
      <c r="J52" s="189">
        <f>IFERROR(INDEX(Database!$E$15:$R$1257, MATCH($F52&amp;" &gt; "&amp;$C$26, Database!$AG$15:$AG$1257, 0), MATCH("Underlying" &amp; " &gt; " &amp; "Data" &amp; " &gt; " &amp; int_Year, Database!$E$14:$R$14, 0)), 0)</f>
        <v>0.04</v>
      </c>
      <c r="K52" s="188" t="s">
        <v>1548</v>
      </c>
      <c r="L52" s="678" t="str">
        <f>IF(I52="", "", IFERROR(I52*dbl_ScoreMax*MAX(0, IFERROR(INDEX(Database!$E$15:$R$1257, MATCH($F52&amp;" &gt; "&amp;$C$26, Database!$AG$15:$AG$1257, 0), MATCH("Benchmarked" &amp; " &gt; " &amp; "Score" &amp; " &gt; " &amp; int_Year, Database!$E$14:$R$14, 0)), 0))/100, 0))</f>
        <v/>
      </c>
      <c r="M52" s="679" t="str">
        <f t="shared" si="0"/>
        <v/>
      </c>
      <c r="N52" s="691"/>
      <c r="O52" s="505">
        <f t="shared" si="2"/>
        <v>22</v>
      </c>
      <c r="P52" s="499"/>
    </row>
    <row r="53" spans="2:16" x14ac:dyDescent="0.2">
      <c r="B53" s="511"/>
      <c r="C53" s="733">
        <f>Dashboard!$E$27</f>
        <v>0.3</v>
      </c>
      <c r="D53" s="686" t="s">
        <v>66</v>
      </c>
      <c r="E53" s="235">
        <v>0.2</v>
      </c>
      <c r="F53" s="683">
        <f t="shared" si="6"/>
        <v>2.0699999999999985</v>
      </c>
      <c r="G53" s="684" t="s">
        <v>1681</v>
      </c>
      <c r="H53" s="191">
        <v>0.5</v>
      </c>
      <c r="I53" s="661">
        <f t="shared" si="1"/>
        <v>0.03</v>
      </c>
      <c r="J53" s="692">
        <f>IFERROR(INDEX(Database!$E$15:$R$1257, MATCH($F53&amp;" &gt; "&amp;$C$26, Database!$AG$15:$AG$1257, 0), MATCH("Underlying" &amp; " &gt; " &amp; "Data" &amp; " &gt; " &amp; int_Year, Database!$E$14:$R$14, 0)), 0)</f>
        <v>2505.849999999999</v>
      </c>
      <c r="K53" s="684" t="s">
        <v>1548</v>
      </c>
      <c r="L53" s="167">
        <f>IF(I53="", "", IFERROR(I53*dbl_ScoreMax*MAX(0, IFERROR(INDEX(Database!$E$15:$R$1257, MATCH($F53&amp;" &gt; "&amp;$C$26, Database!$AG$15:$AG$1257, 0), MATCH("Benchmarked" &amp; " &gt; " &amp; "Score" &amp; " &gt; " &amp; int_Year, Database!$E$14:$R$14, 0)), 0))/100, 0))</f>
        <v>2.3468214244099241E-3</v>
      </c>
      <c r="M53" s="334">
        <f t="shared" si="0"/>
        <v>1.5645476162732829E-2</v>
      </c>
      <c r="N53" s="693"/>
      <c r="O53" s="505">
        <f t="shared" si="2"/>
        <v>23</v>
      </c>
      <c r="P53" s="499"/>
    </row>
    <row r="54" spans="2:16" x14ac:dyDescent="0.2">
      <c r="B54" s="511"/>
      <c r="C54" s="733">
        <f>Dashboard!$E$27</f>
        <v>0.3</v>
      </c>
      <c r="D54" s="161"/>
      <c r="E54" s="740">
        <f>E53</f>
        <v>0.2</v>
      </c>
      <c r="F54" s="162">
        <f t="shared" si="6"/>
        <v>2.0799999999999983</v>
      </c>
      <c r="G54" s="163" t="s">
        <v>43</v>
      </c>
      <c r="H54" s="665">
        <v>0.5</v>
      </c>
      <c r="I54" s="661">
        <f t="shared" si="1"/>
        <v>0.03</v>
      </c>
      <c r="J54" s="496">
        <f>IFERROR(INDEX(Database!$E$15:$R$1257, MATCH($F54&amp;" &gt; "&amp;$C$26, Database!$AG$15:$AG$1257, 0), MATCH("Underlying" &amp; " &gt; " &amp; "Data" &amp; " &gt; " &amp; int_Year, Database!$E$14:$R$14, 0)), 0)</f>
        <v>5936.3247916966739</v>
      </c>
      <c r="K54" s="163" t="s">
        <v>1548</v>
      </c>
      <c r="L54" s="167">
        <f>IF(I54="", "", IFERROR(I54*dbl_ScoreMax*MAX(0, IFERROR(INDEX(Database!$E$15:$R$1257, MATCH($F54&amp;" &gt; "&amp;$C$26, Database!$AG$15:$AG$1257, 0), MATCH("Benchmarked" &amp; " &gt; " &amp; "Score" &amp; " &gt; " &amp; int_Year, Database!$E$14:$R$14, 0)), 0))/100, 0))</f>
        <v>0.10438498843871737</v>
      </c>
      <c r="M54" s="334">
        <f t="shared" si="0"/>
        <v>0.69589992292478242</v>
      </c>
      <c r="N54" s="694"/>
      <c r="O54" s="505">
        <f t="shared" si="2"/>
        <v>24</v>
      </c>
      <c r="P54" s="499"/>
    </row>
    <row r="55" spans="2:16" x14ac:dyDescent="0.2">
      <c r="B55" s="511"/>
      <c r="C55" s="733">
        <f>Dashboard!$E$27</f>
        <v>0.3</v>
      </c>
      <c r="D55" s="686" t="s">
        <v>35</v>
      </c>
      <c r="E55" s="465">
        <v>0.18</v>
      </c>
      <c r="F55" s="508">
        <f t="shared" si="6"/>
        <v>2.0899999999999981</v>
      </c>
      <c r="G55" s="684" t="s">
        <v>1233</v>
      </c>
      <c r="H55" s="665">
        <v>0.38333333333333303</v>
      </c>
      <c r="I55" s="509">
        <f t="shared" si="1"/>
        <v>2.0699999999999982E-2</v>
      </c>
      <c r="J55" s="507">
        <f>IFERROR(INDEX(Database!$E$15:$R$1257, MATCH($F55&amp;" &gt; "&amp;$C$26, Database!$AG$15:$AG$1257, 0), MATCH("Underlying" &amp; " &gt; " &amp; "Data" &amp; " &gt; " &amp; int_Year, Database!$E$14:$R$14, 0)), 0)</f>
        <v>2</v>
      </c>
      <c r="K55" s="684" t="str">
        <f>IF(J55=1, "Company", "Companies")</f>
        <v>Companies</v>
      </c>
      <c r="L55" s="796">
        <f>IF(I55="", "", IFERROR(I55*dbl_ScoreMax*MAX(0, IFERROR(INDEX(Database!$E$15:$R$1257, MATCH($F55&amp;" &gt; "&amp;$C$26, Database!$AG$15:$AG$1257, 0), MATCH("Benchmarked" &amp; " &gt; " &amp; "Score" &amp; " &gt; " &amp; int_Year, Database!$E$14:$R$14, 0)), 0))/100, 0))</f>
        <v>4.9460176991150398E-3</v>
      </c>
      <c r="M55" s="802">
        <f t="shared" si="0"/>
        <v>4.7787610619469026E-2</v>
      </c>
      <c r="N55" s="799" t="s">
        <v>1501</v>
      </c>
      <c r="O55" s="505">
        <f t="shared" si="2"/>
        <v>25</v>
      </c>
      <c r="P55" s="499"/>
    </row>
    <row r="56" spans="2:16" x14ac:dyDescent="0.2">
      <c r="B56" s="511"/>
      <c r="C56" s="733">
        <f>Dashboard!$E$27</f>
        <v>0.3</v>
      </c>
      <c r="D56" s="160"/>
      <c r="E56" s="732">
        <f t="shared" ref="E56:E58" si="8">E55</f>
        <v>0.18</v>
      </c>
      <c r="F56" s="162">
        <f t="shared" si="6"/>
        <v>2.0999999999999979</v>
      </c>
      <c r="G56" s="163" t="s">
        <v>44</v>
      </c>
      <c r="H56" s="665">
        <v>0.21666666666666601</v>
      </c>
      <c r="I56" s="509">
        <f t="shared" si="1"/>
        <v>1.1699999999999964E-2</v>
      </c>
      <c r="J56" s="166">
        <f>IFERROR(INDEX(Database!$E$15:$R$1257, MATCH($F56&amp;" &gt; "&amp;$C$26, Database!$AG$15:$AG$1257, 0), MATCH("Underlying" &amp; " &gt; " &amp; "Data" &amp; " &gt; " &amp; int_Year, Database!$E$14:$R$14, 0)), 0)</f>
        <v>0</v>
      </c>
      <c r="K56" s="163" t="s">
        <v>50</v>
      </c>
      <c r="L56" s="797">
        <f>IF(I56="", "", IFERROR(I56*dbl_ScoreMax*MAX(0, IFERROR(INDEX(Database!$E$15:$R$1257, MATCH($F56&amp;" &gt; "&amp;$C$26, Database!$AG$15:$AG$1257, 0), MATCH("Benchmarked" &amp; " &gt; " &amp; "Score" &amp; " &gt; " &amp; int_Year, Database!$E$14:$R$14, 0)), 0))/100, 0))</f>
        <v>0</v>
      </c>
      <c r="M56" s="334">
        <f t="shared" si="0"/>
        <v>0</v>
      </c>
      <c r="N56" s="800"/>
      <c r="O56" s="505">
        <f t="shared" si="2"/>
        <v>26</v>
      </c>
      <c r="P56" s="499"/>
    </row>
    <row r="57" spans="2:16" x14ac:dyDescent="0.2">
      <c r="B57" s="511"/>
      <c r="C57" s="733">
        <f>Dashboard!$E$27</f>
        <v>0.3</v>
      </c>
      <c r="D57" s="160"/>
      <c r="E57" s="733">
        <f t="shared" si="8"/>
        <v>0.18</v>
      </c>
      <c r="F57" s="162">
        <f t="shared" si="6"/>
        <v>2.1099999999999977</v>
      </c>
      <c r="G57" s="163" t="s">
        <v>1249</v>
      </c>
      <c r="H57" s="665">
        <v>0.21666666666666601</v>
      </c>
      <c r="I57" s="509">
        <f t="shared" si="1"/>
        <v>1.1699999999999964E-2</v>
      </c>
      <c r="J57" s="166">
        <f>IFERROR(INDEX(Database!$E$15:$R$1257, MATCH($F57&amp;" &gt; "&amp;$C$26, Database!$AG$15:$AG$1257, 0), MATCH("Underlying" &amp; " &gt; " &amp; "Data" &amp; " &gt; " &amp; int_Year, Database!$E$14:$R$14, 0)), 0)</f>
        <v>2</v>
      </c>
      <c r="K57" s="163" t="str">
        <f>IF(J57=1, "Borrower", "Borrowers")</f>
        <v>Borrowers</v>
      </c>
      <c r="L57" s="797">
        <f>IF(I57="", "", IFERROR(I57*dbl_ScoreMax*MAX(0, IFERROR(INDEX(Database!$E$15:$R$1257, MATCH($F57&amp;" &gt; "&amp;$C$26, Database!$AG$15:$AG$1257, 0), MATCH("Benchmarked" &amp; " &gt; " &amp; "Score" &amp; " &gt; " &amp; int_Year, Database!$E$14:$R$14, 0)), 0))/100, 0))</f>
        <v>1.4276879888509966E-6</v>
      </c>
      <c r="M57" s="334">
        <f t="shared" si="0"/>
        <v>2.4404922886341897E-5</v>
      </c>
      <c r="N57" s="691"/>
      <c r="O57" s="505">
        <f t="shared" si="2"/>
        <v>27</v>
      </c>
      <c r="P57" s="499"/>
    </row>
    <row r="58" spans="2:16" x14ac:dyDescent="0.2">
      <c r="B58" s="511"/>
      <c r="C58" s="733">
        <f>Dashboard!$E$27</f>
        <v>0.3</v>
      </c>
      <c r="D58" s="161"/>
      <c r="E58" s="788">
        <f t="shared" si="8"/>
        <v>0.18</v>
      </c>
      <c r="F58" s="164">
        <f t="shared" si="6"/>
        <v>2.1199999999999974</v>
      </c>
      <c r="G58" s="165" t="s">
        <v>45</v>
      </c>
      <c r="H58" s="665">
        <v>0.18333333333333501</v>
      </c>
      <c r="I58" s="509">
        <f>IF(H58="", "", C58*E58*H58)</f>
        <v>9.900000000000091E-3</v>
      </c>
      <c r="J58" s="494">
        <f>IFERROR(INDEX(Database!$E$15:$R$1257, MATCH($F58&amp;" &gt; "&amp;$C$26, Database!$AG$15:$AG$1257, 0), MATCH("Underlying" &amp; " &gt; " &amp; "Data" &amp; " &gt; " &amp; int_Year, Database!$E$14:$R$14, 0)), 0)</f>
        <v>2.5000000000000001E-2</v>
      </c>
      <c r="K58" s="165" t="s">
        <v>52</v>
      </c>
      <c r="L58" s="798">
        <f>IF(I58="", "", IFERROR(I58*dbl_ScoreMax*MAX(0, IFERROR(INDEX(Database!$E$15:$R$1257, MATCH($F58&amp;" &gt; "&amp;$C$26, Database!$AG$15:$AG$1257, 0), MATCH("Benchmarked" &amp; " &gt; " &amp; "Score" &amp; " &gt; " &amp; int_Year, Database!$E$14:$R$14, 0)), 0))/100, 0))</f>
        <v>4.9500000000000453E-2</v>
      </c>
      <c r="M58" s="803">
        <f t="shared" si="0"/>
        <v>1</v>
      </c>
      <c r="N58" s="801"/>
      <c r="O58" s="505">
        <f t="shared" si="2"/>
        <v>28</v>
      </c>
      <c r="P58" s="499"/>
    </row>
    <row r="59" spans="2:16" x14ac:dyDescent="0.2">
      <c r="B59" s="511"/>
      <c r="C59" s="733">
        <f>Dashboard!$E$27</f>
        <v>0.3</v>
      </c>
      <c r="D59" s="686" t="s">
        <v>74</v>
      </c>
      <c r="E59" s="523">
        <v>0.17</v>
      </c>
      <c r="F59" s="162">
        <f t="shared" si="6"/>
        <v>2.1299999999999972</v>
      </c>
      <c r="G59" s="163" t="s">
        <v>3301</v>
      </c>
      <c r="H59" s="665">
        <f>IF(J59=0, 0, 1/COUNTIF($J$59:$J$60, "&lt;&gt;0"))</f>
        <v>0.5</v>
      </c>
      <c r="I59" s="661">
        <f t="shared" si="1"/>
        <v>2.5500000000000002E-2</v>
      </c>
      <c r="J59" s="493">
        <f>IFERROR(INDEX(Database!$E$15:$R$1257, MATCH($F59&amp;" &gt; "&amp;$C$26, Database!$AG$15:$AG$1257, 0), MATCH("Underlying" &amp; " &gt; " &amp; "Data" &amp; " &gt; " &amp; int_Year, Database!$E$14:$R$14, 0)), 0)</f>
        <v>0.05</v>
      </c>
      <c r="K59" s="163" t="s">
        <v>52</v>
      </c>
      <c r="L59" s="167">
        <f>IF(I59="", "", IFERROR(I59*dbl_ScoreMax*MAX(0, IFERROR(INDEX(Database!$E$15:$R$1257, MATCH($F59&amp;" &gt; "&amp;$C$26, Database!$AG$15:$AG$1257, 0), MATCH("Benchmarked" &amp; " &gt; " &amp; "Score" &amp; " &gt; " &amp; int_Year, Database!$E$14:$R$14, 0)), 0))/100, 0))</f>
        <v>0.11088930000000001</v>
      </c>
      <c r="M59" s="334">
        <f t="shared" si="0"/>
        <v>0.86972000000000005</v>
      </c>
      <c r="N59" s="685"/>
      <c r="O59" s="505">
        <f t="shared" si="2"/>
        <v>29</v>
      </c>
      <c r="P59" s="499"/>
    </row>
    <row r="60" spans="2:16" x14ac:dyDescent="0.2">
      <c r="B60" s="510"/>
      <c r="C60" s="734">
        <f>Dashboard!$E$27</f>
        <v>0.3</v>
      </c>
      <c r="D60" s="161"/>
      <c r="E60" s="740">
        <f t="shared" ref="E60" si="9">E59</f>
        <v>0.17</v>
      </c>
      <c r="F60" s="164">
        <f t="shared" si="6"/>
        <v>2.139999999999997</v>
      </c>
      <c r="G60" s="165" t="s">
        <v>3298</v>
      </c>
      <c r="H60" s="665">
        <f>IF(J60=0, 0, 1/COUNTIF($J$59:$J$60, "&lt;&gt;0"))</f>
        <v>0.5</v>
      </c>
      <c r="I60" s="661">
        <f t="shared" si="1"/>
        <v>2.5500000000000002E-2</v>
      </c>
      <c r="J60" s="494">
        <f>IFERROR(INDEX(Database!$E$15:$R$1257, MATCH($F60&amp;" &gt; "&amp;$C$26, Database!$AG$15:$AG$1257, 0), MATCH("Underlying" &amp; " &gt; " &amp; "Data" &amp; " &gt; " &amp; int_Year, Database!$E$14:$R$14, 0)), 0)</f>
        <v>8.5952000000000001E-2</v>
      </c>
      <c r="K60" s="165" t="s">
        <v>52</v>
      </c>
      <c r="L60" s="190">
        <f>IF(I60="", "", IFERROR(I60*dbl_ScoreMax*MAX(0, IFERROR(INDEX(Database!$E$15:$R$1257, MATCH($F60&amp;" &gt; "&amp;$C$26, Database!$AG$15:$AG$1257, 0), MATCH("Benchmarked" &amp; " &gt; " &amp; "Score" &amp; " &gt; " &amp; int_Year, Database!$E$14:$R$14, 0)), 0))/100, 0))</f>
        <v>6.9570806962025306E-2</v>
      </c>
      <c r="M60" s="512">
        <f t="shared" si="0"/>
        <v>0.54565338793745333</v>
      </c>
      <c r="N60" s="694"/>
      <c r="O60" s="505">
        <f t="shared" si="2"/>
        <v>30</v>
      </c>
      <c r="P60" s="499"/>
    </row>
    <row r="61" spans="2:16" x14ac:dyDescent="0.2">
      <c r="B61" s="695" t="s">
        <v>1712</v>
      </c>
      <c r="C61" s="235">
        <v>0.1</v>
      </c>
      <c r="D61" s="695" t="s">
        <v>76</v>
      </c>
      <c r="E61" s="738">
        <v>1</v>
      </c>
      <c r="F61" s="696">
        <v>3.01</v>
      </c>
      <c r="G61" s="697" t="s">
        <v>46</v>
      </c>
      <c r="H61" s="665">
        <v>0.25</v>
      </c>
      <c r="I61" s="661">
        <f t="shared" si="1"/>
        <v>2.5000000000000001E-2</v>
      </c>
      <c r="J61" s="698">
        <f>IFERROR(INDEX(Database!$E$15:$R$1257, MATCH($F61&amp;" &gt; "&amp;$C$26, Database!$AG$15:$AG$1257, 0), MATCH("Underlying" &amp; " &gt; " &amp; "Data" &amp; " &gt; " &amp; int_Year, Database!$E$14:$R$14, 0)), 0)</f>
        <v>4</v>
      </c>
      <c r="K61" s="697" t="str">
        <f>IF(J61=1, "Company", "Companies")</f>
        <v>Companies</v>
      </c>
      <c r="L61" s="699">
        <f>IF(I61="", "", IFERROR(I61*dbl_ScoreMax*MAX(0, IFERROR(INDEX(Database!$E$15:$R$1257, MATCH($F61&amp;" &gt; "&amp;$C$26, Database!$AG$15:$AG$1257, 0), MATCH("Benchmarked" &amp; " &gt; " &amp; "Score" &amp; " &gt; " &amp; int_Year, Database!$E$14:$R$14, 0)), 0))/100, 0))</f>
        <v>0.125</v>
      </c>
      <c r="M61" s="518">
        <f t="shared" si="0"/>
        <v>1</v>
      </c>
      <c r="N61" s="664" t="s">
        <v>1501</v>
      </c>
      <c r="O61" s="505">
        <f t="shared" si="2"/>
        <v>31</v>
      </c>
      <c r="P61" s="499"/>
    </row>
    <row r="62" spans="2:16" x14ac:dyDescent="0.2">
      <c r="B62" s="144" t="s">
        <v>1713</v>
      </c>
      <c r="C62" s="732">
        <f>Dashboard!$E$28</f>
        <v>0.1</v>
      </c>
      <c r="D62" s="179"/>
      <c r="E62" s="732">
        <f t="shared" ref="E62:E63" si="10">E61</f>
        <v>1</v>
      </c>
      <c r="F62" s="182">
        <f>F61+0.01</f>
        <v>3.0199999999999996</v>
      </c>
      <c r="G62" s="183" t="s">
        <v>47</v>
      </c>
      <c r="H62" s="665">
        <v>0.5</v>
      </c>
      <c r="I62" s="661">
        <f t="shared" si="1"/>
        <v>0.05</v>
      </c>
      <c r="J62" s="184">
        <f>IFERROR(INDEX(Database!$E$15:$R$1257, MATCH($F62&amp;" &gt; "&amp;$C$26, Database!$AG$15:$AG$1257, 0), MATCH("Underlying" &amp; " &gt; " &amp; "Data" &amp; " &gt; " &amp; int_Year, Database!$E$14:$R$14, 0)), 0)</f>
        <v>30</v>
      </c>
      <c r="K62" s="183" t="str">
        <f>IF(J62=1, "Value Chain", "Value Chains")</f>
        <v>Value Chains</v>
      </c>
      <c r="L62" s="186">
        <f>IF(I62="", "", IFERROR(I62*dbl_ScoreMax*MAX(0, IFERROR(INDEX(Database!$E$15:$R$1257, MATCH($F62&amp;" &gt; "&amp;$C$26, Database!$AG$15:$AG$1257, 0), MATCH("Benchmarked" &amp; " &gt; " &amp; "Score" &amp; " &gt; " &amp; int_Year, Database!$E$14:$R$14, 0)), 0))/100, 0))</f>
        <v>0.1875</v>
      </c>
      <c r="M62" s="334">
        <f t="shared" si="0"/>
        <v>0.75</v>
      </c>
      <c r="N62" s="664" t="s">
        <v>1501</v>
      </c>
      <c r="O62" s="505">
        <f t="shared" si="2"/>
        <v>32</v>
      </c>
      <c r="P62" s="499"/>
    </row>
    <row r="63" spans="2:16" x14ac:dyDescent="0.2">
      <c r="B63" s="145"/>
      <c r="C63" s="734">
        <f>Dashboard!$E$28</f>
        <v>0.1</v>
      </c>
      <c r="D63" s="178"/>
      <c r="E63" s="734">
        <f t="shared" si="10"/>
        <v>1</v>
      </c>
      <c r="F63" s="180">
        <f>F62+0.01</f>
        <v>3.0299999999999994</v>
      </c>
      <c r="G63" s="181" t="s">
        <v>48</v>
      </c>
      <c r="H63" s="665">
        <v>0.25</v>
      </c>
      <c r="I63" s="661">
        <f t="shared" si="1"/>
        <v>2.5000000000000001E-2</v>
      </c>
      <c r="J63" s="184">
        <f>IFERROR(INDEX(Database!$E$15:$R$1257, MATCH($F63&amp;" &gt; "&amp;$C$26, Database!$AG$15:$AG$1257, 0), MATCH("Underlying" &amp; " &gt; " &amp; "Data" &amp; " &gt; " &amp; int_Year, Database!$E$14:$R$14, 0)), 0)</f>
        <v>18</v>
      </c>
      <c r="K63" s="183" t="str">
        <f>IF(J63=1, "Service Provider", "Sevice Providers")</f>
        <v>Sevice Providers</v>
      </c>
      <c r="L63" s="185">
        <f>IF(I63="", "", IFERROR(I63*dbl_ScoreMax*MAX(0, IFERROR(INDEX(Database!$E$15:$R$1257, MATCH($F63&amp;" &gt; "&amp;$C$26, Database!$AG$15:$AG$1257, 0), MATCH("Benchmarked" &amp; " &gt; " &amp; "Score" &amp; " &gt; " &amp; int_Year, Database!$E$14:$R$14, 0)), 0))/100, 0))</f>
        <v>0.1125</v>
      </c>
      <c r="M63" s="512">
        <f t="shared" si="0"/>
        <v>0.9</v>
      </c>
      <c r="N63" s="664" t="s">
        <v>1501</v>
      </c>
      <c r="O63" s="505">
        <f t="shared" si="2"/>
        <v>33</v>
      </c>
      <c r="P63" s="499"/>
    </row>
    <row r="64" spans="2:16" x14ac:dyDescent="0.2">
      <c r="B64" s="700" t="s">
        <v>1711</v>
      </c>
      <c r="C64" s="235">
        <v>0.2</v>
      </c>
      <c r="D64" s="700" t="s">
        <v>1682</v>
      </c>
      <c r="E64" s="235">
        <v>0.4</v>
      </c>
      <c r="F64" s="701">
        <v>4.01</v>
      </c>
      <c r="G64" s="522" t="s">
        <v>1692</v>
      </c>
      <c r="H64" s="702">
        <v>0.49999999999999994</v>
      </c>
      <c r="I64" s="661">
        <f t="shared" si="1"/>
        <v>0.04</v>
      </c>
      <c r="J64" s="703">
        <f>IFERROR(INDEX(Database!$E$15:$R$1257, MATCH($F64&amp;" &gt; "&amp;$C$26, Database!$AG$15:$AG$1257, 0), MATCH("Underlying" &amp; " &gt; " &amp; "Data" &amp; " &gt; " &amp; int_Year, Database!$E$14:$R$14, 0)), 0)</f>
        <v>345</v>
      </c>
      <c r="K64" s="522" t="s">
        <v>1717</v>
      </c>
      <c r="L64" s="519">
        <f>IF(I64="", "", IFERROR(I64*dbl_ScoreMax*MAX(0, IFERROR(INDEX(Database!$E$15:$R$1257, MATCH($F64&amp;" &gt; "&amp;$C$26, Database!$AG$15:$AG$1257, 0), MATCH("Benchmarked" &amp; " &gt; " &amp; "Score" &amp; " &gt; " &amp; int_Year, Database!$E$14:$R$14, 0)), 0))/100, 0))</f>
        <v>0.2</v>
      </c>
      <c r="M64" s="518">
        <f t="shared" si="0"/>
        <v>1</v>
      </c>
      <c r="N64" s="704"/>
      <c r="O64" s="505">
        <f t="shared" si="2"/>
        <v>34</v>
      </c>
      <c r="P64" s="499"/>
    </row>
    <row r="65" spans="2:16" x14ac:dyDescent="0.2">
      <c r="B65" s="330"/>
      <c r="C65" s="732">
        <f>Dashboard!$E$29</f>
        <v>0.2</v>
      </c>
      <c r="D65" s="735"/>
      <c r="E65" s="732">
        <f t="shared" ref="E65:E66" si="11">E64</f>
        <v>0.4</v>
      </c>
      <c r="F65" s="325">
        <f t="shared" ref="F65:F76" si="12">F64+0.01</f>
        <v>4.0199999999999996</v>
      </c>
      <c r="G65" s="326" t="s">
        <v>1523</v>
      </c>
      <c r="H65" s="702">
        <v>0.24999999999999997</v>
      </c>
      <c r="I65" s="661">
        <f t="shared" si="1"/>
        <v>0.02</v>
      </c>
      <c r="J65" s="328">
        <f>IFERROR(INDEX(Database!$E$15:$R$1257, MATCH($F65&amp;" &gt; "&amp;$C$26, Database!$AG$15:$AG$1257, 0), MATCH("Underlying" &amp; " &gt; " &amp; "Data" &amp; " &gt; " &amp; int_Year, Database!$E$14:$R$14, 0)), 0)</f>
        <v>118</v>
      </c>
      <c r="K65" s="326" t="s">
        <v>1718</v>
      </c>
      <c r="L65" s="329">
        <f>IF(I65="", "", IFERROR(I65*dbl_ScoreMax*MAX(0, IFERROR(INDEX(Database!$E$15:$R$1257, MATCH($F65&amp;" &gt; "&amp;$C$26, Database!$AG$15:$AG$1257, 0), MATCH("Benchmarked" &amp; " &gt; " &amp; "Score" &amp; " &gt; " &amp; int_Year, Database!$E$14:$R$14, 0)), 0))/100, 0))</f>
        <v>1.6666666666666666E-2</v>
      </c>
      <c r="M65" s="334">
        <f t="shared" si="0"/>
        <v>0.16666666666666666</v>
      </c>
      <c r="N65" s="705"/>
      <c r="O65" s="505">
        <f t="shared" si="2"/>
        <v>35</v>
      </c>
      <c r="P65" s="499"/>
    </row>
    <row r="66" spans="2:16" x14ac:dyDescent="0.2">
      <c r="B66" s="330"/>
      <c r="C66" s="733">
        <f>Dashboard!$E$29</f>
        <v>0.2</v>
      </c>
      <c r="D66" s="736"/>
      <c r="E66" s="734">
        <f t="shared" si="11"/>
        <v>0.4</v>
      </c>
      <c r="F66" s="325">
        <f t="shared" si="12"/>
        <v>4.0299999999999994</v>
      </c>
      <c r="G66" s="326" t="s">
        <v>1683</v>
      </c>
      <c r="H66" s="521">
        <v>0.24999999999999997</v>
      </c>
      <c r="I66" s="661">
        <f t="shared" si="1"/>
        <v>0.02</v>
      </c>
      <c r="J66" s="328">
        <f>IFERROR(INDEX(Database!$E$15:$R$1257, MATCH($F66&amp;" &gt; "&amp;$C$26, Database!$AG$15:$AG$1257, 0), MATCH("Underlying" &amp; " &gt; " &amp; "Data" &amp; " &gt; " &amp; int_Year, Database!$E$14:$R$14, 0)), 0)</f>
        <v>0</v>
      </c>
      <c r="K66" s="326" t="s">
        <v>3299</v>
      </c>
      <c r="L66" s="329">
        <f>IF(I66="", "", IFERROR(I66*dbl_ScoreMax*MAX(0, IFERROR(INDEX(Database!$E$15:$R$1257, MATCH($F66&amp;" &gt; "&amp;$C$26, Database!$AG$15:$AG$1257, 0), MATCH("Benchmarked" &amp; " &gt; " &amp; "Score" &amp; " &gt; " &amp; int_Year, Database!$E$14:$R$14, 0)), 0))/100, 0))</f>
        <v>4.1422998851174279E-2</v>
      </c>
      <c r="M66" s="334">
        <f t="shared" si="0"/>
        <v>0.41422998851174275</v>
      </c>
      <c r="N66" s="705"/>
      <c r="O66" s="505">
        <f t="shared" si="2"/>
        <v>36</v>
      </c>
      <c r="P66" s="499"/>
    </row>
    <row r="67" spans="2:16" x14ac:dyDescent="0.2">
      <c r="B67" s="330"/>
      <c r="C67" s="733">
        <f>Dashboard!$E$29</f>
        <v>0.2</v>
      </c>
      <c r="D67" s="737" t="s">
        <v>1684</v>
      </c>
      <c r="E67" s="235">
        <v>0.3</v>
      </c>
      <c r="F67" s="701">
        <f t="shared" si="12"/>
        <v>4.0399999999999991</v>
      </c>
      <c r="G67" s="522" t="s">
        <v>1685</v>
      </c>
      <c r="H67" s="702">
        <v>0.41666666666666674</v>
      </c>
      <c r="I67" s="661">
        <f t="shared" si="1"/>
        <v>2.5000000000000005E-2</v>
      </c>
      <c r="J67" s="520">
        <f>IFERROR(INDEX(Database!$E$15:$R$1257, MATCH($F67&amp;" &gt; "&amp;$C$26, Database!$AG$15:$AG$1257, 0), MATCH("Underlying" &amp; " &gt; " &amp; "Data" &amp; " &gt; " &amp; int_Year, Database!$E$14:$R$14, 0)), 0)</f>
        <v>1</v>
      </c>
      <c r="K67" s="522" t="s">
        <v>1714</v>
      </c>
      <c r="L67" s="519">
        <f>IF(I67="", "", IFERROR(I67*dbl_ScoreMax*MAX(0, IFERROR(INDEX(Database!$E$15:$R$1257, MATCH($F67&amp;" &gt; "&amp;$C$26, Database!$AG$15:$AG$1257, 0), MATCH("Benchmarked" &amp; " &gt; " &amp; "Score" &amp; " &gt; " &amp; int_Year, Database!$E$14:$R$14, 0)), 0))/100, 0))</f>
        <v>7.5000000000000011E-2</v>
      </c>
      <c r="M67" s="518">
        <f t="shared" si="0"/>
        <v>0.6</v>
      </c>
      <c r="N67" s="704"/>
      <c r="O67" s="505">
        <f t="shared" si="2"/>
        <v>37</v>
      </c>
      <c r="P67" s="499"/>
    </row>
    <row r="68" spans="2:16" x14ac:dyDescent="0.2">
      <c r="B68" s="330"/>
      <c r="C68" s="733">
        <f>Dashboard!$E$29</f>
        <v>0.2</v>
      </c>
      <c r="D68" s="735"/>
      <c r="E68" s="732">
        <f t="shared" ref="E68:E70" si="13">E67</f>
        <v>0.3</v>
      </c>
      <c r="F68" s="325">
        <f t="shared" si="12"/>
        <v>4.0499999999999989</v>
      </c>
      <c r="G68" s="326" t="s">
        <v>1693</v>
      </c>
      <c r="H68" s="521">
        <v>0.25</v>
      </c>
      <c r="I68" s="661">
        <f t="shared" si="1"/>
        <v>1.4999999999999999E-2</v>
      </c>
      <c r="J68" s="328">
        <f>IFERROR(INDEX(Database!$E$15:$R$1257, MATCH($F68&amp;" &gt; "&amp;$C$26, Database!$AG$15:$AG$1257, 0), MATCH("Underlying" &amp; " &gt; " &amp; "Data" &amp; " &gt; " &amp; int_Year, Database!$E$14:$R$14, 0)), 0)</f>
        <v>0</v>
      </c>
      <c r="K68" s="326" t="s">
        <v>1715</v>
      </c>
      <c r="L68" s="329">
        <f>IF(I68="", "", IFERROR(I68*dbl_ScoreMax*MAX(0, IFERROR(INDEX(Database!$E$15:$R$1257, MATCH($F68&amp;" &gt; "&amp;$C$26, Database!$AG$15:$AG$1257, 0), MATCH("Benchmarked" &amp; " &gt; " &amp; "Score" &amp; " &gt; " &amp; int_Year, Database!$E$14:$R$14, 0)), 0))/100, 0))</f>
        <v>4.9999999999999989E-2</v>
      </c>
      <c r="M68" s="334">
        <f t="shared" si="0"/>
        <v>0.66666666666666652</v>
      </c>
      <c r="N68" s="705"/>
      <c r="O68" s="505">
        <f t="shared" si="2"/>
        <v>38</v>
      </c>
      <c r="P68" s="499"/>
    </row>
    <row r="69" spans="2:16" x14ac:dyDescent="0.2">
      <c r="B69" s="330"/>
      <c r="C69" s="733">
        <f>Dashboard!$E$29</f>
        <v>0.2</v>
      </c>
      <c r="D69" s="735"/>
      <c r="E69" s="733">
        <f t="shared" si="13"/>
        <v>0.3</v>
      </c>
      <c r="F69" s="325">
        <f t="shared" si="12"/>
        <v>4.0599999999999987</v>
      </c>
      <c r="G69" s="326" t="s">
        <v>1707</v>
      </c>
      <c r="H69" s="521">
        <v>8.3333333333333343E-2</v>
      </c>
      <c r="I69" s="661">
        <f t="shared" si="1"/>
        <v>5.0000000000000001E-3</v>
      </c>
      <c r="J69" s="328">
        <f>IFERROR(INDEX(Database!$E$15:$R$1257, MATCH($F69&amp;" &gt; "&amp;$C$26, Database!$AG$15:$AG$1257, 0), MATCH("Underlying" &amp; " &gt; " &amp; "Data" &amp; " &gt; " &amp; int_Year, Database!$E$14:$R$14, 0)), 0)</f>
        <v>0</v>
      </c>
      <c r="K69" s="326" t="s">
        <v>1716</v>
      </c>
      <c r="L69" s="329">
        <f>IF(I69="", "", IFERROR(I69*dbl_ScoreMax*MAX(0, IFERROR(INDEX(Database!$E$15:$R$1257, MATCH($F69&amp;" &gt; "&amp;$C$26, Database!$AG$15:$AG$1257, 0), MATCH("Benchmarked" &amp; " &gt; " &amp; "Score" &amp; " &gt; " &amp; int_Year, Database!$E$14:$R$14, 0)), 0))/100, 0))</f>
        <v>0</v>
      </c>
      <c r="M69" s="334">
        <f t="shared" si="0"/>
        <v>0</v>
      </c>
      <c r="N69" s="705"/>
      <c r="O69" s="505">
        <f t="shared" si="2"/>
        <v>39</v>
      </c>
      <c r="P69" s="499"/>
    </row>
    <row r="70" spans="2:16" x14ac:dyDescent="0.2">
      <c r="B70" s="330"/>
      <c r="C70" s="733">
        <f>Dashboard!$E$29</f>
        <v>0.2</v>
      </c>
      <c r="D70" s="736"/>
      <c r="E70" s="734">
        <f t="shared" si="13"/>
        <v>0.3</v>
      </c>
      <c r="F70" s="517">
        <f t="shared" si="12"/>
        <v>4.0699999999999985</v>
      </c>
      <c r="G70" s="514" t="s">
        <v>3300</v>
      </c>
      <c r="H70" s="702">
        <v>0.25</v>
      </c>
      <c r="I70" s="661">
        <f t="shared" si="1"/>
        <v>1.4999999999999999E-2</v>
      </c>
      <c r="J70" s="515">
        <f>IFERROR(INDEX(Database!$E$15:$R$1257, MATCH($F70&amp;" &gt; "&amp;$C$26, Database!$AG$15:$AG$1257, 0), MATCH("Underlying" &amp; " &gt; " &amp; "Data" &amp; " &gt; " &amp; int_Year, Database!$E$14:$R$14, 0)), 0)</f>
        <v>0</v>
      </c>
      <c r="K70" s="514" t="s">
        <v>3300</v>
      </c>
      <c r="L70" s="513">
        <f>IF(I70="", "", IFERROR(I70*dbl_ScoreMax*MAX(0, IFERROR(INDEX(Database!$E$15:$R$1257, MATCH($F70&amp;" &gt; "&amp;$C$26, Database!$AG$15:$AG$1257, 0), MATCH("Benchmarked" &amp; " &gt; " &amp; "Score" &amp; " &gt; " &amp; int_Year, Database!$E$14:$R$14, 0)), 0))/100, 0))</f>
        <v>1.8749999999999999E-2</v>
      </c>
      <c r="M70" s="512">
        <f t="shared" si="0"/>
        <v>0.25</v>
      </c>
      <c r="N70" s="707"/>
      <c r="O70" s="505">
        <f t="shared" si="2"/>
        <v>40</v>
      </c>
      <c r="P70" s="499"/>
    </row>
    <row r="71" spans="2:16" x14ac:dyDescent="0.2">
      <c r="B71" s="330"/>
      <c r="C71" s="733">
        <f>Dashboard!$E$29</f>
        <v>0.2</v>
      </c>
      <c r="D71" s="737" t="s">
        <v>1686</v>
      </c>
      <c r="E71" s="235">
        <v>0.3</v>
      </c>
      <c r="F71" s="701">
        <f t="shared" si="12"/>
        <v>4.0799999999999983</v>
      </c>
      <c r="G71" s="522" t="s">
        <v>1705</v>
      </c>
      <c r="H71" s="521">
        <v>0.16666666666666669</v>
      </c>
      <c r="I71" s="661">
        <f t="shared" si="1"/>
        <v>0.01</v>
      </c>
      <c r="J71" s="520">
        <f>IFERROR(INDEX(Database!$E$15:$R$1257, MATCH($F71&amp;" &gt; "&amp;$C$26, Database!$AG$15:$AG$1257, 0), MATCH("Underlying" &amp; " &gt; " &amp; "Data" &amp; " &gt; " &amp; int_Year, Database!$E$14:$R$14, 0)), 0)</f>
        <v>0</v>
      </c>
      <c r="K71" s="522" t="s">
        <v>1540</v>
      </c>
      <c r="L71" s="519">
        <f>IF(I71="", "", IFERROR(I71*dbl_ScoreMax*MAX(0, IFERROR(INDEX(Database!$E$15:$R$1257, MATCH($F71&amp;" &gt; "&amp;$C$26, Database!$AG$15:$AG$1257, 0), MATCH("Benchmarked" &amp; " &gt; " &amp; "Score" &amp; " &gt; " &amp; int_Year, Database!$E$14:$R$14, 0)), 0))/100, 0))</f>
        <v>2.8968964488212477E-2</v>
      </c>
      <c r="M71" s="518">
        <f t="shared" si="0"/>
        <v>0.57937928976424946</v>
      </c>
      <c r="N71" s="704"/>
      <c r="O71" s="505">
        <f t="shared" si="2"/>
        <v>41</v>
      </c>
      <c r="P71" s="499"/>
    </row>
    <row r="72" spans="2:16" x14ac:dyDescent="0.2">
      <c r="B72" s="330"/>
      <c r="C72" s="733">
        <f>Dashboard!$E$29</f>
        <v>0.2</v>
      </c>
      <c r="D72" s="735"/>
      <c r="E72" s="732">
        <f t="shared" ref="E72:E76" si="14">E71</f>
        <v>0.3</v>
      </c>
      <c r="F72" s="325">
        <f t="shared" si="12"/>
        <v>4.0899999999999981</v>
      </c>
      <c r="G72" s="326" t="s">
        <v>1687</v>
      </c>
      <c r="H72" s="521">
        <v>0.16666666666666669</v>
      </c>
      <c r="I72" s="661">
        <f t="shared" si="1"/>
        <v>0.01</v>
      </c>
      <c r="J72" s="328">
        <f>IFERROR(INDEX(Database!$E$15:$R$1257, MATCH($F72&amp;" &gt; "&amp;$C$26, Database!$AG$15:$AG$1257, 0), MATCH("Underlying" &amp; " &gt; " &amp; "Data" &amp; " &gt; " &amp; int_Year, Database!$E$14:$R$14, 0)), 0)</f>
        <v>0</v>
      </c>
      <c r="K72" s="326" t="s">
        <v>1540</v>
      </c>
      <c r="L72" s="329">
        <f>IF(I72="", "", IFERROR(I72*dbl_ScoreMax*MAX(0, IFERROR(INDEX(Database!$E$15:$R$1257, MATCH($F72&amp;" &gt; "&amp;$C$26, Database!$AG$15:$AG$1257, 0), MATCH("Benchmarked" &amp; " &gt; " &amp; "Score" &amp; " &gt; " &amp; int_Year, Database!$E$14:$R$14, 0)), 0))/100, 0))</f>
        <v>0.05</v>
      </c>
      <c r="M72" s="334">
        <f t="shared" si="0"/>
        <v>1</v>
      </c>
      <c r="N72" s="705"/>
      <c r="O72" s="505">
        <f t="shared" si="2"/>
        <v>42</v>
      </c>
      <c r="P72" s="499"/>
    </row>
    <row r="73" spans="2:16" x14ac:dyDescent="0.2">
      <c r="B73" s="330"/>
      <c r="C73" s="733">
        <f>Dashboard!$E$29</f>
        <v>0.2</v>
      </c>
      <c r="D73" s="735"/>
      <c r="E73" s="733">
        <f t="shared" si="14"/>
        <v>0.3</v>
      </c>
      <c r="F73" s="325">
        <f t="shared" si="12"/>
        <v>4.0999999999999979</v>
      </c>
      <c r="G73" s="326" t="s">
        <v>1688</v>
      </c>
      <c r="H73" s="521">
        <v>0.16666666666666669</v>
      </c>
      <c r="I73" s="661">
        <f t="shared" si="1"/>
        <v>0.01</v>
      </c>
      <c r="J73" s="328">
        <f>IFERROR(INDEX(Database!$E$15:$R$1257, MATCH($F73&amp;" &gt; "&amp;$C$26, Database!$AG$15:$AG$1257, 0), MATCH("Underlying" &amp; " &gt; " &amp; "Data" &amp; " &gt; " &amp; int_Year, Database!$E$14:$R$14, 0)), 0)</f>
        <v>0</v>
      </c>
      <c r="K73" s="326" t="s">
        <v>1540</v>
      </c>
      <c r="L73" s="329">
        <f>IF(I73="", "", IFERROR(I73*dbl_ScoreMax*MAX(0, IFERROR(INDEX(Database!$E$15:$R$1257, MATCH($F73&amp;" &gt; "&amp;$C$26, Database!$AG$15:$AG$1257, 0), MATCH("Benchmarked" &amp; " &gt; " &amp; "Score" &amp; " &gt; " &amp; int_Year, Database!$E$14:$R$14, 0)), 0))/100, 0))</f>
        <v>0.05</v>
      </c>
      <c r="M73" s="334">
        <f t="shared" si="0"/>
        <v>1</v>
      </c>
      <c r="N73" s="705"/>
      <c r="O73" s="505">
        <f t="shared" si="2"/>
        <v>43</v>
      </c>
      <c r="P73" s="499"/>
    </row>
    <row r="74" spans="2:16" x14ac:dyDescent="0.2">
      <c r="B74" s="330"/>
      <c r="C74" s="733">
        <f>Dashboard!$E$29</f>
        <v>0.2</v>
      </c>
      <c r="D74" s="735"/>
      <c r="E74" s="733">
        <f t="shared" si="14"/>
        <v>0.3</v>
      </c>
      <c r="F74" s="325">
        <f t="shared" si="12"/>
        <v>4.1099999999999977</v>
      </c>
      <c r="G74" s="326" t="s">
        <v>1689</v>
      </c>
      <c r="H74" s="521">
        <v>0.16666666666666669</v>
      </c>
      <c r="I74" s="661">
        <f t="shared" si="1"/>
        <v>0.01</v>
      </c>
      <c r="J74" s="328">
        <f>IFERROR(INDEX(Database!$E$15:$R$1257, MATCH($F74&amp;" &gt; "&amp;$C$26, Database!$AG$15:$AG$1257, 0), MATCH("Underlying" &amp; " &gt; " &amp; "Data" &amp; " &gt; " &amp; int_Year, Database!$E$14:$R$14, 0)), 0)</f>
        <v>0</v>
      </c>
      <c r="K74" s="326" t="s">
        <v>1540</v>
      </c>
      <c r="L74" s="329">
        <f>IF(I74="", "", IFERROR(I74*dbl_ScoreMax*MAX(0, IFERROR(INDEX(Database!$E$15:$R$1257, MATCH($F74&amp;" &gt; "&amp;$C$26, Database!$AG$15:$AG$1257, 0), MATCH("Benchmarked" &amp; " &gt; " &amp; "Score" &amp; " &gt; " &amp; int_Year, Database!$E$14:$R$14, 0)), 0))/100, 0))</f>
        <v>0.05</v>
      </c>
      <c r="M74" s="334">
        <f t="shared" si="0"/>
        <v>1</v>
      </c>
      <c r="N74" s="705"/>
      <c r="O74" s="505">
        <f t="shared" si="2"/>
        <v>44</v>
      </c>
      <c r="P74" s="499"/>
    </row>
    <row r="75" spans="2:16" x14ac:dyDescent="0.2">
      <c r="B75" s="330"/>
      <c r="C75" s="733">
        <f>Dashboard!$E$29</f>
        <v>0.2</v>
      </c>
      <c r="D75" s="735"/>
      <c r="E75" s="733">
        <f t="shared" si="14"/>
        <v>0.3</v>
      </c>
      <c r="F75" s="325">
        <f t="shared" si="12"/>
        <v>4.1199999999999974</v>
      </c>
      <c r="G75" s="327" t="s">
        <v>1706</v>
      </c>
      <c r="H75" s="521">
        <v>0.16666666666666669</v>
      </c>
      <c r="I75" s="661">
        <f t="shared" si="1"/>
        <v>0.01</v>
      </c>
      <c r="J75" s="328">
        <f>IFERROR(INDEX(Database!$E$15:$R$1257, MATCH($F75&amp;" &gt; "&amp;$C$26, Database!$AG$15:$AG$1257, 0), MATCH("Underlying" &amp; " &gt; " &amp; "Data" &amp; " &gt; " &amp; int_Year, Database!$E$14:$R$14, 0)), 0)</f>
        <v>0</v>
      </c>
      <c r="K75" s="326" t="s">
        <v>1720</v>
      </c>
      <c r="L75" s="329">
        <f>IF(I75="", "", IFERROR(I75*dbl_ScoreMax*MAX(0, IFERROR(INDEX(Database!$E$15:$R$1257, MATCH($F75&amp;" &gt; "&amp;$C$26, Database!$AG$15:$AG$1257, 0), MATCH("Benchmarked" &amp; " &gt; " &amp; "Score" &amp; " &gt; " &amp; int_Year, Database!$E$14:$R$14, 0)), 0))/100, 0))</f>
        <v>0.05</v>
      </c>
      <c r="M75" s="334">
        <f t="shared" si="0"/>
        <v>1</v>
      </c>
      <c r="N75" s="705"/>
      <c r="O75" s="505">
        <f t="shared" si="2"/>
        <v>45</v>
      </c>
      <c r="P75" s="499"/>
    </row>
    <row r="76" spans="2:16" x14ac:dyDescent="0.2">
      <c r="B76" s="706"/>
      <c r="C76" s="734">
        <f>Dashboard!$E$29</f>
        <v>0.2</v>
      </c>
      <c r="D76" s="736"/>
      <c r="E76" s="734">
        <f t="shared" si="14"/>
        <v>0.3</v>
      </c>
      <c r="F76" s="517">
        <f t="shared" si="12"/>
        <v>4.1299999999999972</v>
      </c>
      <c r="G76" s="516" t="s">
        <v>1690</v>
      </c>
      <c r="H76" s="708">
        <v>0.16666666666666669</v>
      </c>
      <c r="I76" s="661">
        <f>IF(H76="", "", C76*E76*H76)</f>
        <v>0.01</v>
      </c>
      <c r="J76" s="515">
        <f>IFERROR(INDEX(Database!$E$15:$R$1257, MATCH($F76&amp;" &gt; "&amp;$C$26, Database!$AG$15:$AG$1257, 0), MATCH("Underlying" &amp; " &gt; " &amp; "Data" &amp; " &gt; " &amp; int_Year, Database!$E$14:$R$14, 0)), 0)</f>
        <v>0</v>
      </c>
      <c r="K76" s="514" t="s">
        <v>1720</v>
      </c>
      <c r="L76" s="513">
        <f>IF(I76="", "", IFERROR(I76*dbl_ScoreMax*MAX(0, IFERROR(INDEX(Database!$E$15:$R$1257, MATCH($F76&amp;" &gt; "&amp;$C$26, Database!$AG$15:$AG$1257, 0), MATCH("Benchmarked" &amp; " &gt; " &amp; "Score" &amp; " &gt; " &amp; int_Year, Database!$E$14:$R$14, 0)), 0))/100, 0))</f>
        <v>0.05</v>
      </c>
      <c r="M76" s="512">
        <f t="shared" si="0"/>
        <v>1</v>
      </c>
      <c r="N76" s="707"/>
      <c r="O76" s="503">
        <f t="shared" si="2"/>
        <v>46</v>
      </c>
      <c r="P76" s="499"/>
    </row>
    <row r="77" spans="2:16" x14ac:dyDescent="0.2">
      <c r="B77" s="56"/>
      <c r="C77" s="56"/>
      <c r="D77" s="56"/>
      <c r="E77" s="56"/>
      <c r="F77" s="56"/>
      <c r="G77" s="56"/>
      <c r="H77" s="56"/>
      <c r="I77" s="56"/>
      <c r="J77" s="56"/>
      <c r="L77" s="56"/>
      <c r="M77" s="335"/>
      <c r="N77" s="56"/>
      <c r="O77" s="290"/>
    </row>
    <row r="78" spans="2:16" s="50" customFormat="1" ht="21" x14ac:dyDescent="0.2">
      <c r="B78" s="929" t="s">
        <v>1313</v>
      </c>
      <c r="C78" s="930"/>
      <c r="D78" s="931"/>
      <c r="E78" s="932" t="s">
        <v>1526</v>
      </c>
      <c r="F78" s="933"/>
      <c r="H78" s="934"/>
      <c r="I78" s="934"/>
      <c r="J78" s="935"/>
      <c r="K78" s="936"/>
      <c r="L78" s="937"/>
      <c r="M78" s="938"/>
      <c r="N78" s="939"/>
      <c r="O78" s="940"/>
    </row>
    <row r="79" spans="2:16" s="121" customFormat="1" collapsed="1" x14ac:dyDescent="0.2">
      <c r="B79" s="269" t="s">
        <v>1309</v>
      </c>
      <c r="C79" s="259"/>
      <c r="D79" s="260">
        <f>COUNTIF(D80:D103, "Yes")</f>
        <v>11</v>
      </c>
      <c r="E79" s="119" t="s">
        <v>1526</v>
      </c>
      <c r="F79" s="120"/>
      <c r="H79" s="122"/>
      <c r="I79" s="52"/>
      <c r="K79" s="123"/>
      <c r="M79" s="337"/>
      <c r="N79" s="251"/>
      <c r="O79" s="292"/>
    </row>
    <row r="80" spans="2:16" s="121" customFormat="1" hidden="1" outlineLevel="1" x14ac:dyDescent="0.2">
      <c r="B80" s="224" t="s">
        <v>1286</v>
      </c>
      <c r="C80" s="58"/>
      <c r="D80" s="741" t="str">
        <f>IF(INDEX(Policy!$B$6:$Y$31, MATCH(str_Country, Policy!$A$6:$A$31, 0), MATCH($B80, Policy!$B$5:$Y$5, 0))=1, "Yes", "No")</f>
        <v>Yes</v>
      </c>
      <c r="E80" s="119" t="s">
        <v>1526</v>
      </c>
      <c r="F80" s="120"/>
      <c r="H80" s="122"/>
      <c r="I80" s="52"/>
      <c r="K80" s="123"/>
      <c r="M80" s="337"/>
      <c r="N80" s="251"/>
      <c r="O80" s="292"/>
    </row>
    <row r="81" spans="2:15" s="121" customFormat="1" hidden="1" outlineLevel="1" x14ac:dyDescent="0.2">
      <c r="B81" s="224" t="s">
        <v>1287</v>
      </c>
      <c r="C81" s="58"/>
      <c r="D81" s="742" t="str">
        <f>IF(INDEX(Policy!$B$6:$Y$31, MATCH(str_Country, Policy!$A$6:$A$31, 0), MATCH($B81, Policy!$B$5:$Y$5, 0))=1, "Yes", "No")</f>
        <v>No</v>
      </c>
      <c r="E81" s="119" t="s">
        <v>1526</v>
      </c>
      <c r="F81" s="120"/>
      <c r="H81" s="122"/>
      <c r="I81" s="52"/>
      <c r="K81" s="123"/>
      <c r="M81" s="337"/>
      <c r="N81" s="251"/>
      <c r="O81" s="292"/>
    </row>
    <row r="82" spans="2:15" s="121" customFormat="1" hidden="1" outlineLevel="1" x14ac:dyDescent="0.2">
      <c r="B82" s="224" t="s">
        <v>1288</v>
      </c>
      <c r="C82" s="58"/>
      <c r="D82" s="742" t="str">
        <f>IF(INDEX(Policy!$B$6:$Y$31, MATCH(str_Country, Policy!$A$6:$A$31, 0), MATCH($B82, Policy!$B$5:$Y$5, 0))=1, "Yes", "No")</f>
        <v>Yes</v>
      </c>
      <c r="E82" s="119" t="s">
        <v>1526</v>
      </c>
      <c r="F82" s="120"/>
      <c r="H82" s="122"/>
      <c r="I82" s="52"/>
      <c r="K82" s="123"/>
      <c r="M82" s="337"/>
      <c r="N82" s="251"/>
      <c r="O82" s="292"/>
    </row>
    <row r="83" spans="2:15" s="121" customFormat="1" hidden="1" outlineLevel="1" x14ac:dyDescent="0.2">
      <c r="B83" s="224" t="s">
        <v>1289</v>
      </c>
      <c r="C83" s="58"/>
      <c r="D83" s="742" t="str">
        <f>IF(INDEX(Policy!$B$6:$Y$31, MATCH(str_Country, Policy!$A$6:$A$31, 0), MATCH($B83, Policy!$B$5:$Y$5, 0))=1, "Yes", "No")</f>
        <v>Yes</v>
      </c>
      <c r="E83" s="119" t="s">
        <v>1526</v>
      </c>
      <c r="F83" s="120"/>
      <c r="H83" s="122"/>
      <c r="I83" s="52"/>
      <c r="K83" s="123"/>
      <c r="M83" s="337"/>
      <c r="N83" s="251"/>
      <c r="O83" s="292"/>
    </row>
    <row r="84" spans="2:15" s="121" customFormat="1" hidden="1" outlineLevel="1" x14ac:dyDescent="0.2">
      <c r="B84" s="224" t="s">
        <v>1290</v>
      </c>
      <c r="C84" s="58"/>
      <c r="D84" s="742" t="str">
        <f>IF(INDEX(Policy!$B$6:$Y$31, MATCH(str_Country, Policy!$A$6:$A$31, 0), MATCH($B84, Policy!$B$5:$Y$5, 0))=1, "Yes", "No")</f>
        <v>Yes</v>
      </c>
      <c r="E84" s="119" t="s">
        <v>1526</v>
      </c>
      <c r="F84" s="120"/>
      <c r="H84" s="122"/>
      <c r="I84" s="52"/>
      <c r="K84" s="123"/>
      <c r="M84" s="337"/>
      <c r="N84" s="251"/>
      <c r="O84" s="292"/>
    </row>
    <row r="85" spans="2:15" s="121" customFormat="1" hidden="1" outlineLevel="1" x14ac:dyDescent="0.2">
      <c r="B85" s="224" t="s">
        <v>1291</v>
      </c>
      <c r="C85" s="58"/>
      <c r="D85" s="742" t="str">
        <f>IF(INDEX(Policy!$B$6:$Y$31, MATCH(str_Country, Policy!$A$6:$A$31, 0), MATCH($B85, Policy!$B$5:$Y$5, 0))=1, "Yes", "No")</f>
        <v>Yes</v>
      </c>
      <c r="E85" s="119" t="s">
        <v>1526</v>
      </c>
      <c r="F85" s="120"/>
      <c r="H85" s="122"/>
      <c r="I85" s="52"/>
      <c r="K85" s="123"/>
      <c r="M85" s="337"/>
      <c r="N85" s="251"/>
      <c r="O85" s="292"/>
    </row>
    <row r="86" spans="2:15" s="121" customFormat="1" hidden="1" outlineLevel="1" x14ac:dyDescent="0.2">
      <c r="B86" s="224" t="s">
        <v>1292</v>
      </c>
      <c r="C86" s="58"/>
      <c r="D86" s="742" t="str">
        <f>IF(INDEX(Policy!$B$6:$Y$31, MATCH(str_Country, Policy!$A$6:$A$31, 0), MATCH($B86, Policy!$B$5:$Y$5, 0))=1, "Yes", "No")</f>
        <v>No</v>
      </c>
      <c r="E86" s="119" t="s">
        <v>1526</v>
      </c>
      <c r="F86" s="120"/>
      <c r="H86" s="122"/>
      <c r="I86" s="52"/>
      <c r="K86" s="123"/>
      <c r="M86" s="337"/>
      <c r="N86" s="251"/>
      <c r="O86" s="292"/>
    </row>
    <row r="87" spans="2:15" s="121" customFormat="1" hidden="1" outlineLevel="1" x14ac:dyDescent="0.2">
      <c r="B87" s="224" t="s">
        <v>1293</v>
      </c>
      <c r="C87" s="58"/>
      <c r="D87" s="742" t="str">
        <f>IF(INDEX(Policy!$B$6:$Y$31, MATCH(str_Country, Policy!$A$6:$A$31, 0), MATCH($B87, Policy!$B$5:$Y$5, 0))=1, "Yes", "No")</f>
        <v>No</v>
      </c>
      <c r="E87" s="119" t="s">
        <v>1526</v>
      </c>
      <c r="F87" s="120"/>
      <c r="H87" s="122"/>
      <c r="I87" s="52"/>
      <c r="K87" s="123"/>
      <c r="M87" s="337"/>
      <c r="N87" s="251"/>
      <c r="O87" s="292"/>
    </row>
    <row r="88" spans="2:15" s="121" customFormat="1" hidden="1" outlineLevel="1" x14ac:dyDescent="0.2">
      <c r="B88" s="224" t="s">
        <v>1294</v>
      </c>
      <c r="C88" s="58"/>
      <c r="D88" s="742" t="str">
        <f>IF(INDEX(Policy!$B$6:$Y$31, MATCH(str_Country, Policy!$A$6:$A$31, 0), MATCH($B88, Policy!$B$5:$Y$5, 0))=1, "Yes", "No")</f>
        <v>Yes</v>
      </c>
      <c r="E88" s="119" t="s">
        <v>1526</v>
      </c>
      <c r="F88" s="120"/>
      <c r="H88" s="122"/>
      <c r="I88" s="52"/>
      <c r="K88" s="123"/>
      <c r="M88" s="337"/>
      <c r="N88" s="251"/>
      <c r="O88" s="292"/>
    </row>
    <row r="89" spans="2:15" s="121" customFormat="1" hidden="1" outlineLevel="1" x14ac:dyDescent="0.2">
      <c r="B89" s="224" t="s">
        <v>1295</v>
      </c>
      <c r="C89" s="58"/>
      <c r="D89" s="742" t="str">
        <f>IF(INDEX(Policy!$B$6:$Y$31, MATCH(str_Country, Policy!$A$6:$A$31, 0), MATCH($B89, Policy!$B$5:$Y$5, 0))=1, "Yes", "No")</f>
        <v>No</v>
      </c>
      <c r="E89" s="119" t="s">
        <v>1526</v>
      </c>
      <c r="F89" s="120"/>
      <c r="H89" s="122"/>
      <c r="I89" s="52"/>
      <c r="K89" s="123"/>
      <c r="M89" s="337"/>
      <c r="N89" s="251"/>
      <c r="O89" s="292"/>
    </row>
    <row r="90" spans="2:15" s="121" customFormat="1" hidden="1" outlineLevel="1" x14ac:dyDescent="0.2">
      <c r="B90" s="224" t="s">
        <v>1296</v>
      </c>
      <c r="C90" s="58"/>
      <c r="D90" s="742" t="str">
        <f>IF(INDEX(Policy!$B$6:$Y$31, MATCH(str_Country, Policy!$A$6:$A$31, 0), MATCH($B90, Policy!$B$5:$Y$5, 0))=1, "Yes", "No")</f>
        <v>Yes</v>
      </c>
      <c r="E90" s="119" t="s">
        <v>1526</v>
      </c>
      <c r="F90" s="120"/>
      <c r="H90" s="122"/>
      <c r="I90" s="52"/>
      <c r="K90" s="123"/>
      <c r="M90" s="337"/>
      <c r="N90" s="251"/>
      <c r="O90" s="292"/>
    </row>
    <row r="91" spans="2:15" s="121" customFormat="1" hidden="1" outlineLevel="1" x14ac:dyDescent="0.2">
      <c r="B91" s="224" t="s">
        <v>1297</v>
      </c>
      <c r="C91" s="58"/>
      <c r="D91" s="742" t="str">
        <f>IF(INDEX(Policy!$B$6:$Y$31, MATCH(str_Country, Policy!$A$6:$A$31, 0), MATCH($B91, Policy!$B$5:$Y$5, 0))=1, "Yes", "No")</f>
        <v>No</v>
      </c>
      <c r="E91" s="119" t="s">
        <v>1526</v>
      </c>
      <c r="F91" s="120"/>
      <c r="H91" s="122"/>
      <c r="I91" s="52"/>
      <c r="K91" s="123"/>
      <c r="M91" s="337"/>
      <c r="N91" s="251"/>
      <c r="O91" s="292"/>
    </row>
    <row r="92" spans="2:15" s="121" customFormat="1" hidden="1" outlineLevel="1" x14ac:dyDescent="0.2">
      <c r="B92" s="224" t="s">
        <v>1298</v>
      </c>
      <c r="C92" s="58"/>
      <c r="D92" s="742" t="str">
        <f>IF(INDEX(Policy!$B$6:$Y$31, MATCH(str_Country, Policy!$A$6:$A$31, 0), MATCH($B92, Policy!$B$5:$Y$5, 0))=1, "Yes", "No")</f>
        <v>No</v>
      </c>
      <c r="E92" s="119" t="s">
        <v>1526</v>
      </c>
      <c r="F92" s="120"/>
      <c r="H92" s="122"/>
      <c r="I92" s="52"/>
      <c r="K92" s="123"/>
      <c r="M92" s="337"/>
      <c r="N92" s="251"/>
      <c r="O92" s="292"/>
    </row>
    <row r="93" spans="2:15" s="121" customFormat="1" hidden="1" outlineLevel="1" x14ac:dyDescent="0.2">
      <c r="B93" s="224" t="s">
        <v>1299</v>
      </c>
      <c r="C93" s="58"/>
      <c r="D93" s="742" t="str">
        <f>IF(INDEX(Policy!$B$6:$Y$31, MATCH(str_Country, Policy!$A$6:$A$31, 0), MATCH($B93, Policy!$B$5:$Y$5, 0))=1, "Yes", "No")</f>
        <v>No</v>
      </c>
      <c r="E93" s="119" t="s">
        <v>1526</v>
      </c>
      <c r="F93" s="120"/>
      <c r="H93" s="122"/>
      <c r="I93" s="52"/>
      <c r="K93" s="123"/>
      <c r="M93" s="337"/>
      <c r="N93" s="251"/>
      <c r="O93" s="292"/>
    </row>
    <row r="94" spans="2:15" s="121" customFormat="1" hidden="1" outlineLevel="1" x14ac:dyDescent="0.2">
      <c r="B94" s="224" t="s">
        <v>1300</v>
      </c>
      <c r="C94" s="58"/>
      <c r="D94" s="742" t="str">
        <f>IF(INDEX(Policy!$B$6:$Y$31, MATCH(str_Country, Policy!$A$6:$A$31, 0), MATCH($B94, Policy!$B$5:$Y$5, 0))=1, "Yes", "No")</f>
        <v>No</v>
      </c>
      <c r="E94" s="119" t="s">
        <v>1526</v>
      </c>
      <c r="F94" s="120"/>
      <c r="H94" s="122"/>
      <c r="I94" s="52"/>
      <c r="K94" s="123"/>
      <c r="M94" s="337"/>
      <c r="N94" s="251"/>
      <c r="O94" s="292"/>
    </row>
    <row r="95" spans="2:15" s="121" customFormat="1" hidden="1" outlineLevel="1" x14ac:dyDescent="0.2">
      <c r="B95" s="224" t="s">
        <v>1301</v>
      </c>
      <c r="C95" s="58"/>
      <c r="D95" s="742" t="str">
        <f>IF(INDEX(Policy!$B$6:$Y$31, MATCH(str_Country, Policy!$A$6:$A$31, 0), MATCH($B95, Policy!$B$5:$Y$5, 0))=1, "Yes", "No")</f>
        <v>Yes</v>
      </c>
      <c r="E95" s="119" t="s">
        <v>1526</v>
      </c>
      <c r="F95" s="120"/>
      <c r="H95" s="122"/>
      <c r="I95" s="52"/>
      <c r="K95" s="123"/>
      <c r="M95" s="337"/>
      <c r="N95" s="251"/>
      <c r="O95" s="292"/>
    </row>
    <row r="96" spans="2:15" s="121" customFormat="1" hidden="1" outlineLevel="1" x14ac:dyDescent="0.2">
      <c r="B96" s="224" t="s">
        <v>1302</v>
      </c>
      <c r="C96" s="58"/>
      <c r="D96" s="742" t="str">
        <f>IF(INDEX(Policy!$B$6:$Y$31, MATCH(str_Country, Policy!$A$6:$A$31, 0), MATCH($B96, Policy!$B$5:$Y$5, 0))=1, "Yes", "No")</f>
        <v>No</v>
      </c>
      <c r="E96" s="119" t="s">
        <v>1526</v>
      </c>
      <c r="F96" s="120"/>
      <c r="H96" s="122"/>
      <c r="I96" s="52"/>
      <c r="K96" s="123"/>
      <c r="M96" s="337"/>
      <c r="N96" s="251"/>
      <c r="O96" s="292"/>
    </row>
    <row r="97" spans="2:15" s="121" customFormat="1" hidden="1" outlineLevel="1" x14ac:dyDescent="0.2">
      <c r="B97" s="224" t="s">
        <v>1303</v>
      </c>
      <c r="C97" s="58"/>
      <c r="D97" s="742" t="str">
        <f>IF(INDEX(Policy!$B$6:$Y$31, MATCH(str_Country, Policy!$A$6:$A$31, 0), MATCH($B97, Policy!$B$5:$Y$5, 0))=1, "Yes", "No")</f>
        <v>Yes</v>
      </c>
      <c r="E97" s="119" t="s">
        <v>1526</v>
      </c>
      <c r="F97" s="120"/>
      <c r="H97" s="122"/>
      <c r="I97" s="52"/>
      <c r="K97" s="123"/>
      <c r="M97" s="337"/>
      <c r="N97" s="251"/>
      <c r="O97" s="292"/>
    </row>
    <row r="98" spans="2:15" s="121" customFormat="1" hidden="1" outlineLevel="1" x14ac:dyDescent="0.2">
      <c r="B98" s="224" t="s">
        <v>1304</v>
      </c>
      <c r="C98" s="58"/>
      <c r="D98" s="742" t="str">
        <f>IF(INDEX(Policy!$B$6:$Y$31, MATCH(str_Country, Policy!$A$6:$A$31, 0), MATCH($B98, Policy!$B$5:$Y$5, 0))=1, "Yes", "No")</f>
        <v>Yes</v>
      </c>
      <c r="E98" s="119" t="s">
        <v>1526</v>
      </c>
      <c r="F98" s="120"/>
      <c r="H98" s="122"/>
      <c r="I98" s="52"/>
      <c r="K98" s="123"/>
      <c r="M98" s="337"/>
      <c r="N98" s="251"/>
      <c r="O98" s="292"/>
    </row>
    <row r="99" spans="2:15" s="121" customFormat="1" hidden="1" outlineLevel="1" x14ac:dyDescent="0.2">
      <c r="B99" s="224" t="s">
        <v>1285</v>
      </c>
      <c r="C99" s="58"/>
      <c r="D99" s="742" t="str">
        <f>IF(INDEX(Policy!$B$6:$Y$31, MATCH(str_Country, Policy!$A$6:$A$31, 0), MATCH($B99, Policy!$B$5:$Y$5, 0))=1, "Yes", "No")</f>
        <v>No</v>
      </c>
      <c r="E99" s="119" t="s">
        <v>1526</v>
      </c>
      <c r="F99" s="120"/>
      <c r="H99" s="122"/>
      <c r="I99" s="52"/>
      <c r="K99" s="123"/>
      <c r="M99" s="337"/>
      <c r="N99" s="251"/>
      <c r="O99" s="292"/>
    </row>
    <row r="100" spans="2:15" s="121" customFormat="1" hidden="1" outlineLevel="1" x14ac:dyDescent="0.2">
      <c r="B100" s="224" t="s">
        <v>1284</v>
      </c>
      <c r="C100" s="58"/>
      <c r="D100" s="742" t="str">
        <f>IF(INDEX(Policy!$B$6:$Y$31, MATCH(str_Country, Policy!$A$6:$A$31, 0), MATCH($B100, Policy!$B$5:$Y$5, 0))=1, "Yes", "No")</f>
        <v>No</v>
      </c>
      <c r="E100" s="119" t="s">
        <v>1526</v>
      </c>
      <c r="F100" s="120"/>
      <c r="H100" s="122"/>
      <c r="I100" s="52"/>
      <c r="K100" s="123"/>
      <c r="M100" s="337"/>
      <c r="N100" s="251"/>
      <c r="O100" s="292"/>
    </row>
    <row r="101" spans="2:15" s="121" customFormat="1" hidden="1" outlineLevel="1" x14ac:dyDescent="0.2">
      <c r="B101" s="224" t="s">
        <v>1305</v>
      </c>
      <c r="C101" s="58"/>
      <c r="D101" s="742" t="str">
        <f>IF(INDEX(Policy!$B$6:$Y$31, MATCH(str_Country, Policy!$A$6:$A$31, 0), MATCH($B101, Policy!$B$5:$Y$5, 0))=1, "Yes", "No")</f>
        <v>Yes</v>
      </c>
      <c r="E101" s="119" t="s">
        <v>1526</v>
      </c>
      <c r="F101" s="120"/>
      <c r="H101" s="122"/>
      <c r="I101" s="52"/>
      <c r="K101" s="123"/>
      <c r="M101" s="337"/>
      <c r="N101" s="251"/>
      <c r="O101" s="292"/>
    </row>
    <row r="102" spans="2:15" s="121" customFormat="1" hidden="1" outlineLevel="1" x14ac:dyDescent="0.2">
      <c r="B102" s="224" t="s">
        <v>1306</v>
      </c>
      <c r="C102" s="58"/>
      <c r="D102" s="742" t="str">
        <f>IF(INDEX(Policy!$B$6:$Y$31, MATCH(str_Country, Policy!$A$6:$A$31, 0), MATCH($B102, Policy!$B$5:$Y$5, 0))=1, "Yes", "No")</f>
        <v>No</v>
      </c>
      <c r="E102" s="119" t="s">
        <v>1526</v>
      </c>
      <c r="F102" s="120"/>
      <c r="H102" s="122"/>
      <c r="I102" s="52"/>
      <c r="K102" s="123"/>
      <c r="M102" s="337"/>
      <c r="N102" s="251"/>
      <c r="O102" s="292"/>
    </row>
    <row r="103" spans="2:15" s="121" customFormat="1" hidden="1" outlineLevel="1" x14ac:dyDescent="0.2">
      <c r="B103" s="224" t="s">
        <v>1307</v>
      </c>
      <c r="C103" s="58"/>
      <c r="D103" s="743" t="str">
        <f>IF(INDEX(Policy!$B$6:$Y$31, MATCH(str_Country, Policy!$A$6:$A$31, 0), MATCH($B103, Policy!$B$5:$Y$5, 0))=1, "Yes", "No")</f>
        <v>No</v>
      </c>
      <c r="E103" s="119" t="s">
        <v>1526</v>
      </c>
      <c r="F103" s="120"/>
      <c r="H103" s="122"/>
      <c r="I103" s="52"/>
      <c r="K103" s="123"/>
      <c r="M103" s="337"/>
      <c r="N103" s="251"/>
      <c r="O103" s="292"/>
    </row>
    <row r="104" spans="2:15" s="121" customFormat="1" collapsed="1" x14ac:dyDescent="0.2">
      <c r="B104" s="263" t="s">
        <v>1310</v>
      </c>
      <c r="C104" s="261"/>
      <c r="D104" s="262">
        <f>SUM(C105:C109)</f>
        <v>15880.900000000001</v>
      </c>
      <c r="E104" s="119" t="s">
        <v>1526</v>
      </c>
      <c r="F104" s="120"/>
      <c r="H104" s="122"/>
      <c r="I104" s="52"/>
      <c r="K104" s="123"/>
      <c r="M104" s="337"/>
      <c r="N104" s="251"/>
      <c r="O104" s="292"/>
    </row>
    <row r="105" spans="2:15" s="121" customFormat="1" hidden="1" outlineLevel="1" x14ac:dyDescent="0.2">
      <c r="B105" s="271" t="s">
        <v>114</v>
      </c>
      <c r="C105" s="283">
        <f>SUMIFS(Levelisation!L$7:L$344, Levelisation!$E$7:$E$344, str_Country, Levelisation!$C$7:$C$344, $B105)</f>
        <v>9815.9</v>
      </c>
      <c r="D105" s="273">
        <f t="shared" ref="D105:D110" si="15">IF($D$104=0,0,C105/SUM($C$105:$C$110))</f>
        <v>7.9516577058391338E-2</v>
      </c>
      <c r="E105" s="119" t="s">
        <v>1526</v>
      </c>
      <c r="F105" s="120"/>
      <c r="H105" s="122"/>
      <c r="I105" s="52"/>
      <c r="K105" s="123"/>
      <c r="M105" s="337"/>
      <c r="N105" s="251"/>
      <c r="O105" s="292"/>
    </row>
    <row r="106" spans="2:15" s="121" customFormat="1" hidden="1" outlineLevel="1" x14ac:dyDescent="0.2">
      <c r="B106" s="224" t="s">
        <v>157</v>
      </c>
      <c r="C106" s="284">
        <f>SUMIFS(Levelisation!L$7:L$344, Levelisation!$E$7:$E$344, str_Country, Levelisation!$C$7:$C$344, $B106)</f>
        <v>0</v>
      </c>
      <c r="D106" s="204">
        <f t="shared" si="15"/>
        <v>0</v>
      </c>
      <c r="E106" s="119" t="s">
        <v>1526</v>
      </c>
      <c r="F106" s="120"/>
      <c r="H106" s="122"/>
      <c r="I106" s="52"/>
      <c r="K106" s="123"/>
      <c r="M106" s="337"/>
      <c r="N106" s="251"/>
      <c r="O106" s="292"/>
    </row>
    <row r="107" spans="2:15" s="121" customFormat="1" hidden="1" outlineLevel="1" x14ac:dyDescent="0.2">
      <c r="B107" s="224" t="s">
        <v>125</v>
      </c>
      <c r="C107" s="284">
        <f>SUMIFS(Levelisation!L$7:L$344, Levelisation!$E$7:$E$344, str_Country, Levelisation!$C$7:$C$344, $B107)</f>
        <v>4247.8</v>
      </c>
      <c r="D107" s="204">
        <f t="shared" si="15"/>
        <v>3.4410549825144382E-2</v>
      </c>
      <c r="E107" s="119" t="s">
        <v>1526</v>
      </c>
      <c r="F107" s="120"/>
      <c r="H107" s="122"/>
      <c r="I107" s="52"/>
      <c r="K107" s="123"/>
      <c r="M107" s="337"/>
      <c r="N107" s="251"/>
      <c r="O107" s="292"/>
    </row>
    <row r="108" spans="2:15" s="121" customFormat="1" hidden="1" outlineLevel="1" x14ac:dyDescent="0.2">
      <c r="B108" s="224" t="s">
        <v>80</v>
      </c>
      <c r="C108" s="284">
        <f>SUMIFS(Levelisation!L$7:L$344, Levelisation!$E$7:$E$344, str_Country, Levelisation!$C$7:$C$344, $B108)</f>
        <v>1.5</v>
      </c>
      <c r="D108" s="204">
        <f t="shared" si="15"/>
        <v>1.2151189966033375E-5</v>
      </c>
      <c r="E108" s="119" t="s">
        <v>1526</v>
      </c>
      <c r="F108" s="120"/>
      <c r="G108" s="59"/>
      <c r="H108" s="122"/>
      <c r="I108" s="52"/>
      <c r="K108" s="123"/>
      <c r="M108" s="337"/>
      <c r="N108" s="251"/>
      <c r="O108" s="292"/>
    </row>
    <row r="109" spans="2:15" s="121" customFormat="1" hidden="1" outlineLevel="1" x14ac:dyDescent="0.2">
      <c r="B109" s="224" t="s">
        <v>101</v>
      </c>
      <c r="C109" s="284">
        <f>SUMIFS(Levelisation!L$7:L$344, Levelisation!$E$7:$E$344, str_Country, Levelisation!$C$7:$C$344, $B109)</f>
        <v>1815.7</v>
      </c>
      <c r="D109" s="204">
        <f t="shared" si="15"/>
        <v>1.4708610414217867E-2</v>
      </c>
      <c r="E109" s="119" t="s">
        <v>1526</v>
      </c>
      <c r="F109" s="120"/>
      <c r="H109" s="122"/>
      <c r="I109" s="52"/>
      <c r="K109" s="123"/>
      <c r="M109" s="337"/>
      <c r="N109" s="251"/>
      <c r="O109" s="292"/>
    </row>
    <row r="110" spans="2:15" s="121" customFormat="1" hidden="1" outlineLevel="1" x14ac:dyDescent="0.2">
      <c r="B110" s="272" t="s">
        <v>1308</v>
      </c>
      <c r="C110" s="285">
        <f xml:space="preserve"> SUMIFS(Levelisation!L$7:L$292, Levelisation!$E$7:$E$292, str_Country)-D104</f>
        <v>107563.79999999999</v>
      </c>
      <c r="D110" s="234">
        <f t="shared" si="15"/>
        <v>0.87135211151228043</v>
      </c>
      <c r="E110" s="119" t="s">
        <v>1526</v>
      </c>
      <c r="F110" s="120"/>
      <c r="H110" s="122"/>
      <c r="I110" s="52"/>
      <c r="K110" s="123"/>
      <c r="M110" s="337"/>
      <c r="N110" s="251"/>
      <c r="O110" s="292"/>
    </row>
    <row r="111" spans="2:15" s="121" customFormat="1" hidden="1" outlineLevel="1" x14ac:dyDescent="0.2">
      <c r="B111" s="1012" t="s">
        <v>1671</v>
      </c>
      <c r="C111" s="1013"/>
      <c r="D111" s="1014"/>
      <c r="E111" s="119" t="s">
        <v>1526</v>
      </c>
      <c r="F111" s="120"/>
      <c r="H111" s="122"/>
      <c r="I111" s="52"/>
      <c r="K111" s="123"/>
      <c r="M111" s="337"/>
      <c r="N111" s="251"/>
      <c r="O111" s="292"/>
    </row>
    <row r="112" spans="2:15" s="121" customFormat="1" hidden="1" outlineLevel="1" x14ac:dyDescent="0.2">
      <c r="B112" s="60"/>
      <c r="C112" s="61"/>
      <c r="D112" s="201"/>
      <c r="E112" s="119" t="s">
        <v>1526</v>
      </c>
      <c r="F112" s="120"/>
      <c r="H112" s="122"/>
      <c r="I112" s="52"/>
      <c r="K112" s="123"/>
      <c r="M112" s="337"/>
      <c r="N112" s="251"/>
      <c r="O112" s="292"/>
    </row>
    <row r="113" spans="2:15" s="121" customFormat="1" hidden="1" outlineLevel="1" x14ac:dyDescent="0.2">
      <c r="B113" s="60"/>
      <c r="C113" s="61"/>
      <c r="D113" s="201"/>
      <c r="E113" s="119" t="s">
        <v>1526</v>
      </c>
      <c r="F113" s="120"/>
      <c r="H113" s="122"/>
      <c r="I113" s="52"/>
      <c r="K113" s="123"/>
      <c r="M113" s="337"/>
      <c r="N113" s="251"/>
      <c r="O113" s="292"/>
    </row>
    <row r="114" spans="2:15" s="121" customFormat="1" hidden="1" outlineLevel="1" x14ac:dyDescent="0.2">
      <c r="B114" s="60"/>
      <c r="C114" s="61"/>
      <c r="D114" s="201"/>
      <c r="E114" s="119" t="s">
        <v>1526</v>
      </c>
      <c r="F114" s="120"/>
      <c r="H114" s="122"/>
      <c r="I114" s="52"/>
      <c r="K114" s="123"/>
      <c r="M114" s="337"/>
      <c r="N114" s="251"/>
      <c r="O114" s="292"/>
    </row>
    <row r="115" spans="2:15" s="121" customFormat="1" hidden="1" outlineLevel="1" x14ac:dyDescent="0.2">
      <c r="B115" s="60"/>
      <c r="C115" s="61"/>
      <c r="D115" s="201"/>
      <c r="E115" s="119" t="s">
        <v>1526</v>
      </c>
      <c r="F115" s="120"/>
      <c r="H115" s="122"/>
      <c r="I115" s="52"/>
      <c r="K115" s="123"/>
      <c r="M115" s="337"/>
      <c r="N115" s="251"/>
      <c r="O115" s="292"/>
    </row>
    <row r="116" spans="2:15" s="121" customFormat="1" hidden="1" outlineLevel="1" x14ac:dyDescent="0.2">
      <c r="B116" s="60"/>
      <c r="C116" s="61"/>
      <c r="D116" s="201"/>
      <c r="E116" s="119" t="s">
        <v>1526</v>
      </c>
      <c r="F116" s="120"/>
      <c r="H116" s="122"/>
      <c r="I116" s="52"/>
      <c r="K116" s="123"/>
      <c r="M116" s="337"/>
      <c r="N116" s="251"/>
      <c r="O116" s="292"/>
    </row>
    <row r="117" spans="2:15" s="121" customFormat="1" hidden="1" outlineLevel="1" x14ac:dyDescent="0.2">
      <c r="B117" s="60"/>
      <c r="C117" s="61"/>
      <c r="D117" s="201"/>
      <c r="E117" s="119" t="s">
        <v>1526</v>
      </c>
      <c r="F117" s="120"/>
      <c r="H117" s="122"/>
      <c r="I117" s="52"/>
      <c r="K117" s="123"/>
      <c r="M117" s="337"/>
      <c r="N117" s="251"/>
      <c r="O117" s="292"/>
    </row>
    <row r="118" spans="2:15" s="121" customFormat="1" hidden="1" outlineLevel="1" x14ac:dyDescent="0.2">
      <c r="B118" s="60"/>
      <c r="C118" s="61"/>
      <c r="D118" s="201"/>
      <c r="E118" s="119" t="s">
        <v>1526</v>
      </c>
      <c r="F118" s="120"/>
      <c r="H118" s="122"/>
      <c r="I118" s="52"/>
      <c r="K118" s="123"/>
      <c r="M118" s="337"/>
      <c r="N118" s="251"/>
      <c r="O118" s="292"/>
    </row>
    <row r="119" spans="2:15" s="121" customFormat="1" hidden="1" outlineLevel="1" x14ac:dyDescent="0.2">
      <c r="B119" s="60"/>
      <c r="C119" s="61"/>
      <c r="D119" s="201"/>
      <c r="E119" s="119" t="s">
        <v>1526</v>
      </c>
      <c r="F119" s="120"/>
      <c r="H119" s="122"/>
      <c r="I119" s="52"/>
      <c r="K119" s="123"/>
      <c r="M119" s="337"/>
      <c r="N119" s="251"/>
      <c r="O119" s="292"/>
    </row>
    <row r="120" spans="2:15" s="121" customFormat="1" hidden="1" outlineLevel="1" x14ac:dyDescent="0.2">
      <c r="B120" s="60"/>
      <c r="C120" s="61"/>
      <c r="D120" s="201"/>
      <c r="E120" s="119" t="s">
        <v>1526</v>
      </c>
      <c r="F120" s="120"/>
      <c r="H120" s="122"/>
      <c r="I120" s="52"/>
      <c r="K120" s="123"/>
      <c r="M120" s="337"/>
      <c r="N120" s="251"/>
      <c r="O120" s="292"/>
    </row>
    <row r="121" spans="2:15" s="121" customFormat="1" hidden="1" outlineLevel="1" x14ac:dyDescent="0.2">
      <c r="B121" s="60"/>
      <c r="C121" s="61"/>
      <c r="D121" s="201"/>
      <c r="E121" s="119" t="s">
        <v>1526</v>
      </c>
      <c r="F121" s="120"/>
      <c r="H121" s="122"/>
      <c r="I121" s="52"/>
      <c r="K121" s="123"/>
      <c r="M121" s="337"/>
      <c r="N121" s="251"/>
      <c r="O121" s="292"/>
    </row>
    <row r="122" spans="2:15" s="121" customFormat="1" hidden="1" outlineLevel="1" x14ac:dyDescent="0.2">
      <c r="B122" s="60"/>
      <c r="C122" s="61"/>
      <c r="D122" s="201"/>
      <c r="E122" s="119" t="s">
        <v>1526</v>
      </c>
      <c r="F122" s="120"/>
      <c r="H122" s="122"/>
      <c r="I122" s="52"/>
      <c r="K122" s="123"/>
      <c r="M122" s="337"/>
      <c r="N122" s="251"/>
      <c r="O122" s="292"/>
    </row>
    <row r="123" spans="2:15" s="121" customFormat="1" hidden="1" outlineLevel="1" x14ac:dyDescent="0.2">
      <c r="B123" s="60"/>
      <c r="C123" s="61"/>
      <c r="D123" s="201"/>
      <c r="E123" s="119" t="s">
        <v>1526</v>
      </c>
      <c r="F123" s="120"/>
      <c r="H123" s="122"/>
      <c r="I123" s="52"/>
      <c r="K123" s="123"/>
      <c r="M123" s="337"/>
      <c r="N123" s="251"/>
      <c r="O123" s="292"/>
    </row>
    <row r="124" spans="2:15" s="121" customFormat="1" hidden="1" outlineLevel="1" x14ac:dyDescent="0.2">
      <c r="B124" s="60"/>
      <c r="C124" s="61"/>
      <c r="D124" s="201"/>
      <c r="E124" s="119" t="s">
        <v>1526</v>
      </c>
      <c r="F124" s="120"/>
      <c r="H124" s="122"/>
      <c r="I124" s="52"/>
      <c r="K124" s="123"/>
      <c r="M124" s="337"/>
      <c r="N124" s="251"/>
      <c r="O124" s="292"/>
    </row>
    <row r="125" spans="2:15" s="121" customFormat="1" hidden="1" outlineLevel="1" x14ac:dyDescent="0.2">
      <c r="B125" s="60"/>
      <c r="C125" s="61"/>
      <c r="D125" s="201"/>
      <c r="E125" s="119" t="s">
        <v>1526</v>
      </c>
      <c r="F125" s="120"/>
      <c r="H125" s="122"/>
      <c r="I125" s="52"/>
      <c r="K125" s="123"/>
      <c r="M125" s="337"/>
      <c r="N125" s="251"/>
      <c r="O125" s="292"/>
    </row>
    <row r="126" spans="2:15" s="121" customFormat="1" hidden="1" outlineLevel="1" x14ac:dyDescent="0.2">
      <c r="B126" s="60"/>
      <c r="C126" s="61"/>
      <c r="D126" s="201"/>
      <c r="E126" s="119" t="s">
        <v>1526</v>
      </c>
      <c r="F126" s="120"/>
      <c r="H126" s="122"/>
      <c r="I126" s="52"/>
      <c r="K126" s="123"/>
      <c r="M126" s="337"/>
      <c r="N126" s="251"/>
      <c r="O126" s="292"/>
    </row>
    <row r="127" spans="2:15" s="121" customFormat="1" hidden="1" outlineLevel="1" x14ac:dyDescent="0.2">
      <c r="B127" s="60"/>
      <c r="C127" s="61"/>
      <c r="D127" s="201"/>
      <c r="E127" s="119" t="s">
        <v>1526</v>
      </c>
      <c r="F127" s="120"/>
      <c r="H127" s="122"/>
      <c r="I127" s="52"/>
      <c r="K127" s="123"/>
      <c r="M127" s="337"/>
      <c r="N127" s="251"/>
      <c r="O127" s="292"/>
    </row>
    <row r="128" spans="2:15" hidden="1" outlineLevel="1" x14ac:dyDescent="0.2">
      <c r="B128" s="225"/>
      <c r="C128" s="62"/>
      <c r="D128" s="63"/>
      <c r="E128" s="119" t="s">
        <v>1526</v>
      </c>
      <c r="F128" s="120"/>
    </row>
    <row r="129" spans="2:15" hidden="1" outlineLevel="1" x14ac:dyDescent="0.2">
      <c r="B129" s="225"/>
      <c r="C129" s="62"/>
      <c r="D129" s="63"/>
      <c r="E129" s="119" t="s">
        <v>1526</v>
      </c>
      <c r="F129" s="120"/>
    </row>
    <row r="130" spans="2:15" s="121" customFormat="1" collapsed="1" x14ac:dyDescent="0.2">
      <c r="B130" s="263" t="s">
        <v>1534</v>
      </c>
      <c r="C130" s="261"/>
      <c r="D130" s="262">
        <f>SUM(C131:C135)</f>
        <v>57399.82</v>
      </c>
      <c r="E130" s="119" t="s">
        <v>1526</v>
      </c>
      <c r="F130" s="120"/>
      <c r="H130" s="122"/>
      <c r="I130" s="52"/>
      <c r="K130" s="123"/>
      <c r="M130" s="337"/>
      <c r="N130" s="251"/>
      <c r="O130" s="292"/>
    </row>
    <row r="131" spans="2:15" s="121" customFormat="1" hidden="1" outlineLevel="1" x14ac:dyDescent="0.2">
      <c r="B131" s="271" t="s">
        <v>114</v>
      </c>
      <c r="C131" s="283">
        <f>SUMIFS(Levelisation!L$346:L$631, Levelisation!$E$346:$E$631, str_Country, Levelisation!$C$346:$C$631, $B131)</f>
        <v>37223</v>
      </c>
      <c r="D131" s="273">
        <f t="shared" ref="D131:D136" si="16">IF($D$104=0,0,C131/SUM($C$131:$C$136))</f>
        <v>6.7772962922947391E-2</v>
      </c>
      <c r="E131" s="119" t="s">
        <v>1526</v>
      </c>
      <c r="F131" s="120"/>
      <c r="H131" s="122"/>
      <c r="I131" s="52"/>
      <c r="K131" s="123"/>
      <c r="M131" s="337"/>
      <c r="N131" s="251"/>
      <c r="O131" s="292"/>
    </row>
    <row r="132" spans="2:15" s="121" customFormat="1" hidden="1" outlineLevel="1" x14ac:dyDescent="0.2">
      <c r="B132" s="224" t="s">
        <v>157</v>
      </c>
      <c r="C132" s="284">
        <f>SUMIFS(Levelisation!L$346:L$631, Levelisation!$E$346:$E$631, str_Country, Levelisation!$C$346:$C$631, $B132)</f>
        <v>0</v>
      </c>
      <c r="D132" s="204">
        <f t="shared" si="16"/>
        <v>0</v>
      </c>
      <c r="E132" s="119" t="s">
        <v>1526</v>
      </c>
      <c r="F132" s="120"/>
      <c r="H132" s="122"/>
      <c r="I132" s="52"/>
      <c r="K132" s="123"/>
      <c r="M132" s="337"/>
      <c r="N132" s="251"/>
      <c r="O132" s="292"/>
    </row>
    <row r="133" spans="2:15" s="121" customFormat="1" hidden="1" outlineLevel="1" x14ac:dyDescent="0.2">
      <c r="B133" s="224" t="s">
        <v>125</v>
      </c>
      <c r="C133" s="284">
        <f>SUMIFS(Levelisation!L$346:L$631, Levelisation!$E$346:$E$631, str_Country, Levelisation!$C$346:$C$631, $B133)</f>
        <v>17471.82</v>
      </c>
      <c r="D133" s="204">
        <f t="shared" si="16"/>
        <v>3.1811434034237189E-2</v>
      </c>
      <c r="E133" s="119" t="s">
        <v>1526</v>
      </c>
      <c r="F133" s="120"/>
      <c r="H133" s="122"/>
      <c r="I133" s="52"/>
      <c r="K133" s="123"/>
      <c r="M133" s="337"/>
      <c r="N133" s="251"/>
      <c r="O133" s="292"/>
    </row>
    <row r="134" spans="2:15" s="121" customFormat="1" hidden="1" outlineLevel="1" x14ac:dyDescent="0.2">
      <c r="B134" s="224" t="s">
        <v>80</v>
      </c>
      <c r="C134" s="284">
        <f>SUMIFS(Levelisation!L$346:L$631, Levelisation!$E$346:$E$631, str_Country, Levelisation!$C$346:$C$631, $B134)</f>
        <v>0</v>
      </c>
      <c r="D134" s="204">
        <f t="shared" si="16"/>
        <v>0</v>
      </c>
      <c r="E134" s="119" t="s">
        <v>1526</v>
      </c>
      <c r="F134" s="120"/>
      <c r="H134" s="122"/>
      <c r="I134" s="52"/>
      <c r="K134" s="123"/>
      <c r="M134" s="337"/>
      <c r="N134" s="251"/>
      <c r="O134" s="292"/>
    </row>
    <row r="135" spans="2:15" s="121" customFormat="1" hidden="1" outlineLevel="1" x14ac:dyDescent="0.2">
      <c r="B135" s="224" t="s">
        <v>101</v>
      </c>
      <c r="C135" s="286">
        <f>SUMIFS(Levelisation!L$346:L$631, Levelisation!$E$346:$E$631, str_Country, Levelisation!$C$346:$C$631, $B135)</f>
        <v>2705</v>
      </c>
      <c r="D135" s="204">
        <f t="shared" si="16"/>
        <v>4.9250695727526723E-3</v>
      </c>
      <c r="E135" s="119" t="s">
        <v>1526</v>
      </c>
      <c r="F135" s="120"/>
      <c r="H135" s="122"/>
      <c r="I135" s="52"/>
      <c r="K135" s="123"/>
      <c r="M135" s="337"/>
      <c r="N135" s="251"/>
      <c r="O135" s="292"/>
    </row>
    <row r="136" spans="2:15" s="197" customFormat="1" hidden="1" outlineLevel="1" x14ac:dyDescent="0.2">
      <c r="B136" s="272" t="s">
        <v>1308</v>
      </c>
      <c r="C136" s="285">
        <f xml:space="preserve"> SUMIFS(Levelisation!L$346:L$631, Levelisation!$E$346:$E$631, str_Country)-D130</f>
        <v>491831.00000000006</v>
      </c>
      <c r="D136" s="234">
        <f t="shared" si="16"/>
        <v>0.89549053347006269</v>
      </c>
      <c r="E136" s="196" t="s">
        <v>1526</v>
      </c>
      <c r="F136" s="120"/>
      <c r="H136" s="198"/>
      <c r="I136" s="199"/>
      <c r="K136" s="200"/>
      <c r="M136" s="338"/>
      <c r="N136" s="252"/>
      <c r="O136" s="293"/>
    </row>
    <row r="137" spans="2:15" s="121" customFormat="1" hidden="1" outlineLevel="1" x14ac:dyDescent="0.2">
      <c r="B137" s="1006" t="s">
        <v>1669</v>
      </c>
      <c r="C137" s="1007"/>
      <c r="D137" s="1008"/>
      <c r="E137" s="119" t="s">
        <v>1526</v>
      </c>
      <c r="F137" s="120"/>
      <c r="H137" s="122"/>
      <c r="I137" s="52"/>
      <c r="K137" s="123"/>
      <c r="M137" s="337"/>
      <c r="N137" s="251"/>
      <c r="O137" s="292"/>
    </row>
    <row r="138" spans="2:15" s="121" customFormat="1" hidden="1" outlineLevel="1" x14ac:dyDescent="0.2">
      <c r="B138" s="224"/>
      <c r="C138" s="65"/>
      <c r="D138" s="202"/>
      <c r="E138" s="119" t="s">
        <v>1526</v>
      </c>
      <c r="F138" s="120"/>
      <c r="H138" s="122"/>
      <c r="I138" s="52"/>
      <c r="K138" s="123"/>
      <c r="M138" s="337"/>
      <c r="N138" s="251"/>
      <c r="O138" s="292"/>
    </row>
    <row r="139" spans="2:15" s="121" customFormat="1" hidden="1" outlineLevel="1" x14ac:dyDescent="0.2">
      <c r="B139" s="224"/>
      <c r="C139" s="65"/>
      <c r="D139" s="202"/>
      <c r="E139" s="119" t="s">
        <v>1526</v>
      </c>
      <c r="F139" s="120"/>
      <c r="H139" s="122"/>
      <c r="I139" s="52"/>
      <c r="K139" s="123"/>
      <c r="M139" s="337"/>
      <c r="N139" s="251"/>
      <c r="O139" s="292"/>
    </row>
    <row r="140" spans="2:15" s="121" customFormat="1" hidden="1" outlineLevel="1" x14ac:dyDescent="0.2">
      <c r="B140" s="224"/>
      <c r="C140" s="65"/>
      <c r="D140" s="202"/>
      <c r="E140" s="119" t="s">
        <v>1526</v>
      </c>
      <c r="F140" s="120"/>
      <c r="H140" s="122"/>
      <c r="I140" s="52"/>
      <c r="K140" s="123"/>
      <c r="M140" s="337"/>
      <c r="N140" s="251"/>
      <c r="O140" s="292"/>
    </row>
    <row r="141" spans="2:15" s="121" customFormat="1" hidden="1" outlineLevel="1" x14ac:dyDescent="0.2">
      <c r="B141" s="224"/>
      <c r="C141" s="65"/>
      <c r="D141" s="202"/>
      <c r="E141" s="119" t="s">
        <v>1526</v>
      </c>
      <c r="F141" s="120"/>
      <c r="H141" s="122"/>
      <c r="I141" s="52"/>
      <c r="K141" s="123"/>
      <c r="M141" s="337"/>
      <c r="N141" s="251"/>
      <c r="O141" s="292"/>
    </row>
    <row r="142" spans="2:15" s="121" customFormat="1" hidden="1" outlineLevel="1" x14ac:dyDescent="0.2">
      <c r="B142" s="224"/>
      <c r="C142" s="65"/>
      <c r="D142" s="202"/>
      <c r="E142" s="119" t="s">
        <v>1526</v>
      </c>
      <c r="F142" s="120"/>
      <c r="H142" s="122"/>
      <c r="I142" s="52"/>
      <c r="K142" s="123"/>
      <c r="M142" s="337"/>
      <c r="N142" s="251"/>
      <c r="O142" s="292"/>
    </row>
    <row r="143" spans="2:15" s="121" customFormat="1" hidden="1" outlineLevel="1" x14ac:dyDescent="0.2">
      <c r="B143" s="224"/>
      <c r="C143" s="65"/>
      <c r="D143" s="202"/>
      <c r="E143" s="119" t="s">
        <v>1526</v>
      </c>
      <c r="F143" s="120"/>
      <c r="H143" s="122"/>
      <c r="I143" s="52"/>
      <c r="K143" s="123"/>
      <c r="M143" s="337"/>
      <c r="N143" s="251"/>
      <c r="O143" s="292"/>
    </row>
    <row r="144" spans="2:15" s="121" customFormat="1" hidden="1" outlineLevel="1" x14ac:dyDescent="0.2">
      <c r="B144" s="224"/>
      <c r="C144" s="65"/>
      <c r="D144" s="202"/>
      <c r="E144" s="119" t="s">
        <v>1526</v>
      </c>
      <c r="F144" s="120"/>
      <c r="H144" s="122"/>
      <c r="I144" s="52"/>
      <c r="K144" s="123"/>
      <c r="M144" s="337"/>
      <c r="N144" s="251"/>
      <c r="O144" s="292"/>
    </row>
    <row r="145" spans="2:15" s="121" customFormat="1" hidden="1" outlineLevel="1" x14ac:dyDescent="0.2">
      <c r="B145" s="224"/>
      <c r="C145" s="65"/>
      <c r="D145" s="202"/>
      <c r="E145" s="119" t="s">
        <v>1526</v>
      </c>
      <c r="F145" s="120"/>
      <c r="H145" s="122"/>
      <c r="I145" s="52"/>
      <c r="K145" s="123"/>
      <c r="M145" s="337"/>
      <c r="N145" s="251"/>
      <c r="O145" s="292"/>
    </row>
    <row r="146" spans="2:15" s="121" customFormat="1" hidden="1" outlineLevel="1" x14ac:dyDescent="0.2">
      <c r="B146" s="224"/>
      <c r="C146" s="65"/>
      <c r="D146" s="202"/>
      <c r="E146" s="119" t="s">
        <v>1526</v>
      </c>
      <c r="F146" s="120"/>
      <c r="H146" s="122"/>
      <c r="I146" s="52"/>
      <c r="K146" s="123"/>
      <c r="M146" s="337"/>
      <c r="N146" s="251"/>
      <c r="O146" s="292"/>
    </row>
    <row r="147" spans="2:15" s="121" customFormat="1" hidden="1" outlineLevel="1" x14ac:dyDescent="0.2">
      <c r="B147" s="224"/>
      <c r="C147" s="65"/>
      <c r="D147" s="202"/>
      <c r="E147" s="119" t="s">
        <v>1526</v>
      </c>
      <c r="F147" s="120"/>
      <c r="H147" s="122"/>
      <c r="I147" s="52"/>
      <c r="K147" s="123"/>
      <c r="M147" s="337"/>
      <c r="N147" s="251"/>
      <c r="O147" s="292"/>
    </row>
    <row r="148" spans="2:15" s="121" customFormat="1" hidden="1" outlineLevel="1" x14ac:dyDescent="0.2">
      <c r="B148" s="224"/>
      <c r="C148" s="65"/>
      <c r="D148" s="202"/>
      <c r="E148" s="119" t="s">
        <v>1526</v>
      </c>
      <c r="F148" s="120"/>
      <c r="H148" s="122"/>
      <c r="I148" s="52"/>
      <c r="K148" s="123"/>
      <c r="M148" s="337"/>
      <c r="N148" s="251"/>
      <c r="O148" s="292"/>
    </row>
    <row r="149" spans="2:15" s="121" customFormat="1" hidden="1" outlineLevel="1" x14ac:dyDescent="0.2">
      <c r="B149" s="224"/>
      <c r="C149" s="65"/>
      <c r="D149" s="202"/>
      <c r="E149" s="119" t="s">
        <v>1526</v>
      </c>
      <c r="F149" s="120"/>
      <c r="H149" s="122"/>
      <c r="I149" s="52"/>
      <c r="K149" s="123"/>
      <c r="M149" s="337"/>
      <c r="N149" s="251"/>
      <c r="O149" s="292"/>
    </row>
    <row r="150" spans="2:15" s="121" customFormat="1" hidden="1" outlineLevel="1" x14ac:dyDescent="0.2">
      <c r="B150" s="224"/>
      <c r="C150" s="65"/>
      <c r="D150" s="202"/>
      <c r="E150" s="119" t="s">
        <v>1526</v>
      </c>
      <c r="F150" s="120"/>
      <c r="H150" s="122"/>
      <c r="I150" s="52"/>
      <c r="K150" s="123"/>
      <c r="M150" s="337"/>
      <c r="N150" s="251"/>
      <c r="O150" s="292"/>
    </row>
    <row r="151" spans="2:15" s="121" customFormat="1" hidden="1" outlineLevel="1" x14ac:dyDescent="0.2">
      <c r="B151" s="224"/>
      <c r="C151" s="65"/>
      <c r="D151" s="202"/>
      <c r="E151" s="119" t="s">
        <v>1526</v>
      </c>
      <c r="F151" s="120"/>
      <c r="H151" s="122"/>
      <c r="I151" s="52"/>
      <c r="K151" s="123"/>
      <c r="M151" s="337"/>
      <c r="N151" s="251"/>
      <c r="O151" s="292"/>
    </row>
    <row r="152" spans="2:15" s="121" customFormat="1" hidden="1" outlineLevel="1" x14ac:dyDescent="0.2">
      <c r="B152" s="224"/>
      <c r="C152" s="65"/>
      <c r="D152" s="202"/>
      <c r="E152" s="119" t="s">
        <v>1526</v>
      </c>
      <c r="F152" s="120"/>
      <c r="H152" s="122"/>
      <c r="I152" s="52"/>
      <c r="K152" s="123"/>
      <c r="M152" s="337"/>
      <c r="N152" s="251"/>
      <c r="O152" s="292"/>
    </row>
    <row r="153" spans="2:15" s="121" customFormat="1" hidden="1" outlineLevel="1" x14ac:dyDescent="0.2">
      <c r="B153" s="224"/>
      <c r="C153" s="65"/>
      <c r="D153" s="202"/>
      <c r="E153" s="119" t="s">
        <v>1526</v>
      </c>
      <c r="F153" s="120"/>
      <c r="H153" s="122"/>
      <c r="I153" s="52"/>
      <c r="K153" s="123"/>
      <c r="M153" s="337"/>
      <c r="N153" s="251"/>
      <c r="O153" s="292"/>
    </row>
    <row r="154" spans="2:15" hidden="1" outlineLevel="1" x14ac:dyDescent="0.2">
      <c r="B154" s="226"/>
      <c r="D154" s="67"/>
      <c r="E154" s="119" t="s">
        <v>1526</v>
      </c>
      <c r="F154" s="120"/>
    </row>
    <row r="155" spans="2:15" hidden="1" outlineLevel="1" x14ac:dyDescent="0.2">
      <c r="B155" s="227"/>
      <c r="C155" s="68"/>
      <c r="D155" s="69"/>
      <c r="E155" s="119" t="s">
        <v>1526</v>
      </c>
      <c r="F155" s="120"/>
    </row>
    <row r="156" spans="2:15" s="121" customFormat="1" collapsed="1" x14ac:dyDescent="0.2">
      <c r="B156" s="264" t="s">
        <v>1672</v>
      </c>
      <c r="C156" s="265"/>
      <c r="D156" s="266">
        <f>IFERROR(AVERAGEIF(D157:D161, "&lt;&gt;0"), 0)</f>
        <v>0.35749779221698424</v>
      </c>
      <c r="E156" s="119" t="s">
        <v>1526</v>
      </c>
      <c r="F156" s="120"/>
      <c r="H156" s="122"/>
      <c r="I156" s="52"/>
      <c r="K156" s="123"/>
      <c r="M156" s="337"/>
      <c r="N156" s="251"/>
      <c r="O156" s="292"/>
    </row>
    <row r="157" spans="2:15" s="121" customFormat="1" hidden="1" outlineLevel="1" x14ac:dyDescent="0.2">
      <c r="B157" s="274" t="s">
        <v>114</v>
      </c>
      <c r="C157" s="275"/>
      <c r="D157" s="276">
        <f t="shared" ref="D157:D162" si="17">IF(C105=0,0,(C131*1000)/(8760*C105))</f>
        <v>0.43288958865127081</v>
      </c>
      <c r="E157" s="119" t="s">
        <v>1526</v>
      </c>
      <c r="F157" s="120"/>
      <c r="H157" s="122"/>
      <c r="I157" s="52"/>
      <c r="K157" s="123"/>
      <c r="M157" s="337"/>
      <c r="N157" s="251"/>
      <c r="O157" s="292"/>
    </row>
    <row r="158" spans="2:15" s="121" customFormat="1" hidden="1" outlineLevel="1" x14ac:dyDescent="0.2">
      <c r="B158" s="277" t="s">
        <v>157</v>
      </c>
      <c r="C158" s="278"/>
      <c r="D158" s="279">
        <f t="shared" si="17"/>
        <v>0</v>
      </c>
      <c r="E158" s="119" t="s">
        <v>1526</v>
      </c>
      <c r="F158" s="120"/>
      <c r="H158" s="122"/>
      <c r="I158" s="52"/>
      <c r="K158" s="123"/>
      <c r="M158" s="337"/>
      <c r="N158" s="251"/>
      <c r="O158" s="292"/>
    </row>
    <row r="159" spans="2:15" s="121" customFormat="1" hidden="1" outlineLevel="1" x14ac:dyDescent="0.2">
      <c r="B159" s="277" t="s">
        <v>125</v>
      </c>
      <c r="C159" s="278"/>
      <c r="D159" s="279">
        <f t="shared" si="17"/>
        <v>0.46953717218324781</v>
      </c>
      <c r="E159" s="119" t="s">
        <v>1526</v>
      </c>
      <c r="F159" s="120"/>
      <c r="H159" s="122"/>
      <c r="I159" s="52"/>
      <c r="K159" s="123"/>
      <c r="M159" s="337"/>
      <c r="N159" s="251"/>
      <c r="O159" s="292"/>
    </row>
    <row r="160" spans="2:15" s="121" customFormat="1" hidden="1" outlineLevel="1" x14ac:dyDescent="0.2">
      <c r="B160" s="277" t="s">
        <v>80</v>
      </c>
      <c r="C160" s="278"/>
      <c r="D160" s="279">
        <f t="shared" si="17"/>
        <v>0</v>
      </c>
      <c r="E160" s="119" t="s">
        <v>1526</v>
      </c>
      <c r="F160" s="120"/>
      <c r="H160" s="122"/>
      <c r="I160" s="52"/>
      <c r="K160" s="123"/>
      <c r="M160" s="337"/>
      <c r="N160" s="251"/>
      <c r="O160" s="292"/>
    </row>
    <row r="161" spans="2:15" s="121" customFormat="1" hidden="1" outlineLevel="1" x14ac:dyDescent="0.2">
      <c r="B161" s="277" t="s">
        <v>101</v>
      </c>
      <c r="C161" s="278"/>
      <c r="D161" s="279">
        <f>IF(C109=0,0,(C135*1000)/(8760*C109))</f>
        <v>0.17006661581643417</v>
      </c>
      <c r="E161" s="119" t="s">
        <v>1526</v>
      </c>
      <c r="F161" s="120"/>
      <c r="H161" s="122"/>
      <c r="I161" s="52"/>
      <c r="K161" s="123"/>
      <c r="M161" s="337"/>
      <c r="N161" s="251"/>
      <c r="O161" s="292"/>
    </row>
    <row r="162" spans="2:15" s="121" customFormat="1" hidden="1" outlineLevel="1" x14ac:dyDescent="0.2">
      <c r="B162" s="280" t="s">
        <v>1308</v>
      </c>
      <c r="C162" s="281"/>
      <c r="D162" s="282">
        <f t="shared" si="17"/>
        <v>0.52197013608854403</v>
      </c>
      <c r="E162" s="119" t="s">
        <v>1526</v>
      </c>
      <c r="F162" s="120"/>
      <c r="H162" s="122"/>
      <c r="I162" s="52"/>
      <c r="K162" s="123"/>
      <c r="M162" s="337"/>
      <c r="N162" s="251"/>
      <c r="O162" s="292"/>
    </row>
    <row r="163" spans="2:15" s="121" customFormat="1" collapsed="1" x14ac:dyDescent="0.2">
      <c r="B163" s="287" t="s">
        <v>1554</v>
      </c>
      <c r="C163" s="288" t="s">
        <v>219</v>
      </c>
      <c r="D163" s="258">
        <f>SUM(C164:C171)</f>
        <v>82210.779189262321</v>
      </c>
      <c r="E163" s="119" t="s">
        <v>1526</v>
      </c>
      <c r="F163" s="120"/>
      <c r="H163" s="122"/>
      <c r="I163" s="52"/>
      <c r="K163" s="123"/>
      <c r="M163" s="337"/>
      <c r="N163" s="251"/>
      <c r="O163" s="292"/>
    </row>
    <row r="164" spans="2:15" s="121" customFormat="1" hidden="1" outlineLevel="1" x14ac:dyDescent="0.2">
      <c r="B164" s="64" t="s">
        <v>96</v>
      </c>
      <c r="C164" s="230">
        <f>ChartData!H29</f>
        <v>41364.043438202418</v>
      </c>
      <c r="D164" s="203">
        <f t="shared" ref="D164:D171" si="18">IF($D$163=0, 0, C164/$D$163)</f>
        <v>0.50314622785627416</v>
      </c>
      <c r="E164" s="119" t="s">
        <v>1526</v>
      </c>
      <c r="F164" s="120"/>
      <c r="H164" s="122"/>
      <c r="I164" s="52"/>
      <c r="K164" s="123"/>
      <c r="M164" s="337"/>
      <c r="N164" s="251"/>
      <c r="O164" s="292"/>
    </row>
    <row r="165" spans="2:15" s="121" customFormat="1" hidden="1" outlineLevel="1" x14ac:dyDescent="0.2">
      <c r="B165" s="224" t="s">
        <v>114</v>
      </c>
      <c r="C165" s="231">
        <f>ChartData!H30</f>
        <v>6170.0834967032097</v>
      </c>
      <c r="D165" s="204">
        <f t="shared" si="18"/>
        <v>7.5052001179780739E-2</v>
      </c>
      <c r="E165" s="119" t="s">
        <v>1526</v>
      </c>
      <c r="F165" s="120"/>
      <c r="H165" s="122"/>
      <c r="I165" s="52"/>
      <c r="K165" s="123"/>
      <c r="M165" s="337"/>
      <c r="N165" s="251"/>
      <c r="O165" s="292"/>
    </row>
    <row r="166" spans="2:15" s="121" customFormat="1" hidden="1" outlineLevel="1" x14ac:dyDescent="0.2">
      <c r="B166" s="224" t="s">
        <v>157</v>
      </c>
      <c r="C166" s="231">
        <f>ChartData!H31</f>
        <v>0</v>
      </c>
      <c r="D166" s="204">
        <f t="shared" si="18"/>
        <v>0</v>
      </c>
      <c r="E166" s="119" t="s">
        <v>1526</v>
      </c>
      <c r="F166" s="120"/>
      <c r="H166" s="122"/>
      <c r="I166" s="52"/>
      <c r="K166" s="123"/>
      <c r="M166" s="337"/>
      <c r="N166" s="251"/>
      <c r="O166" s="292"/>
    </row>
    <row r="167" spans="2:15" s="121" customFormat="1" hidden="1" outlineLevel="1" x14ac:dyDescent="0.2">
      <c r="B167" s="224" t="s">
        <v>125</v>
      </c>
      <c r="C167" s="231">
        <f>ChartData!H32</f>
        <v>11500.052727018847</v>
      </c>
      <c r="D167" s="204">
        <f t="shared" si="18"/>
        <v>0.1398849742141951</v>
      </c>
      <c r="E167" s="119" t="s">
        <v>1526</v>
      </c>
      <c r="F167" s="120"/>
      <c r="H167" s="122"/>
      <c r="I167" s="52"/>
      <c r="K167" s="123"/>
      <c r="M167" s="337"/>
      <c r="N167" s="251"/>
      <c r="O167" s="292"/>
    </row>
    <row r="168" spans="2:15" s="121" customFormat="1" hidden="1" outlineLevel="1" x14ac:dyDescent="0.2">
      <c r="B168" s="224" t="s">
        <v>80</v>
      </c>
      <c r="C168" s="231">
        <f>ChartData!H33</f>
        <v>90.168461116037605</v>
      </c>
      <c r="D168" s="204">
        <f t="shared" si="18"/>
        <v>1.0967960893358696E-3</v>
      </c>
      <c r="E168" s="119" t="s">
        <v>1526</v>
      </c>
      <c r="F168" s="120"/>
      <c r="H168" s="122"/>
      <c r="I168" s="52"/>
      <c r="K168" s="123"/>
      <c r="M168" s="337"/>
      <c r="N168" s="251"/>
      <c r="O168" s="292"/>
    </row>
    <row r="169" spans="2:15" s="121" customFormat="1" hidden="1" outlineLevel="1" x14ac:dyDescent="0.2">
      <c r="B169" s="224" t="s">
        <v>101</v>
      </c>
      <c r="C169" s="231">
        <f>ChartData!H34</f>
        <v>22937.484673358962</v>
      </c>
      <c r="D169" s="232">
        <f t="shared" si="18"/>
        <v>0.2790082383303194</v>
      </c>
      <c r="E169" s="119" t="s">
        <v>1526</v>
      </c>
      <c r="F169" s="120"/>
      <c r="H169" s="122"/>
      <c r="I169" s="52"/>
      <c r="K169" s="123"/>
      <c r="M169" s="337"/>
      <c r="N169" s="251"/>
      <c r="O169" s="292"/>
    </row>
    <row r="170" spans="2:15" s="121" customFormat="1" hidden="1" outlineLevel="1" x14ac:dyDescent="0.2">
      <c r="B170" s="224" t="s">
        <v>1529</v>
      </c>
      <c r="C170" s="231">
        <f>ChartData!H35</f>
        <v>148.90639286286338</v>
      </c>
      <c r="D170" s="232">
        <f t="shared" si="18"/>
        <v>1.8112757758937806E-3</v>
      </c>
      <c r="E170" s="119"/>
      <c r="F170" s="120"/>
      <c r="H170" s="122"/>
      <c r="I170" s="52"/>
      <c r="K170" s="123"/>
      <c r="M170" s="337"/>
      <c r="N170" s="251"/>
      <c r="O170" s="292"/>
    </row>
    <row r="171" spans="2:15" s="121" customFormat="1" hidden="1" outlineLevel="1" x14ac:dyDescent="0.2">
      <c r="B171" s="224" t="s">
        <v>1650</v>
      </c>
      <c r="C171" s="231">
        <f>ChartData!H36</f>
        <v>0.04</v>
      </c>
      <c r="D171" s="233">
        <f t="shared" si="18"/>
        <v>4.8655420121871885E-7</v>
      </c>
      <c r="E171" s="119" t="s">
        <v>1526</v>
      </c>
      <c r="F171" s="120"/>
      <c r="H171" s="122"/>
      <c r="I171" s="52"/>
      <c r="K171" s="123"/>
      <c r="M171" s="337"/>
      <c r="N171" s="251"/>
      <c r="O171" s="292"/>
    </row>
    <row r="172" spans="2:15" s="121" customFormat="1" hidden="1" outlineLevel="1" x14ac:dyDescent="0.2">
      <c r="B172" s="1009" t="s">
        <v>1670</v>
      </c>
      <c r="C172" s="1010"/>
      <c r="D172" s="1011"/>
      <c r="E172" s="119" t="s">
        <v>1526</v>
      </c>
      <c r="F172" s="120"/>
      <c r="H172" s="122"/>
      <c r="I172" s="52"/>
      <c r="K172" s="123"/>
      <c r="M172" s="337"/>
      <c r="N172" s="251"/>
      <c r="O172" s="292"/>
    </row>
    <row r="173" spans="2:15" s="121" customFormat="1" hidden="1" outlineLevel="1" x14ac:dyDescent="0.2">
      <c r="B173" s="224"/>
      <c r="C173" s="65"/>
      <c r="D173" s="202"/>
      <c r="E173" s="119" t="s">
        <v>1526</v>
      </c>
      <c r="F173" s="120"/>
      <c r="H173" s="122"/>
      <c r="I173" s="52"/>
      <c r="K173" s="123"/>
      <c r="M173" s="337"/>
      <c r="N173" s="251"/>
      <c r="O173" s="292"/>
    </row>
    <row r="174" spans="2:15" s="121" customFormat="1" hidden="1" outlineLevel="1" x14ac:dyDescent="0.2">
      <c r="B174" s="224"/>
      <c r="C174" s="65"/>
      <c r="D174" s="202"/>
      <c r="E174" s="119" t="s">
        <v>1526</v>
      </c>
      <c r="F174" s="120"/>
      <c r="H174" s="122"/>
      <c r="I174" s="52"/>
      <c r="K174" s="123"/>
      <c r="M174" s="337"/>
      <c r="N174" s="251"/>
      <c r="O174" s="292"/>
    </row>
    <row r="175" spans="2:15" s="121" customFormat="1" hidden="1" outlineLevel="1" x14ac:dyDescent="0.2">
      <c r="B175" s="224"/>
      <c r="C175" s="65"/>
      <c r="D175" s="202"/>
      <c r="E175" s="119" t="s">
        <v>1526</v>
      </c>
      <c r="F175" s="120"/>
      <c r="H175" s="122"/>
      <c r="I175" s="52"/>
      <c r="K175" s="123"/>
      <c r="M175" s="337"/>
      <c r="N175" s="251"/>
      <c r="O175" s="292"/>
    </row>
    <row r="176" spans="2:15" s="121" customFormat="1" hidden="1" outlineLevel="1" x14ac:dyDescent="0.2">
      <c r="B176" s="224"/>
      <c r="C176" s="65"/>
      <c r="D176" s="202"/>
      <c r="E176" s="119" t="s">
        <v>1526</v>
      </c>
      <c r="F176" s="120"/>
      <c r="H176" s="122"/>
      <c r="I176" s="52"/>
      <c r="K176" s="123"/>
      <c r="M176" s="337"/>
      <c r="N176" s="251"/>
      <c r="O176" s="292"/>
    </row>
    <row r="177" spans="2:15" s="121" customFormat="1" hidden="1" outlineLevel="1" x14ac:dyDescent="0.2">
      <c r="B177" s="224"/>
      <c r="C177" s="65"/>
      <c r="D177" s="202"/>
      <c r="E177" s="119" t="s">
        <v>1526</v>
      </c>
      <c r="F177" s="120"/>
      <c r="H177" s="122"/>
      <c r="I177" s="52"/>
      <c r="K177" s="123"/>
      <c r="M177" s="337"/>
      <c r="N177" s="251"/>
      <c r="O177" s="292"/>
    </row>
    <row r="178" spans="2:15" s="121" customFormat="1" hidden="1" outlineLevel="1" x14ac:dyDescent="0.2">
      <c r="B178" s="224"/>
      <c r="C178" s="65"/>
      <c r="D178" s="202"/>
      <c r="E178" s="119" t="s">
        <v>1526</v>
      </c>
      <c r="F178" s="120"/>
      <c r="H178" s="122"/>
      <c r="I178" s="52"/>
      <c r="K178" s="123"/>
      <c r="M178" s="337"/>
      <c r="N178" s="251"/>
      <c r="O178" s="292"/>
    </row>
    <row r="179" spans="2:15" s="121" customFormat="1" hidden="1" outlineLevel="1" x14ac:dyDescent="0.2">
      <c r="B179" s="224"/>
      <c r="C179" s="65"/>
      <c r="D179" s="202"/>
      <c r="E179" s="119" t="s">
        <v>1526</v>
      </c>
      <c r="F179" s="120"/>
      <c r="H179" s="122"/>
      <c r="I179" s="52"/>
      <c r="K179" s="123"/>
      <c r="M179" s="337"/>
      <c r="N179" s="251"/>
      <c r="O179" s="292"/>
    </row>
    <row r="180" spans="2:15" s="121" customFormat="1" hidden="1" outlineLevel="1" x14ac:dyDescent="0.2">
      <c r="B180" s="224"/>
      <c r="C180" s="65"/>
      <c r="D180" s="202"/>
      <c r="E180" s="119" t="s">
        <v>1526</v>
      </c>
      <c r="F180" s="120"/>
      <c r="H180" s="122"/>
      <c r="I180" s="52"/>
      <c r="K180" s="123"/>
      <c r="M180" s="337"/>
      <c r="N180" s="251"/>
      <c r="O180" s="292"/>
    </row>
    <row r="181" spans="2:15" s="121" customFormat="1" hidden="1" outlineLevel="1" x14ac:dyDescent="0.2">
      <c r="B181" s="224"/>
      <c r="C181" s="65"/>
      <c r="D181" s="202"/>
      <c r="E181" s="119" t="s">
        <v>1526</v>
      </c>
      <c r="F181" s="120"/>
      <c r="H181" s="122"/>
      <c r="I181" s="52"/>
      <c r="K181" s="123"/>
      <c r="M181" s="337"/>
      <c r="N181" s="251"/>
      <c r="O181" s="292"/>
    </row>
    <row r="182" spans="2:15" s="121" customFormat="1" hidden="1" outlineLevel="1" x14ac:dyDescent="0.2">
      <c r="B182" s="224"/>
      <c r="C182" s="65"/>
      <c r="D182" s="202"/>
      <c r="E182" s="119" t="s">
        <v>1526</v>
      </c>
      <c r="F182" s="120"/>
      <c r="H182" s="122"/>
      <c r="I182" s="52"/>
      <c r="K182" s="123"/>
      <c r="M182" s="337"/>
      <c r="N182" s="251"/>
      <c r="O182" s="292"/>
    </row>
    <row r="183" spans="2:15" s="121" customFormat="1" hidden="1" outlineLevel="1" x14ac:dyDescent="0.2">
      <c r="B183" s="224"/>
      <c r="C183" s="65"/>
      <c r="D183" s="202"/>
      <c r="E183" s="119" t="s">
        <v>1526</v>
      </c>
      <c r="F183" s="120"/>
      <c r="H183" s="122"/>
      <c r="I183" s="52"/>
      <c r="K183" s="123"/>
      <c r="M183" s="337"/>
      <c r="N183" s="251"/>
      <c r="O183" s="292"/>
    </row>
    <row r="184" spans="2:15" s="121" customFormat="1" hidden="1" outlineLevel="1" x14ac:dyDescent="0.2">
      <c r="B184" s="224"/>
      <c r="C184" s="65"/>
      <c r="D184" s="202"/>
      <c r="E184" s="119" t="s">
        <v>1526</v>
      </c>
      <c r="F184" s="120"/>
      <c r="H184" s="122"/>
      <c r="I184" s="52"/>
      <c r="K184" s="123"/>
      <c r="M184" s="337"/>
      <c r="N184" s="251"/>
      <c r="O184" s="292"/>
    </row>
    <row r="185" spans="2:15" s="121" customFormat="1" hidden="1" outlineLevel="1" x14ac:dyDescent="0.2">
      <c r="B185" s="224"/>
      <c r="C185" s="65"/>
      <c r="D185" s="202"/>
      <c r="E185" s="119" t="s">
        <v>1526</v>
      </c>
      <c r="F185" s="120"/>
      <c r="H185" s="122"/>
      <c r="I185" s="52"/>
      <c r="K185" s="123"/>
      <c r="M185" s="337"/>
      <c r="N185" s="251"/>
      <c r="O185" s="292"/>
    </row>
    <row r="186" spans="2:15" s="121" customFormat="1" hidden="1" outlineLevel="1" x14ac:dyDescent="0.2">
      <c r="B186" s="224"/>
      <c r="C186" s="65"/>
      <c r="D186" s="202"/>
      <c r="E186" s="119" t="s">
        <v>1526</v>
      </c>
      <c r="F186" s="120"/>
      <c r="H186" s="122"/>
      <c r="I186" s="52"/>
      <c r="K186" s="123"/>
      <c r="M186" s="337"/>
      <c r="N186" s="251"/>
      <c r="O186" s="292"/>
    </row>
    <row r="187" spans="2:15" s="121" customFormat="1" hidden="1" outlineLevel="1" x14ac:dyDescent="0.2">
      <c r="B187" s="224"/>
      <c r="C187" s="65"/>
      <c r="D187" s="202"/>
      <c r="E187" s="119" t="s">
        <v>1526</v>
      </c>
      <c r="F187" s="120"/>
      <c r="H187" s="122"/>
      <c r="I187" s="52"/>
      <c r="K187" s="123"/>
      <c r="M187" s="337"/>
      <c r="N187" s="251"/>
      <c r="O187" s="292"/>
    </row>
    <row r="188" spans="2:15" s="121" customFormat="1" hidden="1" outlineLevel="1" x14ac:dyDescent="0.2">
      <c r="B188" s="224"/>
      <c r="C188" s="65"/>
      <c r="D188" s="202"/>
      <c r="E188" s="119" t="s">
        <v>1526</v>
      </c>
      <c r="F188" s="120"/>
      <c r="H188" s="122"/>
      <c r="I188" s="52"/>
      <c r="K188" s="123"/>
      <c r="M188" s="337"/>
      <c r="N188" s="251"/>
      <c r="O188" s="292"/>
    </row>
    <row r="189" spans="2:15" hidden="1" outlineLevel="1" x14ac:dyDescent="0.2">
      <c r="B189" s="226"/>
      <c r="D189" s="67"/>
      <c r="E189" s="119" t="s">
        <v>1526</v>
      </c>
      <c r="F189" s="120"/>
    </row>
    <row r="190" spans="2:15" hidden="1" outlineLevel="1" x14ac:dyDescent="0.2">
      <c r="B190" s="226"/>
      <c r="D190" s="67"/>
      <c r="E190" s="119" t="s">
        <v>1526</v>
      </c>
      <c r="F190" s="120"/>
    </row>
    <row r="191" spans="2:15" s="121" customFormat="1" collapsed="1" x14ac:dyDescent="0.2">
      <c r="B191" s="270" t="s">
        <v>1533</v>
      </c>
      <c r="C191" s="257"/>
      <c r="D191" s="258">
        <f>COUNTA(B193:B212)</f>
        <v>9</v>
      </c>
      <c r="E191" s="119" t="s">
        <v>1526</v>
      </c>
      <c r="F191" s="120"/>
      <c r="G191" s="51"/>
      <c r="H191" s="122"/>
      <c r="I191" s="52"/>
      <c r="K191" s="123"/>
      <c r="M191" s="337"/>
      <c r="N191" s="251"/>
      <c r="O191" s="292"/>
    </row>
    <row r="192" spans="2:15" s="124" customFormat="1" hidden="1" outlineLevel="1" x14ac:dyDescent="0.2">
      <c r="B192" s="350" t="s">
        <v>1497</v>
      </c>
      <c r="C192" s="351" t="s">
        <v>1315</v>
      </c>
      <c r="D192" s="352" t="s">
        <v>1316</v>
      </c>
      <c r="E192" s="119" t="s">
        <v>1526</v>
      </c>
      <c r="F192" s="120"/>
      <c r="G192" s="51"/>
      <c r="H192" s="125"/>
      <c r="I192" s="52"/>
      <c r="K192" s="126"/>
      <c r="M192" s="339"/>
      <c r="N192" s="251"/>
      <c r="O192" s="294"/>
    </row>
    <row r="193" spans="2:15" s="121" customFormat="1" hidden="1" outlineLevel="1" x14ac:dyDescent="0.2">
      <c r="B193" s="353" t="s">
        <v>1342</v>
      </c>
      <c r="C193" s="354" t="s">
        <v>1343</v>
      </c>
      <c r="D193" s="355" t="s">
        <v>1344</v>
      </c>
      <c r="E193" s="119" t="s">
        <v>1526</v>
      </c>
      <c r="F193" s="120"/>
      <c r="G193" s="51"/>
      <c r="H193" s="122"/>
      <c r="I193" s="52"/>
      <c r="K193" s="123"/>
      <c r="M193" s="337"/>
      <c r="N193" s="251"/>
      <c r="O193" s="292"/>
    </row>
    <row r="194" spans="2:15" s="121" customFormat="1" hidden="1" outlineLevel="1" x14ac:dyDescent="0.2">
      <c r="B194" s="356" t="s">
        <v>1345</v>
      </c>
      <c r="C194" s="357" t="s">
        <v>1346</v>
      </c>
      <c r="D194" s="358" t="s">
        <v>1347</v>
      </c>
      <c r="E194" s="119" t="s">
        <v>1526</v>
      </c>
      <c r="F194" s="120"/>
      <c r="G194" s="51"/>
      <c r="H194" s="122"/>
      <c r="I194" s="52"/>
      <c r="K194" s="123"/>
      <c r="M194" s="337"/>
      <c r="N194" s="251"/>
      <c r="O194" s="292"/>
    </row>
    <row r="195" spans="2:15" s="121" customFormat="1" hidden="1" outlineLevel="1" x14ac:dyDescent="0.2">
      <c r="B195" s="356" t="s">
        <v>1348</v>
      </c>
      <c r="C195" s="357" t="s">
        <v>1538</v>
      </c>
      <c r="D195" s="358" t="s">
        <v>1349</v>
      </c>
      <c r="E195" s="119" t="s">
        <v>1526</v>
      </c>
      <c r="F195" s="120"/>
      <c r="G195" s="51"/>
      <c r="H195" s="122"/>
      <c r="I195" s="52"/>
      <c r="K195" s="123"/>
      <c r="M195" s="337"/>
      <c r="N195" s="251"/>
      <c r="O195" s="292"/>
    </row>
    <row r="196" spans="2:15" s="121" customFormat="1" hidden="1" outlineLevel="1" x14ac:dyDescent="0.2">
      <c r="B196" s="356" t="s">
        <v>1350</v>
      </c>
      <c r="C196" s="357" t="s">
        <v>1538</v>
      </c>
      <c r="D196" s="358" t="s">
        <v>1351</v>
      </c>
      <c r="E196" s="119" t="s">
        <v>1526</v>
      </c>
      <c r="F196" s="120"/>
      <c r="G196" s="51"/>
      <c r="H196" s="122"/>
      <c r="I196" s="52"/>
      <c r="K196" s="123"/>
      <c r="M196" s="337"/>
      <c r="N196" s="251"/>
      <c r="O196" s="292"/>
    </row>
    <row r="197" spans="2:15" s="121" customFormat="1" hidden="1" outlineLevel="1" x14ac:dyDescent="0.2">
      <c r="B197" s="356" t="s">
        <v>1352</v>
      </c>
      <c r="C197" s="357" t="s">
        <v>1353</v>
      </c>
      <c r="D197" s="358" t="s">
        <v>1354</v>
      </c>
      <c r="E197" s="119" t="s">
        <v>1526</v>
      </c>
      <c r="F197" s="120"/>
      <c r="G197" s="51"/>
      <c r="H197" s="122"/>
      <c r="I197" s="52"/>
      <c r="K197" s="123"/>
      <c r="M197" s="337"/>
      <c r="N197" s="251"/>
      <c r="O197" s="292"/>
    </row>
    <row r="198" spans="2:15" s="121" customFormat="1" hidden="1" outlineLevel="1" x14ac:dyDescent="0.2">
      <c r="B198" s="356" t="s">
        <v>1355</v>
      </c>
      <c r="C198" s="357" t="s">
        <v>1538</v>
      </c>
      <c r="D198" s="358" t="s">
        <v>1356</v>
      </c>
      <c r="E198" s="119" t="s">
        <v>1526</v>
      </c>
      <c r="F198" s="120"/>
      <c r="G198" s="51"/>
      <c r="H198" s="122"/>
      <c r="I198" s="52"/>
      <c r="K198" s="123"/>
      <c r="M198" s="337"/>
      <c r="N198" s="251"/>
      <c r="O198" s="292"/>
    </row>
    <row r="199" spans="2:15" s="121" customFormat="1" hidden="1" outlineLevel="1" x14ac:dyDescent="0.2">
      <c r="B199" s="356" t="s">
        <v>1357</v>
      </c>
      <c r="C199" s="357" t="s">
        <v>1538</v>
      </c>
      <c r="D199" s="358" t="s">
        <v>1358</v>
      </c>
      <c r="E199" s="119" t="s">
        <v>1526</v>
      </c>
      <c r="F199" s="120"/>
      <c r="G199" s="51"/>
      <c r="H199" s="122"/>
      <c r="I199" s="52"/>
      <c r="K199" s="123"/>
      <c r="M199" s="337"/>
      <c r="N199" s="251"/>
      <c r="O199" s="292"/>
    </row>
    <row r="200" spans="2:15" s="121" customFormat="1" hidden="1" outlineLevel="1" x14ac:dyDescent="0.2">
      <c r="B200" s="356" t="s">
        <v>1359</v>
      </c>
      <c r="C200" s="357" t="s">
        <v>1538</v>
      </c>
      <c r="D200" s="358" t="s">
        <v>1360</v>
      </c>
      <c r="E200" s="119" t="s">
        <v>1526</v>
      </c>
      <c r="F200" s="120"/>
      <c r="G200" s="51"/>
      <c r="H200" s="122"/>
      <c r="I200" s="52"/>
      <c r="K200" s="123"/>
      <c r="M200" s="337"/>
      <c r="N200" s="251"/>
      <c r="O200" s="292"/>
    </row>
    <row r="201" spans="2:15" s="121" customFormat="1" hidden="1" outlineLevel="1" x14ac:dyDescent="0.2">
      <c r="B201" s="356" t="s">
        <v>1361</v>
      </c>
      <c r="C201" s="357" t="s">
        <v>1362</v>
      </c>
      <c r="D201" s="358" t="s">
        <v>1363</v>
      </c>
      <c r="E201" s="119" t="s">
        <v>1526</v>
      </c>
      <c r="F201" s="120"/>
      <c r="G201" s="51"/>
      <c r="H201" s="122"/>
      <c r="I201" s="52"/>
      <c r="K201" s="123"/>
      <c r="M201" s="337"/>
      <c r="N201" s="251"/>
      <c r="O201" s="292"/>
    </row>
    <row r="202" spans="2:15" s="121" customFormat="1" hidden="1" outlineLevel="1" x14ac:dyDescent="0.2">
      <c r="B202" s="356"/>
      <c r="C202" s="357"/>
      <c r="D202" s="358"/>
      <c r="E202" s="119" t="s">
        <v>1526</v>
      </c>
      <c r="F202" s="120"/>
      <c r="G202" s="51"/>
      <c r="H202" s="122"/>
      <c r="I202" s="52"/>
      <c r="K202" s="123"/>
      <c r="M202" s="337"/>
      <c r="N202" s="251"/>
      <c r="O202" s="292"/>
    </row>
    <row r="203" spans="2:15" s="121" customFormat="1" hidden="1" outlineLevel="1" x14ac:dyDescent="0.2">
      <c r="B203" s="356"/>
      <c r="C203" s="357"/>
      <c r="D203" s="358"/>
      <c r="E203" s="119" t="s">
        <v>1526</v>
      </c>
      <c r="F203" s="120"/>
      <c r="G203" s="51"/>
      <c r="H203" s="122"/>
      <c r="I203" s="52"/>
      <c r="K203" s="123"/>
      <c r="M203" s="337"/>
      <c r="N203" s="251"/>
      <c r="O203" s="292"/>
    </row>
    <row r="204" spans="2:15" s="121" customFormat="1" hidden="1" outlineLevel="1" x14ac:dyDescent="0.2">
      <c r="B204" s="356"/>
      <c r="C204" s="357"/>
      <c r="D204" s="358"/>
      <c r="E204" s="119" t="s">
        <v>1526</v>
      </c>
      <c r="F204" s="120"/>
      <c r="G204" s="51"/>
      <c r="H204" s="122"/>
      <c r="I204" s="52"/>
      <c r="K204" s="123"/>
      <c r="M204" s="337"/>
      <c r="N204" s="251"/>
      <c r="O204" s="292"/>
    </row>
    <row r="205" spans="2:15" s="121" customFormat="1" hidden="1" outlineLevel="1" x14ac:dyDescent="0.2">
      <c r="B205" s="356"/>
      <c r="C205" s="357"/>
      <c r="D205" s="358"/>
      <c r="E205" s="119" t="s">
        <v>1526</v>
      </c>
      <c r="F205" s="120"/>
      <c r="G205" s="51"/>
      <c r="H205" s="122"/>
      <c r="I205" s="52"/>
      <c r="K205" s="123"/>
      <c r="M205" s="337"/>
      <c r="N205" s="251"/>
      <c r="O205" s="292"/>
    </row>
    <row r="206" spans="2:15" s="121" customFormat="1" hidden="1" outlineLevel="1" x14ac:dyDescent="0.2">
      <c r="B206" s="356"/>
      <c r="C206" s="357"/>
      <c r="D206" s="358"/>
      <c r="E206" s="119" t="s">
        <v>1526</v>
      </c>
      <c r="F206" s="120"/>
      <c r="G206" s="51"/>
      <c r="H206" s="122"/>
      <c r="I206" s="52"/>
      <c r="K206" s="123"/>
      <c r="M206" s="337"/>
      <c r="N206" s="251"/>
      <c r="O206" s="292"/>
    </row>
    <row r="207" spans="2:15" s="121" customFormat="1" hidden="1" outlineLevel="1" x14ac:dyDescent="0.2">
      <c r="B207" s="356"/>
      <c r="C207" s="357"/>
      <c r="D207" s="358"/>
      <c r="E207" s="119" t="s">
        <v>1526</v>
      </c>
      <c r="F207" s="120"/>
      <c r="G207" s="51"/>
      <c r="H207" s="122"/>
      <c r="I207" s="52"/>
      <c r="K207" s="123"/>
      <c r="M207" s="337"/>
      <c r="N207" s="251"/>
      <c r="O207" s="292"/>
    </row>
    <row r="208" spans="2:15" s="121" customFormat="1" hidden="1" outlineLevel="1" x14ac:dyDescent="0.2">
      <c r="B208" s="356"/>
      <c r="C208" s="357"/>
      <c r="D208" s="358"/>
      <c r="E208" s="119" t="s">
        <v>1526</v>
      </c>
      <c r="F208" s="120"/>
      <c r="G208" s="51"/>
      <c r="H208" s="122"/>
      <c r="I208" s="52"/>
      <c r="K208" s="123"/>
      <c r="M208" s="337"/>
      <c r="N208" s="251"/>
      <c r="O208" s="292"/>
    </row>
    <row r="209" spans="2:15" s="121" customFormat="1" hidden="1" outlineLevel="1" x14ac:dyDescent="0.2">
      <c r="B209" s="356"/>
      <c r="C209" s="357"/>
      <c r="D209" s="358"/>
      <c r="E209" s="119" t="s">
        <v>1526</v>
      </c>
      <c r="F209" s="120"/>
      <c r="G209" s="51"/>
      <c r="H209" s="122"/>
      <c r="I209" s="52"/>
      <c r="K209" s="123"/>
      <c r="M209" s="337"/>
      <c r="N209" s="251"/>
      <c r="O209" s="292"/>
    </row>
    <row r="210" spans="2:15" s="121" customFormat="1" hidden="1" outlineLevel="1" x14ac:dyDescent="0.2">
      <c r="B210" s="356"/>
      <c r="C210" s="357"/>
      <c r="D210" s="358"/>
      <c r="E210" s="119" t="s">
        <v>1526</v>
      </c>
      <c r="F210" s="120"/>
      <c r="G210" s="51"/>
      <c r="H210" s="122"/>
      <c r="I210" s="52"/>
      <c r="K210" s="123"/>
      <c r="M210" s="337"/>
      <c r="N210" s="251"/>
      <c r="O210" s="292"/>
    </row>
    <row r="211" spans="2:15" s="121" customFormat="1" hidden="1" outlineLevel="1" x14ac:dyDescent="0.2">
      <c r="B211" s="356"/>
      <c r="C211" s="357"/>
      <c r="D211" s="358"/>
      <c r="E211" s="119" t="s">
        <v>1526</v>
      </c>
      <c r="F211" s="120"/>
      <c r="G211" s="51"/>
      <c r="H211" s="122"/>
      <c r="I211" s="52"/>
      <c r="K211" s="123"/>
      <c r="M211" s="337"/>
      <c r="N211" s="251"/>
      <c r="O211" s="292"/>
    </row>
    <row r="212" spans="2:15" s="121" customFormat="1" hidden="1" outlineLevel="1" x14ac:dyDescent="0.2">
      <c r="B212" s="356"/>
      <c r="C212" s="357"/>
      <c r="D212" s="358"/>
      <c r="E212" s="119" t="s">
        <v>1526</v>
      </c>
      <c r="F212" s="120"/>
      <c r="G212" s="51"/>
      <c r="H212" s="122"/>
      <c r="I212" s="52"/>
      <c r="K212" s="123"/>
      <c r="M212" s="337"/>
      <c r="N212" s="251"/>
      <c r="O212" s="292"/>
    </row>
    <row r="213" spans="2:15" s="121" customFormat="1" collapsed="1" x14ac:dyDescent="0.2">
      <c r="B213" s="255" t="s">
        <v>1311</v>
      </c>
      <c r="C213" s="267"/>
      <c r="D213" s="268">
        <f>COUNTA(B215:B234)</f>
        <v>18</v>
      </c>
      <c r="E213" s="119" t="s">
        <v>1526</v>
      </c>
      <c r="F213" s="120"/>
      <c r="G213" s="51"/>
      <c r="H213" s="122"/>
      <c r="I213" s="122"/>
      <c r="K213" s="123"/>
      <c r="M213" s="337"/>
      <c r="N213" s="251"/>
      <c r="O213" s="292"/>
    </row>
    <row r="214" spans="2:15" s="124" customFormat="1" hidden="1" outlineLevel="1" x14ac:dyDescent="0.2">
      <c r="B214" s="350" t="s">
        <v>1497</v>
      </c>
      <c r="C214" s="351" t="s">
        <v>1315</v>
      </c>
      <c r="D214" s="352" t="s">
        <v>1228</v>
      </c>
      <c r="E214" s="119" t="s">
        <v>1526</v>
      </c>
      <c r="F214" s="120"/>
      <c r="G214" s="51"/>
      <c r="H214" s="125"/>
      <c r="I214" s="125"/>
      <c r="K214" s="126"/>
      <c r="M214" s="339"/>
      <c r="N214" s="251"/>
      <c r="O214" s="294"/>
    </row>
    <row r="215" spans="2:15" s="121" customFormat="1" hidden="1" outlineLevel="1" x14ac:dyDescent="0.2">
      <c r="B215" s="353" t="s">
        <v>1566</v>
      </c>
      <c r="C215" s="354" t="s">
        <v>1568</v>
      </c>
      <c r="D215" s="355" t="s">
        <v>1567</v>
      </c>
      <c r="E215" s="119" t="s">
        <v>1526</v>
      </c>
      <c r="F215" s="120"/>
      <c r="H215" s="122"/>
      <c r="I215" s="122"/>
      <c r="K215" s="123"/>
      <c r="M215" s="337"/>
      <c r="N215" s="251"/>
      <c r="O215" s="292"/>
    </row>
    <row r="216" spans="2:15" s="121" customFormat="1" hidden="1" outlineLevel="1" x14ac:dyDescent="0.2">
      <c r="B216" s="356" t="s">
        <v>1569</v>
      </c>
      <c r="C216" s="357" t="s">
        <v>1570</v>
      </c>
      <c r="D216" s="358" t="s">
        <v>1564</v>
      </c>
      <c r="E216" s="119" t="s">
        <v>1526</v>
      </c>
      <c r="F216" s="120"/>
      <c r="H216" s="122"/>
      <c r="I216" s="122"/>
      <c r="K216" s="123"/>
      <c r="M216" s="337"/>
      <c r="N216" s="251"/>
      <c r="O216" s="292"/>
    </row>
    <row r="217" spans="2:15" s="121" customFormat="1" hidden="1" outlineLevel="1" x14ac:dyDescent="0.2">
      <c r="B217" s="356" t="s">
        <v>1573</v>
      </c>
      <c r="C217" s="357" t="s">
        <v>1574</v>
      </c>
      <c r="D217" s="358" t="s">
        <v>1564</v>
      </c>
      <c r="E217" s="119" t="s">
        <v>1526</v>
      </c>
      <c r="F217" s="120"/>
      <c r="H217" s="122"/>
      <c r="I217" s="122"/>
      <c r="K217" s="123"/>
      <c r="M217" s="337"/>
      <c r="N217" s="251"/>
      <c r="O217" s="292"/>
    </row>
    <row r="218" spans="2:15" s="121" customFormat="1" hidden="1" outlineLevel="1" x14ac:dyDescent="0.2">
      <c r="B218" s="356" t="s">
        <v>1581</v>
      </c>
      <c r="C218" s="357" t="s">
        <v>1582</v>
      </c>
      <c r="D218" s="358" t="s">
        <v>1564</v>
      </c>
      <c r="E218" s="119" t="s">
        <v>1526</v>
      </c>
      <c r="F218" s="120"/>
      <c r="H218" s="122"/>
      <c r="I218" s="122"/>
      <c r="K218" s="123"/>
      <c r="M218" s="337"/>
      <c r="N218" s="251"/>
      <c r="O218" s="292"/>
    </row>
    <row r="219" spans="2:15" s="121" customFormat="1" hidden="1" outlineLevel="1" x14ac:dyDescent="0.2">
      <c r="B219" s="356" t="s">
        <v>1583</v>
      </c>
      <c r="C219" s="357" t="s">
        <v>1584</v>
      </c>
      <c r="D219" s="358" t="s">
        <v>1564</v>
      </c>
      <c r="E219" s="119" t="s">
        <v>1526</v>
      </c>
      <c r="F219" s="120"/>
      <c r="H219" s="122"/>
      <c r="I219" s="122"/>
      <c r="K219" s="123"/>
      <c r="M219" s="337"/>
      <c r="N219" s="251"/>
      <c r="O219" s="292"/>
    </row>
    <row r="220" spans="2:15" s="121" customFormat="1" hidden="1" outlineLevel="1" x14ac:dyDescent="0.2">
      <c r="B220" s="356" t="s">
        <v>1589</v>
      </c>
      <c r="C220" s="357" t="s">
        <v>1591</v>
      </c>
      <c r="D220" s="358" t="s">
        <v>1590</v>
      </c>
      <c r="E220" s="119" t="s">
        <v>1526</v>
      </c>
      <c r="F220" s="120"/>
      <c r="H220" s="122"/>
      <c r="I220" s="122"/>
      <c r="K220" s="123"/>
      <c r="M220" s="337"/>
      <c r="N220" s="251"/>
      <c r="O220" s="292"/>
    </row>
    <row r="221" spans="2:15" s="121" customFormat="1" hidden="1" outlineLevel="1" x14ac:dyDescent="0.2">
      <c r="B221" s="356" t="s">
        <v>1599</v>
      </c>
      <c r="C221" s="357" t="s">
        <v>1601</v>
      </c>
      <c r="D221" s="358" t="s">
        <v>1600</v>
      </c>
      <c r="E221" s="119" t="s">
        <v>1526</v>
      </c>
      <c r="F221" s="120"/>
      <c r="H221" s="122"/>
      <c r="I221" s="122"/>
      <c r="K221" s="123"/>
      <c r="M221" s="337"/>
      <c r="N221" s="251"/>
      <c r="O221" s="292"/>
    </row>
    <row r="222" spans="2:15" s="121" customFormat="1" hidden="1" outlineLevel="1" x14ac:dyDescent="0.2">
      <c r="B222" s="356" t="s">
        <v>1604</v>
      </c>
      <c r="C222" s="357" t="s">
        <v>1605</v>
      </c>
      <c r="D222" s="358" t="s">
        <v>1567</v>
      </c>
      <c r="E222" s="119" t="s">
        <v>1526</v>
      </c>
      <c r="F222" s="120"/>
      <c r="H222" s="122"/>
      <c r="I222" s="122"/>
      <c r="K222" s="123"/>
      <c r="M222" s="337"/>
      <c r="N222" s="251"/>
      <c r="O222" s="292"/>
    </row>
    <row r="223" spans="2:15" s="121" customFormat="1" hidden="1" outlineLevel="1" x14ac:dyDescent="0.2">
      <c r="B223" s="356" t="s">
        <v>1613</v>
      </c>
      <c r="C223" s="357" t="s">
        <v>1614</v>
      </c>
      <c r="D223" s="358" t="s">
        <v>1590</v>
      </c>
      <c r="E223" s="119" t="s">
        <v>1526</v>
      </c>
      <c r="F223" s="120"/>
      <c r="H223" s="122"/>
      <c r="I223" s="122"/>
      <c r="K223" s="123"/>
      <c r="M223" s="337"/>
      <c r="N223" s="251"/>
      <c r="O223" s="292"/>
    </row>
    <row r="224" spans="2:15" s="121" customFormat="1" hidden="1" outlineLevel="1" x14ac:dyDescent="0.2">
      <c r="B224" s="356" t="s">
        <v>1616</v>
      </c>
      <c r="C224" s="357" t="s">
        <v>1617</v>
      </c>
      <c r="D224" s="358" t="s">
        <v>1564</v>
      </c>
      <c r="E224" s="119" t="s">
        <v>1526</v>
      </c>
      <c r="F224" s="120"/>
      <c r="H224" s="122"/>
      <c r="I224" s="122"/>
      <c r="K224" s="123"/>
      <c r="M224" s="337"/>
      <c r="N224" s="251"/>
      <c r="O224" s="292"/>
    </row>
    <row r="225" spans="2:16" s="121" customFormat="1" hidden="1" outlineLevel="1" x14ac:dyDescent="0.2">
      <c r="B225" s="356" t="s">
        <v>1618</v>
      </c>
      <c r="C225" s="357" t="s">
        <v>1619</v>
      </c>
      <c r="D225" s="358" t="s">
        <v>1590</v>
      </c>
      <c r="E225" s="119" t="s">
        <v>1526</v>
      </c>
      <c r="F225" s="120"/>
      <c r="H225" s="122"/>
      <c r="I225" s="122"/>
      <c r="K225" s="123"/>
      <c r="M225" s="337"/>
      <c r="N225" s="251"/>
      <c r="O225" s="292"/>
    </row>
    <row r="226" spans="2:16" s="121" customFormat="1" hidden="1" outlineLevel="1" x14ac:dyDescent="0.2">
      <c r="B226" s="356" t="s">
        <v>1622</v>
      </c>
      <c r="C226" s="357" t="s">
        <v>1538</v>
      </c>
      <c r="D226" s="358" t="s">
        <v>1231</v>
      </c>
      <c r="E226" s="119" t="s">
        <v>1526</v>
      </c>
      <c r="F226" s="120"/>
      <c r="H226" s="122"/>
      <c r="I226" s="122"/>
      <c r="K226" s="123"/>
      <c r="M226" s="337"/>
      <c r="N226" s="251"/>
      <c r="O226" s="292"/>
    </row>
    <row r="227" spans="2:16" s="121" customFormat="1" hidden="1" outlineLevel="1" x14ac:dyDescent="0.2">
      <c r="B227" s="356" t="s">
        <v>1625</v>
      </c>
      <c r="C227" s="357" t="s">
        <v>1626</v>
      </c>
      <c r="D227" s="358" t="s">
        <v>1231</v>
      </c>
      <c r="E227" s="119" t="s">
        <v>1526</v>
      </c>
      <c r="F227" s="120"/>
      <c r="H227" s="122"/>
      <c r="I227" s="122"/>
      <c r="K227" s="123"/>
      <c r="M227" s="337"/>
      <c r="N227" s="251"/>
      <c r="O227" s="292"/>
    </row>
    <row r="228" spans="2:16" s="121" customFormat="1" hidden="1" outlineLevel="1" x14ac:dyDescent="0.2">
      <c r="B228" s="356" t="s">
        <v>1627</v>
      </c>
      <c r="C228" s="357" t="s">
        <v>1628</v>
      </c>
      <c r="D228" s="358" t="s">
        <v>1567</v>
      </c>
      <c r="E228" s="119" t="s">
        <v>1526</v>
      </c>
      <c r="F228" s="120"/>
      <c r="H228" s="122"/>
      <c r="I228" s="122"/>
      <c r="K228" s="123"/>
      <c r="M228" s="337"/>
      <c r="N228" s="251"/>
      <c r="O228" s="292"/>
    </row>
    <row r="229" spans="2:16" s="121" customFormat="1" hidden="1" outlineLevel="1" x14ac:dyDescent="0.2">
      <c r="B229" s="356" t="s">
        <v>1635</v>
      </c>
      <c r="C229" s="357" t="s">
        <v>1591</v>
      </c>
      <c r="D229" s="358" t="s">
        <v>1564</v>
      </c>
      <c r="E229" s="119" t="s">
        <v>1526</v>
      </c>
      <c r="F229" s="120"/>
      <c r="H229" s="122"/>
      <c r="I229" s="122"/>
      <c r="K229" s="123"/>
      <c r="M229" s="337"/>
      <c r="N229" s="251"/>
      <c r="O229" s="292"/>
    </row>
    <row r="230" spans="2:16" s="121" customFormat="1" hidden="1" outlineLevel="1" x14ac:dyDescent="0.2">
      <c r="B230" s="356" t="s">
        <v>1642</v>
      </c>
      <c r="C230" s="357" t="s">
        <v>1643</v>
      </c>
      <c r="D230" s="358" t="s">
        <v>1231</v>
      </c>
      <c r="E230" s="119" t="s">
        <v>1526</v>
      </c>
      <c r="F230" s="120"/>
      <c r="H230" s="122"/>
      <c r="I230" s="122"/>
      <c r="K230" s="123"/>
      <c r="M230" s="337"/>
      <c r="N230" s="251"/>
      <c r="O230" s="292"/>
    </row>
    <row r="231" spans="2:16" s="121" customFormat="1" hidden="1" outlineLevel="1" x14ac:dyDescent="0.2">
      <c r="B231" s="356" t="s">
        <v>1646</v>
      </c>
      <c r="C231" s="357" t="s">
        <v>1647</v>
      </c>
      <c r="D231" s="358" t="s">
        <v>1564</v>
      </c>
      <c r="E231" s="119" t="s">
        <v>1526</v>
      </c>
      <c r="F231" s="120"/>
      <c r="H231" s="122"/>
      <c r="I231" s="122"/>
      <c r="K231" s="123"/>
      <c r="M231" s="337"/>
      <c r="N231" s="251"/>
      <c r="O231" s="292"/>
    </row>
    <row r="232" spans="2:16" s="121" customFormat="1" hidden="1" outlineLevel="1" x14ac:dyDescent="0.2">
      <c r="B232" s="356" t="s">
        <v>1648</v>
      </c>
      <c r="C232" s="357" t="s">
        <v>1649</v>
      </c>
      <c r="D232" s="358" t="s">
        <v>1231</v>
      </c>
      <c r="E232" s="119" t="s">
        <v>1526</v>
      </c>
      <c r="F232" s="120"/>
      <c r="H232" s="122"/>
      <c r="I232" s="122"/>
      <c r="K232" s="123"/>
      <c r="M232" s="337"/>
      <c r="N232" s="251"/>
      <c r="O232" s="292"/>
    </row>
    <row r="233" spans="2:16" s="121" customFormat="1" hidden="1" outlineLevel="1" x14ac:dyDescent="0.2">
      <c r="B233" s="356"/>
      <c r="C233" s="357"/>
      <c r="D233" s="358"/>
      <c r="E233" s="119" t="s">
        <v>1526</v>
      </c>
      <c r="F233" s="120"/>
      <c r="H233" s="122"/>
      <c r="I233" s="122"/>
      <c r="K233" s="123"/>
      <c r="M233" s="337"/>
      <c r="N233" s="251"/>
      <c r="O233" s="292"/>
    </row>
    <row r="234" spans="2:16" s="121" customFormat="1" hidden="1" outlineLevel="1" x14ac:dyDescent="0.2">
      <c r="B234" s="356"/>
      <c r="C234" s="357"/>
      <c r="D234" s="358"/>
      <c r="E234" s="119" t="s">
        <v>1526</v>
      </c>
      <c r="F234" s="120"/>
      <c r="H234" s="122"/>
      <c r="I234" s="122"/>
      <c r="K234" s="123"/>
      <c r="M234" s="337"/>
      <c r="N234" s="251"/>
      <c r="O234" s="292"/>
    </row>
    <row r="235" spans="2:16" s="124" customFormat="1" collapsed="1" x14ac:dyDescent="0.2">
      <c r="B235" s="255" t="s">
        <v>1531</v>
      </c>
      <c r="C235" s="267"/>
      <c r="D235" s="268">
        <f>COUNTIF(D236:D274, "Yes")</f>
        <v>28</v>
      </c>
      <c r="E235" s="119" t="s">
        <v>1526</v>
      </c>
      <c r="F235" s="120"/>
      <c r="G235" s="121"/>
      <c r="H235" s="122"/>
      <c r="I235" s="122"/>
      <c r="J235" s="121"/>
      <c r="K235" s="123"/>
      <c r="L235" s="121"/>
      <c r="M235" s="337"/>
      <c r="N235" s="251"/>
      <c r="O235" s="292"/>
      <c r="P235" s="121"/>
    </row>
    <row r="236" spans="2:16" s="121" customFormat="1" hidden="1" outlineLevel="1" x14ac:dyDescent="0.2">
      <c r="B236" s="224" t="s">
        <v>1270</v>
      </c>
      <c r="C236" s="58"/>
      <c r="D236" s="741" t="str">
        <f>IF(SUMIFS(Levelisation!L$1468:L$2507, Levelisation!$E$1468:$E$2507, str_Country, Levelisation!$C$1468:$C$2507, $B236)=1, "Yes", "No")</f>
        <v>Yes</v>
      </c>
      <c r="E236" s="119" t="s">
        <v>1526</v>
      </c>
      <c r="F236" s="120"/>
      <c r="H236" s="122"/>
      <c r="I236" s="122"/>
      <c r="K236" s="123"/>
      <c r="M236" s="337"/>
      <c r="N236" s="251"/>
      <c r="O236" s="292"/>
    </row>
    <row r="237" spans="2:16" s="121" customFormat="1" hidden="1" outlineLevel="1" x14ac:dyDescent="0.2">
      <c r="B237" s="224" t="s">
        <v>1268</v>
      </c>
      <c r="C237" s="58"/>
      <c r="D237" s="742" t="str">
        <f>IF(SUMIFS(Levelisation!L$1468:L$2507, Levelisation!$E$1468:$E$2507, str_Country, Levelisation!$C$1468:$C$2507, $B237)=1, "Yes", "No")</f>
        <v>Yes</v>
      </c>
      <c r="E237" s="119" t="s">
        <v>1526</v>
      </c>
      <c r="F237" s="120"/>
      <c r="H237" s="122"/>
      <c r="I237" s="122"/>
      <c r="K237" s="123"/>
      <c r="M237" s="337"/>
      <c r="N237" s="251"/>
      <c r="O237" s="292"/>
    </row>
    <row r="238" spans="2:16" s="121" customFormat="1" hidden="1" outlineLevel="1" x14ac:dyDescent="0.2">
      <c r="B238" s="224" t="s">
        <v>1269</v>
      </c>
      <c r="C238" s="58"/>
      <c r="D238" s="742" t="str">
        <f>IF(SUMIFS(Levelisation!L$1468:L$2507, Levelisation!$E$1468:$E$2507, str_Country, Levelisation!$C$1468:$C$2507, $B238)=1, "Yes", "No")</f>
        <v>Yes</v>
      </c>
      <c r="E238" s="119" t="s">
        <v>1526</v>
      </c>
      <c r="F238" s="120"/>
      <c r="H238" s="122"/>
      <c r="I238" s="122"/>
      <c r="K238" s="123"/>
      <c r="M238" s="337"/>
      <c r="N238" s="251"/>
      <c r="O238" s="292"/>
    </row>
    <row r="239" spans="2:16" s="121" customFormat="1" hidden="1" outlineLevel="1" x14ac:dyDescent="0.2">
      <c r="B239" s="224" t="s">
        <v>1263</v>
      </c>
      <c r="C239" s="58"/>
      <c r="D239" s="742" t="str">
        <f>IF(SUMIFS(Levelisation!L$1468:L$2507, Levelisation!$E$1468:$E$2507, str_Country, Levelisation!$C$1468:$C$2507, $B239)=1, "Yes", "No")</f>
        <v>Yes</v>
      </c>
      <c r="E239" s="119" t="s">
        <v>1526</v>
      </c>
      <c r="F239" s="120"/>
      <c r="H239" s="122"/>
      <c r="I239" s="122"/>
      <c r="K239" s="123"/>
      <c r="M239" s="337"/>
      <c r="N239" s="251"/>
      <c r="O239" s="292"/>
    </row>
    <row r="240" spans="2:16" s="121" customFormat="1" hidden="1" outlineLevel="1" x14ac:dyDescent="0.2">
      <c r="B240" s="224" t="s">
        <v>1264</v>
      </c>
      <c r="C240" s="58"/>
      <c r="D240" s="742" t="str">
        <f>IF(SUMIFS(Levelisation!L$1468:L$2507, Levelisation!$E$1468:$E$2507, str_Country, Levelisation!$C$1468:$C$2507, $B240)=1, "Yes", "No")</f>
        <v>Yes</v>
      </c>
      <c r="E240" s="119" t="s">
        <v>1526</v>
      </c>
      <c r="F240" s="120"/>
      <c r="H240" s="122"/>
      <c r="I240" s="122"/>
      <c r="K240" s="123"/>
      <c r="M240" s="337"/>
      <c r="N240" s="251"/>
      <c r="O240" s="292"/>
    </row>
    <row r="241" spans="2:15" s="121" customFormat="1" hidden="1" outlineLevel="1" x14ac:dyDescent="0.2">
      <c r="B241" s="224" t="s">
        <v>1267</v>
      </c>
      <c r="C241" s="58"/>
      <c r="D241" s="742" t="str">
        <f>IF(SUMIFS(Levelisation!L$1468:L$2507, Levelisation!$E$1468:$E$2507, str_Country, Levelisation!$C$1468:$C$2507, $B241)=1, "Yes", "No")</f>
        <v>Yes</v>
      </c>
      <c r="E241" s="119" t="s">
        <v>1526</v>
      </c>
      <c r="F241" s="120"/>
      <c r="H241" s="122"/>
      <c r="I241" s="122"/>
      <c r="K241" s="123"/>
      <c r="M241" s="337"/>
      <c r="N241" s="251"/>
      <c r="O241" s="292"/>
    </row>
    <row r="242" spans="2:15" s="121" customFormat="1" hidden="1" outlineLevel="1" x14ac:dyDescent="0.2">
      <c r="B242" s="224" t="s">
        <v>1266</v>
      </c>
      <c r="C242" s="58"/>
      <c r="D242" s="742" t="str">
        <f>IF(SUMIFS(Levelisation!L$1468:L$2507, Levelisation!$E$1468:$E$2507, str_Country, Levelisation!$C$1468:$C$2507, $B242)=1, "Yes", "No")</f>
        <v>Yes</v>
      </c>
      <c r="E242" s="119" t="s">
        <v>1526</v>
      </c>
      <c r="F242" s="120"/>
      <c r="H242" s="122"/>
      <c r="I242" s="122"/>
      <c r="K242" s="123"/>
      <c r="M242" s="337"/>
      <c r="N242" s="251"/>
      <c r="O242" s="292"/>
    </row>
    <row r="243" spans="2:15" s="121" customFormat="1" hidden="1" outlineLevel="1" x14ac:dyDescent="0.2">
      <c r="B243" s="224" t="s">
        <v>1265</v>
      </c>
      <c r="C243" s="58"/>
      <c r="D243" s="742" t="str">
        <f>IF(SUMIFS(Levelisation!L$1468:L$2507, Levelisation!$E$1468:$E$2507, str_Country, Levelisation!$C$1468:$C$2507, $B243)=1, "Yes", "No")</f>
        <v>Yes</v>
      </c>
      <c r="E243" s="119" t="s">
        <v>1526</v>
      </c>
      <c r="F243" s="120"/>
      <c r="H243" s="122"/>
      <c r="I243" s="122"/>
      <c r="K243" s="123"/>
      <c r="M243" s="337"/>
      <c r="N243" s="251"/>
      <c r="O243" s="292"/>
    </row>
    <row r="244" spans="2:15" s="121" customFormat="1" hidden="1" outlineLevel="1" x14ac:dyDescent="0.2">
      <c r="B244" s="224" t="s">
        <v>1276</v>
      </c>
      <c r="C244" s="58"/>
      <c r="D244" s="742" t="str">
        <f>IF(SUMIFS(Levelisation!L$1468:L$2507, Levelisation!$E$1468:$E$2507, str_Country, Levelisation!$C$1468:$C$2507, $B244)=1, "Yes", "No")</f>
        <v>No</v>
      </c>
      <c r="E244" s="119" t="s">
        <v>1526</v>
      </c>
      <c r="F244" s="120"/>
      <c r="H244" s="122"/>
      <c r="I244" s="122"/>
      <c r="K244" s="123"/>
      <c r="M244" s="337"/>
      <c r="N244" s="251"/>
      <c r="O244" s="292"/>
    </row>
    <row r="245" spans="2:15" s="121" customFormat="1" hidden="1" outlineLevel="1" x14ac:dyDescent="0.2">
      <c r="B245" s="224" t="s">
        <v>1273</v>
      </c>
      <c r="C245" s="58"/>
      <c r="D245" s="742" t="str">
        <f>IF(SUMIFS(Levelisation!L$1468:L$2507, Levelisation!$E$1468:$E$2507, str_Country, Levelisation!$C$1468:$C$2507, $B245)=1, "Yes", "No")</f>
        <v>No</v>
      </c>
      <c r="E245" s="119" t="s">
        <v>1526</v>
      </c>
      <c r="F245" s="120"/>
      <c r="H245" s="122"/>
      <c r="I245" s="122"/>
      <c r="K245" s="123"/>
      <c r="M245" s="337"/>
      <c r="N245" s="251"/>
      <c r="O245" s="292"/>
    </row>
    <row r="246" spans="2:15" s="121" customFormat="1" hidden="1" outlineLevel="1" x14ac:dyDescent="0.2">
      <c r="B246" s="224" t="s">
        <v>1277</v>
      </c>
      <c r="C246" s="58"/>
      <c r="D246" s="742" t="str">
        <f>IF(SUMIFS(Levelisation!L$1468:L$2507, Levelisation!$E$1468:$E$2507, str_Country, Levelisation!$C$1468:$C$2507, $B246)=1, "Yes", "No")</f>
        <v>No</v>
      </c>
      <c r="E246" s="119" t="s">
        <v>1526</v>
      </c>
      <c r="F246" s="120"/>
      <c r="H246" s="122"/>
      <c r="I246" s="122"/>
      <c r="K246" s="123"/>
      <c r="M246" s="337"/>
      <c r="N246" s="251"/>
      <c r="O246" s="292"/>
    </row>
    <row r="247" spans="2:15" s="121" customFormat="1" hidden="1" outlineLevel="1" x14ac:dyDescent="0.2">
      <c r="B247" s="224" t="s">
        <v>1278</v>
      </c>
      <c r="C247" s="58"/>
      <c r="D247" s="742" t="str">
        <f>IF(SUMIFS(Levelisation!L$1468:L$2507, Levelisation!$E$1468:$E$2507, str_Country, Levelisation!$C$1468:$C$2507, $B247)=1, "Yes", "No")</f>
        <v>No</v>
      </c>
      <c r="E247" s="119" t="s">
        <v>1526</v>
      </c>
      <c r="F247" s="120"/>
      <c r="H247" s="122"/>
      <c r="I247" s="122"/>
      <c r="K247" s="123"/>
      <c r="M247" s="337"/>
      <c r="N247" s="251"/>
      <c r="O247" s="292"/>
    </row>
    <row r="248" spans="2:15" s="121" customFormat="1" hidden="1" outlineLevel="1" x14ac:dyDescent="0.2">
      <c r="B248" s="224" t="s">
        <v>1272</v>
      </c>
      <c r="C248" s="58"/>
      <c r="D248" s="742" t="str">
        <f>IF(SUMIFS(Levelisation!L$1468:L$2507, Levelisation!$E$1468:$E$2507, str_Country, Levelisation!$C$1468:$C$2507, $B248)=1, "Yes", "No")</f>
        <v>No</v>
      </c>
      <c r="E248" s="119" t="s">
        <v>1526</v>
      </c>
      <c r="F248" s="120"/>
      <c r="H248" s="122"/>
      <c r="I248" s="122"/>
      <c r="K248" s="123"/>
      <c r="M248" s="337"/>
      <c r="N248" s="251"/>
      <c r="O248" s="292"/>
    </row>
    <row r="249" spans="2:15" s="121" customFormat="1" hidden="1" outlineLevel="1" x14ac:dyDescent="0.2">
      <c r="B249" s="224" t="s">
        <v>1271</v>
      </c>
      <c r="C249" s="58"/>
      <c r="D249" s="742" t="str">
        <f>IF(SUMIFS(Levelisation!L$1468:L$2507, Levelisation!$E$1468:$E$2507, str_Country, Levelisation!$C$1468:$C$2507, $B249)=1, "Yes", "No")</f>
        <v>Yes</v>
      </c>
      <c r="E249" s="119" t="s">
        <v>1526</v>
      </c>
      <c r="F249" s="120"/>
      <c r="H249" s="122"/>
      <c r="I249" s="122"/>
      <c r="K249" s="123"/>
      <c r="M249" s="337"/>
      <c r="N249" s="251"/>
      <c r="O249" s="292"/>
    </row>
    <row r="250" spans="2:15" s="121" customFormat="1" hidden="1" outlineLevel="1" x14ac:dyDescent="0.2">
      <c r="B250" s="224" t="s">
        <v>1275</v>
      </c>
      <c r="C250" s="58"/>
      <c r="D250" s="742" t="str">
        <f>IF(SUMIFS(Levelisation!L$1468:L$2507, Levelisation!$E$1468:$E$2507, str_Country, Levelisation!$C$1468:$C$2507, $B250)=1, "Yes", "No")</f>
        <v>No</v>
      </c>
      <c r="E250" s="119" t="s">
        <v>1526</v>
      </c>
      <c r="F250" s="120"/>
      <c r="H250" s="122"/>
      <c r="I250" s="122"/>
      <c r="K250" s="123"/>
      <c r="M250" s="337"/>
      <c r="N250" s="251"/>
      <c r="O250" s="292"/>
    </row>
    <row r="251" spans="2:15" s="121" customFormat="1" hidden="1" outlineLevel="1" x14ac:dyDescent="0.2">
      <c r="B251" s="224" t="s">
        <v>1274</v>
      </c>
      <c r="C251" s="58"/>
      <c r="D251" s="742" t="str">
        <f>IF(SUMIFS(Levelisation!L$1468:L$2507, Levelisation!$E$1468:$E$2507, str_Country, Levelisation!$C$1468:$C$2507, $B251)=1, "Yes", "No")</f>
        <v>No</v>
      </c>
      <c r="E251" s="119" t="s">
        <v>1526</v>
      </c>
      <c r="F251" s="120"/>
      <c r="H251" s="122"/>
      <c r="I251" s="122"/>
      <c r="K251" s="123"/>
      <c r="M251" s="337"/>
      <c r="N251" s="251"/>
      <c r="O251" s="292"/>
    </row>
    <row r="252" spans="2:15" s="121" customFormat="1" hidden="1" outlineLevel="1" x14ac:dyDescent="0.2">
      <c r="B252" s="224" t="s">
        <v>1736</v>
      </c>
      <c r="C252" s="58"/>
      <c r="D252" s="742" t="str">
        <f>IF(SUMIFS(Levelisation!L$1468:L$2507, Levelisation!$E$1468:$E$2507, str_Country, Levelisation!$C$1468:$C$2507, $B252)=1, "Yes", "No")</f>
        <v>Yes</v>
      </c>
      <c r="E252" s="119" t="s">
        <v>1526</v>
      </c>
      <c r="F252" s="120"/>
      <c r="H252" s="122"/>
      <c r="I252" s="122"/>
      <c r="K252" s="123"/>
      <c r="M252" s="337"/>
      <c r="N252" s="251"/>
      <c r="O252" s="292"/>
    </row>
    <row r="253" spans="2:15" s="121" customFormat="1" hidden="1" outlineLevel="1" x14ac:dyDescent="0.2">
      <c r="B253" s="224" t="s">
        <v>1279</v>
      </c>
      <c r="C253" s="58"/>
      <c r="D253" s="742" t="str">
        <f>IF(SUMIFS(Levelisation!L$1468:L$2507, Levelisation!$E$1468:$E$2507, str_Country, Levelisation!$C$1468:$C$2507, $B253)=1, "Yes", "No")</f>
        <v>Yes</v>
      </c>
      <c r="E253" s="119" t="s">
        <v>1526</v>
      </c>
      <c r="F253" s="120"/>
      <c r="H253" s="122"/>
      <c r="I253" s="122"/>
      <c r="K253" s="123"/>
      <c r="M253" s="337"/>
      <c r="N253" s="251"/>
      <c r="O253" s="292"/>
    </row>
    <row r="254" spans="2:15" s="121" customFormat="1" hidden="1" outlineLevel="1" x14ac:dyDescent="0.2">
      <c r="B254" s="224" t="s">
        <v>1281</v>
      </c>
      <c r="C254" s="58"/>
      <c r="D254" s="742" t="str">
        <f>IF(SUMIFS(Levelisation!L$1468:L$2507, Levelisation!$E$1468:$E$2507, str_Country, Levelisation!$C$1468:$C$2507, $B254)=1, "Yes", "No")</f>
        <v>Yes</v>
      </c>
      <c r="E254" s="119" t="s">
        <v>1526</v>
      </c>
      <c r="F254" s="120"/>
      <c r="H254" s="122"/>
      <c r="I254" s="122"/>
      <c r="K254" s="123"/>
      <c r="M254" s="337"/>
      <c r="N254" s="251"/>
      <c r="O254" s="292"/>
    </row>
    <row r="255" spans="2:15" s="121" customFormat="1" hidden="1" outlineLevel="1" x14ac:dyDescent="0.2">
      <c r="B255" s="224" t="s">
        <v>1282</v>
      </c>
      <c r="C255" s="58"/>
      <c r="D255" s="742" t="str">
        <f>IF(SUMIFS(Levelisation!L$1468:L$2507, Levelisation!$E$1468:$E$2507, str_Country, Levelisation!$C$1468:$C$2507, $B255)=1, "Yes", "No")</f>
        <v>Yes</v>
      </c>
      <c r="E255" s="119" t="s">
        <v>1526</v>
      </c>
      <c r="F255" s="120"/>
      <c r="H255" s="122"/>
      <c r="I255" s="122"/>
      <c r="K255" s="123"/>
      <c r="M255" s="337"/>
      <c r="N255" s="251"/>
      <c r="O255" s="292"/>
    </row>
    <row r="256" spans="2:15" s="121" customFormat="1" hidden="1" outlineLevel="1" x14ac:dyDescent="0.2">
      <c r="B256" s="224" t="s">
        <v>1737</v>
      </c>
      <c r="C256" s="58"/>
      <c r="D256" s="742" t="str">
        <f>IF(SUMIFS(Levelisation!L$1468:L$2507, Levelisation!$E$1468:$E$2507, str_Country, Levelisation!$C$1468:$C$2507, $B256)=1, "Yes", "No")</f>
        <v>Yes</v>
      </c>
      <c r="E256" s="119" t="s">
        <v>1526</v>
      </c>
      <c r="F256" s="120"/>
      <c r="H256" s="122"/>
      <c r="I256" s="122"/>
      <c r="K256" s="123"/>
      <c r="M256" s="337"/>
      <c r="N256" s="251"/>
      <c r="O256" s="292"/>
    </row>
    <row r="257" spans="2:15" s="121" customFormat="1" hidden="1" outlineLevel="1" x14ac:dyDescent="0.2">
      <c r="B257" s="224" t="s">
        <v>1280</v>
      </c>
      <c r="C257" s="58"/>
      <c r="D257" s="742" t="str">
        <f>IF(SUMIFS(Levelisation!L$1468:L$2507, Levelisation!$E$1468:$E$2507, str_Country, Levelisation!$C$1468:$C$2507, $B257)=1, "Yes", "No")</f>
        <v>Yes</v>
      </c>
      <c r="E257" s="119" t="s">
        <v>1526</v>
      </c>
      <c r="F257" s="120"/>
      <c r="H257" s="122"/>
      <c r="I257" s="122"/>
      <c r="K257" s="123"/>
      <c r="M257" s="337"/>
      <c r="N257" s="251"/>
      <c r="O257" s="292"/>
    </row>
    <row r="258" spans="2:15" s="121" customFormat="1" hidden="1" outlineLevel="1" x14ac:dyDescent="0.2">
      <c r="B258" s="224" t="s">
        <v>1261</v>
      </c>
      <c r="C258" s="58"/>
      <c r="D258" s="742" t="str">
        <f>IF(SUMIFS(Levelisation!L$1468:L$2507, Levelisation!$E$1468:$E$2507, str_Country, Levelisation!$C$1468:$C$2507, $B258)=1, "Yes", "No")</f>
        <v>No</v>
      </c>
      <c r="E258" s="119" t="s">
        <v>1526</v>
      </c>
      <c r="F258" s="120"/>
      <c r="H258" s="122"/>
      <c r="I258" s="122"/>
      <c r="K258" s="123"/>
      <c r="M258" s="337"/>
      <c r="N258" s="251"/>
      <c r="O258" s="292"/>
    </row>
    <row r="259" spans="2:15" s="121" customFormat="1" hidden="1" outlineLevel="1" x14ac:dyDescent="0.2">
      <c r="B259" s="224" t="s">
        <v>1259</v>
      </c>
      <c r="C259" s="58"/>
      <c r="D259" s="742" t="str">
        <f>IF(SUMIFS(Levelisation!L$1468:L$2507, Levelisation!$E$1468:$E$2507, str_Country, Levelisation!$C$1468:$C$2507, $B259)=1, "Yes", "No")</f>
        <v>Yes</v>
      </c>
      <c r="E259" s="119" t="s">
        <v>1526</v>
      </c>
      <c r="F259" s="120"/>
      <c r="H259" s="122"/>
      <c r="I259" s="122"/>
      <c r="K259" s="123"/>
      <c r="M259" s="337"/>
      <c r="N259" s="251"/>
      <c r="O259" s="292"/>
    </row>
    <row r="260" spans="2:15" s="121" customFormat="1" hidden="1" outlineLevel="1" x14ac:dyDescent="0.2">
      <c r="B260" s="224" t="s">
        <v>1733</v>
      </c>
      <c r="C260" s="58"/>
      <c r="D260" s="742" t="str">
        <f>IF(SUMIFS(Levelisation!L$1468:L$2507, Levelisation!$E$1468:$E$2507, str_Country, Levelisation!$C$1468:$C$2507, $B260)=1, "Yes", "No")</f>
        <v>Yes</v>
      </c>
      <c r="E260" s="119" t="s">
        <v>1526</v>
      </c>
      <c r="F260" s="120"/>
      <c r="H260" s="122"/>
      <c r="I260" s="122"/>
      <c r="K260" s="123"/>
      <c r="M260" s="337"/>
      <c r="N260" s="251"/>
      <c r="O260" s="292"/>
    </row>
    <row r="261" spans="2:15" s="121" customFormat="1" hidden="1" outlineLevel="1" x14ac:dyDescent="0.2">
      <c r="B261" s="224" t="s">
        <v>1260</v>
      </c>
      <c r="C261" s="58"/>
      <c r="D261" s="742" t="str">
        <f>IF(SUMIFS(Levelisation!L$1468:L$2507, Levelisation!$E$1468:$E$2507, str_Country, Levelisation!$C$1468:$C$2507, $B261)=1, "Yes", "No")</f>
        <v>Yes</v>
      </c>
      <c r="E261" s="119" t="s">
        <v>1526</v>
      </c>
      <c r="F261" s="120"/>
      <c r="H261" s="122"/>
      <c r="I261" s="122"/>
      <c r="K261" s="123"/>
      <c r="M261" s="337"/>
      <c r="N261" s="251"/>
      <c r="O261" s="292"/>
    </row>
    <row r="262" spans="2:15" s="121" customFormat="1" hidden="1" outlineLevel="1" x14ac:dyDescent="0.2">
      <c r="B262" s="224" t="s">
        <v>1734</v>
      </c>
      <c r="C262" s="58"/>
      <c r="D262" s="742" t="str">
        <f>IF(SUMIFS(Levelisation!L$1468:L$2507, Levelisation!$E$1468:$E$2507, str_Country, Levelisation!$C$1468:$C$2507, $B262)=1, "Yes", "No")</f>
        <v>No</v>
      </c>
      <c r="E262" s="119" t="s">
        <v>1526</v>
      </c>
      <c r="F262" s="120"/>
      <c r="H262" s="122"/>
      <c r="I262" s="122"/>
      <c r="K262" s="123"/>
      <c r="M262" s="337"/>
      <c r="N262" s="251"/>
      <c r="O262" s="292"/>
    </row>
    <row r="263" spans="2:15" s="121" customFormat="1" hidden="1" outlineLevel="1" x14ac:dyDescent="0.2">
      <c r="B263" s="224" t="s">
        <v>1732</v>
      </c>
      <c r="C263" s="58"/>
      <c r="D263" s="742" t="s">
        <v>3321</v>
      </c>
      <c r="E263" s="119" t="s">
        <v>1526</v>
      </c>
      <c r="F263" s="120"/>
      <c r="H263" s="122"/>
      <c r="I263" s="122"/>
      <c r="K263" s="123"/>
      <c r="M263" s="337"/>
      <c r="N263" s="251"/>
      <c r="O263" s="292"/>
    </row>
    <row r="264" spans="2:15" s="121" customFormat="1" hidden="1" outlineLevel="1" x14ac:dyDescent="0.2">
      <c r="B264" s="224" t="s">
        <v>1262</v>
      </c>
      <c r="C264" s="58"/>
      <c r="D264" s="742" t="str">
        <f>IF(SUMIFS(Levelisation!L$1468:L$2507, Levelisation!$E$1468:$E$2507, str_Country, Levelisation!$C$1468:$C$2507, $B264)=1, "Yes", "No")</f>
        <v>Yes</v>
      </c>
      <c r="E264" s="119" t="s">
        <v>1526</v>
      </c>
      <c r="F264" s="120"/>
      <c r="H264" s="122"/>
      <c r="I264" s="122"/>
      <c r="K264" s="123"/>
      <c r="M264" s="337"/>
      <c r="N264" s="251"/>
      <c r="O264" s="292"/>
    </row>
    <row r="265" spans="2:15" s="121" customFormat="1" hidden="1" outlineLevel="1" x14ac:dyDescent="0.2">
      <c r="B265" s="224" t="s">
        <v>1258</v>
      </c>
      <c r="C265" s="58"/>
      <c r="D265" s="742" t="str">
        <f>IF(SUMIFS(Levelisation!L$1468:L$2507, Levelisation!$E$1468:$E$2507, str_Country, Levelisation!$C$1468:$C$2507, $B265)=1, "Yes", "No")</f>
        <v>Yes</v>
      </c>
      <c r="E265" s="119" t="s">
        <v>1526</v>
      </c>
      <c r="F265" s="120"/>
      <c r="H265" s="122"/>
      <c r="I265" s="122"/>
      <c r="K265" s="123"/>
      <c r="M265" s="337"/>
      <c r="N265" s="251"/>
      <c r="O265" s="292"/>
    </row>
    <row r="266" spans="2:15" s="121" customFormat="1" hidden="1" outlineLevel="1" x14ac:dyDescent="0.2">
      <c r="B266" s="224" t="s">
        <v>1251</v>
      </c>
      <c r="C266" s="58"/>
      <c r="D266" s="742" t="str">
        <f>IF(SUMIFS(Levelisation!L$1468:L$2507, Levelisation!$E$1468:$E$2507, str_Country, Levelisation!$C$1468:$C$2507, $B266)=1, "Yes", "No")</f>
        <v>No</v>
      </c>
      <c r="E266" s="119" t="s">
        <v>1526</v>
      </c>
      <c r="F266" s="120"/>
      <c r="H266" s="122"/>
      <c r="I266" s="122"/>
      <c r="K266" s="123"/>
      <c r="M266" s="337"/>
      <c r="N266" s="251"/>
      <c r="O266" s="292"/>
    </row>
    <row r="267" spans="2:15" s="121" customFormat="1" hidden="1" outlineLevel="1" x14ac:dyDescent="0.2">
      <c r="B267" s="224" t="s">
        <v>1254</v>
      </c>
      <c r="C267" s="58"/>
      <c r="D267" s="742" t="str">
        <f>IF(SUMIFS(Levelisation!L$1468:L$2507, Levelisation!$E$1468:$E$2507, str_Country, Levelisation!$C$1468:$C$2507, $B267)=1, "Yes", "No")</f>
        <v>Yes</v>
      </c>
      <c r="E267" s="119" t="s">
        <v>1526</v>
      </c>
      <c r="F267" s="120"/>
      <c r="H267" s="122"/>
      <c r="I267" s="122"/>
      <c r="K267" s="123"/>
      <c r="M267" s="337"/>
      <c r="N267" s="251"/>
      <c r="O267" s="292"/>
    </row>
    <row r="268" spans="2:15" s="121" customFormat="1" hidden="1" outlineLevel="1" x14ac:dyDescent="0.2">
      <c r="B268" s="224" t="s">
        <v>1256</v>
      </c>
      <c r="C268" s="58"/>
      <c r="D268" s="742" t="str">
        <f>IF(SUMIFS(Levelisation!L$1468:L$2507, Levelisation!$E$1468:$E$2507, str_Country, Levelisation!$C$1468:$C$2507, $B268)=1, "Yes", "No")</f>
        <v>Yes</v>
      </c>
      <c r="E268" s="119" t="s">
        <v>1526</v>
      </c>
      <c r="F268" s="120"/>
      <c r="H268" s="122"/>
      <c r="I268" s="122"/>
      <c r="K268" s="123"/>
      <c r="M268" s="337"/>
      <c r="N268" s="251"/>
      <c r="O268" s="292"/>
    </row>
    <row r="269" spans="2:15" s="121" customFormat="1" hidden="1" outlineLevel="1" x14ac:dyDescent="0.2">
      <c r="B269" s="224" t="s">
        <v>1252</v>
      </c>
      <c r="C269" s="58"/>
      <c r="D269" s="742" t="str">
        <f>IF(SUMIFS(Levelisation!L$1468:L$2507, Levelisation!$E$1468:$E$2507, str_Country, Levelisation!$C$1468:$C$2507, $B269)=1, "Yes", "No")</f>
        <v>Yes</v>
      </c>
      <c r="E269" s="119" t="s">
        <v>1526</v>
      </c>
      <c r="F269" s="120"/>
      <c r="H269" s="122"/>
      <c r="I269" s="122"/>
      <c r="K269" s="123"/>
      <c r="M269" s="337"/>
      <c r="N269" s="251"/>
      <c r="O269" s="292"/>
    </row>
    <row r="270" spans="2:15" s="121" customFormat="1" hidden="1" outlineLevel="1" x14ac:dyDescent="0.2">
      <c r="B270" s="224" t="s">
        <v>1253</v>
      </c>
      <c r="C270" s="58"/>
      <c r="D270" s="742" t="str">
        <f>IF(SUMIFS(Levelisation!L$1468:L$2507, Levelisation!$E$1468:$E$2507, str_Country, Levelisation!$C$1468:$C$2507, $B270)=1, "Yes", "No")</f>
        <v>Yes</v>
      </c>
      <c r="E270" s="119" t="s">
        <v>1526</v>
      </c>
      <c r="F270" s="120"/>
      <c r="H270" s="122"/>
      <c r="I270" s="122"/>
      <c r="K270" s="123"/>
      <c r="M270" s="337"/>
      <c r="N270" s="251"/>
      <c r="O270" s="292"/>
    </row>
    <row r="271" spans="2:15" s="121" customFormat="1" hidden="1" outlineLevel="1" x14ac:dyDescent="0.2">
      <c r="B271" s="224" t="s">
        <v>1735</v>
      </c>
      <c r="C271" s="58"/>
      <c r="D271" s="742" t="str">
        <f>IF(SUMIFS(Levelisation!L$1468:L$2507, Levelisation!$E$1468:$E$2507, str_Country, Levelisation!$C$1468:$C$2507, $B271)=1, "Yes", "No")</f>
        <v>Yes</v>
      </c>
      <c r="E271" s="119" t="s">
        <v>1526</v>
      </c>
      <c r="F271" s="120"/>
      <c r="H271" s="122"/>
      <c r="I271" s="122"/>
      <c r="K271" s="123"/>
      <c r="M271" s="337"/>
      <c r="N271" s="251"/>
      <c r="O271" s="292"/>
    </row>
    <row r="272" spans="2:15" s="121" customFormat="1" hidden="1" outlineLevel="1" x14ac:dyDescent="0.2">
      <c r="B272" s="224" t="s">
        <v>1257</v>
      </c>
      <c r="C272" s="58"/>
      <c r="D272" s="742" t="str">
        <f>IF(SUMIFS(Levelisation!L$1468:L$2507, Levelisation!$E$1468:$E$2507, str_Country, Levelisation!$C$1468:$C$2507, $B272)=1, "Yes", "No")</f>
        <v>Yes</v>
      </c>
      <c r="E272" s="119" t="s">
        <v>1526</v>
      </c>
      <c r="F272" s="120"/>
      <c r="H272" s="122"/>
      <c r="I272" s="122"/>
      <c r="K272" s="123"/>
      <c r="M272" s="337"/>
      <c r="N272" s="251"/>
      <c r="O272" s="292"/>
    </row>
    <row r="273" spans="2:15" s="121" customFormat="1" hidden="1" outlineLevel="1" x14ac:dyDescent="0.2">
      <c r="B273" s="224" t="s">
        <v>1255</v>
      </c>
      <c r="C273" s="58"/>
      <c r="D273" s="742" t="str">
        <f>IF(SUMIFS(Levelisation!L$1468:L$2507, Levelisation!$E$1468:$E$2507, str_Country, Levelisation!$C$1468:$C$2507, $B273)=1, "Yes", "No")</f>
        <v>Yes</v>
      </c>
      <c r="E273" s="119" t="s">
        <v>1526</v>
      </c>
      <c r="F273" s="120"/>
      <c r="H273" s="122"/>
      <c r="I273" s="122"/>
      <c r="K273" s="123"/>
      <c r="M273" s="337"/>
      <c r="N273" s="251"/>
      <c r="O273" s="292"/>
    </row>
    <row r="274" spans="2:15" s="121" customFormat="1" hidden="1" outlineLevel="1" x14ac:dyDescent="0.2">
      <c r="B274" s="224" t="s">
        <v>1283</v>
      </c>
      <c r="C274" s="58"/>
      <c r="D274" s="743" t="str">
        <f>IF(SUMIFS(Levelisation!L$1468:L$2507, Levelisation!$E$1468:$E$2507, str_Country, Levelisation!$C$1468:$C$2507, $B274)=1, "Yes", "No")</f>
        <v>Yes</v>
      </c>
      <c r="E274" s="119" t="s">
        <v>1526</v>
      </c>
      <c r="F274" s="120"/>
      <c r="H274" s="122"/>
      <c r="I274" s="122"/>
      <c r="K274" s="123"/>
      <c r="M274" s="337"/>
      <c r="N274" s="251"/>
      <c r="O274" s="292"/>
    </row>
    <row r="275" spans="2:15" s="121" customFormat="1" collapsed="1" x14ac:dyDescent="0.2">
      <c r="B275" s="255" t="s">
        <v>1532</v>
      </c>
      <c r="C275" s="254"/>
      <c r="D275" s="256">
        <f>COUNTIF(D276:D295, "Yes")</f>
        <v>18</v>
      </c>
      <c r="E275" s="119" t="s">
        <v>1526</v>
      </c>
      <c r="F275" s="120"/>
      <c r="H275" s="122"/>
      <c r="I275" s="122"/>
      <c r="K275" s="123"/>
      <c r="M275" s="337"/>
      <c r="N275" s="251"/>
      <c r="O275" s="292"/>
    </row>
    <row r="276" spans="2:15" s="121" customFormat="1" hidden="1" outlineLevel="1" x14ac:dyDescent="0.2">
      <c r="B276" s="70" t="s">
        <v>1503</v>
      </c>
      <c r="C276" s="71"/>
      <c r="D276" s="712" t="str">
        <f>IF(SUMIFS(Levelisation!L$816:L$1335, Levelisation!$E$816:$E$1335, str_Country, Levelisation!$C$816:$C$1335, $B276)=1, "Yes", "No")</f>
        <v>Yes</v>
      </c>
      <c r="E276" s="119" t="s">
        <v>1526</v>
      </c>
      <c r="F276" s="120"/>
      <c r="H276" s="122"/>
      <c r="I276" s="122"/>
      <c r="K276" s="123"/>
      <c r="M276" s="337"/>
      <c r="N276" s="251"/>
      <c r="O276" s="292"/>
    </row>
    <row r="277" spans="2:15" s="121" customFormat="1" hidden="1" outlineLevel="1" x14ac:dyDescent="0.2">
      <c r="B277" s="127" t="s">
        <v>1504</v>
      </c>
      <c r="C277" s="72"/>
      <c r="D277" s="713" t="str">
        <f>IF(SUMIFS(Levelisation!L$816:L$1335, Levelisation!$E$816:$E$1335, str_Country, Levelisation!$C$816:$C$1335, $B277)=1, "Yes", "No")</f>
        <v>Yes</v>
      </c>
      <c r="E277" s="119" t="s">
        <v>1526</v>
      </c>
      <c r="F277" s="120"/>
      <c r="H277" s="122"/>
      <c r="I277" s="122"/>
      <c r="K277" s="123"/>
      <c r="M277" s="337"/>
      <c r="N277" s="251"/>
      <c r="O277" s="292"/>
    </row>
    <row r="278" spans="2:15" s="121" customFormat="1" hidden="1" outlineLevel="1" x14ac:dyDescent="0.2">
      <c r="B278" s="127" t="s">
        <v>1505</v>
      </c>
      <c r="C278" s="72"/>
      <c r="D278" s="713" t="str">
        <f>IF(SUMIFS(Levelisation!L$816:L$1335, Levelisation!$E$816:$E$1335, str_Country, Levelisation!$C$816:$C$1335, $B278)=1, "Yes", "No")</f>
        <v>Yes</v>
      </c>
      <c r="E278" s="119" t="s">
        <v>1526</v>
      </c>
      <c r="F278" s="120"/>
      <c r="H278" s="122"/>
      <c r="I278" s="122"/>
      <c r="K278" s="123"/>
      <c r="M278" s="337"/>
      <c r="N278" s="251"/>
      <c r="O278" s="292"/>
    </row>
    <row r="279" spans="2:15" s="121" customFormat="1" hidden="1" outlineLevel="1" x14ac:dyDescent="0.2">
      <c r="B279" s="127" t="s">
        <v>1506</v>
      </c>
      <c r="C279" s="72"/>
      <c r="D279" s="713" t="str">
        <f>IF(SUMIFS(Levelisation!L$816:L$1335, Levelisation!$E$816:$E$1335, str_Country, Levelisation!$C$816:$C$1335, $B279)=1, "Yes", "No")</f>
        <v>Yes</v>
      </c>
      <c r="E279" s="119" t="s">
        <v>1526</v>
      </c>
      <c r="F279" s="120"/>
      <c r="H279" s="122"/>
      <c r="I279" s="122"/>
      <c r="K279" s="123"/>
      <c r="M279" s="337"/>
      <c r="N279" s="251"/>
      <c r="O279" s="292"/>
    </row>
    <row r="280" spans="2:15" s="121" customFormat="1" hidden="1" outlineLevel="1" x14ac:dyDescent="0.2">
      <c r="B280" s="127" t="s">
        <v>1507</v>
      </c>
      <c r="C280" s="72"/>
      <c r="D280" s="713" t="str">
        <f>IF(SUMIFS(Levelisation!L$816:L$1335, Levelisation!$E$816:$E$1335, str_Country, Levelisation!$C$816:$C$1335, $B280)=1, "Yes", "No")</f>
        <v>Yes</v>
      </c>
      <c r="E280" s="119" t="s">
        <v>1526</v>
      </c>
      <c r="F280" s="120"/>
      <c r="H280" s="122"/>
      <c r="I280" s="122"/>
      <c r="K280" s="123"/>
      <c r="M280" s="337"/>
      <c r="N280" s="251"/>
      <c r="O280" s="292"/>
    </row>
    <row r="281" spans="2:15" s="121" customFormat="1" hidden="1" outlineLevel="1" x14ac:dyDescent="0.2">
      <c r="B281" s="127" t="s">
        <v>1508</v>
      </c>
      <c r="C281" s="72"/>
      <c r="D281" s="713" t="str">
        <f>IF(SUMIFS(Levelisation!L$816:L$1335, Levelisation!$E$816:$E$1335, str_Country, Levelisation!$C$816:$C$1335, $B281)=1, "Yes", "No")</f>
        <v>Yes</v>
      </c>
      <c r="E281" s="119" t="s">
        <v>1526</v>
      </c>
      <c r="F281" s="120"/>
      <c r="H281" s="122"/>
      <c r="I281" s="122"/>
      <c r="K281" s="123"/>
      <c r="M281" s="337"/>
      <c r="N281" s="251"/>
      <c r="O281" s="292"/>
    </row>
    <row r="282" spans="2:15" s="121" customFormat="1" hidden="1" outlineLevel="1" x14ac:dyDescent="0.2">
      <c r="B282" s="127" t="s">
        <v>1509</v>
      </c>
      <c r="C282" s="72"/>
      <c r="D282" s="713" t="str">
        <f>IF(SUMIFS(Levelisation!L$816:L$1335, Levelisation!$E$816:$E$1335, str_Country, Levelisation!$C$816:$C$1335, $B282)=1, "Yes", "No")</f>
        <v>Yes</v>
      </c>
      <c r="E282" s="119" t="s">
        <v>1526</v>
      </c>
      <c r="F282" s="120"/>
      <c r="H282" s="122"/>
      <c r="I282" s="122"/>
      <c r="K282" s="123"/>
      <c r="M282" s="337"/>
      <c r="N282" s="251"/>
      <c r="O282" s="292"/>
    </row>
    <row r="283" spans="2:15" s="121" customFormat="1" hidden="1" outlineLevel="1" x14ac:dyDescent="0.2">
      <c r="B283" s="127" t="s">
        <v>1510</v>
      </c>
      <c r="C283" s="72"/>
      <c r="D283" s="713" t="str">
        <f>IF(SUMIFS(Levelisation!L$816:L$1335, Levelisation!$E$816:$E$1335, str_Country, Levelisation!$C$816:$C$1335, $B283)=1, "Yes", "No")</f>
        <v>Yes</v>
      </c>
      <c r="E283" s="119" t="s">
        <v>1526</v>
      </c>
      <c r="F283" s="120"/>
      <c r="H283" s="122"/>
      <c r="I283" s="122"/>
      <c r="K283" s="123"/>
      <c r="M283" s="337"/>
      <c r="N283" s="251"/>
      <c r="O283" s="292"/>
    </row>
    <row r="284" spans="2:15" s="121" customFormat="1" hidden="1" outlineLevel="1" x14ac:dyDescent="0.2">
      <c r="B284" s="127" t="s">
        <v>1511</v>
      </c>
      <c r="C284" s="72"/>
      <c r="D284" s="713" t="str">
        <f>IF(SUMIFS(Levelisation!L$816:L$1335, Levelisation!$E$816:$E$1335, str_Country, Levelisation!$C$816:$C$1335, $B284)=1, "Yes", "No")</f>
        <v>Yes</v>
      </c>
      <c r="E284" s="119" t="s">
        <v>1526</v>
      </c>
      <c r="F284" s="120"/>
      <c r="H284" s="122"/>
      <c r="I284" s="122"/>
      <c r="K284" s="123"/>
      <c r="M284" s="337"/>
      <c r="N284" s="251"/>
      <c r="O284" s="292"/>
    </row>
    <row r="285" spans="2:15" s="121" customFormat="1" hidden="1" outlineLevel="1" x14ac:dyDescent="0.2">
      <c r="B285" s="127" t="s">
        <v>1512</v>
      </c>
      <c r="C285" s="72"/>
      <c r="D285" s="713" t="str">
        <f>IF(SUMIFS(Levelisation!L$816:L$1335, Levelisation!$E$816:$E$1335, str_Country, Levelisation!$C$816:$C$1335, $B285)=1, "Yes", "No")</f>
        <v>No</v>
      </c>
      <c r="E285" s="119" t="s">
        <v>1526</v>
      </c>
      <c r="F285" s="120"/>
      <c r="H285" s="122"/>
      <c r="I285" s="122"/>
      <c r="K285" s="123"/>
      <c r="M285" s="337"/>
      <c r="N285" s="251"/>
      <c r="O285" s="292"/>
    </row>
    <row r="286" spans="2:15" s="121" customFormat="1" hidden="1" outlineLevel="1" x14ac:dyDescent="0.2">
      <c r="B286" s="127" t="s">
        <v>1513</v>
      </c>
      <c r="C286" s="72"/>
      <c r="D286" s="713" t="str">
        <f>IF(SUMIFS(Levelisation!L$816:L$1335, Levelisation!$E$816:$E$1335, str_Country, Levelisation!$C$816:$C$1335, $B286)=1, "Yes", "No")</f>
        <v>Yes</v>
      </c>
      <c r="E286" s="119" t="s">
        <v>1526</v>
      </c>
      <c r="F286" s="120"/>
      <c r="H286" s="122"/>
      <c r="I286" s="122"/>
      <c r="K286" s="123"/>
      <c r="M286" s="337"/>
      <c r="N286" s="251"/>
      <c r="O286" s="292"/>
    </row>
    <row r="287" spans="2:15" s="121" customFormat="1" hidden="1" outlineLevel="1" x14ac:dyDescent="0.2">
      <c r="B287" s="127" t="s">
        <v>1514</v>
      </c>
      <c r="C287" s="72"/>
      <c r="D287" s="713" t="str">
        <f>IF(SUMIFS(Levelisation!L$816:L$1335, Levelisation!$E$816:$E$1335, str_Country, Levelisation!$C$816:$C$1335, $B287)=1, "Yes", "No")</f>
        <v>Yes</v>
      </c>
      <c r="E287" s="119" t="s">
        <v>1526</v>
      </c>
      <c r="F287" s="120"/>
      <c r="H287" s="122"/>
      <c r="I287" s="122"/>
      <c r="K287" s="123"/>
      <c r="M287" s="337"/>
      <c r="N287" s="251"/>
      <c r="O287" s="292"/>
    </row>
    <row r="288" spans="2:15" s="121" customFormat="1" hidden="1" outlineLevel="1" x14ac:dyDescent="0.2">
      <c r="B288" s="127" t="s">
        <v>1515</v>
      </c>
      <c r="C288" s="72"/>
      <c r="D288" s="713" t="str">
        <f>IF(SUMIFS(Levelisation!L$816:L$1335, Levelisation!$E$816:$E$1335, str_Country, Levelisation!$C$816:$C$1335, $B288)=1, "Yes", "No")</f>
        <v>Yes</v>
      </c>
      <c r="E288" s="119" t="s">
        <v>1526</v>
      </c>
      <c r="F288" s="120"/>
      <c r="H288" s="122"/>
      <c r="I288" s="122"/>
      <c r="K288" s="123"/>
      <c r="M288" s="337"/>
      <c r="N288" s="251"/>
      <c r="O288" s="292"/>
    </row>
    <row r="289" spans="2:15" s="121" customFormat="1" hidden="1" outlineLevel="1" x14ac:dyDescent="0.2">
      <c r="B289" s="127" t="s">
        <v>1516</v>
      </c>
      <c r="C289" s="72"/>
      <c r="D289" s="713" t="str">
        <f>IF(SUMIFS(Levelisation!L$816:L$1335, Levelisation!$E$816:$E$1335, str_Country, Levelisation!$C$816:$C$1335, $B289)=1, "Yes", "No")</f>
        <v>Yes</v>
      </c>
      <c r="E289" s="119" t="s">
        <v>1526</v>
      </c>
      <c r="F289" s="120"/>
      <c r="H289" s="122"/>
      <c r="I289" s="122"/>
      <c r="K289" s="123"/>
      <c r="M289" s="337"/>
      <c r="N289" s="251"/>
      <c r="O289" s="292"/>
    </row>
    <row r="290" spans="2:15" s="121" customFormat="1" hidden="1" outlineLevel="1" x14ac:dyDescent="0.2">
      <c r="B290" s="127" t="s">
        <v>1517</v>
      </c>
      <c r="C290" s="72"/>
      <c r="D290" s="713" t="str">
        <f>IF(SUMIFS(Levelisation!L$816:L$1335, Levelisation!$E$816:$E$1335, str_Country, Levelisation!$C$816:$C$1335, $B290)=1, "Yes", "No")</f>
        <v>Yes</v>
      </c>
      <c r="E290" s="119" t="s">
        <v>1526</v>
      </c>
      <c r="F290" s="120"/>
      <c r="H290" s="122"/>
      <c r="I290" s="122"/>
      <c r="K290" s="123"/>
      <c r="M290" s="337"/>
      <c r="N290" s="251"/>
      <c r="O290" s="292"/>
    </row>
    <row r="291" spans="2:15" s="121" customFormat="1" hidden="1" outlineLevel="1" x14ac:dyDescent="0.2">
      <c r="B291" s="127" t="s">
        <v>1518</v>
      </c>
      <c r="C291" s="72"/>
      <c r="D291" s="713" t="str">
        <f>IF(SUMIFS(Levelisation!L$816:L$1335, Levelisation!$E$816:$E$1335, str_Country, Levelisation!$C$816:$C$1335, $B291)=1, "Yes", "No")</f>
        <v>Yes</v>
      </c>
      <c r="E291" s="119" t="s">
        <v>1526</v>
      </c>
      <c r="F291" s="120"/>
      <c r="H291" s="122"/>
      <c r="I291" s="122"/>
      <c r="K291" s="123"/>
      <c r="M291" s="337"/>
      <c r="N291" s="251"/>
      <c r="O291" s="292"/>
    </row>
    <row r="292" spans="2:15" s="121" customFormat="1" hidden="1" outlineLevel="1" x14ac:dyDescent="0.2">
      <c r="B292" s="127" t="s">
        <v>1519</v>
      </c>
      <c r="C292" s="72"/>
      <c r="D292" s="713" t="str">
        <f>IF(SUMIFS(Levelisation!L$816:L$1335, Levelisation!$E$816:$E$1335, str_Country, Levelisation!$C$816:$C$1335, $B292)=1, "Yes", "No")</f>
        <v>Yes</v>
      </c>
      <c r="E292" s="119" t="s">
        <v>1526</v>
      </c>
      <c r="F292" s="120"/>
      <c r="H292" s="122"/>
      <c r="I292" s="122"/>
      <c r="K292" s="123"/>
      <c r="M292" s="337"/>
      <c r="N292" s="251"/>
      <c r="O292" s="292"/>
    </row>
    <row r="293" spans="2:15" s="121" customFormat="1" hidden="1" outlineLevel="1" x14ac:dyDescent="0.2">
      <c r="B293" s="127" t="s">
        <v>1520</v>
      </c>
      <c r="C293" s="72"/>
      <c r="D293" s="713" t="str">
        <f>IF(SUMIFS(Levelisation!L$816:L$1335, Levelisation!$E$816:$E$1335, str_Country, Levelisation!$C$816:$C$1335, $B293)=1, "Yes", "No")</f>
        <v>Yes</v>
      </c>
      <c r="E293" s="119" t="s">
        <v>1526</v>
      </c>
      <c r="F293" s="120"/>
      <c r="H293" s="122"/>
      <c r="I293" s="122"/>
      <c r="K293" s="123"/>
      <c r="M293" s="337"/>
      <c r="N293" s="251"/>
      <c r="O293" s="292"/>
    </row>
    <row r="294" spans="2:15" s="121" customFormat="1" hidden="1" outlineLevel="1" x14ac:dyDescent="0.2">
      <c r="B294" s="127" t="s">
        <v>1521</v>
      </c>
      <c r="C294" s="72"/>
      <c r="D294" s="713" t="str">
        <f>IF(SUMIFS(Levelisation!L$816:L$1335, Levelisation!$E$816:$E$1335, str_Country, Levelisation!$C$816:$C$1335, $B294)=1, "Yes", "No")</f>
        <v>Yes</v>
      </c>
      <c r="E294" s="119" t="s">
        <v>1526</v>
      </c>
      <c r="F294" s="120"/>
      <c r="H294" s="122"/>
      <c r="I294" s="122"/>
      <c r="K294" s="123"/>
      <c r="M294" s="337"/>
      <c r="N294" s="251"/>
      <c r="O294" s="292"/>
    </row>
    <row r="295" spans="2:15" s="121" customFormat="1" hidden="1" outlineLevel="1" x14ac:dyDescent="0.2">
      <c r="B295" s="228" t="s">
        <v>1522</v>
      </c>
      <c r="C295" s="73"/>
      <c r="D295" s="714" t="str">
        <f>IF(SUMIFS(Levelisation!L$816:L$1335, Levelisation!$E$816:$E$1335, str_Country, Levelisation!$C$816:$C$1335, $B295)=1, "Yes", "No")</f>
        <v>No</v>
      </c>
      <c r="E295" s="119" t="s">
        <v>1526</v>
      </c>
      <c r="F295" s="120"/>
      <c r="H295" s="122"/>
      <c r="I295" s="122"/>
      <c r="K295" s="123"/>
      <c r="M295" s="337"/>
      <c r="N295" s="251"/>
      <c r="O295" s="292"/>
    </row>
    <row r="296" spans="2:15" x14ac:dyDescent="0.2">
      <c r="E296" s="119" t="s">
        <v>1526</v>
      </c>
    </row>
  </sheetData>
  <sheetProtection password="ECD7" sheet="1" objects="1" scenarios="1"/>
  <mergeCells count="3">
    <mergeCell ref="B137:D137"/>
    <mergeCell ref="B172:D172"/>
    <mergeCell ref="B111:D111"/>
  </mergeCells>
  <conditionalFormatting sqref="D276:D295 D214:D234 D80:D103 D236:D274">
    <cfRule type="expression" dxfId="12" priority="118">
      <formula>D80="Yes"</formula>
    </cfRule>
  </conditionalFormatting>
  <conditionalFormatting sqref="B193:D212 B215:D234">
    <cfRule type="expression" dxfId="11" priority="134">
      <formula>B193=""</formula>
    </cfRule>
  </conditionalFormatting>
  <conditionalFormatting sqref="E55 E61 E31 E34 E40 E47 E49 E53 C31 C47 C61 C64 E45 E64">
    <cfRule type="expression" dxfId="10" priority="123">
      <formula>str_OptionWeightType="Default"</formula>
    </cfRule>
  </conditionalFormatting>
  <conditionalFormatting sqref="D138:D153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3:D188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5:B109 B131:B135 B157:B161 B164:B171 B276:B295 B80:B103 B214:B234 B236:B274">
    <cfRule type="expression" dxfId="9" priority="135">
      <formula>$D80="No"</formula>
    </cfRule>
  </conditionalFormatting>
  <conditionalFormatting sqref="D164:D171">
    <cfRule type="colorScale" priority="117">
      <colorScale>
        <cfvo type="min"/>
        <cfvo type="max"/>
        <color rgb="FF3B5C37"/>
        <color rgb="FFCDDA00"/>
      </colorScale>
    </cfRule>
  </conditionalFormatting>
  <conditionalFormatting sqref="D131:D136">
    <cfRule type="colorScale" priority="116">
      <colorScale>
        <cfvo type="min"/>
        <cfvo type="max"/>
        <color rgb="FF3B5C37"/>
        <color rgb="FFCDDA00"/>
      </colorScale>
    </cfRule>
  </conditionalFormatting>
  <conditionalFormatting sqref="D157:D162">
    <cfRule type="colorScale" priority="115">
      <colorScale>
        <cfvo type="min"/>
        <cfvo type="max"/>
        <color rgb="FF3B5C37"/>
        <color rgb="FFCDDA00"/>
      </colorScale>
    </cfRule>
  </conditionalFormatting>
  <conditionalFormatting sqref="D105:D110">
    <cfRule type="colorScale" priority="114">
      <colorScale>
        <cfvo type="min"/>
        <cfvo type="max"/>
        <color rgb="FF3B5C37"/>
        <color rgb="FFCDDA00"/>
      </colorScale>
    </cfRule>
  </conditionalFormatting>
  <conditionalFormatting sqref="M31:M41 M45:M48 M53:M76">
    <cfRule type="dataBar" priority="139">
      <dataBar showValue="0">
        <cfvo type="min"/>
        <cfvo type="max"/>
        <color theme="0"/>
      </dataBar>
    </cfRule>
  </conditionalFormatting>
  <conditionalFormatting sqref="E42">
    <cfRule type="expression" dxfId="8" priority="4">
      <formula>str_OptionWeightType="Default"</formula>
    </cfRule>
  </conditionalFormatting>
  <conditionalFormatting sqref="E67">
    <cfRule type="expression" dxfId="7" priority="3">
      <formula>str_OptionWeightType="Default"</formula>
    </cfRule>
  </conditionalFormatting>
  <conditionalFormatting sqref="E71">
    <cfRule type="expression" dxfId="6" priority="2">
      <formula>str_OptionWeightType="Default"</formula>
    </cfRule>
  </conditionalFormatting>
  <conditionalFormatting sqref="E59">
    <cfRule type="expression" dxfId="5" priority="1">
      <formula>str_OptionWeightType="Default"</formula>
    </cfRule>
  </conditionalFormatting>
  <dataValidations count="3">
    <dataValidation type="list" showInputMessage="1" showErrorMessage="1" sqref="C26">
      <formula1>list_Countries</formula1>
    </dataValidation>
    <dataValidation type="list" allowBlank="1" showInputMessage="1" showErrorMessage="1" sqref="C163">
      <formula1>"All, Corporate finance investments, VC/PE investments, Asset finance investments"</formula1>
    </dataValidation>
    <dataValidation type="list" allowBlank="1" showInputMessage="1" showErrorMessage="1" sqref="C27">
      <formula1>"2011, 2012"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GoToDashboard">
                <anchor moveWithCells="1" sizeWithCells="1">
                  <from>
                    <xdr:col>10</xdr:col>
                    <xdr:colOff>438150</xdr:colOff>
                    <xdr:row>25</xdr:row>
                    <xdr:rowOff>66675</xdr:rowOff>
                  </from>
                  <to>
                    <xdr:col>13</xdr:col>
                    <xdr:colOff>390525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Button 19">
              <controlPr defaultSize="0" print="0" autoFill="0" autoPict="0" macro="[0]!ResetWeightsButton">
                <anchor moveWithCells="1" sizeWithCells="1">
                  <from>
                    <xdr:col>7</xdr:col>
                    <xdr:colOff>28575</xdr:colOff>
                    <xdr:row>25</xdr:row>
                    <xdr:rowOff>66675</xdr:rowOff>
                  </from>
                  <to>
                    <xdr:col>10</xdr:col>
                    <xdr:colOff>352425</xdr:colOff>
                    <xdr:row>28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outlinePr summaryBelow="0" summaryRight="0"/>
  </sheetPr>
  <dimension ref="A1:AJ1257"/>
  <sheetViews>
    <sheetView showGridLines="0" zoomScale="85" zoomScaleNormal="85" zoomScalePageLayoutView="90" workbookViewId="0">
      <pane xSplit="4" ySplit="14" topLeftCell="F15" activePane="bottomRight" state="frozen"/>
      <selection pane="topRight" activeCell="E1" sqref="E1"/>
      <selection pane="bottomLeft" activeCell="A15" sqref="A15"/>
      <selection pane="bottomRight" activeCell="C57" sqref="C57"/>
    </sheetView>
  </sheetViews>
  <sheetFormatPr defaultColWidth="8.85546875" defaultRowHeight="12.75" outlineLevelRow="1" outlineLevelCol="1" x14ac:dyDescent="0.2"/>
  <cols>
    <col min="1" max="1" width="6.42578125" style="428" customWidth="1"/>
    <col min="2" max="2" width="28.42578125" style="107" customWidth="1"/>
    <col min="3" max="3" width="15.42578125" style="429" customWidth="1"/>
    <col min="4" max="4" width="18.140625" style="107" customWidth="1"/>
    <col min="5" max="11" width="9" style="98" customWidth="1"/>
    <col min="12" max="17" width="9" style="97" customWidth="1"/>
    <col min="18" max="18" width="9" style="97" customWidth="1" collapsed="1"/>
    <col min="19" max="32" width="9" style="97" hidden="1" customWidth="1" outlineLevel="1"/>
    <col min="33" max="33" width="16.7109375" style="1" hidden="1" customWidth="1" outlineLevel="1"/>
    <col min="34" max="34" width="15.7109375" style="82" hidden="1" customWidth="1" outlineLevel="1"/>
    <col min="35" max="35" width="15.7109375" style="131" hidden="1" customWidth="1" outlineLevel="1"/>
    <col min="36" max="36" width="54" style="872" hidden="1" customWidth="1" outlineLevel="1" collapsed="1"/>
    <col min="37" max="37" width="8.85546875" style="97"/>
    <col min="38" max="38" width="5.5703125" style="97" bestFit="1" customWidth="1"/>
    <col min="39" max="39" width="36.28515625" style="97" bestFit="1" customWidth="1"/>
    <col min="40" max="40" width="15.140625" style="97" bestFit="1" customWidth="1"/>
    <col min="41" max="41" width="18.140625" style="97" bestFit="1" customWidth="1"/>
    <col min="42" max="16384" width="8.85546875" style="97"/>
  </cols>
  <sheetData>
    <row r="1" spans="1:36" s="50" customFormat="1" ht="21" x14ac:dyDescent="0.2">
      <c r="A1" s="944" t="s">
        <v>77</v>
      </c>
      <c r="B1" s="945"/>
      <c r="C1" s="946"/>
      <c r="D1" s="947"/>
      <c r="E1" s="948"/>
      <c r="F1" s="947"/>
      <c r="G1" s="948"/>
      <c r="H1" s="948"/>
      <c r="I1" s="948"/>
      <c r="J1" s="948"/>
      <c r="K1" s="948"/>
      <c r="L1" s="948"/>
      <c r="M1" s="948"/>
      <c r="N1" s="948"/>
      <c r="O1" s="948"/>
      <c r="P1" s="948"/>
      <c r="Q1" s="948"/>
      <c r="R1" s="949"/>
      <c r="S1" s="792" t="s">
        <v>1676</v>
      </c>
      <c r="T1" s="793"/>
      <c r="U1" s="793"/>
      <c r="V1" s="793"/>
      <c r="W1" s="793"/>
      <c r="X1" s="793"/>
      <c r="Y1" s="793"/>
      <c r="Z1" s="793"/>
      <c r="AA1" s="793"/>
      <c r="AB1" s="793"/>
      <c r="AC1" s="793"/>
      <c r="AD1" s="793"/>
      <c r="AE1" s="793"/>
      <c r="AF1" s="793"/>
      <c r="AG1" s="793"/>
      <c r="AH1" s="793"/>
      <c r="AI1" s="793"/>
      <c r="AJ1" s="881"/>
    </row>
    <row r="2" spans="1:36" s="50" customFormat="1" ht="21" x14ac:dyDescent="0.2">
      <c r="A2" s="425"/>
      <c r="B2" s="426"/>
      <c r="C2" s="427"/>
      <c r="D2" s="303"/>
      <c r="E2" s="304"/>
      <c r="F2" s="303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950"/>
      <c r="S2" s="794"/>
      <c r="T2" s="795"/>
      <c r="U2" s="795"/>
      <c r="V2" s="795"/>
      <c r="W2" s="795"/>
      <c r="X2" s="795"/>
      <c r="Y2" s="795"/>
      <c r="Z2" s="795"/>
      <c r="AA2" s="795"/>
      <c r="AB2" s="795"/>
      <c r="AC2" s="795"/>
      <c r="AD2" s="795"/>
      <c r="AE2" s="795"/>
      <c r="AF2" s="795"/>
      <c r="AG2" s="795"/>
      <c r="AH2" s="795"/>
      <c r="AI2" s="795"/>
      <c r="AJ2" s="882"/>
    </row>
    <row r="3" spans="1:36" x14ac:dyDescent="0.2">
      <c r="E3" s="97"/>
      <c r="F3" s="97"/>
      <c r="G3" s="97"/>
      <c r="H3" s="97"/>
      <c r="I3" s="97"/>
      <c r="J3" s="97"/>
      <c r="K3" s="97"/>
    </row>
    <row r="4" spans="1:36" s="38" customFormat="1" ht="21" x14ac:dyDescent="0.2">
      <c r="A4" s="1020" t="s">
        <v>1679</v>
      </c>
      <c r="B4" s="1021"/>
      <c r="C4" s="1022"/>
      <c r="D4" s="452"/>
      <c r="AG4" s="453"/>
      <c r="AH4" s="454"/>
      <c r="AI4" s="454"/>
      <c r="AJ4" s="873"/>
    </row>
    <row r="5" spans="1:36" s="103" customFormat="1" x14ac:dyDescent="0.2">
      <c r="A5" s="449" t="s">
        <v>1536</v>
      </c>
      <c r="B5" s="447"/>
      <c r="C5" s="446">
        <f>Country!$C$27</f>
        <v>2012</v>
      </c>
      <c r="D5" s="430"/>
      <c r="I5" s="20"/>
      <c r="AG5" s="49"/>
      <c r="AH5" s="83"/>
      <c r="AI5" s="83"/>
      <c r="AJ5" s="872"/>
    </row>
    <row r="6" spans="1:36" x14ac:dyDescent="0.2">
      <c r="A6" s="450" t="s">
        <v>1678</v>
      </c>
      <c r="B6" s="448"/>
      <c r="C6" s="445">
        <v>5</v>
      </c>
      <c r="E6" s="97"/>
      <c r="F6" s="97"/>
      <c r="G6" s="97"/>
      <c r="H6" s="97"/>
      <c r="I6" s="97"/>
      <c r="J6" s="97"/>
      <c r="K6" s="97"/>
    </row>
    <row r="7" spans="1:36" x14ac:dyDescent="0.2">
      <c r="A7" s="451" t="s">
        <v>1250</v>
      </c>
      <c r="B7" s="466"/>
      <c r="C7" s="446">
        <v>100</v>
      </c>
      <c r="E7" s="97"/>
      <c r="F7" s="97"/>
      <c r="G7" s="97"/>
      <c r="H7" s="97"/>
      <c r="I7" s="97"/>
      <c r="J7" s="97"/>
      <c r="K7" s="97"/>
    </row>
    <row r="8" spans="1:36" x14ac:dyDescent="0.2">
      <c r="A8" s="107"/>
      <c r="E8" s="97"/>
      <c r="F8" s="97"/>
      <c r="G8" s="97"/>
      <c r="H8" s="97"/>
      <c r="I8" s="97"/>
      <c r="J8" s="97"/>
      <c r="K8" s="97"/>
    </row>
    <row r="9" spans="1:36" s="38" customFormat="1" ht="21" x14ac:dyDescent="0.2">
      <c r="A9" s="562" t="s">
        <v>1698</v>
      </c>
      <c r="B9" s="431"/>
      <c r="C9" s="431"/>
      <c r="D9" s="563"/>
      <c r="E9" s="1015" t="s">
        <v>1314</v>
      </c>
      <c r="F9" s="1016"/>
      <c r="G9" s="1016"/>
      <c r="H9" s="1016"/>
      <c r="I9" s="1016"/>
      <c r="J9" s="1016"/>
      <c r="K9" s="1017"/>
      <c r="L9" s="1015" t="s">
        <v>1702</v>
      </c>
      <c r="M9" s="1016"/>
      <c r="N9" s="1016"/>
      <c r="O9" s="1016"/>
      <c r="P9" s="1016"/>
      <c r="Q9" s="1016"/>
      <c r="R9" s="1017"/>
      <c r="S9" s="1018" t="s">
        <v>1699</v>
      </c>
      <c r="T9" s="1016"/>
      <c r="U9" s="1016"/>
      <c r="V9" s="1016"/>
      <c r="W9" s="1016"/>
      <c r="X9" s="1016"/>
      <c r="Y9" s="1016"/>
      <c r="Z9" s="1018" t="s">
        <v>1700</v>
      </c>
      <c r="AA9" s="1016"/>
      <c r="AB9" s="1016"/>
      <c r="AC9" s="1016"/>
      <c r="AD9" s="1016"/>
      <c r="AE9" s="1016"/>
      <c r="AF9" s="1019"/>
      <c r="AG9" s="384"/>
      <c r="AH9" s="384"/>
      <c r="AI9" s="384"/>
      <c r="AJ9" s="870" t="s">
        <v>3319</v>
      </c>
    </row>
    <row r="10" spans="1:36" collapsed="1" x14ac:dyDescent="0.2">
      <c r="A10" s="564" t="s">
        <v>70</v>
      </c>
      <c r="B10" s="432" t="s">
        <v>68</v>
      </c>
      <c r="C10" s="433" t="s">
        <v>71</v>
      </c>
      <c r="D10" s="565" t="s">
        <v>0</v>
      </c>
      <c r="E10" s="359">
        <v>2006</v>
      </c>
      <c r="F10" s="359">
        <f>E10+1</f>
        <v>2007</v>
      </c>
      <c r="G10" s="359">
        <f t="shared" ref="G10:H10" si="0">F10+1</f>
        <v>2008</v>
      </c>
      <c r="H10" s="359">
        <f t="shared" si="0"/>
        <v>2009</v>
      </c>
      <c r="I10" s="359">
        <f t="shared" ref="I10" si="1">H10+1</f>
        <v>2010</v>
      </c>
      <c r="J10" s="359">
        <f t="shared" ref="J10" si="2">I10+1</f>
        <v>2011</v>
      </c>
      <c r="K10" s="566">
        <f t="shared" ref="K10" si="3">J10+1</f>
        <v>2012</v>
      </c>
      <c r="L10" s="567">
        <v>2006</v>
      </c>
      <c r="M10" s="359">
        <f>L10+1</f>
        <v>2007</v>
      </c>
      <c r="N10" s="359">
        <f t="shared" ref="N10:R10" si="4">M10+1</f>
        <v>2008</v>
      </c>
      <c r="O10" s="359">
        <f t="shared" si="4"/>
        <v>2009</v>
      </c>
      <c r="P10" s="359">
        <f t="shared" si="4"/>
        <v>2010</v>
      </c>
      <c r="Q10" s="359">
        <f t="shared" si="4"/>
        <v>2011</v>
      </c>
      <c r="R10" s="566">
        <f t="shared" si="4"/>
        <v>2012</v>
      </c>
      <c r="S10" s="155">
        <v>2006</v>
      </c>
      <c r="T10" s="156">
        <f>S10+1</f>
        <v>2007</v>
      </c>
      <c r="U10" s="156">
        <f t="shared" ref="U10:X10" si="5">T10+1</f>
        <v>2008</v>
      </c>
      <c r="V10" s="156">
        <f t="shared" si="5"/>
        <v>2009</v>
      </c>
      <c r="W10" s="156">
        <f t="shared" si="5"/>
        <v>2010</v>
      </c>
      <c r="X10" s="156">
        <f t="shared" si="5"/>
        <v>2011</v>
      </c>
      <c r="Y10" s="359">
        <f>X10+1</f>
        <v>2012</v>
      </c>
      <c r="Z10" s="382">
        <v>2006</v>
      </c>
      <c r="AA10" s="359">
        <f>Z10+1</f>
        <v>2007</v>
      </c>
      <c r="AB10" s="359">
        <f t="shared" ref="AB10:AE10" si="6">AA10+1</f>
        <v>2008</v>
      </c>
      <c r="AC10" s="359">
        <f t="shared" si="6"/>
        <v>2009</v>
      </c>
      <c r="AD10" s="359">
        <f t="shared" si="6"/>
        <v>2010</v>
      </c>
      <c r="AE10" s="359">
        <f t="shared" si="6"/>
        <v>2011</v>
      </c>
      <c r="AF10" s="383">
        <f>AE10+1</f>
        <v>2012</v>
      </c>
      <c r="AG10" s="157" t="s">
        <v>1697</v>
      </c>
      <c r="AH10" s="158" t="s">
        <v>69</v>
      </c>
      <c r="AI10" s="158" t="s">
        <v>68</v>
      </c>
      <c r="AJ10" s="883" t="s">
        <v>1526</v>
      </c>
    </row>
    <row r="11" spans="1:36" hidden="1" outlineLevel="1" x14ac:dyDescent="0.2">
      <c r="A11" s="568" t="s">
        <v>1701</v>
      </c>
      <c r="B11" s="434"/>
      <c r="C11" s="435"/>
      <c r="D11" s="569"/>
      <c r="E11" s="319"/>
      <c r="F11" s="319"/>
      <c r="G11" s="319"/>
      <c r="H11" s="319"/>
      <c r="I11" s="319"/>
      <c r="J11" s="319"/>
      <c r="K11" s="319"/>
      <c r="L11" s="536"/>
      <c r="M11" s="319"/>
      <c r="N11" s="319"/>
      <c r="O11" s="319"/>
      <c r="P11" s="319"/>
      <c r="Q11" s="319"/>
      <c r="R11" s="570"/>
      <c r="S11" s="318"/>
      <c r="T11" s="319"/>
      <c r="U11" s="319"/>
      <c r="V11" s="319"/>
      <c r="W11" s="319"/>
      <c r="X11" s="319"/>
      <c r="Y11" s="319"/>
      <c r="Z11" s="318"/>
      <c r="AA11" s="319"/>
      <c r="AB11" s="319"/>
      <c r="AC11" s="319"/>
      <c r="AD11" s="319"/>
      <c r="AE11" s="319"/>
      <c r="AF11" s="320"/>
      <c r="AG11" s="321"/>
      <c r="AH11" s="322"/>
      <c r="AI11" s="322"/>
      <c r="AJ11" s="884" t="s">
        <v>1526</v>
      </c>
    </row>
    <row r="12" spans="1:36" s="107" customFormat="1" hidden="1" outlineLevel="1" x14ac:dyDescent="0.2">
      <c r="A12" s="571" t="s">
        <v>1694</v>
      </c>
      <c r="B12" s="572" t="s">
        <v>1694</v>
      </c>
      <c r="C12" s="573" t="s">
        <v>1694</v>
      </c>
      <c r="D12" s="574" t="s">
        <v>1694</v>
      </c>
      <c r="E12" s="572" t="s">
        <v>1694</v>
      </c>
      <c r="F12" s="572" t="s">
        <v>1694</v>
      </c>
      <c r="G12" s="572" t="s">
        <v>1694</v>
      </c>
      <c r="H12" s="572" t="s">
        <v>1694</v>
      </c>
      <c r="I12" s="572" t="s">
        <v>1694</v>
      </c>
      <c r="J12" s="572" t="s">
        <v>1694</v>
      </c>
      <c r="K12" s="572" t="s">
        <v>1694</v>
      </c>
      <c r="L12" s="571" t="s">
        <v>1695</v>
      </c>
      <c r="M12" s="572" t="s">
        <v>1695</v>
      </c>
      <c r="N12" s="572" t="s">
        <v>1695</v>
      </c>
      <c r="O12" s="572" t="s">
        <v>1695</v>
      </c>
      <c r="P12" s="572" t="s">
        <v>1695</v>
      </c>
      <c r="Q12" s="572" t="s">
        <v>1695</v>
      </c>
      <c r="R12" s="575" t="s">
        <v>1695</v>
      </c>
      <c r="S12" s="408" t="s">
        <v>1694</v>
      </c>
      <c r="T12" s="409" t="s">
        <v>1694</v>
      </c>
      <c r="U12" s="409" t="s">
        <v>1694</v>
      </c>
      <c r="V12" s="409" t="s">
        <v>1694</v>
      </c>
      <c r="W12" s="409" t="s">
        <v>1694</v>
      </c>
      <c r="X12" s="409" t="s">
        <v>1694</v>
      </c>
      <c r="Y12" s="409" t="s">
        <v>1694</v>
      </c>
      <c r="Z12" s="408" t="s">
        <v>1695</v>
      </c>
      <c r="AA12" s="409" t="s">
        <v>1695</v>
      </c>
      <c r="AB12" s="409" t="s">
        <v>1695</v>
      </c>
      <c r="AC12" s="409" t="s">
        <v>1695</v>
      </c>
      <c r="AD12" s="409" t="s">
        <v>1695</v>
      </c>
      <c r="AE12" s="409" t="s">
        <v>1695</v>
      </c>
      <c r="AF12" s="410" t="s">
        <v>1695</v>
      </c>
      <c r="AG12" s="411" t="s">
        <v>1694</v>
      </c>
      <c r="AH12" s="412" t="s">
        <v>1694</v>
      </c>
      <c r="AI12" s="412" t="s">
        <v>1694</v>
      </c>
      <c r="AJ12" s="874" t="s">
        <v>1526</v>
      </c>
    </row>
    <row r="13" spans="1:36" s="107" customFormat="1" hidden="1" outlineLevel="1" x14ac:dyDescent="0.2">
      <c r="A13" s="109" t="s">
        <v>944</v>
      </c>
      <c r="B13" s="110" t="s">
        <v>944</v>
      </c>
      <c r="C13" s="110" t="s">
        <v>944</v>
      </c>
      <c r="D13" s="414" t="s">
        <v>944</v>
      </c>
      <c r="E13" s="110" t="s">
        <v>1696</v>
      </c>
      <c r="F13" s="110" t="s">
        <v>1696</v>
      </c>
      <c r="G13" s="110" t="s">
        <v>1696</v>
      </c>
      <c r="H13" s="110" t="s">
        <v>1696</v>
      </c>
      <c r="I13" s="110" t="s">
        <v>1696</v>
      </c>
      <c r="J13" s="110" t="s">
        <v>1696</v>
      </c>
      <c r="K13" s="110" t="s">
        <v>1696</v>
      </c>
      <c r="L13" s="109" t="s">
        <v>1659</v>
      </c>
      <c r="M13" s="110" t="s">
        <v>1659</v>
      </c>
      <c r="N13" s="110" t="s">
        <v>1659</v>
      </c>
      <c r="O13" s="110" t="s">
        <v>1659</v>
      </c>
      <c r="P13" s="110" t="s">
        <v>1659</v>
      </c>
      <c r="Q13" s="110" t="s">
        <v>1659</v>
      </c>
      <c r="R13" s="413" t="s">
        <v>1659</v>
      </c>
      <c r="S13" s="109" t="s">
        <v>944</v>
      </c>
      <c r="T13" s="110" t="s">
        <v>944</v>
      </c>
      <c r="U13" s="110" t="s">
        <v>944</v>
      </c>
      <c r="V13" s="110" t="s">
        <v>944</v>
      </c>
      <c r="W13" s="110" t="s">
        <v>944</v>
      </c>
      <c r="X13" s="110" t="s">
        <v>944</v>
      </c>
      <c r="Y13" s="110" t="s">
        <v>944</v>
      </c>
      <c r="Z13" s="109" t="s">
        <v>944</v>
      </c>
      <c r="AA13" s="110" t="s">
        <v>944</v>
      </c>
      <c r="AB13" s="110" t="s">
        <v>944</v>
      </c>
      <c r="AC13" s="110" t="s">
        <v>944</v>
      </c>
      <c r="AD13" s="110" t="s">
        <v>944</v>
      </c>
      <c r="AE13" s="110" t="s">
        <v>944</v>
      </c>
      <c r="AF13" s="413" t="s">
        <v>944</v>
      </c>
      <c r="AG13" s="415" t="s">
        <v>944</v>
      </c>
      <c r="AH13" s="416" t="s">
        <v>944</v>
      </c>
      <c r="AI13" s="416" t="s">
        <v>944</v>
      </c>
      <c r="AJ13" s="875" t="s">
        <v>1526</v>
      </c>
    </row>
    <row r="14" spans="1:36" s="107" customFormat="1" hidden="1" outlineLevel="1" x14ac:dyDescent="0.2">
      <c r="A14" s="576" t="str">
        <f t="shared" ref="A14:AI14" si="7">A12&amp;" &gt; "&amp;A13&amp;" &gt; "&amp;A10</f>
        <v>Underlying &gt; Other &gt; Table</v>
      </c>
      <c r="B14" s="418" t="str">
        <f t="shared" si="7"/>
        <v>Underlying &gt; Other &gt; Indicator</v>
      </c>
      <c r="C14" s="418" t="str">
        <f t="shared" si="7"/>
        <v>Underlying &gt; Other &gt; Units</v>
      </c>
      <c r="D14" s="577" t="str">
        <f t="shared" si="7"/>
        <v>Underlying &gt; Other &gt; Country</v>
      </c>
      <c r="E14" s="418" t="str">
        <f t="shared" si="7"/>
        <v>Underlying &gt; Data &gt; 2006</v>
      </c>
      <c r="F14" s="418" t="str">
        <f t="shared" si="7"/>
        <v>Underlying &gt; Data &gt; 2007</v>
      </c>
      <c r="G14" s="418" t="str">
        <f t="shared" si="7"/>
        <v>Underlying &gt; Data &gt; 2008</v>
      </c>
      <c r="H14" s="418" t="str">
        <f t="shared" si="7"/>
        <v>Underlying &gt; Data &gt; 2009</v>
      </c>
      <c r="I14" s="418" t="str">
        <f t="shared" si="7"/>
        <v>Underlying &gt; Data &gt; 2010</v>
      </c>
      <c r="J14" s="418" t="str">
        <f t="shared" si="7"/>
        <v>Underlying &gt; Data &gt; 2011</v>
      </c>
      <c r="K14" s="418" t="str">
        <f t="shared" si="7"/>
        <v>Underlying &gt; Data &gt; 2012</v>
      </c>
      <c r="L14" s="576" t="str">
        <f t="shared" si="7"/>
        <v>Benchmarked &gt; Score &gt; 2006</v>
      </c>
      <c r="M14" s="418" t="str">
        <f t="shared" si="7"/>
        <v>Benchmarked &gt; Score &gt; 2007</v>
      </c>
      <c r="N14" s="418" t="str">
        <f t="shared" ref="N14:R14" si="8">N12&amp;" &gt; "&amp;N13&amp;" &gt; "&amp;N10</f>
        <v>Benchmarked &gt; Score &gt; 2008</v>
      </c>
      <c r="O14" s="418" t="str">
        <f t="shared" si="8"/>
        <v>Benchmarked &gt; Score &gt; 2009</v>
      </c>
      <c r="P14" s="418" t="str">
        <f t="shared" si="8"/>
        <v>Benchmarked &gt; Score &gt; 2010</v>
      </c>
      <c r="Q14" s="418" t="str">
        <f t="shared" si="8"/>
        <v>Benchmarked &gt; Score &gt; 2011</v>
      </c>
      <c r="R14" s="578" t="str">
        <f t="shared" si="8"/>
        <v>Benchmarked &gt; Score &gt; 2012</v>
      </c>
      <c r="S14" s="417" t="str">
        <f t="shared" si="7"/>
        <v>Underlying &gt; Other &gt; 2006</v>
      </c>
      <c r="T14" s="418" t="str">
        <f t="shared" si="7"/>
        <v>Underlying &gt; Other &gt; 2007</v>
      </c>
      <c r="U14" s="418" t="str">
        <f t="shared" si="7"/>
        <v>Underlying &gt; Other &gt; 2008</v>
      </c>
      <c r="V14" s="418" t="str">
        <f t="shared" si="7"/>
        <v>Underlying &gt; Other &gt; 2009</v>
      </c>
      <c r="W14" s="418" t="str">
        <f t="shared" si="7"/>
        <v>Underlying &gt; Other &gt; 2010</v>
      </c>
      <c r="X14" s="418" t="str">
        <f t="shared" si="7"/>
        <v>Underlying &gt; Other &gt; 2011</v>
      </c>
      <c r="Y14" s="418" t="str">
        <f t="shared" si="7"/>
        <v>Underlying &gt; Other &gt; 2012</v>
      </c>
      <c r="Z14" s="417" t="str">
        <f t="shared" si="7"/>
        <v>Benchmarked &gt; Other &gt; 2006</v>
      </c>
      <c r="AA14" s="418" t="str">
        <f t="shared" si="7"/>
        <v>Benchmarked &gt; Other &gt; 2007</v>
      </c>
      <c r="AB14" s="418" t="str">
        <f t="shared" si="7"/>
        <v>Benchmarked &gt; Other &gt; 2008</v>
      </c>
      <c r="AC14" s="418" t="str">
        <f t="shared" si="7"/>
        <v>Benchmarked &gt; Other &gt; 2009</v>
      </c>
      <c r="AD14" s="418" t="str">
        <f t="shared" si="7"/>
        <v>Benchmarked &gt; Other &gt; 2010</v>
      </c>
      <c r="AE14" s="418" t="str">
        <f t="shared" si="7"/>
        <v>Benchmarked &gt; Other &gt; 2011</v>
      </c>
      <c r="AF14" s="419" t="str">
        <f t="shared" si="7"/>
        <v>Benchmarked &gt; Other &gt; 2012</v>
      </c>
      <c r="AG14" s="417" t="str">
        <f t="shared" si="7"/>
        <v>Underlying &gt; Other &gt; Row Description</v>
      </c>
      <c r="AH14" s="418" t="str">
        <f t="shared" si="7"/>
        <v>Underlying &gt; Other &gt; Row</v>
      </c>
      <c r="AI14" s="418" t="str">
        <f t="shared" si="7"/>
        <v>Underlying &gt; Other &gt; Indicator</v>
      </c>
      <c r="AJ14" s="876" t="s">
        <v>1526</v>
      </c>
    </row>
    <row r="15" spans="1:36" x14ac:dyDescent="0.2">
      <c r="A15" s="492">
        <f>INDEX(Country!$F$31:$G$76, MATCH(AI15, Country!$O$31:$O$76, 0), 1)</f>
        <v>1.01</v>
      </c>
      <c r="B15" s="2" t="str">
        <f>INDEX(Country!$F$31:$G$76, MATCH(AI15, Country!$O$31:$O$76, 0), 2)</f>
        <v>Clean energy policies</v>
      </c>
      <c r="C15" s="436" t="str">
        <f>INDEX(Country!$K$31:$K$76, MATCH(AI15, Country!$O$31:$O$76, 0), 1)</f>
        <v>Policy Types</v>
      </c>
      <c r="D15" s="579" t="s">
        <v>4</v>
      </c>
      <c r="E15" s="74">
        <f>Policy!$Z6</f>
        <v>6</v>
      </c>
      <c r="F15" s="74">
        <f>Policy!$Z6</f>
        <v>6</v>
      </c>
      <c r="G15" s="74">
        <f>Policy!$Z6</f>
        <v>6</v>
      </c>
      <c r="H15" s="74">
        <f>Policy!$Z6</f>
        <v>6</v>
      </c>
      <c r="I15" s="74">
        <f>Policy!$Z6</f>
        <v>6</v>
      </c>
      <c r="J15" s="74">
        <f>Policy!$Z6</f>
        <v>6</v>
      </c>
      <c r="K15" s="75">
        <f>Policy!$Z6</f>
        <v>6</v>
      </c>
      <c r="L15" s="580">
        <f t="shared" ref="L15:L46" si="9">(Z15/5)*dbl_BenchmarkMax</f>
        <v>53</v>
      </c>
      <c r="M15" s="581">
        <f t="shared" ref="M15:M46" si="10">(AA15/5)*dbl_BenchmarkMax</f>
        <v>53</v>
      </c>
      <c r="N15" s="581">
        <f t="shared" ref="N15:N68" si="11">(AB15/5)*dbl_BenchmarkMax</f>
        <v>53</v>
      </c>
      <c r="O15" s="581">
        <f t="shared" ref="O15:O68" si="12">(AC15/5)*dbl_BenchmarkMax</f>
        <v>53</v>
      </c>
      <c r="P15" s="581">
        <f t="shared" ref="P15:P68" si="13">(AD15/5)*dbl_BenchmarkMax</f>
        <v>53</v>
      </c>
      <c r="Q15" s="581">
        <f t="shared" ref="Q15:Q68" si="14">(AE15/5)*dbl_BenchmarkMax</f>
        <v>53</v>
      </c>
      <c r="R15" s="582">
        <f t="shared" ref="R15:R67" si="15">(AF15/5)*dbl_BenchmarkMax</f>
        <v>53.336778932398573</v>
      </c>
      <c r="S15" s="455"/>
      <c r="T15" s="456"/>
      <c r="U15" s="456"/>
      <c r="V15" s="456"/>
      <c r="W15" s="456"/>
      <c r="X15" s="456"/>
      <c r="Y15" s="456"/>
      <c r="Z15" s="472">
        <f t="shared" ref="Z15:Z40" si="16">AA15</f>
        <v>2.65</v>
      </c>
      <c r="AA15" s="378">
        <f t="shared" ref="AA15:AA40" si="17">AB15</f>
        <v>2.65</v>
      </c>
      <c r="AB15" s="378">
        <f t="shared" ref="AB15:AB40" si="18">AC15</f>
        <v>2.65</v>
      </c>
      <c r="AC15" s="78">
        <f>AD15</f>
        <v>2.65</v>
      </c>
      <c r="AD15" s="78">
        <f>AE15</f>
        <v>2.65</v>
      </c>
      <c r="AE15" s="78">
        <v>2.65</v>
      </c>
      <c r="AF15" s="388">
        <v>2.6668389466199289</v>
      </c>
      <c r="AG15" s="33" t="str">
        <f t="shared" ref="AG15:AG78" si="19">A15&amp;" &gt; " &amp;D15</f>
        <v>1.01 &gt; Argentina</v>
      </c>
      <c r="AH15" s="84">
        <v>1</v>
      </c>
      <c r="AI15" s="84">
        <f t="shared" ref="AI15:AI16" si="20">ROUNDUP(AH15/COUNTA($D$15:$D$41),0)</f>
        <v>1</v>
      </c>
      <c r="AJ15" s="877" t="s">
        <v>1526</v>
      </c>
    </row>
    <row r="16" spans="1:36" x14ac:dyDescent="0.2">
      <c r="A16" s="492">
        <f>INDEX(Country!$F$31:$G$76, MATCH(AI16, Country!$O$31:$O$76, 0), 1)</f>
        <v>1.01</v>
      </c>
      <c r="B16" s="2" t="str">
        <f>INDEX(Country!$F$31:$G$76, MATCH(AI16, Country!$O$31:$O$76, 0), 2)</f>
        <v>Clean energy policies</v>
      </c>
      <c r="C16" s="436" t="str">
        <f>INDEX(Country!$K$31:$K$76, MATCH(AI16, Country!$O$31:$O$76, 0), 1)</f>
        <v>Policy Types</v>
      </c>
      <c r="D16" s="41" t="s">
        <v>5</v>
      </c>
      <c r="E16" s="74">
        <f>Policy!$Z7</f>
        <v>0</v>
      </c>
      <c r="F16" s="74">
        <f>Policy!$Z7</f>
        <v>0</v>
      </c>
      <c r="G16" s="74">
        <f>Policy!$Z7</f>
        <v>0</v>
      </c>
      <c r="H16" s="74">
        <f>Policy!$Z7</f>
        <v>0</v>
      </c>
      <c r="I16" s="74">
        <f>Policy!$Z7</f>
        <v>0</v>
      </c>
      <c r="J16" s="74">
        <f>Policy!$Z7</f>
        <v>0</v>
      </c>
      <c r="K16" s="75">
        <f>Policy!$Z7</f>
        <v>0</v>
      </c>
      <c r="L16" s="457">
        <f t="shared" si="9"/>
        <v>22.5</v>
      </c>
      <c r="M16" s="458">
        <f t="shared" si="10"/>
        <v>22.5</v>
      </c>
      <c r="N16" s="458">
        <f t="shared" si="11"/>
        <v>22.5</v>
      </c>
      <c r="O16" s="458">
        <f t="shared" si="12"/>
        <v>22.5</v>
      </c>
      <c r="P16" s="458">
        <f t="shared" si="13"/>
        <v>22.5</v>
      </c>
      <c r="Q16" s="458">
        <f t="shared" si="14"/>
        <v>22.5</v>
      </c>
      <c r="R16" s="459">
        <f t="shared" si="15"/>
        <v>20</v>
      </c>
      <c r="S16" s="455"/>
      <c r="T16" s="456"/>
      <c r="U16" s="456"/>
      <c r="V16" s="456"/>
      <c r="W16" s="456"/>
      <c r="X16" s="456"/>
      <c r="Y16" s="456"/>
      <c r="Z16" s="79">
        <f t="shared" si="16"/>
        <v>1.125</v>
      </c>
      <c r="AA16" s="78">
        <f t="shared" si="17"/>
        <v>1.125</v>
      </c>
      <c r="AB16" s="78">
        <f t="shared" si="18"/>
        <v>1.125</v>
      </c>
      <c r="AC16" s="78">
        <f t="shared" ref="AC16:AC40" si="21">AD16</f>
        <v>1.125</v>
      </c>
      <c r="AD16" s="78">
        <f t="shared" ref="AD16:AD40" si="22">AE16</f>
        <v>1.125</v>
      </c>
      <c r="AE16" s="78">
        <v>1.125</v>
      </c>
      <c r="AF16" s="6">
        <v>1</v>
      </c>
      <c r="AG16" s="33" t="str">
        <f t="shared" si="19"/>
        <v>1.01 &gt; Bahamas</v>
      </c>
      <c r="AH16" s="84">
        <f>AH15+1</f>
        <v>2</v>
      </c>
      <c r="AI16" s="84">
        <f t="shared" si="20"/>
        <v>1</v>
      </c>
      <c r="AJ16" s="877" t="s">
        <v>1526</v>
      </c>
    </row>
    <row r="17" spans="1:36" x14ac:dyDescent="0.2">
      <c r="A17" s="492">
        <f>INDEX(Country!$F$31:$G$76, MATCH(AI17, Country!$O$31:$O$76, 0), 1)</f>
        <v>1.01</v>
      </c>
      <c r="B17" s="2" t="str">
        <f>INDEX(Country!$F$31:$G$76, MATCH(AI17, Country!$O$31:$O$76, 0), 2)</f>
        <v>Clean energy policies</v>
      </c>
      <c r="C17" s="436" t="str">
        <f>INDEX(Country!$K$31:$K$76, MATCH(AI17, Country!$O$31:$O$76, 0), 1)</f>
        <v>Policy Types</v>
      </c>
      <c r="D17" s="41" t="s">
        <v>6</v>
      </c>
      <c r="E17" s="74">
        <f>Policy!$Z8</f>
        <v>2</v>
      </c>
      <c r="F17" s="74">
        <f>Policy!$Z8</f>
        <v>2</v>
      </c>
      <c r="G17" s="74">
        <f>Policy!$Z8</f>
        <v>2</v>
      </c>
      <c r="H17" s="74">
        <f>Policy!$Z8</f>
        <v>2</v>
      </c>
      <c r="I17" s="74">
        <f>Policy!$Z8</f>
        <v>2</v>
      </c>
      <c r="J17" s="74">
        <f>Policy!$Z8</f>
        <v>2</v>
      </c>
      <c r="K17" s="75">
        <f>Policy!$Z8</f>
        <v>2</v>
      </c>
      <c r="L17" s="457">
        <f t="shared" si="9"/>
        <v>26</v>
      </c>
      <c r="M17" s="458">
        <f t="shared" si="10"/>
        <v>26</v>
      </c>
      <c r="N17" s="458">
        <f t="shared" si="11"/>
        <v>26</v>
      </c>
      <c r="O17" s="458">
        <f t="shared" si="12"/>
        <v>26</v>
      </c>
      <c r="P17" s="458">
        <f t="shared" si="13"/>
        <v>26</v>
      </c>
      <c r="Q17" s="458">
        <f t="shared" si="14"/>
        <v>26</v>
      </c>
      <c r="R17" s="459">
        <f t="shared" si="15"/>
        <v>33.515545980310883</v>
      </c>
      <c r="S17" s="455"/>
      <c r="T17" s="456"/>
      <c r="U17" s="456"/>
      <c r="V17" s="456"/>
      <c r="W17" s="456"/>
      <c r="X17" s="456"/>
      <c r="Y17" s="456"/>
      <c r="Z17" s="79">
        <f t="shared" si="16"/>
        <v>1.3</v>
      </c>
      <c r="AA17" s="78">
        <f t="shared" si="17"/>
        <v>1.3</v>
      </c>
      <c r="AB17" s="78">
        <f t="shared" si="18"/>
        <v>1.3</v>
      </c>
      <c r="AC17" s="78">
        <f t="shared" si="21"/>
        <v>1.3</v>
      </c>
      <c r="AD17" s="78">
        <f t="shared" si="22"/>
        <v>1.3</v>
      </c>
      <c r="AE17" s="78">
        <v>1.3</v>
      </c>
      <c r="AF17" s="6">
        <v>1.6757772990155442</v>
      </c>
      <c r="AG17" s="33" t="str">
        <f t="shared" si="19"/>
        <v>1.01 &gt; Barbados</v>
      </c>
      <c r="AH17" s="84">
        <f t="shared" ref="AH17:AH80" si="23">AH16+1</f>
        <v>3</v>
      </c>
      <c r="AI17" s="84">
        <f t="shared" ref="AI17:AI80" si="24">ROUNDUP(AH17/COUNTA($D$15:$D$41),0)</f>
        <v>1</v>
      </c>
      <c r="AJ17" s="877" t="s">
        <v>1526</v>
      </c>
    </row>
    <row r="18" spans="1:36" x14ac:dyDescent="0.2">
      <c r="A18" s="492">
        <f>INDEX(Country!$F$31:$G$76, MATCH(AI18, Country!$O$31:$O$76, 0), 1)</f>
        <v>1.01</v>
      </c>
      <c r="B18" s="2" t="str">
        <f>INDEX(Country!$F$31:$G$76, MATCH(AI18, Country!$O$31:$O$76, 0), 2)</f>
        <v>Clean energy policies</v>
      </c>
      <c r="C18" s="436" t="str">
        <f>INDEX(Country!$K$31:$K$76, MATCH(AI18, Country!$O$31:$O$76, 0), 1)</f>
        <v>Policy Types</v>
      </c>
      <c r="D18" s="41" t="s">
        <v>143</v>
      </c>
      <c r="E18" s="74">
        <f>Policy!$Z9</f>
        <v>0</v>
      </c>
      <c r="F18" s="74">
        <f>Policy!$Z9</f>
        <v>0</v>
      </c>
      <c r="G18" s="74">
        <f>Policy!$Z9</f>
        <v>0</v>
      </c>
      <c r="H18" s="74">
        <f>Policy!$Z9</f>
        <v>0</v>
      </c>
      <c r="I18" s="74">
        <f>Policy!$Z9</f>
        <v>0</v>
      </c>
      <c r="J18" s="74">
        <f>Policy!$Z9</f>
        <v>0</v>
      </c>
      <c r="K18" s="75">
        <f>Policy!$Z9</f>
        <v>0</v>
      </c>
      <c r="L18" s="457">
        <f t="shared" si="9"/>
        <v>20</v>
      </c>
      <c r="M18" s="458">
        <f t="shared" si="10"/>
        <v>20</v>
      </c>
      <c r="N18" s="458">
        <f t="shared" si="11"/>
        <v>20</v>
      </c>
      <c r="O18" s="458">
        <f t="shared" si="12"/>
        <v>20</v>
      </c>
      <c r="P18" s="458">
        <f t="shared" si="13"/>
        <v>20</v>
      </c>
      <c r="Q18" s="458">
        <f t="shared" si="14"/>
        <v>20</v>
      </c>
      <c r="R18" s="459">
        <f t="shared" si="15"/>
        <v>20</v>
      </c>
      <c r="S18" s="455"/>
      <c r="T18" s="456"/>
      <c r="U18" s="456"/>
      <c r="V18" s="456"/>
      <c r="W18" s="456"/>
      <c r="X18" s="456"/>
      <c r="Y18" s="456"/>
      <c r="Z18" s="79">
        <f t="shared" si="16"/>
        <v>1</v>
      </c>
      <c r="AA18" s="78">
        <f t="shared" si="17"/>
        <v>1</v>
      </c>
      <c r="AB18" s="78">
        <f t="shared" si="18"/>
        <v>1</v>
      </c>
      <c r="AC18" s="78">
        <f t="shared" si="21"/>
        <v>1</v>
      </c>
      <c r="AD18" s="78">
        <f t="shared" si="22"/>
        <v>1</v>
      </c>
      <c r="AE18" s="78">
        <v>1</v>
      </c>
      <c r="AF18" s="6">
        <v>1</v>
      </c>
      <c r="AG18" s="33" t="str">
        <f t="shared" si="19"/>
        <v>1.01 &gt; Belize</v>
      </c>
      <c r="AH18" s="84">
        <f t="shared" si="23"/>
        <v>4</v>
      </c>
      <c r="AI18" s="84">
        <f t="shared" si="24"/>
        <v>1</v>
      </c>
      <c r="AJ18" s="877" t="s">
        <v>1526</v>
      </c>
    </row>
    <row r="19" spans="1:36" x14ac:dyDescent="0.2">
      <c r="A19" s="492">
        <f>INDEX(Country!$F$31:$G$76, MATCH(AI19, Country!$O$31:$O$76, 0), 1)</f>
        <v>1.01</v>
      </c>
      <c r="B19" s="2" t="str">
        <f>INDEX(Country!$F$31:$G$76, MATCH(AI19, Country!$O$31:$O$76, 0), 2)</f>
        <v>Clean energy policies</v>
      </c>
      <c r="C19" s="436" t="str">
        <f>INDEX(Country!$K$31:$K$76, MATCH(AI19, Country!$O$31:$O$76, 0), 1)</f>
        <v>Policy Types</v>
      </c>
      <c r="D19" s="41" t="s">
        <v>7</v>
      </c>
      <c r="E19" s="74">
        <f>Policy!$Z10</f>
        <v>0</v>
      </c>
      <c r="F19" s="74">
        <f>Policy!$Z10</f>
        <v>0</v>
      </c>
      <c r="G19" s="74">
        <f>Policy!$Z10</f>
        <v>0</v>
      </c>
      <c r="H19" s="74">
        <f>Policy!$Z10</f>
        <v>0</v>
      </c>
      <c r="I19" s="74">
        <f>Policy!$Z10</f>
        <v>0</v>
      </c>
      <c r="J19" s="74">
        <f>Policy!$Z10</f>
        <v>0</v>
      </c>
      <c r="K19" s="75">
        <f>Policy!$Z10</f>
        <v>0</v>
      </c>
      <c r="L19" s="457">
        <f t="shared" si="9"/>
        <v>20</v>
      </c>
      <c r="M19" s="458">
        <f t="shared" si="10"/>
        <v>20</v>
      </c>
      <c r="N19" s="458">
        <f t="shared" si="11"/>
        <v>20</v>
      </c>
      <c r="O19" s="458">
        <f t="shared" si="12"/>
        <v>20</v>
      </c>
      <c r="P19" s="458">
        <f t="shared" si="13"/>
        <v>20</v>
      </c>
      <c r="Q19" s="458">
        <f t="shared" si="14"/>
        <v>20</v>
      </c>
      <c r="R19" s="459">
        <f t="shared" si="15"/>
        <v>20</v>
      </c>
      <c r="S19" s="455"/>
      <c r="T19" s="456"/>
      <c r="U19" s="456"/>
      <c r="V19" s="456"/>
      <c r="W19" s="456"/>
      <c r="X19" s="456"/>
      <c r="Y19" s="456"/>
      <c r="Z19" s="79">
        <f t="shared" si="16"/>
        <v>1</v>
      </c>
      <c r="AA19" s="78">
        <f t="shared" si="17"/>
        <v>1</v>
      </c>
      <c r="AB19" s="78">
        <f t="shared" si="18"/>
        <v>1</v>
      </c>
      <c r="AC19" s="78">
        <f t="shared" si="21"/>
        <v>1</v>
      </c>
      <c r="AD19" s="78">
        <f t="shared" si="22"/>
        <v>1</v>
      </c>
      <c r="AE19" s="78">
        <v>1</v>
      </c>
      <c r="AF19" s="6">
        <v>1</v>
      </c>
      <c r="AG19" s="33" t="str">
        <f t="shared" si="19"/>
        <v>1.01 &gt; Bolivia</v>
      </c>
      <c r="AH19" s="84">
        <f t="shared" si="23"/>
        <v>5</v>
      </c>
      <c r="AI19" s="84">
        <f t="shared" si="24"/>
        <v>1</v>
      </c>
      <c r="AJ19" s="877" t="s">
        <v>1526</v>
      </c>
    </row>
    <row r="20" spans="1:36" x14ac:dyDescent="0.2">
      <c r="A20" s="492">
        <f>INDEX(Country!$F$31:$G$76, MATCH(AI20, Country!$O$31:$O$76, 0), 1)</f>
        <v>1.01</v>
      </c>
      <c r="B20" s="2" t="str">
        <f>INDEX(Country!$F$31:$G$76, MATCH(AI20, Country!$O$31:$O$76, 0), 2)</f>
        <v>Clean energy policies</v>
      </c>
      <c r="C20" s="436" t="str">
        <f>INDEX(Country!$K$31:$K$76, MATCH(AI20, Country!$O$31:$O$76, 0), 1)</f>
        <v>Policy Types</v>
      </c>
      <c r="D20" s="41" t="s">
        <v>31</v>
      </c>
      <c r="E20" s="74">
        <f>Policy!$Z11</f>
        <v>11</v>
      </c>
      <c r="F20" s="74">
        <f>Policy!$Z11</f>
        <v>11</v>
      </c>
      <c r="G20" s="74">
        <f>Policy!$Z11</f>
        <v>11</v>
      </c>
      <c r="H20" s="74">
        <f>Policy!$Z11</f>
        <v>11</v>
      </c>
      <c r="I20" s="74">
        <f>Policy!$Z11</f>
        <v>11</v>
      </c>
      <c r="J20" s="74">
        <f>Policy!$Z11</f>
        <v>11</v>
      </c>
      <c r="K20" s="75">
        <f>Policy!$Z11</f>
        <v>11</v>
      </c>
      <c r="L20" s="457">
        <f t="shared" si="9"/>
        <v>78</v>
      </c>
      <c r="M20" s="458">
        <f t="shared" si="10"/>
        <v>78</v>
      </c>
      <c r="N20" s="458">
        <f t="shared" si="11"/>
        <v>78</v>
      </c>
      <c r="O20" s="458">
        <f t="shared" si="12"/>
        <v>78</v>
      </c>
      <c r="P20" s="458">
        <f t="shared" si="13"/>
        <v>78</v>
      </c>
      <c r="Q20" s="458">
        <f t="shared" si="14"/>
        <v>78</v>
      </c>
      <c r="R20" s="459">
        <f t="shared" si="15"/>
        <v>77.234806272912394</v>
      </c>
      <c r="S20" s="455"/>
      <c r="T20" s="456"/>
      <c r="U20" s="456"/>
      <c r="V20" s="456"/>
      <c r="W20" s="456"/>
      <c r="X20" s="456"/>
      <c r="Y20" s="456"/>
      <c r="Z20" s="79">
        <f t="shared" si="16"/>
        <v>3.9</v>
      </c>
      <c r="AA20" s="78">
        <f>AB20</f>
        <v>3.9</v>
      </c>
      <c r="AB20" s="78">
        <f t="shared" si="18"/>
        <v>3.9</v>
      </c>
      <c r="AC20" s="78">
        <f t="shared" si="21"/>
        <v>3.9</v>
      </c>
      <c r="AD20" s="78">
        <f t="shared" si="22"/>
        <v>3.9</v>
      </c>
      <c r="AE20" s="78">
        <v>3.9</v>
      </c>
      <c r="AF20" s="6">
        <v>3.8617403136456194</v>
      </c>
      <c r="AG20" s="33" t="str">
        <f t="shared" si="19"/>
        <v>1.01 &gt; Brazil</v>
      </c>
      <c r="AH20" s="84">
        <f t="shared" si="23"/>
        <v>6</v>
      </c>
      <c r="AI20" s="84">
        <f t="shared" si="24"/>
        <v>1</v>
      </c>
      <c r="AJ20" s="877" t="s">
        <v>1526</v>
      </c>
    </row>
    <row r="21" spans="1:36" x14ac:dyDescent="0.2">
      <c r="A21" s="492">
        <f>INDEX(Country!$F$31:$G$76, MATCH(AI21, Country!$O$31:$O$76, 0), 1)</f>
        <v>1.01</v>
      </c>
      <c r="B21" s="2" t="str">
        <f>INDEX(Country!$F$31:$G$76, MATCH(AI21, Country!$O$31:$O$76, 0), 2)</f>
        <v>Clean energy policies</v>
      </c>
      <c r="C21" s="436" t="str">
        <f>INDEX(Country!$K$31:$K$76, MATCH(AI21, Country!$O$31:$O$76, 0), 1)</f>
        <v>Policy Types</v>
      </c>
      <c r="D21" s="41" t="s">
        <v>8</v>
      </c>
      <c r="E21" s="74">
        <f>Policy!$Z12</f>
        <v>4</v>
      </c>
      <c r="F21" s="74">
        <f>Policy!$Z12</f>
        <v>4</v>
      </c>
      <c r="G21" s="74">
        <f>Policy!$Z12</f>
        <v>4</v>
      </c>
      <c r="H21" s="74">
        <f>Policy!$Z12</f>
        <v>4</v>
      </c>
      <c r="I21" s="74">
        <f>Policy!$Z12</f>
        <v>4</v>
      </c>
      <c r="J21" s="74">
        <f>Policy!$Z12</f>
        <v>4</v>
      </c>
      <c r="K21" s="75">
        <f>Policy!$Z12</f>
        <v>4</v>
      </c>
      <c r="L21" s="457">
        <f t="shared" si="9"/>
        <v>52</v>
      </c>
      <c r="M21" s="458">
        <f t="shared" si="10"/>
        <v>52</v>
      </c>
      <c r="N21" s="458">
        <f t="shared" si="11"/>
        <v>52</v>
      </c>
      <c r="O21" s="458">
        <f t="shared" si="12"/>
        <v>52</v>
      </c>
      <c r="P21" s="458">
        <f t="shared" si="13"/>
        <v>52</v>
      </c>
      <c r="Q21" s="458">
        <f t="shared" si="14"/>
        <v>52</v>
      </c>
      <c r="R21" s="459">
        <f t="shared" si="15"/>
        <v>50.847307168129753</v>
      </c>
      <c r="S21" s="455"/>
      <c r="T21" s="456"/>
      <c r="U21" s="456"/>
      <c r="V21" s="456"/>
      <c r="W21" s="456"/>
      <c r="X21" s="456"/>
      <c r="Y21" s="456"/>
      <c r="Z21" s="79">
        <f t="shared" si="16"/>
        <v>2.6</v>
      </c>
      <c r="AA21" s="78">
        <f t="shared" si="17"/>
        <v>2.6</v>
      </c>
      <c r="AB21" s="78">
        <f>AC21</f>
        <v>2.6</v>
      </c>
      <c r="AC21" s="78">
        <f t="shared" si="21"/>
        <v>2.6</v>
      </c>
      <c r="AD21" s="78">
        <f t="shared" si="22"/>
        <v>2.6</v>
      </c>
      <c r="AE21" s="78">
        <v>2.6</v>
      </c>
      <c r="AF21" s="6">
        <v>2.5423653584064874</v>
      </c>
      <c r="AG21" s="33" t="str">
        <f t="shared" si="19"/>
        <v>1.01 &gt; Chile</v>
      </c>
      <c r="AH21" s="84">
        <f t="shared" si="23"/>
        <v>7</v>
      </c>
      <c r="AI21" s="84">
        <f t="shared" si="24"/>
        <v>1</v>
      </c>
      <c r="AJ21" s="877" t="s">
        <v>1526</v>
      </c>
    </row>
    <row r="22" spans="1:36" x14ac:dyDescent="0.2">
      <c r="A22" s="492">
        <f>INDEX(Country!$F$31:$G$76, MATCH(AI22, Country!$O$31:$O$76, 0), 1)</f>
        <v>1.01</v>
      </c>
      <c r="B22" s="2" t="str">
        <f>INDEX(Country!$F$31:$G$76, MATCH(AI22, Country!$O$31:$O$76, 0), 2)</f>
        <v>Clean energy policies</v>
      </c>
      <c r="C22" s="436" t="str">
        <f>INDEX(Country!$K$31:$K$76, MATCH(AI22, Country!$O$31:$O$76, 0), 1)</f>
        <v>Policy Types</v>
      </c>
      <c r="D22" s="41" t="s">
        <v>9</v>
      </c>
      <c r="E22" s="74">
        <f>Policy!$Z13</f>
        <v>3</v>
      </c>
      <c r="F22" s="74">
        <f>Policy!$Z13</f>
        <v>3</v>
      </c>
      <c r="G22" s="74">
        <f>Policy!$Z13</f>
        <v>3</v>
      </c>
      <c r="H22" s="74">
        <f>Policy!$Z13</f>
        <v>3</v>
      </c>
      <c r="I22" s="74">
        <f>Policy!$Z13</f>
        <v>3</v>
      </c>
      <c r="J22" s="74">
        <f>Policy!$Z13</f>
        <v>3</v>
      </c>
      <c r="K22" s="75">
        <f>Policy!$Z13</f>
        <v>3</v>
      </c>
      <c r="L22" s="457">
        <f t="shared" si="9"/>
        <v>57.999999999999993</v>
      </c>
      <c r="M22" s="458">
        <f t="shared" si="10"/>
        <v>57.999999999999993</v>
      </c>
      <c r="N22" s="458">
        <f t="shared" si="11"/>
        <v>57.999999999999993</v>
      </c>
      <c r="O22" s="458">
        <f t="shared" si="12"/>
        <v>57.999999999999993</v>
      </c>
      <c r="P22" s="458">
        <f t="shared" si="13"/>
        <v>57.999999999999993</v>
      </c>
      <c r="Q22" s="458">
        <f t="shared" si="14"/>
        <v>57.999999999999993</v>
      </c>
      <c r="R22" s="459">
        <f t="shared" si="15"/>
        <v>45.452001059450119</v>
      </c>
      <c r="S22" s="455"/>
      <c r="T22" s="456"/>
      <c r="U22" s="456"/>
      <c r="V22" s="456"/>
      <c r="W22" s="456"/>
      <c r="X22" s="456"/>
      <c r="Y22" s="456"/>
      <c r="Z22" s="79">
        <f t="shared" si="16"/>
        <v>2.9</v>
      </c>
      <c r="AA22" s="78">
        <f t="shared" si="17"/>
        <v>2.9</v>
      </c>
      <c r="AB22" s="78">
        <f t="shared" si="18"/>
        <v>2.9</v>
      </c>
      <c r="AC22" s="78">
        <f t="shared" si="21"/>
        <v>2.9</v>
      </c>
      <c r="AD22" s="78">
        <f t="shared" si="22"/>
        <v>2.9</v>
      </c>
      <c r="AE22" s="78">
        <v>2.9</v>
      </c>
      <c r="AF22" s="6">
        <v>2.2726000529725061</v>
      </c>
      <c r="AG22" s="33" t="str">
        <f t="shared" si="19"/>
        <v>1.01 &gt; Colombia</v>
      </c>
      <c r="AH22" s="84">
        <f t="shared" si="23"/>
        <v>8</v>
      </c>
      <c r="AI22" s="84">
        <f t="shared" si="24"/>
        <v>1</v>
      </c>
      <c r="AJ22" s="877" t="s">
        <v>1526</v>
      </c>
    </row>
    <row r="23" spans="1:36" x14ac:dyDescent="0.2">
      <c r="A23" s="492">
        <f>INDEX(Country!$F$31:$G$76, MATCH(AI23, Country!$O$31:$O$76, 0), 1)</f>
        <v>1.01</v>
      </c>
      <c r="B23" s="2" t="str">
        <f>INDEX(Country!$F$31:$G$76, MATCH(AI23, Country!$O$31:$O$76, 0), 2)</f>
        <v>Clean energy policies</v>
      </c>
      <c r="C23" s="436" t="str">
        <f>INDEX(Country!$K$31:$K$76, MATCH(AI23, Country!$O$31:$O$76, 0), 1)</f>
        <v>Policy Types</v>
      </c>
      <c r="D23" s="41" t="s">
        <v>10</v>
      </c>
      <c r="E23" s="74">
        <f>Policy!$Z14</f>
        <v>4</v>
      </c>
      <c r="F23" s="74">
        <f>Policy!$Z14</f>
        <v>4</v>
      </c>
      <c r="G23" s="74">
        <f>Policy!$Z14</f>
        <v>4</v>
      </c>
      <c r="H23" s="74">
        <f>Policy!$Z14</f>
        <v>4</v>
      </c>
      <c r="I23" s="74">
        <f>Policy!$Z14</f>
        <v>4</v>
      </c>
      <c r="J23" s="74">
        <f>Policy!$Z14</f>
        <v>4</v>
      </c>
      <c r="K23" s="75">
        <f>Policy!$Z14</f>
        <v>4</v>
      </c>
      <c r="L23" s="457">
        <f t="shared" si="9"/>
        <v>44.000000000000007</v>
      </c>
      <c r="M23" s="458">
        <f t="shared" si="10"/>
        <v>44.000000000000007</v>
      </c>
      <c r="N23" s="458">
        <f t="shared" si="11"/>
        <v>44.000000000000007</v>
      </c>
      <c r="O23" s="458">
        <f t="shared" si="12"/>
        <v>44.000000000000007</v>
      </c>
      <c r="P23" s="458">
        <f t="shared" si="13"/>
        <v>44.000000000000007</v>
      </c>
      <c r="Q23" s="458">
        <f t="shared" si="14"/>
        <v>44.000000000000007</v>
      </c>
      <c r="R23" s="459">
        <f t="shared" si="15"/>
        <v>48.436545870130857</v>
      </c>
      <c r="S23" s="455"/>
      <c r="T23" s="456"/>
      <c r="U23" s="456"/>
      <c r="V23" s="456"/>
      <c r="W23" s="456"/>
      <c r="X23" s="456"/>
      <c r="Y23" s="456"/>
      <c r="Z23" s="79">
        <f t="shared" si="16"/>
        <v>2.2000000000000002</v>
      </c>
      <c r="AA23" s="78">
        <f t="shared" si="17"/>
        <v>2.2000000000000002</v>
      </c>
      <c r="AB23" s="78">
        <f t="shared" si="18"/>
        <v>2.2000000000000002</v>
      </c>
      <c r="AC23" s="78">
        <f t="shared" si="21"/>
        <v>2.2000000000000002</v>
      </c>
      <c r="AD23" s="78">
        <f t="shared" si="22"/>
        <v>2.2000000000000002</v>
      </c>
      <c r="AE23" s="78">
        <v>2.2000000000000002</v>
      </c>
      <c r="AF23" s="6">
        <v>2.421827293506543</v>
      </c>
      <c r="AG23" s="33" t="str">
        <f t="shared" si="19"/>
        <v>1.01 &gt; Costa Rica</v>
      </c>
      <c r="AH23" s="84">
        <f t="shared" si="23"/>
        <v>9</v>
      </c>
      <c r="AI23" s="84">
        <f t="shared" si="24"/>
        <v>1</v>
      </c>
      <c r="AJ23" s="877" t="s">
        <v>1526</v>
      </c>
    </row>
    <row r="24" spans="1:36" x14ac:dyDescent="0.2">
      <c r="A24" s="492">
        <f>INDEX(Country!$F$31:$G$76, MATCH(AI24, Country!$O$31:$O$76, 0), 1)</f>
        <v>1.01</v>
      </c>
      <c r="B24" s="2" t="str">
        <f>INDEX(Country!$F$31:$G$76, MATCH(AI24, Country!$O$31:$O$76, 0), 2)</f>
        <v>Clean energy policies</v>
      </c>
      <c r="C24" s="436" t="str">
        <f>INDEX(Country!$K$31:$K$76, MATCH(AI24, Country!$O$31:$O$76, 0), 1)</f>
        <v>Policy Types</v>
      </c>
      <c r="D24" s="41" t="s">
        <v>11</v>
      </c>
      <c r="E24" s="74">
        <f>Policy!$Z15</f>
        <v>8</v>
      </c>
      <c r="F24" s="74">
        <f>Policy!$Z15</f>
        <v>8</v>
      </c>
      <c r="G24" s="74">
        <f>Policy!$Z15</f>
        <v>8</v>
      </c>
      <c r="H24" s="74">
        <f>Policy!$Z15</f>
        <v>8</v>
      </c>
      <c r="I24" s="74">
        <f>Policy!$Z15</f>
        <v>8</v>
      </c>
      <c r="J24" s="74">
        <f>Policy!$Z15</f>
        <v>8</v>
      </c>
      <c r="K24" s="75">
        <f>Policy!$Z15</f>
        <v>8</v>
      </c>
      <c r="L24" s="457">
        <f t="shared" si="9"/>
        <v>55.999999999999993</v>
      </c>
      <c r="M24" s="458">
        <f t="shared" si="10"/>
        <v>55.999999999999993</v>
      </c>
      <c r="N24" s="458">
        <f t="shared" si="11"/>
        <v>55.999999999999993</v>
      </c>
      <c r="O24" s="458">
        <f t="shared" si="12"/>
        <v>55.999999999999993</v>
      </c>
      <c r="P24" s="458">
        <f t="shared" si="13"/>
        <v>55.999999999999993</v>
      </c>
      <c r="Q24" s="458">
        <f t="shared" si="14"/>
        <v>55.999999999999993</v>
      </c>
      <c r="R24" s="459">
        <f t="shared" si="15"/>
        <v>60.491440956388857</v>
      </c>
      <c r="S24" s="455"/>
      <c r="T24" s="456"/>
      <c r="U24" s="456"/>
      <c r="V24" s="456"/>
      <c r="W24" s="456"/>
      <c r="X24" s="456"/>
      <c r="Y24" s="456"/>
      <c r="Z24" s="79">
        <f t="shared" si="16"/>
        <v>2.8</v>
      </c>
      <c r="AA24" s="78">
        <f t="shared" si="17"/>
        <v>2.8</v>
      </c>
      <c r="AB24" s="78">
        <f t="shared" si="18"/>
        <v>2.8</v>
      </c>
      <c r="AC24" s="78">
        <f t="shared" si="21"/>
        <v>2.8</v>
      </c>
      <c r="AD24" s="78">
        <f t="shared" si="22"/>
        <v>2.8</v>
      </c>
      <c r="AE24" s="78">
        <v>2.8</v>
      </c>
      <c r="AF24" s="6">
        <v>3.0245720478194427</v>
      </c>
      <c r="AG24" s="33" t="str">
        <f t="shared" si="19"/>
        <v>1.01 &gt; Dominican Republic</v>
      </c>
      <c r="AH24" s="84">
        <f t="shared" si="23"/>
        <v>10</v>
      </c>
      <c r="AI24" s="84">
        <f t="shared" si="24"/>
        <v>1</v>
      </c>
      <c r="AJ24" s="877" t="s">
        <v>1526</v>
      </c>
    </row>
    <row r="25" spans="1:36" x14ac:dyDescent="0.2">
      <c r="A25" s="492">
        <f>INDEX(Country!$F$31:$G$76, MATCH(AI25, Country!$O$31:$O$76, 0), 1)</f>
        <v>1.01</v>
      </c>
      <c r="B25" s="2" t="str">
        <f>INDEX(Country!$F$31:$G$76, MATCH(AI25, Country!$O$31:$O$76, 0), 2)</f>
        <v>Clean energy policies</v>
      </c>
      <c r="C25" s="436" t="str">
        <f>INDEX(Country!$K$31:$K$76, MATCH(AI25, Country!$O$31:$O$76, 0), 1)</f>
        <v>Policy Types</v>
      </c>
      <c r="D25" s="41" t="s">
        <v>12</v>
      </c>
      <c r="E25" s="74">
        <f>Policy!$Z16</f>
        <v>3</v>
      </c>
      <c r="F25" s="74">
        <f>Policy!$Z16</f>
        <v>3</v>
      </c>
      <c r="G25" s="74">
        <f>Policy!$Z16</f>
        <v>3</v>
      </c>
      <c r="H25" s="74">
        <f>Policy!$Z16</f>
        <v>3</v>
      </c>
      <c r="I25" s="74">
        <f>Policy!$Z16</f>
        <v>3</v>
      </c>
      <c r="J25" s="74">
        <f>Policy!$Z16</f>
        <v>3</v>
      </c>
      <c r="K25" s="75">
        <f>Policy!$Z16</f>
        <v>3</v>
      </c>
      <c r="L25" s="457">
        <f t="shared" si="9"/>
        <v>52</v>
      </c>
      <c r="M25" s="458">
        <f t="shared" si="10"/>
        <v>52</v>
      </c>
      <c r="N25" s="458">
        <f t="shared" si="11"/>
        <v>52</v>
      </c>
      <c r="O25" s="458">
        <f t="shared" si="12"/>
        <v>52</v>
      </c>
      <c r="P25" s="458">
        <f t="shared" si="13"/>
        <v>52</v>
      </c>
      <c r="Q25" s="458">
        <f t="shared" si="14"/>
        <v>52</v>
      </c>
      <c r="R25" s="459">
        <f t="shared" si="15"/>
        <v>40.763145814436704</v>
      </c>
      <c r="S25" s="455"/>
      <c r="T25" s="456"/>
      <c r="U25" s="456"/>
      <c r="V25" s="456"/>
      <c r="W25" s="456"/>
      <c r="X25" s="456"/>
      <c r="Y25" s="456"/>
      <c r="Z25" s="79">
        <f t="shared" si="16"/>
        <v>2.6</v>
      </c>
      <c r="AA25" s="78">
        <f t="shared" si="17"/>
        <v>2.6</v>
      </c>
      <c r="AB25" s="78">
        <f t="shared" si="18"/>
        <v>2.6</v>
      </c>
      <c r="AC25" s="78">
        <f t="shared" si="21"/>
        <v>2.6</v>
      </c>
      <c r="AD25" s="78">
        <f t="shared" si="22"/>
        <v>2.6</v>
      </c>
      <c r="AE25" s="78">
        <v>2.6</v>
      </c>
      <c r="AF25" s="6">
        <v>2.0381572907218355</v>
      </c>
      <c r="AG25" s="33" t="str">
        <f t="shared" si="19"/>
        <v>1.01 &gt; Ecuador</v>
      </c>
      <c r="AH25" s="84">
        <f t="shared" si="23"/>
        <v>11</v>
      </c>
      <c r="AI25" s="84">
        <f t="shared" si="24"/>
        <v>1</v>
      </c>
      <c r="AJ25" s="877" t="s">
        <v>1526</v>
      </c>
    </row>
    <row r="26" spans="1:36" x14ac:dyDescent="0.2">
      <c r="A26" s="492">
        <f>INDEX(Country!$F$31:$G$76, MATCH(AI26, Country!$O$31:$O$76, 0), 1)</f>
        <v>1.01</v>
      </c>
      <c r="B26" s="2" t="str">
        <f>INDEX(Country!$F$31:$G$76, MATCH(AI26, Country!$O$31:$O$76, 0), 2)</f>
        <v>Clean energy policies</v>
      </c>
      <c r="C26" s="436" t="str">
        <f>INDEX(Country!$K$31:$K$76, MATCH(AI26, Country!$O$31:$O$76, 0), 1)</f>
        <v>Policy Types</v>
      </c>
      <c r="D26" s="41" t="s">
        <v>1</v>
      </c>
      <c r="E26" s="74">
        <f>Policy!$Z17</f>
        <v>2</v>
      </c>
      <c r="F26" s="74">
        <f>Policy!$Z17</f>
        <v>2</v>
      </c>
      <c r="G26" s="74">
        <f>Policy!$Z17</f>
        <v>2</v>
      </c>
      <c r="H26" s="74">
        <f>Policy!$Z17</f>
        <v>2</v>
      </c>
      <c r="I26" s="74">
        <f>Policy!$Z17</f>
        <v>2</v>
      </c>
      <c r="J26" s="74">
        <f>Policy!$Z17</f>
        <v>2</v>
      </c>
      <c r="K26" s="75">
        <f>Policy!$Z17</f>
        <v>2</v>
      </c>
      <c r="L26" s="457">
        <f t="shared" si="9"/>
        <v>30</v>
      </c>
      <c r="M26" s="458">
        <f t="shared" si="10"/>
        <v>30</v>
      </c>
      <c r="N26" s="458">
        <f t="shared" si="11"/>
        <v>30</v>
      </c>
      <c r="O26" s="458">
        <f t="shared" si="12"/>
        <v>30</v>
      </c>
      <c r="P26" s="458">
        <f t="shared" si="13"/>
        <v>30</v>
      </c>
      <c r="Q26" s="458">
        <f t="shared" si="14"/>
        <v>30</v>
      </c>
      <c r="R26" s="459">
        <f t="shared" si="15"/>
        <v>27.178914493321511</v>
      </c>
      <c r="S26" s="455"/>
      <c r="T26" s="456"/>
      <c r="U26" s="456"/>
      <c r="V26" s="456"/>
      <c r="W26" s="456"/>
      <c r="X26" s="456"/>
      <c r="Y26" s="456"/>
      <c r="Z26" s="79">
        <f t="shared" si="16"/>
        <v>1.5</v>
      </c>
      <c r="AA26" s="78">
        <f t="shared" si="17"/>
        <v>1.5</v>
      </c>
      <c r="AB26" s="78">
        <f t="shared" si="18"/>
        <v>1.5</v>
      </c>
      <c r="AC26" s="78">
        <f t="shared" si="21"/>
        <v>1.5</v>
      </c>
      <c r="AD26" s="78">
        <f t="shared" si="22"/>
        <v>1.5</v>
      </c>
      <c r="AE26" s="78">
        <v>1.5</v>
      </c>
      <c r="AF26" s="6">
        <v>1.3589457246660754</v>
      </c>
      <c r="AG26" s="33" t="str">
        <f t="shared" si="19"/>
        <v>1.01 &gt; El Salvador</v>
      </c>
      <c r="AH26" s="84">
        <f t="shared" si="23"/>
        <v>12</v>
      </c>
      <c r="AI26" s="84">
        <f t="shared" si="24"/>
        <v>1</v>
      </c>
      <c r="AJ26" s="877" t="s">
        <v>1526</v>
      </c>
    </row>
    <row r="27" spans="1:36" x14ac:dyDescent="0.2">
      <c r="A27" s="492">
        <f>INDEX(Country!$F$31:$G$76, MATCH(AI27, Country!$O$31:$O$76, 0), 1)</f>
        <v>1.01</v>
      </c>
      <c r="B27" s="2" t="str">
        <f>INDEX(Country!$F$31:$G$76, MATCH(AI27, Country!$O$31:$O$76, 0), 2)</f>
        <v>Clean energy policies</v>
      </c>
      <c r="C27" s="436" t="str">
        <f>INDEX(Country!$K$31:$K$76, MATCH(AI27, Country!$O$31:$O$76, 0), 1)</f>
        <v>Policy Types</v>
      </c>
      <c r="D27" s="41" t="s">
        <v>13</v>
      </c>
      <c r="E27" s="74">
        <f>Policy!$Z18</f>
        <v>4</v>
      </c>
      <c r="F27" s="74">
        <f>Policy!$Z18</f>
        <v>4</v>
      </c>
      <c r="G27" s="74">
        <f>Policy!$Z18</f>
        <v>4</v>
      </c>
      <c r="H27" s="74">
        <f>Policy!$Z18</f>
        <v>4</v>
      </c>
      <c r="I27" s="74">
        <f>Policy!$Z18</f>
        <v>4</v>
      </c>
      <c r="J27" s="74">
        <f>Policy!$Z18</f>
        <v>4</v>
      </c>
      <c r="K27" s="75">
        <f>Policy!$Z18</f>
        <v>4</v>
      </c>
      <c r="L27" s="457">
        <f t="shared" si="9"/>
        <v>34</v>
      </c>
      <c r="M27" s="458">
        <f t="shared" si="10"/>
        <v>34</v>
      </c>
      <c r="N27" s="458">
        <f t="shared" si="11"/>
        <v>34</v>
      </c>
      <c r="O27" s="458">
        <f t="shared" si="12"/>
        <v>34</v>
      </c>
      <c r="P27" s="458">
        <f t="shared" si="13"/>
        <v>34</v>
      </c>
      <c r="Q27" s="458">
        <f t="shared" si="14"/>
        <v>34</v>
      </c>
      <c r="R27" s="459">
        <f t="shared" si="15"/>
        <v>31.166761225682166</v>
      </c>
      <c r="S27" s="455"/>
      <c r="T27" s="456"/>
      <c r="U27" s="456"/>
      <c r="V27" s="456"/>
      <c r="W27" s="456"/>
      <c r="X27" s="456"/>
      <c r="Y27" s="456"/>
      <c r="Z27" s="79">
        <f t="shared" si="16"/>
        <v>1.7</v>
      </c>
      <c r="AA27" s="78">
        <f t="shared" si="17"/>
        <v>1.7</v>
      </c>
      <c r="AB27" s="78">
        <f t="shared" si="18"/>
        <v>1.7</v>
      </c>
      <c r="AC27" s="78">
        <f t="shared" si="21"/>
        <v>1.7</v>
      </c>
      <c r="AD27" s="78">
        <f t="shared" si="22"/>
        <v>1.7</v>
      </c>
      <c r="AE27" s="78">
        <v>1.7</v>
      </c>
      <c r="AF27" s="6">
        <v>1.5583380612841082</v>
      </c>
      <c r="AG27" s="33" t="str">
        <f t="shared" si="19"/>
        <v>1.01 &gt; Guatemala</v>
      </c>
      <c r="AH27" s="84">
        <f t="shared" si="23"/>
        <v>13</v>
      </c>
      <c r="AI27" s="84">
        <f t="shared" si="24"/>
        <v>1</v>
      </c>
      <c r="AJ27" s="877"/>
    </row>
    <row r="28" spans="1:36" x14ac:dyDescent="0.2">
      <c r="A28" s="492">
        <f>INDEX(Country!$F$31:$G$76, MATCH(AI28, Country!$O$31:$O$76, 0), 1)</f>
        <v>1.01</v>
      </c>
      <c r="B28" s="2" t="str">
        <f>INDEX(Country!$F$31:$G$76, MATCH(AI28, Country!$O$31:$O$76, 0), 2)</f>
        <v>Clean energy policies</v>
      </c>
      <c r="C28" s="436" t="str">
        <f>INDEX(Country!$K$31:$K$76, MATCH(AI28, Country!$O$31:$O$76, 0), 1)</f>
        <v>Policy Types</v>
      </c>
      <c r="D28" s="41" t="s">
        <v>14</v>
      </c>
      <c r="E28" s="74">
        <f>Policy!$Z19</f>
        <v>0</v>
      </c>
      <c r="F28" s="74">
        <f>Policy!$Z19</f>
        <v>0</v>
      </c>
      <c r="G28" s="74">
        <f>Policy!$Z19</f>
        <v>0</v>
      </c>
      <c r="H28" s="74">
        <f>Policy!$Z19</f>
        <v>0</v>
      </c>
      <c r="I28" s="74">
        <f>Policy!$Z19</f>
        <v>0</v>
      </c>
      <c r="J28" s="74">
        <f>Policy!$Z19</f>
        <v>0</v>
      </c>
      <c r="K28" s="75">
        <f>Policy!$Z19</f>
        <v>0</v>
      </c>
      <c r="L28" s="457">
        <f t="shared" si="9"/>
        <v>22.5</v>
      </c>
      <c r="M28" s="458">
        <f t="shared" si="10"/>
        <v>22.5</v>
      </c>
      <c r="N28" s="458">
        <f t="shared" si="11"/>
        <v>22.5</v>
      </c>
      <c r="O28" s="458">
        <f t="shared" si="12"/>
        <v>22.5</v>
      </c>
      <c r="P28" s="458">
        <f t="shared" si="13"/>
        <v>22.5</v>
      </c>
      <c r="Q28" s="458">
        <f t="shared" si="14"/>
        <v>22.5</v>
      </c>
      <c r="R28" s="459">
        <f t="shared" si="15"/>
        <v>20</v>
      </c>
      <c r="S28" s="455"/>
      <c r="T28" s="456"/>
      <c r="U28" s="456"/>
      <c r="V28" s="456"/>
      <c r="W28" s="456"/>
      <c r="X28" s="456"/>
      <c r="Y28" s="456"/>
      <c r="Z28" s="79">
        <f t="shared" si="16"/>
        <v>1.125</v>
      </c>
      <c r="AA28" s="78">
        <f t="shared" si="17"/>
        <v>1.125</v>
      </c>
      <c r="AB28" s="78">
        <f t="shared" si="18"/>
        <v>1.125</v>
      </c>
      <c r="AC28" s="78">
        <f t="shared" si="21"/>
        <v>1.125</v>
      </c>
      <c r="AD28" s="78">
        <f t="shared" si="22"/>
        <v>1.125</v>
      </c>
      <c r="AE28" s="78">
        <v>1.125</v>
      </c>
      <c r="AF28" s="6">
        <v>1</v>
      </c>
      <c r="AG28" s="33" t="str">
        <f t="shared" si="19"/>
        <v>1.01 &gt; Guyana</v>
      </c>
      <c r="AH28" s="84">
        <f t="shared" si="23"/>
        <v>14</v>
      </c>
      <c r="AI28" s="84">
        <f t="shared" si="24"/>
        <v>1</v>
      </c>
      <c r="AJ28" s="877" t="s">
        <v>1526</v>
      </c>
    </row>
    <row r="29" spans="1:36" x14ac:dyDescent="0.2">
      <c r="A29" s="492">
        <f>INDEX(Country!$F$31:$G$76, MATCH(AI29, Country!$O$31:$O$76, 0), 1)</f>
        <v>1.01</v>
      </c>
      <c r="B29" s="2" t="str">
        <f>INDEX(Country!$F$31:$G$76, MATCH(AI29, Country!$O$31:$O$76, 0), 2)</f>
        <v>Clean energy policies</v>
      </c>
      <c r="C29" s="436" t="str">
        <f>INDEX(Country!$K$31:$K$76, MATCH(AI29, Country!$O$31:$O$76, 0), 1)</f>
        <v>Policy Types</v>
      </c>
      <c r="D29" s="41" t="s">
        <v>15</v>
      </c>
      <c r="E29" s="74">
        <f>Policy!$Z20</f>
        <v>0</v>
      </c>
      <c r="F29" s="74">
        <f>Policy!$Z20</f>
        <v>0</v>
      </c>
      <c r="G29" s="74">
        <f>Policy!$Z20</f>
        <v>0</v>
      </c>
      <c r="H29" s="74">
        <f>Policy!$Z20</f>
        <v>0</v>
      </c>
      <c r="I29" s="74">
        <f>Policy!$Z20</f>
        <v>0</v>
      </c>
      <c r="J29" s="74">
        <f>Policy!$Z20</f>
        <v>0</v>
      </c>
      <c r="K29" s="75">
        <f>Policy!$Z20</f>
        <v>0</v>
      </c>
      <c r="L29" s="457">
        <f t="shared" si="9"/>
        <v>22.5</v>
      </c>
      <c r="M29" s="458">
        <f t="shared" si="10"/>
        <v>22.5</v>
      </c>
      <c r="N29" s="458">
        <f t="shared" si="11"/>
        <v>22.5</v>
      </c>
      <c r="O29" s="458">
        <f t="shared" si="12"/>
        <v>22.5</v>
      </c>
      <c r="P29" s="458">
        <f t="shared" si="13"/>
        <v>22.5</v>
      </c>
      <c r="Q29" s="458">
        <f t="shared" si="14"/>
        <v>22.5</v>
      </c>
      <c r="R29" s="459">
        <f t="shared" si="15"/>
        <v>20</v>
      </c>
      <c r="S29" s="455"/>
      <c r="T29" s="456"/>
      <c r="U29" s="456"/>
      <c r="V29" s="456"/>
      <c r="W29" s="456"/>
      <c r="X29" s="456"/>
      <c r="Y29" s="456"/>
      <c r="Z29" s="79">
        <f t="shared" si="16"/>
        <v>1.125</v>
      </c>
      <c r="AA29" s="78">
        <f t="shared" si="17"/>
        <v>1.125</v>
      </c>
      <c r="AB29" s="78">
        <f t="shared" si="18"/>
        <v>1.125</v>
      </c>
      <c r="AC29" s="78">
        <f t="shared" si="21"/>
        <v>1.125</v>
      </c>
      <c r="AD29" s="78">
        <f t="shared" si="22"/>
        <v>1.125</v>
      </c>
      <c r="AE29" s="78">
        <v>1.125</v>
      </c>
      <c r="AF29" s="6">
        <v>1</v>
      </c>
      <c r="AG29" s="33" t="str">
        <f t="shared" si="19"/>
        <v>1.01 &gt; Haiti</v>
      </c>
      <c r="AH29" s="84">
        <f t="shared" si="23"/>
        <v>15</v>
      </c>
      <c r="AI29" s="84">
        <f t="shared" si="24"/>
        <v>1</v>
      </c>
      <c r="AJ29" s="877" t="s">
        <v>1526</v>
      </c>
    </row>
    <row r="30" spans="1:36" x14ac:dyDescent="0.2">
      <c r="A30" s="492">
        <f>INDEX(Country!$F$31:$G$76, MATCH(AI30, Country!$O$31:$O$76, 0), 1)</f>
        <v>1.01</v>
      </c>
      <c r="B30" s="2" t="str">
        <f>INDEX(Country!$F$31:$G$76, MATCH(AI30, Country!$O$31:$O$76, 0), 2)</f>
        <v>Clean energy policies</v>
      </c>
      <c r="C30" s="436" t="str">
        <f>INDEX(Country!$K$31:$K$76, MATCH(AI30, Country!$O$31:$O$76, 0), 1)</f>
        <v>Policy Types</v>
      </c>
      <c r="D30" s="41" t="s">
        <v>16</v>
      </c>
      <c r="E30" s="74">
        <f>Policy!$Z21</f>
        <v>5</v>
      </c>
      <c r="F30" s="74">
        <f>Policy!$Z21</f>
        <v>5</v>
      </c>
      <c r="G30" s="74">
        <f>Policy!$Z21</f>
        <v>5</v>
      </c>
      <c r="H30" s="74">
        <f>Policy!$Z21</f>
        <v>5</v>
      </c>
      <c r="I30" s="74">
        <f>Policy!$Z21</f>
        <v>5</v>
      </c>
      <c r="J30" s="74">
        <f>Policy!$Z21</f>
        <v>5</v>
      </c>
      <c r="K30" s="75">
        <f>Policy!$Z21</f>
        <v>5</v>
      </c>
      <c r="L30" s="457">
        <f t="shared" si="9"/>
        <v>54</v>
      </c>
      <c r="M30" s="458">
        <f t="shared" si="10"/>
        <v>54</v>
      </c>
      <c r="N30" s="458">
        <f t="shared" si="11"/>
        <v>54</v>
      </c>
      <c r="O30" s="458">
        <f t="shared" si="12"/>
        <v>54</v>
      </c>
      <c r="P30" s="458">
        <f t="shared" si="13"/>
        <v>54</v>
      </c>
      <c r="Q30" s="458">
        <f t="shared" si="14"/>
        <v>54</v>
      </c>
      <c r="R30" s="459">
        <f t="shared" si="15"/>
        <v>43.764332235634903</v>
      </c>
      <c r="S30" s="455"/>
      <c r="T30" s="456"/>
      <c r="U30" s="456"/>
      <c r="V30" s="456"/>
      <c r="W30" s="456"/>
      <c r="X30" s="456"/>
      <c r="Y30" s="456"/>
      <c r="Z30" s="79">
        <f t="shared" si="16"/>
        <v>2.7</v>
      </c>
      <c r="AA30" s="78">
        <f t="shared" si="17"/>
        <v>2.7</v>
      </c>
      <c r="AB30" s="78">
        <f t="shared" si="18"/>
        <v>2.7</v>
      </c>
      <c r="AC30" s="78">
        <f t="shared" si="21"/>
        <v>2.7</v>
      </c>
      <c r="AD30" s="78">
        <f t="shared" si="22"/>
        <v>2.7</v>
      </c>
      <c r="AE30" s="78">
        <v>2.7</v>
      </c>
      <c r="AF30" s="6">
        <v>2.1882166117817454</v>
      </c>
      <c r="AG30" s="33" t="str">
        <f t="shared" si="19"/>
        <v>1.01 &gt; Honduras</v>
      </c>
      <c r="AH30" s="84">
        <f t="shared" si="23"/>
        <v>16</v>
      </c>
      <c r="AI30" s="84">
        <f t="shared" si="24"/>
        <v>1</v>
      </c>
      <c r="AJ30" s="877" t="s">
        <v>1526</v>
      </c>
    </row>
    <row r="31" spans="1:36" x14ac:dyDescent="0.2">
      <c r="A31" s="492">
        <f>INDEX(Country!$F$31:$G$76, MATCH(AI31, Country!$O$31:$O$76, 0), 1)</f>
        <v>1.01</v>
      </c>
      <c r="B31" s="2" t="str">
        <f>INDEX(Country!$F$31:$G$76, MATCH(AI31, Country!$O$31:$O$76, 0), 2)</f>
        <v>Clean energy policies</v>
      </c>
      <c r="C31" s="436" t="str">
        <f>INDEX(Country!$K$31:$K$76, MATCH(AI31, Country!$O$31:$O$76, 0), 1)</f>
        <v>Policy Types</v>
      </c>
      <c r="D31" s="41" t="s">
        <v>17</v>
      </c>
      <c r="E31" s="74">
        <f>Policy!$Z22</f>
        <v>3</v>
      </c>
      <c r="F31" s="74">
        <f>Policy!$Z22</f>
        <v>3</v>
      </c>
      <c r="G31" s="74">
        <f>Policy!$Z22</f>
        <v>3</v>
      </c>
      <c r="H31" s="74">
        <f>Policy!$Z22</f>
        <v>3</v>
      </c>
      <c r="I31" s="74">
        <f>Policy!$Z22</f>
        <v>3</v>
      </c>
      <c r="J31" s="74">
        <f>Policy!$Z22</f>
        <v>3</v>
      </c>
      <c r="K31" s="75">
        <f>Policy!$Z22</f>
        <v>3</v>
      </c>
      <c r="L31" s="457">
        <f t="shared" si="9"/>
        <v>46</v>
      </c>
      <c r="M31" s="458">
        <f t="shared" si="10"/>
        <v>46</v>
      </c>
      <c r="N31" s="458">
        <f t="shared" si="11"/>
        <v>46</v>
      </c>
      <c r="O31" s="458">
        <f t="shared" si="12"/>
        <v>46</v>
      </c>
      <c r="P31" s="458">
        <f t="shared" si="13"/>
        <v>46</v>
      </c>
      <c r="Q31" s="458">
        <f t="shared" si="14"/>
        <v>46</v>
      </c>
      <c r="R31" s="459">
        <f t="shared" si="15"/>
        <v>41.577509015340638</v>
      </c>
      <c r="S31" s="455"/>
      <c r="T31" s="456"/>
      <c r="U31" s="456"/>
      <c r="V31" s="456"/>
      <c r="W31" s="456"/>
      <c r="X31" s="456"/>
      <c r="Y31" s="456"/>
      <c r="Z31" s="79">
        <f t="shared" si="16"/>
        <v>2.2999999999999998</v>
      </c>
      <c r="AA31" s="78">
        <f t="shared" si="17"/>
        <v>2.2999999999999998</v>
      </c>
      <c r="AB31" s="78">
        <f t="shared" si="18"/>
        <v>2.2999999999999998</v>
      </c>
      <c r="AC31" s="78">
        <f t="shared" si="21"/>
        <v>2.2999999999999998</v>
      </c>
      <c r="AD31" s="78">
        <f t="shared" si="22"/>
        <v>2.2999999999999998</v>
      </c>
      <c r="AE31" s="78">
        <v>2.2999999999999998</v>
      </c>
      <c r="AF31" s="6">
        <v>2.0788754507670317</v>
      </c>
      <c r="AG31" s="33" t="str">
        <f t="shared" si="19"/>
        <v>1.01 &gt; Jamaica</v>
      </c>
      <c r="AH31" s="84">
        <f t="shared" si="23"/>
        <v>17</v>
      </c>
      <c r="AI31" s="84">
        <f t="shared" si="24"/>
        <v>1</v>
      </c>
      <c r="AJ31" s="877" t="s">
        <v>1526</v>
      </c>
    </row>
    <row r="32" spans="1:36" x14ac:dyDescent="0.2">
      <c r="A32" s="492">
        <f>INDEX(Country!$F$31:$G$76, MATCH(AI32, Country!$O$31:$O$76, 0), 1)</f>
        <v>1.01</v>
      </c>
      <c r="B32" s="2" t="str">
        <f>INDEX(Country!$F$31:$G$76, MATCH(AI32, Country!$O$31:$O$76, 0), 2)</f>
        <v>Clean energy policies</v>
      </c>
      <c r="C32" s="436" t="str">
        <f>INDEX(Country!$K$31:$K$76, MATCH(AI32, Country!$O$31:$O$76, 0), 1)</f>
        <v>Policy Types</v>
      </c>
      <c r="D32" s="41" t="s">
        <v>18</v>
      </c>
      <c r="E32" s="74">
        <f>Policy!$Z23</f>
        <v>6</v>
      </c>
      <c r="F32" s="74">
        <f>Policy!$Z23</f>
        <v>6</v>
      </c>
      <c r="G32" s="74">
        <f>Policy!$Z23</f>
        <v>6</v>
      </c>
      <c r="H32" s="74">
        <f>Policy!$Z23</f>
        <v>6</v>
      </c>
      <c r="I32" s="74">
        <f>Policy!$Z23</f>
        <v>6</v>
      </c>
      <c r="J32" s="74">
        <f>Policy!$Z23</f>
        <v>6</v>
      </c>
      <c r="K32" s="75">
        <f>Policy!$Z23</f>
        <v>6</v>
      </c>
      <c r="L32" s="457">
        <f t="shared" si="9"/>
        <v>57.999999999999993</v>
      </c>
      <c r="M32" s="458">
        <f t="shared" si="10"/>
        <v>57.999999999999993</v>
      </c>
      <c r="N32" s="458">
        <f t="shared" si="11"/>
        <v>57.999999999999993</v>
      </c>
      <c r="O32" s="458">
        <f t="shared" si="12"/>
        <v>57.999999999999993</v>
      </c>
      <c r="P32" s="458">
        <f t="shared" si="13"/>
        <v>57.999999999999993</v>
      </c>
      <c r="Q32" s="458">
        <f t="shared" si="14"/>
        <v>57.999999999999993</v>
      </c>
      <c r="R32" s="459">
        <f t="shared" si="15"/>
        <v>47.428759692678213</v>
      </c>
      <c r="S32" s="455"/>
      <c r="T32" s="456"/>
      <c r="U32" s="456"/>
      <c r="V32" s="456"/>
      <c r="W32" s="456"/>
      <c r="X32" s="456"/>
      <c r="Y32" s="456"/>
      <c r="Z32" s="79">
        <f t="shared" si="16"/>
        <v>2.9</v>
      </c>
      <c r="AA32" s="78">
        <f>AB32</f>
        <v>2.9</v>
      </c>
      <c r="AB32" s="78">
        <f t="shared" si="18"/>
        <v>2.9</v>
      </c>
      <c r="AC32" s="78">
        <f t="shared" si="21"/>
        <v>2.9</v>
      </c>
      <c r="AD32" s="78">
        <f t="shared" si="22"/>
        <v>2.9</v>
      </c>
      <c r="AE32" s="78">
        <v>2.9</v>
      </c>
      <c r="AF32" s="6">
        <v>2.3714379846339106</v>
      </c>
      <c r="AG32" s="33" t="str">
        <f t="shared" si="19"/>
        <v>1.01 &gt; Mexico</v>
      </c>
      <c r="AH32" s="84">
        <f t="shared" si="23"/>
        <v>18</v>
      </c>
      <c r="AI32" s="84">
        <f t="shared" si="24"/>
        <v>1</v>
      </c>
      <c r="AJ32" s="877" t="s">
        <v>1526</v>
      </c>
    </row>
    <row r="33" spans="1:36" x14ac:dyDescent="0.2">
      <c r="A33" s="492">
        <f>INDEX(Country!$F$31:$G$76, MATCH(AI33, Country!$O$31:$O$76, 0), 1)</f>
        <v>1.01</v>
      </c>
      <c r="B33" s="2" t="str">
        <f>INDEX(Country!$F$31:$G$76, MATCH(AI33, Country!$O$31:$O$76, 0), 2)</f>
        <v>Clean energy policies</v>
      </c>
      <c r="C33" s="436" t="str">
        <f>INDEX(Country!$K$31:$K$76, MATCH(AI33, Country!$O$31:$O$76, 0), 1)</f>
        <v>Policy Types</v>
      </c>
      <c r="D33" s="41" t="s">
        <v>2</v>
      </c>
      <c r="E33" s="74">
        <f>Policy!$Z24</f>
        <v>4</v>
      </c>
      <c r="F33" s="74">
        <f>Policy!$Z24</f>
        <v>4</v>
      </c>
      <c r="G33" s="74">
        <f>Policy!$Z24</f>
        <v>4</v>
      </c>
      <c r="H33" s="74">
        <f>Policy!$Z24</f>
        <v>4</v>
      </c>
      <c r="I33" s="74">
        <f>Policy!$Z24</f>
        <v>4</v>
      </c>
      <c r="J33" s="74">
        <f>Policy!$Z24</f>
        <v>4</v>
      </c>
      <c r="K33" s="75">
        <f>Policy!$Z24</f>
        <v>4</v>
      </c>
      <c r="L33" s="457">
        <f t="shared" si="9"/>
        <v>46</v>
      </c>
      <c r="M33" s="458">
        <f t="shared" si="10"/>
        <v>46</v>
      </c>
      <c r="N33" s="458">
        <f t="shared" si="11"/>
        <v>46</v>
      </c>
      <c r="O33" s="458">
        <f t="shared" si="12"/>
        <v>46</v>
      </c>
      <c r="P33" s="458">
        <f t="shared" si="13"/>
        <v>46</v>
      </c>
      <c r="Q33" s="458">
        <f t="shared" si="14"/>
        <v>46</v>
      </c>
      <c r="R33" s="459">
        <f t="shared" si="15"/>
        <v>31.172292452502326</v>
      </c>
      <c r="S33" s="455"/>
      <c r="T33" s="456"/>
      <c r="U33" s="456"/>
      <c r="V33" s="456"/>
      <c r="W33" s="456"/>
      <c r="X33" s="456"/>
      <c r="Y33" s="456"/>
      <c r="Z33" s="79">
        <f t="shared" si="16"/>
        <v>2.2999999999999998</v>
      </c>
      <c r="AA33" s="78">
        <f t="shared" si="17"/>
        <v>2.2999999999999998</v>
      </c>
      <c r="AB33" s="78">
        <f>AC33</f>
        <v>2.2999999999999998</v>
      </c>
      <c r="AC33" s="78">
        <f t="shared" si="21"/>
        <v>2.2999999999999998</v>
      </c>
      <c r="AD33" s="78">
        <f t="shared" si="22"/>
        <v>2.2999999999999998</v>
      </c>
      <c r="AE33" s="78">
        <v>2.2999999999999998</v>
      </c>
      <c r="AF33" s="6">
        <v>1.5586146226251163</v>
      </c>
      <c r="AG33" s="33" t="str">
        <f t="shared" si="19"/>
        <v>1.01 &gt; Nicaragua</v>
      </c>
      <c r="AH33" s="84">
        <f t="shared" si="23"/>
        <v>19</v>
      </c>
      <c r="AI33" s="84">
        <f t="shared" si="24"/>
        <v>1</v>
      </c>
      <c r="AJ33" s="877" t="s">
        <v>1526</v>
      </c>
    </row>
    <row r="34" spans="1:36" x14ac:dyDescent="0.2">
      <c r="A34" s="492">
        <f>INDEX(Country!$F$31:$G$76, MATCH(AI34, Country!$O$31:$O$76, 0), 1)</f>
        <v>1.01</v>
      </c>
      <c r="B34" s="2" t="str">
        <f>INDEX(Country!$F$31:$G$76, MATCH(AI34, Country!$O$31:$O$76, 0), 2)</f>
        <v>Clean energy policies</v>
      </c>
      <c r="C34" s="436" t="str">
        <f>INDEX(Country!$K$31:$K$76, MATCH(AI34, Country!$O$31:$O$76, 0), 1)</f>
        <v>Policy Types</v>
      </c>
      <c r="D34" s="41" t="s">
        <v>19</v>
      </c>
      <c r="E34" s="74">
        <f>Policy!$Z25</f>
        <v>6</v>
      </c>
      <c r="F34" s="74">
        <f>Policy!$Z25</f>
        <v>6</v>
      </c>
      <c r="G34" s="74">
        <f>Policy!$Z25</f>
        <v>6</v>
      </c>
      <c r="H34" s="74">
        <f>Policy!$Z25</f>
        <v>6</v>
      </c>
      <c r="I34" s="74">
        <f>Policy!$Z25</f>
        <v>6</v>
      </c>
      <c r="J34" s="74">
        <f>Policy!$Z25</f>
        <v>6</v>
      </c>
      <c r="K34" s="75">
        <f>Policy!$Z25</f>
        <v>6</v>
      </c>
      <c r="L34" s="457">
        <f t="shared" si="9"/>
        <v>46.5</v>
      </c>
      <c r="M34" s="458">
        <f t="shared" si="10"/>
        <v>46.5</v>
      </c>
      <c r="N34" s="458">
        <f t="shared" si="11"/>
        <v>46.5</v>
      </c>
      <c r="O34" s="458">
        <f t="shared" si="12"/>
        <v>46.5</v>
      </c>
      <c r="P34" s="458">
        <f t="shared" si="13"/>
        <v>46.5</v>
      </c>
      <c r="Q34" s="458">
        <f t="shared" si="14"/>
        <v>46.5</v>
      </c>
      <c r="R34" s="459">
        <f t="shared" si="15"/>
        <v>46.193866186795482</v>
      </c>
      <c r="S34" s="455"/>
      <c r="T34" s="456"/>
      <c r="U34" s="456"/>
      <c r="V34" s="456"/>
      <c r="W34" s="456"/>
      <c r="X34" s="456"/>
      <c r="Y34" s="456"/>
      <c r="Z34" s="79">
        <f t="shared" si="16"/>
        <v>2.3250000000000002</v>
      </c>
      <c r="AA34" s="78">
        <f t="shared" si="17"/>
        <v>2.3250000000000002</v>
      </c>
      <c r="AB34" s="78">
        <f t="shared" si="18"/>
        <v>2.3250000000000002</v>
      </c>
      <c r="AC34" s="78">
        <f t="shared" si="21"/>
        <v>2.3250000000000002</v>
      </c>
      <c r="AD34" s="78">
        <f t="shared" si="22"/>
        <v>2.3250000000000002</v>
      </c>
      <c r="AE34" s="78">
        <v>2.3250000000000002</v>
      </c>
      <c r="AF34" s="6">
        <v>2.309693309339774</v>
      </c>
      <c r="AG34" s="33" t="str">
        <f t="shared" si="19"/>
        <v>1.01 &gt; Panama</v>
      </c>
      <c r="AH34" s="84">
        <f t="shared" si="23"/>
        <v>20</v>
      </c>
      <c r="AI34" s="84">
        <f t="shared" si="24"/>
        <v>1</v>
      </c>
      <c r="AJ34" s="877" t="s">
        <v>1526</v>
      </c>
    </row>
    <row r="35" spans="1:36" x14ac:dyDescent="0.2">
      <c r="A35" s="492">
        <f>INDEX(Country!$F$31:$G$76, MATCH(AI35, Country!$O$31:$O$76, 0), 1)</f>
        <v>1.01</v>
      </c>
      <c r="B35" s="2" t="str">
        <f>INDEX(Country!$F$31:$G$76, MATCH(AI35, Country!$O$31:$O$76, 0), 2)</f>
        <v>Clean energy policies</v>
      </c>
      <c r="C35" s="436" t="str">
        <f>INDEX(Country!$K$31:$K$76, MATCH(AI35, Country!$O$31:$O$76, 0), 1)</f>
        <v>Policy Types</v>
      </c>
      <c r="D35" s="41" t="s">
        <v>3</v>
      </c>
      <c r="E35" s="74">
        <f>Policy!$Z26</f>
        <v>1</v>
      </c>
      <c r="F35" s="74">
        <f>Policy!$Z26</f>
        <v>1</v>
      </c>
      <c r="G35" s="74">
        <f>Policy!$Z26</f>
        <v>1</v>
      </c>
      <c r="H35" s="74">
        <f>Policy!$Z26</f>
        <v>1</v>
      </c>
      <c r="I35" s="74">
        <f>Policy!$Z26</f>
        <v>1</v>
      </c>
      <c r="J35" s="74">
        <f>Policy!$Z26</f>
        <v>1</v>
      </c>
      <c r="K35" s="75">
        <f>Policy!$Z26</f>
        <v>1</v>
      </c>
      <c r="L35" s="457">
        <f t="shared" si="9"/>
        <v>31</v>
      </c>
      <c r="M35" s="458">
        <f t="shared" si="10"/>
        <v>31</v>
      </c>
      <c r="N35" s="458">
        <f t="shared" si="11"/>
        <v>31</v>
      </c>
      <c r="O35" s="458">
        <f t="shared" si="12"/>
        <v>31</v>
      </c>
      <c r="P35" s="458">
        <f t="shared" si="13"/>
        <v>31</v>
      </c>
      <c r="Q35" s="458">
        <f t="shared" si="14"/>
        <v>31</v>
      </c>
      <c r="R35" s="459">
        <f t="shared" si="15"/>
        <v>27.540490861478133</v>
      </c>
      <c r="S35" s="455"/>
      <c r="T35" s="456"/>
      <c r="U35" s="456"/>
      <c r="V35" s="456"/>
      <c r="W35" s="456"/>
      <c r="X35" s="456"/>
      <c r="Y35" s="456"/>
      <c r="Z35" s="79">
        <f t="shared" si="16"/>
        <v>1.55</v>
      </c>
      <c r="AA35" s="78">
        <f t="shared" si="17"/>
        <v>1.55</v>
      </c>
      <c r="AB35" s="78">
        <f t="shared" si="18"/>
        <v>1.55</v>
      </c>
      <c r="AC35" s="78">
        <f t="shared" si="21"/>
        <v>1.55</v>
      </c>
      <c r="AD35" s="78">
        <f t="shared" si="22"/>
        <v>1.55</v>
      </c>
      <c r="AE35" s="78">
        <v>1.55</v>
      </c>
      <c r="AF35" s="6">
        <v>1.3770245430739068</v>
      </c>
      <c r="AG35" s="33" t="str">
        <f t="shared" si="19"/>
        <v>1.01 &gt; Paraguay</v>
      </c>
      <c r="AH35" s="84">
        <f t="shared" si="23"/>
        <v>21</v>
      </c>
      <c r="AI35" s="84">
        <f t="shared" si="24"/>
        <v>1</v>
      </c>
      <c r="AJ35" s="877" t="s">
        <v>1526</v>
      </c>
    </row>
    <row r="36" spans="1:36" x14ac:dyDescent="0.2">
      <c r="A36" s="492">
        <f>INDEX(Country!$F$31:$G$76, MATCH(AI36, Country!$O$31:$O$76, 0), 1)</f>
        <v>1.01</v>
      </c>
      <c r="B36" s="2" t="str">
        <f>INDEX(Country!$F$31:$G$76, MATCH(AI36, Country!$O$31:$O$76, 0), 2)</f>
        <v>Clean energy policies</v>
      </c>
      <c r="C36" s="436" t="str">
        <f>INDEX(Country!$K$31:$K$76, MATCH(AI36, Country!$O$31:$O$76, 0), 1)</f>
        <v>Policy Types</v>
      </c>
      <c r="D36" s="41" t="s">
        <v>20</v>
      </c>
      <c r="E36" s="74">
        <f>Policy!$Z27</f>
        <v>3</v>
      </c>
      <c r="F36" s="74">
        <f>Policy!$Z27</f>
        <v>3</v>
      </c>
      <c r="G36" s="74">
        <f>Policy!$Z27</f>
        <v>3</v>
      </c>
      <c r="H36" s="74">
        <f>Policy!$Z27</f>
        <v>3</v>
      </c>
      <c r="I36" s="74">
        <f>Policy!$Z27</f>
        <v>3</v>
      </c>
      <c r="J36" s="74">
        <f>Policy!$Z27</f>
        <v>3</v>
      </c>
      <c r="K36" s="75">
        <f>Policy!$Z27</f>
        <v>3</v>
      </c>
      <c r="L36" s="457">
        <f t="shared" si="9"/>
        <v>47</v>
      </c>
      <c r="M36" s="458">
        <f t="shared" si="10"/>
        <v>47</v>
      </c>
      <c r="N36" s="458">
        <f t="shared" si="11"/>
        <v>47</v>
      </c>
      <c r="O36" s="458">
        <f t="shared" si="12"/>
        <v>47</v>
      </c>
      <c r="P36" s="458">
        <f t="shared" si="13"/>
        <v>47</v>
      </c>
      <c r="Q36" s="458">
        <f t="shared" si="14"/>
        <v>47</v>
      </c>
      <c r="R36" s="459">
        <f t="shared" si="15"/>
        <v>64.148893128721681</v>
      </c>
      <c r="S36" s="455"/>
      <c r="T36" s="456"/>
      <c r="U36" s="456"/>
      <c r="V36" s="456"/>
      <c r="W36" s="456"/>
      <c r="X36" s="456"/>
      <c r="Y36" s="456"/>
      <c r="Z36" s="79">
        <f t="shared" si="16"/>
        <v>2.35</v>
      </c>
      <c r="AA36" s="78">
        <f t="shared" si="17"/>
        <v>2.35</v>
      </c>
      <c r="AB36" s="78">
        <f t="shared" si="18"/>
        <v>2.35</v>
      </c>
      <c r="AC36" s="78">
        <f t="shared" si="21"/>
        <v>2.35</v>
      </c>
      <c r="AD36" s="78">
        <f t="shared" si="22"/>
        <v>2.35</v>
      </c>
      <c r="AE36" s="78">
        <v>2.35</v>
      </c>
      <c r="AF36" s="6">
        <v>3.2074446564360843</v>
      </c>
      <c r="AG36" s="33" t="str">
        <f t="shared" si="19"/>
        <v>1.01 &gt; Peru</v>
      </c>
      <c r="AH36" s="84">
        <f t="shared" si="23"/>
        <v>22</v>
      </c>
      <c r="AI36" s="84">
        <f t="shared" si="24"/>
        <v>1</v>
      </c>
      <c r="AJ36" s="877" t="s">
        <v>1526</v>
      </c>
    </row>
    <row r="37" spans="1:36" x14ac:dyDescent="0.2">
      <c r="A37" s="492">
        <f>INDEX(Country!$F$31:$G$76, MATCH(AI37, Country!$O$31:$O$76, 0), 1)</f>
        <v>1.01</v>
      </c>
      <c r="B37" s="2" t="str">
        <f>INDEX(Country!$F$31:$G$76, MATCH(AI37, Country!$O$31:$O$76, 0), 2)</f>
        <v>Clean energy policies</v>
      </c>
      <c r="C37" s="436" t="str">
        <f>INDEX(Country!$K$31:$K$76, MATCH(AI37, Country!$O$31:$O$76, 0), 1)</f>
        <v>Policy Types</v>
      </c>
      <c r="D37" s="41" t="s">
        <v>21</v>
      </c>
      <c r="E37" s="74">
        <f>Policy!$Z28</f>
        <v>0</v>
      </c>
      <c r="F37" s="74">
        <f>Policy!$Z28</f>
        <v>0</v>
      </c>
      <c r="G37" s="74">
        <f>Policy!$Z28</f>
        <v>0</v>
      </c>
      <c r="H37" s="74">
        <f>Policy!$Z28</f>
        <v>0</v>
      </c>
      <c r="I37" s="74">
        <f>Policy!$Z28</f>
        <v>0</v>
      </c>
      <c r="J37" s="74">
        <f>Policy!$Z28</f>
        <v>0</v>
      </c>
      <c r="K37" s="75">
        <f>Policy!$Z28</f>
        <v>0</v>
      </c>
      <c r="L37" s="457">
        <f t="shared" si="9"/>
        <v>20</v>
      </c>
      <c r="M37" s="458">
        <f t="shared" si="10"/>
        <v>20</v>
      </c>
      <c r="N37" s="458">
        <f t="shared" si="11"/>
        <v>20</v>
      </c>
      <c r="O37" s="458">
        <f t="shared" si="12"/>
        <v>20</v>
      </c>
      <c r="P37" s="458">
        <f t="shared" si="13"/>
        <v>20</v>
      </c>
      <c r="Q37" s="458">
        <f t="shared" si="14"/>
        <v>20</v>
      </c>
      <c r="R37" s="459">
        <f t="shared" si="15"/>
        <v>20</v>
      </c>
      <c r="S37" s="455"/>
      <c r="T37" s="456"/>
      <c r="U37" s="456"/>
      <c r="V37" s="456"/>
      <c r="W37" s="456"/>
      <c r="X37" s="456"/>
      <c r="Y37" s="456"/>
      <c r="Z37" s="79">
        <f t="shared" si="16"/>
        <v>1</v>
      </c>
      <c r="AA37" s="78">
        <f t="shared" si="17"/>
        <v>1</v>
      </c>
      <c r="AB37" s="78">
        <f t="shared" si="18"/>
        <v>1</v>
      </c>
      <c r="AC37" s="78">
        <f t="shared" si="21"/>
        <v>1</v>
      </c>
      <c r="AD37" s="78">
        <f t="shared" si="22"/>
        <v>1</v>
      </c>
      <c r="AE37" s="78">
        <v>1</v>
      </c>
      <c r="AF37" s="6">
        <v>1</v>
      </c>
      <c r="AG37" s="33" t="str">
        <f t="shared" si="19"/>
        <v>1.01 &gt; Suriname</v>
      </c>
      <c r="AH37" s="84">
        <f t="shared" si="23"/>
        <v>23</v>
      </c>
      <c r="AI37" s="84">
        <f t="shared" si="24"/>
        <v>1</v>
      </c>
      <c r="AJ37" s="877" t="s">
        <v>1526</v>
      </c>
    </row>
    <row r="38" spans="1:36" x14ac:dyDescent="0.2">
      <c r="A38" s="492">
        <f>INDEX(Country!$F$31:$G$76, MATCH(AI38, Country!$O$31:$O$76, 0), 1)</f>
        <v>1.01</v>
      </c>
      <c r="B38" s="2" t="str">
        <f>INDEX(Country!$F$31:$G$76, MATCH(AI38, Country!$O$31:$O$76, 0), 2)</f>
        <v>Clean energy policies</v>
      </c>
      <c r="C38" s="436" t="str">
        <f>INDEX(Country!$K$31:$K$76, MATCH(AI38, Country!$O$31:$O$76, 0), 1)</f>
        <v>Policy Types</v>
      </c>
      <c r="D38" s="41" t="s">
        <v>1096</v>
      </c>
      <c r="E38" s="74">
        <f>Policy!$Z29</f>
        <v>1</v>
      </c>
      <c r="F38" s="74">
        <f>Policy!$Z29</f>
        <v>1</v>
      </c>
      <c r="G38" s="74">
        <f>Policy!$Z29</f>
        <v>1</v>
      </c>
      <c r="H38" s="74">
        <f>Policy!$Z29</f>
        <v>1</v>
      </c>
      <c r="I38" s="74">
        <f>Policy!$Z29</f>
        <v>1</v>
      </c>
      <c r="J38" s="74">
        <f>Policy!$Z29</f>
        <v>1</v>
      </c>
      <c r="K38" s="75">
        <f>Policy!$Z29</f>
        <v>1</v>
      </c>
      <c r="L38" s="457">
        <f t="shared" si="9"/>
        <v>30</v>
      </c>
      <c r="M38" s="458">
        <f t="shared" si="10"/>
        <v>30</v>
      </c>
      <c r="N38" s="458">
        <f t="shared" si="11"/>
        <v>30</v>
      </c>
      <c r="O38" s="458">
        <f t="shared" si="12"/>
        <v>30</v>
      </c>
      <c r="P38" s="458">
        <f t="shared" si="13"/>
        <v>30</v>
      </c>
      <c r="Q38" s="458">
        <f t="shared" si="14"/>
        <v>30</v>
      </c>
      <c r="R38" s="459">
        <f t="shared" si="15"/>
        <v>20</v>
      </c>
      <c r="S38" s="455"/>
      <c r="T38" s="456"/>
      <c r="U38" s="456"/>
      <c r="V38" s="456"/>
      <c r="W38" s="456"/>
      <c r="X38" s="456"/>
      <c r="Y38" s="456"/>
      <c r="Z38" s="79">
        <f t="shared" si="16"/>
        <v>1.5</v>
      </c>
      <c r="AA38" s="78">
        <f t="shared" si="17"/>
        <v>1.5</v>
      </c>
      <c r="AB38" s="78">
        <f t="shared" si="18"/>
        <v>1.5</v>
      </c>
      <c r="AC38" s="78">
        <f t="shared" si="21"/>
        <v>1.5</v>
      </c>
      <c r="AD38" s="78">
        <f t="shared" si="22"/>
        <v>1.5</v>
      </c>
      <c r="AE38" s="78">
        <v>1.5</v>
      </c>
      <c r="AF38" s="6">
        <v>1</v>
      </c>
      <c r="AG38" s="33" t="str">
        <f t="shared" si="19"/>
        <v>1.01 &gt; Trinidad &amp; Tobago</v>
      </c>
      <c r="AH38" s="84">
        <f t="shared" si="23"/>
        <v>24</v>
      </c>
      <c r="AI38" s="84">
        <f t="shared" si="24"/>
        <v>1</v>
      </c>
      <c r="AJ38" s="877" t="s">
        <v>1526</v>
      </c>
    </row>
    <row r="39" spans="1:36" x14ac:dyDescent="0.2">
      <c r="A39" s="492">
        <f>INDEX(Country!$F$31:$G$76, MATCH(AI39, Country!$O$31:$O$76, 0), 1)</f>
        <v>1.01</v>
      </c>
      <c r="B39" s="2" t="str">
        <f>INDEX(Country!$F$31:$G$76, MATCH(AI39, Country!$O$31:$O$76, 0), 2)</f>
        <v>Clean energy policies</v>
      </c>
      <c r="C39" s="436" t="str">
        <f>INDEX(Country!$K$31:$K$76, MATCH(AI39, Country!$O$31:$O$76, 0), 1)</f>
        <v>Policy Types</v>
      </c>
      <c r="D39" s="41" t="s">
        <v>22</v>
      </c>
      <c r="E39" s="74">
        <f>Policy!$Z30</f>
        <v>5</v>
      </c>
      <c r="F39" s="74">
        <f>Policy!$Z30</f>
        <v>5</v>
      </c>
      <c r="G39" s="74">
        <f>Policy!$Z30</f>
        <v>5</v>
      </c>
      <c r="H39" s="74">
        <f>Policy!$Z30</f>
        <v>5</v>
      </c>
      <c r="I39" s="74">
        <f>Policy!$Z30</f>
        <v>5</v>
      </c>
      <c r="J39" s="74">
        <f>Policy!$Z30</f>
        <v>5</v>
      </c>
      <c r="K39" s="75">
        <f>Policy!$Z30</f>
        <v>5</v>
      </c>
      <c r="L39" s="457">
        <f t="shared" si="9"/>
        <v>48.5</v>
      </c>
      <c r="M39" s="458">
        <f t="shared" si="10"/>
        <v>48.5</v>
      </c>
      <c r="N39" s="458">
        <f t="shared" si="11"/>
        <v>48.5</v>
      </c>
      <c r="O39" s="458">
        <f t="shared" si="12"/>
        <v>48.5</v>
      </c>
      <c r="P39" s="458">
        <f t="shared" si="13"/>
        <v>48.5</v>
      </c>
      <c r="Q39" s="458">
        <f t="shared" si="14"/>
        <v>48.5</v>
      </c>
      <c r="R39" s="459">
        <f t="shared" si="15"/>
        <v>70.682125666089902</v>
      </c>
      <c r="S39" s="455"/>
      <c r="T39" s="456"/>
      <c r="U39" s="456"/>
      <c r="V39" s="456"/>
      <c r="W39" s="456"/>
      <c r="X39" s="456"/>
      <c r="Y39" s="456"/>
      <c r="Z39" s="79">
        <f t="shared" si="16"/>
        <v>2.4249999999999998</v>
      </c>
      <c r="AA39" s="78">
        <f t="shared" si="17"/>
        <v>2.4249999999999998</v>
      </c>
      <c r="AB39" s="78">
        <f t="shared" si="18"/>
        <v>2.4249999999999998</v>
      </c>
      <c r="AC39" s="78">
        <f t="shared" si="21"/>
        <v>2.4249999999999998</v>
      </c>
      <c r="AD39" s="78">
        <f t="shared" si="22"/>
        <v>2.4249999999999998</v>
      </c>
      <c r="AE39" s="78">
        <v>2.4249999999999998</v>
      </c>
      <c r="AF39" s="6">
        <v>3.5341062833044949</v>
      </c>
      <c r="AG39" s="33" t="str">
        <f t="shared" si="19"/>
        <v>1.01 &gt; Uruguay</v>
      </c>
      <c r="AH39" s="84">
        <f t="shared" si="23"/>
        <v>25</v>
      </c>
      <c r="AI39" s="84">
        <f t="shared" si="24"/>
        <v>1</v>
      </c>
      <c r="AJ39" s="877" t="s">
        <v>1526</v>
      </c>
    </row>
    <row r="40" spans="1:36" x14ac:dyDescent="0.2">
      <c r="A40" s="491">
        <f>INDEX(Country!$F$31:$G$76, MATCH(AI40, Country!$O$31:$O$76, 0), 1)</f>
        <v>1.01</v>
      </c>
      <c r="B40" s="386" t="str">
        <f>INDEX(Country!$F$31:$G$76, MATCH(AI40, Country!$O$31:$O$76, 0), 2)</f>
        <v>Clean energy policies</v>
      </c>
      <c r="C40" s="437" t="str">
        <f>INDEX(Country!$K$31:$K$76, MATCH(AI40, Country!$O$31:$O$76, 0), 1)</f>
        <v>Policy Types</v>
      </c>
      <c r="D40" s="87" t="s">
        <v>23</v>
      </c>
      <c r="E40" s="360">
        <f>Policy!$Z31</f>
        <v>0</v>
      </c>
      <c r="F40" s="360">
        <f>Policy!$Z31</f>
        <v>0</v>
      </c>
      <c r="G40" s="360">
        <f>Policy!$Z31</f>
        <v>0</v>
      </c>
      <c r="H40" s="360">
        <f>Policy!$Z31</f>
        <v>0</v>
      </c>
      <c r="I40" s="360">
        <f>Policy!$Z31</f>
        <v>0</v>
      </c>
      <c r="J40" s="360">
        <f>Policy!$Z31</f>
        <v>0</v>
      </c>
      <c r="K40" s="389">
        <f>Policy!$Z31</f>
        <v>0</v>
      </c>
      <c r="L40" s="460">
        <f t="shared" si="9"/>
        <v>20</v>
      </c>
      <c r="M40" s="461">
        <f t="shared" si="10"/>
        <v>20</v>
      </c>
      <c r="N40" s="461">
        <f t="shared" si="11"/>
        <v>20</v>
      </c>
      <c r="O40" s="461">
        <f t="shared" si="12"/>
        <v>20</v>
      </c>
      <c r="P40" s="461">
        <f t="shared" si="13"/>
        <v>20</v>
      </c>
      <c r="Q40" s="461">
        <f t="shared" si="14"/>
        <v>20</v>
      </c>
      <c r="R40" s="462">
        <f t="shared" si="15"/>
        <v>20</v>
      </c>
      <c r="S40" s="455"/>
      <c r="T40" s="456"/>
      <c r="U40" s="456"/>
      <c r="V40" s="456"/>
      <c r="W40" s="456"/>
      <c r="X40" s="456"/>
      <c r="Y40" s="456"/>
      <c r="Z40" s="93">
        <f t="shared" si="16"/>
        <v>1</v>
      </c>
      <c r="AA40" s="379">
        <f t="shared" si="17"/>
        <v>1</v>
      </c>
      <c r="AB40" s="379">
        <f t="shared" si="18"/>
        <v>1</v>
      </c>
      <c r="AC40" s="379">
        <f t="shared" si="21"/>
        <v>1</v>
      </c>
      <c r="AD40" s="379">
        <f t="shared" si="22"/>
        <v>1</v>
      </c>
      <c r="AE40" s="379">
        <v>1</v>
      </c>
      <c r="AF40" s="390">
        <v>1</v>
      </c>
      <c r="AG40" s="90" t="str">
        <f t="shared" si="19"/>
        <v>1.01 &gt; Venezuela</v>
      </c>
      <c r="AH40" s="392">
        <f t="shared" si="23"/>
        <v>26</v>
      </c>
      <c r="AI40" s="392">
        <f t="shared" si="24"/>
        <v>1</v>
      </c>
      <c r="AJ40" s="878" t="s">
        <v>1526</v>
      </c>
    </row>
    <row r="41" spans="1:36" x14ac:dyDescent="0.2">
      <c r="A41" s="490">
        <f>INDEX(Country!$F$31:$G$76, MATCH(AI41, Country!$O$31:$O$76, 0), 1)</f>
        <v>1.01</v>
      </c>
      <c r="B41" s="387" t="str">
        <f>INDEX(Country!$F$31:$G$76, MATCH(AI41, Country!$O$31:$O$76, 0), 2)</f>
        <v>Clean energy policies</v>
      </c>
      <c r="C41" s="438" t="str">
        <f>INDEX(Country!$K$31:$K$76, MATCH(AI41, Country!$O$31:$O$76, 0), 1)</f>
        <v>Policy Types</v>
      </c>
      <c r="D41" s="32" t="s">
        <v>1235</v>
      </c>
      <c r="E41" s="583">
        <f>IFERROR(MAX(E15:E40), 0)</f>
        <v>11</v>
      </c>
      <c r="F41" s="583">
        <f t="shared" ref="F41" si="25">IFERROR(MAX(F15:F40), 0)</f>
        <v>11</v>
      </c>
      <c r="G41" s="583">
        <f t="shared" ref="G41" si="26">IFERROR(MAX(G15:G40), 0)</f>
        <v>11</v>
      </c>
      <c r="H41" s="583">
        <f t="shared" ref="H41" si="27">IFERROR(MAX(H15:H40), 0)</f>
        <v>11</v>
      </c>
      <c r="I41" s="583">
        <f t="shared" ref="I41" si="28">IFERROR(MAX(I15:I40), 0)</f>
        <v>11</v>
      </c>
      <c r="J41" s="583">
        <f t="shared" ref="J41:K41" si="29">IFERROR(MAX(J15:J40), 0)</f>
        <v>11</v>
      </c>
      <c r="K41" s="584">
        <f t="shared" si="29"/>
        <v>11</v>
      </c>
      <c r="L41" s="585">
        <f t="shared" si="9"/>
        <v>100</v>
      </c>
      <c r="M41" s="463">
        <f t="shared" si="10"/>
        <v>100</v>
      </c>
      <c r="N41" s="463">
        <f t="shared" si="11"/>
        <v>100</v>
      </c>
      <c r="O41" s="463">
        <f t="shared" si="12"/>
        <v>100</v>
      </c>
      <c r="P41" s="463">
        <f t="shared" si="13"/>
        <v>100</v>
      </c>
      <c r="Q41" s="463">
        <f t="shared" si="14"/>
        <v>100</v>
      </c>
      <c r="R41" s="586">
        <f t="shared" si="15"/>
        <v>100</v>
      </c>
      <c r="S41" s="393"/>
      <c r="T41" s="394"/>
      <c r="U41" s="376"/>
      <c r="V41" s="376"/>
      <c r="W41" s="376"/>
      <c r="X41" s="376"/>
      <c r="Y41" s="376"/>
      <c r="Z41" s="423">
        <v>5</v>
      </c>
      <c r="AA41" s="365">
        <v>5</v>
      </c>
      <c r="AB41" s="365">
        <v>5</v>
      </c>
      <c r="AC41" s="365">
        <v>5</v>
      </c>
      <c r="AD41" s="365">
        <v>5</v>
      </c>
      <c r="AE41" s="365">
        <v>5</v>
      </c>
      <c r="AF41" s="395">
        <v>5</v>
      </c>
      <c r="AG41" s="34" t="str">
        <f t="shared" si="19"/>
        <v>1.01 &gt; Benchmark</v>
      </c>
      <c r="AH41" s="85">
        <f t="shared" si="23"/>
        <v>27</v>
      </c>
      <c r="AI41" s="85">
        <f t="shared" si="24"/>
        <v>1</v>
      </c>
      <c r="AJ41" s="871" t="s">
        <v>1526</v>
      </c>
    </row>
    <row r="42" spans="1:36" x14ac:dyDescent="0.2">
      <c r="A42" s="587">
        <f>INDEX(Country!$F$31:$G$76, MATCH(AI42, Country!$O$31:$O$76, 0), 1)</f>
        <v>1.02</v>
      </c>
      <c r="B42" s="588" t="str">
        <f>INDEX(Country!$F$31:$G$76, MATCH(AI42, Country!$O$31:$O$76, 0), 2)</f>
        <v>Power sector structure</v>
      </c>
      <c r="C42" s="589" t="str">
        <f>INDEX(Country!$K$31:$K$76, MATCH(AI42, Country!$O$31:$O$76, 0), 1)</f>
        <v>Questions</v>
      </c>
      <c r="D42" s="590" t="str">
        <f>D15</f>
        <v>Argentina</v>
      </c>
      <c r="E42" s="591">
        <v>8</v>
      </c>
      <c r="F42" s="591">
        <v>8</v>
      </c>
      <c r="G42" s="591">
        <v>8</v>
      </c>
      <c r="H42" s="591">
        <v>8</v>
      </c>
      <c r="I42" s="591">
        <v>8</v>
      </c>
      <c r="J42" s="591">
        <v>8</v>
      </c>
      <c r="K42" s="592">
        <v>6</v>
      </c>
      <c r="L42" s="580">
        <f t="shared" si="9"/>
        <v>80</v>
      </c>
      <c r="M42" s="581">
        <f t="shared" si="10"/>
        <v>80</v>
      </c>
      <c r="N42" s="581">
        <f t="shared" si="11"/>
        <v>80</v>
      </c>
      <c r="O42" s="581">
        <f t="shared" si="12"/>
        <v>80</v>
      </c>
      <c r="P42" s="581">
        <f t="shared" si="13"/>
        <v>80</v>
      </c>
      <c r="Q42" s="581">
        <f t="shared" si="14"/>
        <v>80</v>
      </c>
      <c r="R42" s="582">
        <f t="shared" si="15"/>
        <v>60</v>
      </c>
      <c r="S42" s="455"/>
      <c r="T42" s="456"/>
      <c r="U42" s="456"/>
      <c r="V42" s="456"/>
      <c r="W42" s="456"/>
      <c r="X42" s="456"/>
      <c r="Y42" s="456"/>
      <c r="Z42" s="472">
        <f t="shared" ref="Z42:Z67" si="30">AA42</f>
        <v>4</v>
      </c>
      <c r="AA42" s="378">
        <f t="shared" ref="AA42:AA67" si="31">AB42</f>
        <v>4</v>
      </c>
      <c r="AB42" s="378">
        <f t="shared" ref="AB42:AB67" si="32">AC42</f>
        <v>4</v>
      </c>
      <c r="AC42" s="78">
        <f>AD42</f>
        <v>4</v>
      </c>
      <c r="AD42" s="78">
        <f>AE42</f>
        <v>4</v>
      </c>
      <c r="AE42" s="78">
        <v>4</v>
      </c>
      <c r="AF42" s="487">
        <v>3</v>
      </c>
      <c r="AG42" s="396" t="str">
        <f t="shared" si="19"/>
        <v>1.02 &gt; Argentina</v>
      </c>
      <c r="AH42" s="397">
        <f t="shared" si="23"/>
        <v>28</v>
      </c>
      <c r="AI42" s="397">
        <f t="shared" si="24"/>
        <v>2</v>
      </c>
      <c r="AJ42" s="879" t="s">
        <v>1526</v>
      </c>
    </row>
    <row r="43" spans="1:36" x14ac:dyDescent="0.2">
      <c r="A43" s="492">
        <f>INDEX(Country!$F$31:$G$76, MATCH(AI43, Country!$O$31:$O$76, 0), 1)</f>
        <v>1.02</v>
      </c>
      <c r="B43" s="2" t="str">
        <f>INDEX(Country!$F$31:$G$76, MATCH(AI43, Country!$O$31:$O$76, 0), 2)</f>
        <v>Power sector structure</v>
      </c>
      <c r="C43" s="436" t="str">
        <f>INDEX(Country!$K$31:$K$76, MATCH(AI43, Country!$O$31:$O$76, 0), 1)</f>
        <v>Questions</v>
      </c>
      <c r="D43" s="4" t="str">
        <f t="shared" ref="D43:D106" si="33">D16</f>
        <v>Bahamas</v>
      </c>
      <c r="E43" s="77">
        <v>2</v>
      </c>
      <c r="F43" s="77">
        <v>2</v>
      </c>
      <c r="G43" s="77">
        <v>2</v>
      </c>
      <c r="H43" s="77">
        <v>2</v>
      </c>
      <c r="I43" s="77">
        <v>2</v>
      </c>
      <c r="J43" s="77">
        <v>2</v>
      </c>
      <c r="K43" s="17">
        <v>1</v>
      </c>
      <c r="L43" s="457">
        <f t="shared" si="9"/>
        <v>20</v>
      </c>
      <c r="M43" s="458">
        <f t="shared" si="10"/>
        <v>20</v>
      </c>
      <c r="N43" s="458">
        <f t="shared" si="11"/>
        <v>20</v>
      </c>
      <c r="O43" s="458">
        <f t="shared" si="12"/>
        <v>20</v>
      </c>
      <c r="P43" s="458">
        <f t="shared" si="13"/>
        <v>20</v>
      </c>
      <c r="Q43" s="458">
        <f t="shared" si="14"/>
        <v>20</v>
      </c>
      <c r="R43" s="459">
        <f t="shared" si="15"/>
        <v>5</v>
      </c>
      <c r="S43" s="455"/>
      <c r="T43" s="456"/>
      <c r="U43" s="456"/>
      <c r="V43" s="456"/>
      <c r="W43" s="456"/>
      <c r="X43" s="456"/>
      <c r="Y43" s="456"/>
      <c r="Z43" s="79">
        <f t="shared" si="30"/>
        <v>1</v>
      </c>
      <c r="AA43" s="78">
        <f t="shared" si="31"/>
        <v>1</v>
      </c>
      <c r="AB43" s="78">
        <f t="shared" si="32"/>
        <v>1</v>
      </c>
      <c r="AC43" s="78">
        <f t="shared" ref="AC43:AC67" si="34">AD43</f>
        <v>1</v>
      </c>
      <c r="AD43" s="78">
        <f t="shared" ref="AD43:AD67" si="35">AE43</f>
        <v>1</v>
      </c>
      <c r="AE43" s="78">
        <v>1</v>
      </c>
      <c r="AF43" s="80">
        <v>0.25</v>
      </c>
      <c r="AG43" s="33" t="str">
        <f t="shared" si="19"/>
        <v>1.02 &gt; Bahamas</v>
      </c>
      <c r="AH43" s="84">
        <f t="shared" si="23"/>
        <v>29</v>
      </c>
      <c r="AI43" s="84">
        <f t="shared" si="24"/>
        <v>2</v>
      </c>
      <c r="AJ43" s="877" t="s">
        <v>1526</v>
      </c>
    </row>
    <row r="44" spans="1:36" x14ac:dyDescent="0.2">
      <c r="A44" s="492">
        <f>INDEX(Country!$F$31:$G$76, MATCH(AI44, Country!$O$31:$O$76, 0), 1)</f>
        <v>1.02</v>
      </c>
      <c r="B44" s="2" t="str">
        <f>INDEX(Country!$F$31:$G$76, MATCH(AI44, Country!$O$31:$O$76, 0), 2)</f>
        <v>Power sector structure</v>
      </c>
      <c r="C44" s="436" t="str">
        <f>INDEX(Country!$K$31:$K$76, MATCH(AI44, Country!$O$31:$O$76, 0), 1)</f>
        <v>Questions</v>
      </c>
      <c r="D44" s="4" t="str">
        <f t="shared" si="33"/>
        <v>Barbados</v>
      </c>
      <c r="E44" s="77">
        <v>1</v>
      </c>
      <c r="F44" s="77">
        <v>1</v>
      </c>
      <c r="G44" s="77">
        <v>1</v>
      </c>
      <c r="H44" s="77">
        <v>1</v>
      </c>
      <c r="I44" s="77">
        <v>1</v>
      </c>
      <c r="J44" s="77">
        <v>1</v>
      </c>
      <c r="K44" s="17">
        <v>1</v>
      </c>
      <c r="L44" s="457">
        <f t="shared" si="9"/>
        <v>10</v>
      </c>
      <c r="M44" s="458">
        <f t="shared" si="10"/>
        <v>10</v>
      </c>
      <c r="N44" s="458">
        <f t="shared" si="11"/>
        <v>10</v>
      </c>
      <c r="O44" s="458">
        <f t="shared" si="12"/>
        <v>10</v>
      </c>
      <c r="P44" s="458">
        <f t="shared" si="13"/>
        <v>10</v>
      </c>
      <c r="Q44" s="458">
        <f t="shared" si="14"/>
        <v>10</v>
      </c>
      <c r="R44" s="459">
        <f t="shared" si="15"/>
        <v>5</v>
      </c>
      <c r="S44" s="455"/>
      <c r="T44" s="456"/>
      <c r="U44" s="456"/>
      <c r="V44" s="456"/>
      <c r="W44" s="456"/>
      <c r="X44" s="456"/>
      <c r="Y44" s="456"/>
      <c r="Z44" s="79">
        <f t="shared" si="30"/>
        <v>0.5</v>
      </c>
      <c r="AA44" s="78">
        <f t="shared" si="31"/>
        <v>0.5</v>
      </c>
      <c r="AB44" s="78">
        <f t="shared" si="32"/>
        <v>0.5</v>
      </c>
      <c r="AC44" s="78">
        <f t="shared" si="34"/>
        <v>0.5</v>
      </c>
      <c r="AD44" s="78">
        <f t="shared" si="35"/>
        <v>0.5</v>
      </c>
      <c r="AE44" s="78">
        <v>0.5</v>
      </c>
      <c r="AF44" s="80">
        <v>0.25</v>
      </c>
      <c r="AG44" s="33" t="str">
        <f t="shared" si="19"/>
        <v>1.02 &gt; Barbados</v>
      </c>
      <c r="AH44" s="84">
        <f t="shared" si="23"/>
        <v>30</v>
      </c>
      <c r="AI44" s="84">
        <f t="shared" si="24"/>
        <v>2</v>
      </c>
      <c r="AJ44" s="877" t="s">
        <v>1526</v>
      </c>
    </row>
    <row r="45" spans="1:36" x14ac:dyDescent="0.2">
      <c r="A45" s="492">
        <f>INDEX(Country!$F$31:$G$76, MATCH(AI45, Country!$O$31:$O$76, 0), 1)</f>
        <v>1.02</v>
      </c>
      <c r="B45" s="2" t="str">
        <f>INDEX(Country!$F$31:$G$76, MATCH(AI45, Country!$O$31:$O$76, 0), 2)</f>
        <v>Power sector structure</v>
      </c>
      <c r="C45" s="436" t="str">
        <f>INDEX(Country!$K$31:$K$76, MATCH(AI45, Country!$O$31:$O$76, 0), 1)</f>
        <v>Questions</v>
      </c>
      <c r="D45" s="4" t="str">
        <f t="shared" si="33"/>
        <v>Belize</v>
      </c>
      <c r="E45" s="77">
        <v>1</v>
      </c>
      <c r="F45" s="77">
        <v>1</v>
      </c>
      <c r="G45" s="77">
        <v>1</v>
      </c>
      <c r="H45" s="77">
        <v>1</v>
      </c>
      <c r="I45" s="77">
        <v>1</v>
      </c>
      <c r="J45" s="77">
        <v>1</v>
      </c>
      <c r="K45" s="17">
        <v>1</v>
      </c>
      <c r="L45" s="457">
        <f t="shared" si="9"/>
        <v>10</v>
      </c>
      <c r="M45" s="458">
        <f t="shared" si="10"/>
        <v>10</v>
      </c>
      <c r="N45" s="458">
        <f t="shared" si="11"/>
        <v>10</v>
      </c>
      <c r="O45" s="458">
        <f t="shared" si="12"/>
        <v>10</v>
      </c>
      <c r="P45" s="458">
        <f t="shared" si="13"/>
        <v>10</v>
      </c>
      <c r="Q45" s="458">
        <f t="shared" si="14"/>
        <v>10</v>
      </c>
      <c r="R45" s="459">
        <f t="shared" si="15"/>
        <v>5</v>
      </c>
      <c r="S45" s="455"/>
      <c r="T45" s="456"/>
      <c r="U45" s="456"/>
      <c r="V45" s="456"/>
      <c r="W45" s="456"/>
      <c r="X45" s="456"/>
      <c r="Y45" s="456"/>
      <c r="Z45" s="79">
        <f t="shared" si="30"/>
        <v>0.5</v>
      </c>
      <c r="AA45" s="78">
        <f t="shared" si="31"/>
        <v>0.5</v>
      </c>
      <c r="AB45" s="78">
        <f t="shared" si="32"/>
        <v>0.5</v>
      </c>
      <c r="AC45" s="78">
        <f t="shared" si="34"/>
        <v>0.5</v>
      </c>
      <c r="AD45" s="78">
        <f t="shared" si="35"/>
        <v>0.5</v>
      </c>
      <c r="AE45" s="78">
        <v>0.5</v>
      </c>
      <c r="AF45" s="80">
        <v>0.25</v>
      </c>
      <c r="AG45" s="33" t="str">
        <f t="shared" si="19"/>
        <v>1.02 &gt; Belize</v>
      </c>
      <c r="AH45" s="84">
        <f t="shared" si="23"/>
        <v>31</v>
      </c>
      <c r="AI45" s="84">
        <f t="shared" si="24"/>
        <v>2</v>
      </c>
      <c r="AJ45" s="877" t="s">
        <v>1526</v>
      </c>
    </row>
    <row r="46" spans="1:36" x14ac:dyDescent="0.2">
      <c r="A46" s="492">
        <f>INDEX(Country!$F$31:$G$76, MATCH(AI46, Country!$O$31:$O$76, 0), 1)</f>
        <v>1.02</v>
      </c>
      <c r="B46" s="2" t="str">
        <f>INDEX(Country!$F$31:$G$76, MATCH(AI46, Country!$O$31:$O$76, 0), 2)</f>
        <v>Power sector structure</v>
      </c>
      <c r="C46" s="436" t="str">
        <f>INDEX(Country!$K$31:$K$76, MATCH(AI46, Country!$O$31:$O$76, 0), 1)</f>
        <v>Questions</v>
      </c>
      <c r="D46" s="4" t="str">
        <f t="shared" si="33"/>
        <v>Bolivia</v>
      </c>
      <c r="E46" s="77">
        <v>5</v>
      </c>
      <c r="F46" s="77">
        <v>5</v>
      </c>
      <c r="G46" s="77">
        <v>5</v>
      </c>
      <c r="H46" s="77">
        <v>5</v>
      </c>
      <c r="I46" s="77">
        <v>5</v>
      </c>
      <c r="J46" s="77">
        <v>5</v>
      </c>
      <c r="K46" s="17">
        <v>5</v>
      </c>
      <c r="L46" s="457">
        <f t="shared" si="9"/>
        <v>50</v>
      </c>
      <c r="M46" s="458">
        <f t="shared" si="10"/>
        <v>50</v>
      </c>
      <c r="N46" s="458">
        <f t="shared" si="11"/>
        <v>50</v>
      </c>
      <c r="O46" s="458">
        <f t="shared" si="12"/>
        <v>50</v>
      </c>
      <c r="P46" s="458">
        <f t="shared" si="13"/>
        <v>50</v>
      </c>
      <c r="Q46" s="458">
        <f t="shared" si="14"/>
        <v>50</v>
      </c>
      <c r="R46" s="459">
        <f t="shared" si="15"/>
        <v>45</v>
      </c>
      <c r="S46" s="455"/>
      <c r="T46" s="456"/>
      <c r="U46" s="456"/>
      <c r="V46" s="456"/>
      <c r="W46" s="456"/>
      <c r="X46" s="456"/>
      <c r="Y46" s="456"/>
      <c r="Z46" s="79">
        <f t="shared" si="30"/>
        <v>2.5</v>
      </c>
      <c r="AA46" s="78">
        <f t="shared" si="31"/>
        <v>2.5</v>
      </c>
      <c r="AB46" s="78">
        <f t="shared" si="32"/>
        <v>2.5</v>
      </c>
      <c r="AC46" s="78">
        <f t="shared" si="34"/>
        <v>2.5</v>
      </c>
      <c r="AD46" s="78">
        <f t="shared" si="35"/>
        <v>2.5</v>
      </c>
      <c r="AE46" s="78">
        <v>2.5</v>
      </c>
      <c r="AF46" s="80">
        <v>2.25</v>
      </c>
      <c r="AG46" s="33" t="str">
        <f t="shared" si="19"/>
        <v>1.02 &gt; Bolivia</v>
      </c>
      <c r="AH46" s="84">
        <f t="shared" si="23"/>
        <v>32</v>
      </c>
      <c r="AI46" s="84">
        <f t="shared" si="24"/>
        <v>2</v>
      </c>
      <c r="AJ46" s="877" t="s">
        <v>1526</v>
      </c>
    </row>
    <row r="47" spans="1:36" x14ac:dyDescent="0.2">
      <c r="A47" s="492">
        <f>INDEX(Country!$F$31:$G$76, MATCH(AI47, Country!$O$31:$O$76, 0), 1)</f>
        <v>1.02</v>
      </c>
      <c r="B47" s="2" t="str">
        <f>INDEX(Country!$F$31:$G$76, MATCH(AI47, Country!$O$31:$O$76, 0), 2)</f>
        <v>Power sector structure</v>
      </c>
      <c r="C47" s="436" t="str">
        <f>INDEX(Country!$K$31:$K$76, MATCH(AI47, Country!$O$31:$O$76, 0), 1)</f>
        <v>Questions</v>
      </c>
      <c r="D47" s="4" t="str">
        <f t="shared" si="33"/>
        <v>Brazil</v>
      </c>
      <c r="E47" s="77">
        <v>9</v>
      </c>
      <c r="F47" s="77">
        <v>9</v>
      </c>
      <c r="G47" s="77">
        <v>9</v>
      </c>
      <c r="H47" s="77">
        <v>9</v>
      </c>
      <c r="I47" s="77">
        <v>9</v>
      </c>
      <c r="J47" s="77">
        <v>9</v>
      </c>
      <c r="K47" s="17">
        <v>8</v>
      </c>
      <c r="L47" s="457">
        <f t="shared" ref="L47:L67" si="36">(Z47/5)*dbl_BenchmarkMax</f>
        <v>90</v>
      </c>
      <c r="M47" s="458">
        <f t="shared" ref="M47:M67" si="37">(AA47/5)*dbl_BenchmarkMax</f>
        <v>90</v>
      </c>
      <c r="N47" s="458">
        <f t="shared" si="11"/>
        <v>90</v>
      </c>
      <c r="O47" s="458">
        <f t="shared" si="12"/>
        <v>90</v>
      </c>
      <c r="P47" s="458">
        <f t="shared" si="13"/>
        <v>90</v>
      </c>
      <c r="Q47" s="458">
        <f t="shared" si="14"/>
        <v>90</v>
      </c>
      <c r="R47" s="459">
        <f t="shared" si="15"/>
        <v>75</v>
      </c>
      <c r="S47" s="455"/>
      <c r="T47" s="456"/>
      <c r="U47" s="456"/>
      <c r="V47" s="456"/>
      <c r="W47" s="456"/>
      <c r="X47" s="456"/>
      <c r="Y47" s="456"/>
      <c r="Z47" s="79">
        <f t="shared" si="30"/>
        <v>4.5</v>
      </c>
      <c r="AA47" s="78">
        <f t="shared" si="31"/>
        <v>4.5</v>
      </c>
      <c r="AB47" s="78">
        <f t="shared" si="32"/>
        <v>4.5</v>
      </c>
      <c r="AC47" s="78">
        <f t="shared" si="34"/>
        <v>4.5</v>
      </c>
      <c r="AD47" s="78">
        <f t="shared" si="35"/>
        <v>4.5</v>
      </c>
      <c r="AE47" s="78">
        <v>4.5</v>
      </c>
      <c r="AF47" s="80">
        <v>3.75</v>
      </c>
      <c r="AG47" s="33" t="str">
        <f t="shared" si="19"/>
        <v>1.02 &gt; Brazil</v>
      </c>
      <c r="AH47" s="84">
        <f t="shared" si="23"/>
        <v>33</v>
      </c>
      <c r="AI47" s="84">
        <f t="shared" si="24"/>
        <v>2</v>
      </c>
      <c r="AJ47" s="877" t="s">
        <v>1526</v>
      </c>
    </row>
    <row r="48" spans="1:36" x14ac:dyDescent="0.2">
      <c r="A48" s="492">
        <f>INDEX(Country!$F$31:$G$76, MATCH(AI48, Country!$O$31:$O$76, 0), 1)</f>
        <v>1.02</v>
      </c>
      <c r="B48" s="2" t="str">
        <f>INDEX(Country!$F$31:$G$76, MATCH(AI48, Country!$O$31:$O$76, 0), 2)</f>
        <v>Power sector structure</v>
      </c>
      <c r="C48" s="436" t="str">
        <f>INDEX(Country!$K$31:$K$76, MATCH(AI48, Country!$O$31:$O$76, 0), 1)</f>
        <v>Questions</v>
      </c>
      <c r="D48" s="4" t="str">
        <f t="shared" si="33"/>
        <v>Chile</v>
      </c>
      <c r="E48" s="77">
        <v>9</v>
      </c>
      <c r="F48" s="77">
        <v>9</v>
      </c>
      <c r="G48" s="77">
        <v>9</v>
      </c>
      <c r="H48" s="77">
        <v>9</v>
      </c>
      <c r="I48" s="77">
        <v>9</v>
      </c>
      <c r="J48" s="77">
        <v>9</v>
      </c>
      <c r="K48" s="17">
        <v>8</v>
      </c>
      <c r="L48" s="457">
        <f t="shared" si="36"/>
        <v>90</v>
      </c>
      <c r="M48" s="458">
        <f t="shared" si="37"/>
        <v>90</v>
      </c>
      <c r="N48" s="458">
        <f t="shared" si="11"/>
        <v>90</v>
      </c>
      <c r="O48" s="458">
        <f t="shared" si="12"/>
        <v>90</v>
      </c>
      <c r="P48" s="458">
        <f t="shared" si="13"/>
        <v>90</v>
      </c>
      <c r="Q48" s="458">
        <f t="shared" si="14"/>
        <v>90</v>
      </c>
      <c r="R48" s="459">
        <f t="shared" si="15"/>
        <v>80</v>
      </c>
      <c r="S48" s="455"/>
      <c r="T48" s="456"/>
      <c r="U48" s="456"/>
      <c r="V48" s="456"/>
      <c r="W48" s="456"/>
      <c r="X48" s="456"/>
      <c r="Y48" s="456"/>
      <c r="Z48" s="79">
        <f t="shared" si="30"/>
        <v>4.5</v>
      </c>
      <c r="AA48" s="78">
        <f t="shared" si="31"/>
        <v>4.5</v>
      </c>
      <c r="AB48" s="78">
        <f t="shared" si="32"/>
        <v>4.5</v>
      </c>
      <c r="AC48" s="78">
        <f t="shared" si="34"/>
        <v>4.5</v>
      </c>
      <c r="AD48" s="78">
        <f t="shared" si="35"/>
        <v>4.5</v>
      </c>
      <c r="AE48" s="78">
        <v>4.5</v>
      </c>
      <c r="AF48" s="80">
        <v>4</v>
      </c>
      <c r="AG48" s="33" t="str">
        <f t="shared" si="19"/>
        <v>1.02 &gt; Chile</v>
      </c>
      <c r="AH48" s="84">
        <f t="shared" si="23"/>
        <v>34</v>
      </c>
      <c r="AI48" s="84">
        <f t="shared" si="24"/>
        <v>2</v>
      </c>
      <c r="AJ48" s="877" t="s">
        <v>1526</v>
      </c>
    </row>
    <row r="49" spans="1:36" x14ac:dyDescent="0.2">
      <c r="A49" s="492">
        <f>INDEX(Country!$F$31:$G$76, MATCH(AI49, Country!$O$31:$O$76, 0), 1)</f>
        <v>1.02</v>
      </c>
      <c r="B49" s="2" t="str">
        <f>INDEX(Country!$F$31:$G$76, MATCH(AI49, Country!$O$31:$O$76, 0), 2)</f>
        <v>Power sector structure</v>
      </c>
      <c r="C49" s="436" t="str">
        <f>INDEX(Country!$K$31:$K$76, MATCH(AI49, Country!$O$31:$O$76, 0), 1)</f>
        <v>Questions</v>
      </c>
      <c r="D49" s="4" t="str">
        <f t="shared" si="33"/>
        <v>Colombia</v>
      </c>
      <c r="E49" s="77">
        <v>9</v>
      </c>
      <c r="F49" s="77">
        <v>9</v>
      </c>
      <c r="G49" s="77">
        <v>9</v>
      </c>
      <c r="H49" s="77">
        <v>9</v>
      </c>
      <c r="I49" s="77">
        <v>9</v>
      </c>
      <c r="J49" s="77">
        <v>9</v>
      </c>
      <c r="K49" s="17">
        <v>6</v>
      </c>
      <c r="L49" s="457">
        <f t="shared" si="36"/>
        <v>90</v>
      </c>
      <c r="M49" s="458">
        <f t="shared" si="37"/>
        <v>90</v>
      </c>
      <c r="N49" s="458">
        <f t="shared" si="11"/>
        <v>90</v>
      </c>
      <c r="O49" s="458">
        <f t="shared" si="12"/>
        <v>90</v>
      </c>
      <c r="P49" s="458">
        <f t="shared" si="13"/>
        <v>90</v>
      </c>
      <c r="Q49" s="458">
        <f t="shared" si="14"/>
        <v>90</v>
      </c>
      <c r="R49" s="459">
        <f t="shared" si="15"/>
        <v>60</v>
      </c>
      <c r="S49" s="455"/>
      <c r="T49" s="456"/>
      <c r="U49" s="456"/>
      <c r="V49" s="456"/>
      <c r="W49" s="456"/>
      <c r="X49" s="456"/>
      <c r="Y49" s="456"/>
      <c r="Z49" s="79">
        <f t="shared" si="30"/>
        <v>4.5</v>
      </c>
      <c r="AA49" s="78">
        <f t="shared" si="31"/>
        <v>4.5</v>
      </c>
      <c r="AB49" s="78">
        <f t="shared" si="32"/>
        <v>4.5</v>
      </c>
      <c r="AC49" s="78">
        <f t="shared" si="34"/>
        <v>4.5</v>
      </c>
      <c r="AD49" s="78">
        <f t="shared" si="35"/>
        <v>4.5</v>
      </c>
      <c r="AE49" s="78">
        <v>4.5</v>
      </c>
      <c r="AF49" s="80">
        <v>3</v>
      </c>
      <c r="AG49" s="33" t="str">
        <f t="shared" si="19"/>
        <v>1.02 &gt; Colombia</v>
      </c>
      <c r="AH49" s="84">
        <f t="shared" si="23"/>
        <v>35</v>
      </c>
      <c r="AI49" s="84">
        <f t="shared" si="24"/>
        <v>2</v>
      </c>
      <c r="AJ49" s="877" t="s">
        <v>1526</v>
      </c>
    </row>
    <row r="50" spans="1:36" x14ac:dyDescent="0.2">
      <c r="A50" s="492">
        <f>INDEX(Country!$F$31:$G$76, MATCH(AI50, Country!$O$31:$O$76, 0), 1)</f>
        <v>1.02</v>
      </c>
      <c r="B50" s="2" t="str">
        <f>INDEX(Country!$F$31:$G$76, MATCH(AI50, Country!$O$31:$O$76, 0), 2)</f>
        <v>Power sector structure</v>
      </c>
      <c r="C50" s="436" t="str">
        <f>INDEX(Country!$K$31:$K$76, MATCH(AI50, Country!$O$31:$O$76, 0), 1)</f>
        <v>Questions</v>
      </c>
      <c r="D50" s="4" t="str">
        <f t="shared" si="33"/>
        <v>Costa Rica</v>
      </c>
      <c r="E50" s="77">
        <v>0</v>
      </c>
      <c r="F50" s="77">
        <v>0</v>
      </c>
      <c r="G50" s="77">
        <v>0</v>
      </c>
      <c r="H50" s="77">
        <v>0</v>
      </c>
      <c r="I50" s="77">
        <v>0</v>
      </c>
      <c r="J50" s="77">
        <v>0</v>
      </c>
      <c r="K50" s="17">
        <v>2</v>
      </c>
      <c r="L50" s="457">
        <f t="shared" si="36"/>
        <v>0</v>
      </c>
      <c r="M50" s="458">
        <f t="shared" si="37"/>
        <v>0</v>
      </c>
      <c r="N50" s="458">
        <f t="shared" si="11"/>
        <v>0</v>
      </c>
      <c r="O50" s="458">
        <f t="shared" si="12"/>
        <v>0</v>
      </c>
      <c r="P50" s="458">
        <f t="shared" si="13"/>
        <v>0</v>
      </c>
      <c r="Q50" s="458">
        <f t="shared" si="14"/>
        <v>0</v>
      </c>
      <c r="R50" s="459">
        <f t="shared" si="15"/>
        <v>15</v>
      </c>
      <c r="S50" s="455"/>
      <c r="T50" s="456"/>
      <c r="U50" s="456"/>
      <c r="V50" s="456"/>
      <c r="W50" s="456"/>
      <c r="X50" s="456"/>
      <c r="Y50" s="456"/>
      <c r="Z50" s="79">
        <f t="shared" si="30"/>
        <v>0</v>
      </c>
      <c r="AA50" s="78">
        <f t="shared" si="31"/>
        <v>0</v>
      </c>
      <c r="AB50" s="78">
        <f t="shared" si="32"/>
        <v>0</v>
      </c>
      <c r="AC50" s="78">
        <f t="shared" si="34"/>
        <v>0</v>
      </c>
      <c r="AD50" s="78">
        <f t="shared" si="35"/>
        <v>0</v>
      </c>
      <c r="AE50" s="78">
        <v>0</v>
      </c>
      <c r="AF50" s="80">
        <v>0.75</v>
      </c>
      <c r="AG50" s="33" t="str">
        <f t="shared" si="19"/>
        <v>1.02 &gt; Costa Rica</v>
      </c>
      <c r="AH50" s="84">
        <f t="shared" si="23"/>
        <v>36</v>
      </c>
      <c r="AI50" s="84">
        <f t="shared" si="24"/>
        <v>2</v>
      </c>
      <c r="AJ50" s="877" t="s">
        <v>1526</v>
      </c>
    </row>
    <row r="51" spans="1:36" x14ac:dyDescent="0.2">
      <c r="A51" s="492">
        <f>INDEX(Country!$F$31:$G$76, MATCH(AI51, Country!$O$31:$O$76, 0), 1)</f>
        <v>1.02</v>
      </c>
      <c r="B51" s="2" t="str">
        <f>INDEX(Country!$F$31:$G$76, MATCH(AI51, Country!$O$31:$O$76, 0), 2)</f>
        <v>Power sector structure</v>
      </c>
      <c r="C51" s="436" t="str">
        <f>INDEX(Country!$K$31:$K$76, MATCH(AI51, Country!$O$31:$O$76, 0), 1)</f>
        <v>Questions</v>
      </c>
      <c r="D51" s="4" t="str">
        <f t="shared" si="33"/>
        <v>Dominican Republic</v>
      </c>
      <c r="E51" s="77">
        <v>8</v>
      </c>
      <c r="F51" s="77">
        <v>8</v>
      </c>
      <c r="G51" s="77">
        <v>8</v>
      </c>
      <c r="H51" s="77">
        <v>8</v>
      </c>
      <c r="I51" s="77">
        <v>8</v>
      </c>
      <c r="J51" s="77">
        <v>8</v>
      </c>
      <c r="K51" s="17">
        <v>5</v>
      </c>
      <c r="L51" s="457">
        <f t="shared" si="36"/>
        <v>80</v>
      </c>
      <c r="M51" s="458">
        <f t="shared" si="37"/>
        <v>80</v>
      </c>
      <c r="N51" s="458">
        <f t="shared" si="11"/>
        <v>80</v>
      </c>
      <c r="O51" s="458">
        <f t="shared" si="12"/>
        <v>80</v>
      </c>
      <c r="P51" s="458">
        <f t="shared" si="13"/>
        <v>80</v>
      </c>
      <c r="Q51" s="458">
        <f t="shared" si="14"/>
        <v>80</v>
      </c>
      <c r="R51" s="459">
        <f t="shared" si="15"/>
        <v>45</v>
      </c>
      <c r="S51" s="455"/>
      <c r="T51" s="456"/>
      <c r="U51" s="456"/>
      <c r="V51" s="456"/>
      <c r="W51" s="456"/>
      <c r="X51" s="456"/>
      <c r="Y51" s="456"/>
      <c r="Z51" s="79">
        <f t="shared" si="30"/>
        <v>4</v>
      </c>
      <c r="AA51" s="78">
        <f t="shared" si="31"/>
        <v>4</v>
      </c>
      <c r="AB51" s="78">
        <f t="shared" si="32"/>
        <v>4</v>
      </c>
      <c r="AC51" s="78">
        <f t="shared" si="34"/>
        <v>4</v>
      </c>
      <c r="AD51" s="78">
        <f t="shared" si="35"/>
        <v>4</v>
      </c>
      <c r="AE51" s="78">
        <v>4</v>
      </c>
      <c r="AF51" s="80">
        <v>2.25</v>
      </c>
      <c r="AG51" s="33" t="str">
        <f t="shared" si="19"/>
        <v>1.02 &gt; Dominican Republic</v>
      </c>
      <c r="AH51" s="84">
        <f t="shared" si="23"/>
        <v>37</v>
      </c>
      <c r="AI51" s="84">
        <f t="shared" si="24"/>
        <v>2</v>
      </c>
      <c r="AJ51" s="877" t="s">
        <v>1526</v>
      </c>
    </row>
    <row r="52" spans="1:36" x14ac:dyDescent="0.2">
      <c r="A52" s="492">
        <f>INDEX(Country!$F$31:$G$76, MATCH(AI52, Country!$O$31:$O$76, 0), 1)</f>
        <v>1.02</v>
      </c>
      <c r="B52" s="2" t="str">
        <f>INDEX(Country!$F$31:$G$76, MATCH(AI52, Country!$O$31:$O$76, 0), 2)</f>
        <v>Power sector structure</v>
      </c>
      <c r="C52" s="436" t="str">
        <f>INDEX(Country!$K$31:$K$76, MATCH(AI52, Country!$O$31:$O$76, 0), 1)</f>
        <v>Questions</v>
      </c>
      <c r="D52" s="4" t="str">
        <f t="shared" si="33"/>
        <v>Ecuador</v>
      </c>
      <c r="E52" s="77">
        <v>4</v>
      </c>
      <c r="F52" s="77">
        <v>4</v>
      </c>
      <c r="G52" s="77">
        <v>4</v>
      </c>
      <c r="H52" s="77">
        <v>4</v>
      </c>
      <c r="I52" s="77">
        <v>4</v>
      </c>
      <c r="J52" s="77">
        <v>4</v>
      </c>
      <c r="K52" s="17">
        <v>6</v>
      </c>
      <c r="L52" s="457">
        <f t="shared" si="36"/>
        <v>40</v>
      </c>
      <c r="M52" s="458">
        <f t="shared" si="37"/>
        <v>40</v>
      </c>
      <c r="N52" s="458">
        <f t="shared" si="11"/>
        <v>40</v>
      </c>
      <c r="O52" s="458">
        <f t="shared" si="12"/>
        <v>40</v>
      </c>
      <c r="P52" s="458">
        <f t="shared" si="13"/>
        <v>40</v>
      </c>
      <c r="Q52" s="458">
        <f t="shared" si="14"/>
        <v>40</v>
      </c>
      <c r="R52" s="459">
        <f t="shared" si="15"/>
        <v>55.000000000000007</v>
      </c>
      <c r="S52" s="455"/>
      <c r="T52" s="456"/>
      <c r="U52" s="456"/>
      <c r="V52" s="456"/>
      <c r="W52" s="456"/>
      <c r="X52" s="456"/>
      <c r="Y52" s="456"/>
      <c r="Z52" s="79">
        <f t="shared" si="30"/>
        <v>2</v>
      </c>
      <c r="AA52" s="78">
        <f t="shared" si="31"/>
        <v>2</v>
      </c>
      <c r="AB52" s="78">
        <f t="shared" si="32"/>
        <v>2</v>
      </c>
      <c r="AC52" s="78">
        <f t="shared" si="34"/>
        <v>2</v>
      </c>
      <c r="AD52" s="78">
        <f t="shared" si="35"/>
        <v>2</v>
      </c>
      <c r="AE52" s="78">
        <v>2</v>
      </c>
      <c r="AF52" s="80">
        <v>2.75</v>
      </c>
      <c r="AG52" s="33" t="str">
        <f t="shared" si="19"/>
        <v>1.02 &gt; Ecuador</v>
      </c>
      <c r="AH52" s="84">
        <f t="shared" si="23"/>
        <v>38</v>
      </c>
      <c r="AI52" s="84">
        <f t="shared" si="24"/>
        <v>2</v>
      </c>
      <c r="AJ52" s="877" t="s">
        <v>1526</v>
      </c>
    </row>
    <row r="53" spans="1:36" x14ac:dyDescent="0.2">
      <c r="A53" s="492">
        <f>INDEX(Country!$F$31:$G$76, MATCH(AI53, Country!$O$31:$O$76, 0), 1)</f>
        <v>1.02</v>
      </c>
      <c r="B53" s="2" t="str">
        <f>INDEX(Country!$F$31:$G$76, MATCH(AI53, Country!$O$31:$O$76, 0), 2)</f>
        <v>Power sector structure</v>
      </c>
      <c r="C53" s="436" t="str">
        <f>INDEX(Country!$K$31:$K$76, MATCH(AI53, Country!$O$31:$O$76, 0), 1)</f>
        <v>Questions</v>
      </c>
      <c r="D53" s="4" t="str">
        <f t="shared" si="33"/>
        <v>El Salvador</v>
      </c>
      <c r="E53" s="77">
        <v>9</v>
      </c>
      <c r="F53" s="77">
        <v>9</v>
      </c>
      <c r="G53" s="77">
        <v>9</v>
      </c>
      <c r="H53" s="77">
        <v>9</v>
      </c>
      <c r="I53" s="77">
        <v>9</v>
      </c>
      <c r="J53" s="77">
        <v>9</v>
      </c>
      <c r="K53" s="17">
        <v>6</v>
      </c>
      <c r="L53" s="457">
        <f t="shared" si="36"/>
        <v>90</v>
      </c>
      <c r="M53" s="458">
        <f t="shared" si="37"/>
        <v>90</v>
      </c>
      <c r="N53" s="458">
        <f t="shared" si="11"/>
        <v>90</v>
      </c>
      <c r="O53" s="458">
        <f t="shared" si="12"/>
        <v>90</v>
      </c>
      <c r="P53" s="458">
        <f t="shared" si="13"/>
        <v>90</v>
      </c>
      <c r="Q53" s="458">
        <f t="shared" si="14"/>
        <v>90</v>
      </c>
      <c r="R53" s="459">
        <f t="shared" si="15"/>
        <v>55.000000000000007</v>
      </c>
      <c r="S53" s="455"/>
      <c r="T53" s="456"/>
      <c r="U53" s="456"/>
      <c r="V53" s="456"/>
      <c r="W53" s="456"/>
      <c r="X53" s="456"/>
      <c r="Y53" s="456"/>
      <c r="Z53" s="79">
        <f t="shared" si="30"/>
        <v>4.5</v>
      </c>
      <c r="AA53" s="78">
        <f t="shared" si="31"/>
        <v>4.5</v>
      </c>
      <c r="AB53" s="78">
        <f t="shared" si="32"/>
        <v>4.5</v>
      </c>
      <c r="AC53" s="78">
        <f t="shared" si="34"/>
        <v>4.5</v>
      </c>
      <c r="AD53" s="78">
        <f t="shared" si="35"/>
        <v>4.5</v>
      </c>
      <c r="AE53" s="78">
        <v>4.5</v>
      </c>
      <c r="AF53" s="80">
        <v>2.75</v>
      </c>
      <c r="AG53" s="33" t="str">
        <f t="shared" si="19"/>
        <v>1.02 &gt; El Salvador</v>
      </c>
      <c r="AH53" s="84">
        <f t="shared" si="23"/>
        <v>39</v>
      </c>
      <c r="AI53" s="84">
        <f t="shared" si="24"/>
        <v>2</v>
      </c>
      <c r="AJ53" s="877" t="s">
        <v>1526</v>
      </c>
    </row>
    <row r="54" spans="1:36" x14ac:dyDescent="0.2">
      <c r="A54" s="492">
        <f>INDEX(Country!$F$31:$G$76, MATCH(AI54, Country!$O$31:$O$76, 0), 1)</f>
        <v>1.02</v>
      </c>
      <c r="B54" s="2" t="str">
        <f>INDEX(Country!$F$31:$G$76, MATCH(AI54, Country!$O$31:$O$76, 0), 2)</f>
        <v>Power sector structure</v>
      </c>
      <c r="C54" s="436" t="str">
        <f>INDEX(Country!$K$31:$K$76, MATCH(AI54, Country!$O$31:$O$76, 0), 1)</f>
        <v>Questions</v>
      </c>
      <c r="D54" s="4" t="str">
        <f t="shared" si="33"/>
        <v>Guatemala</v>
      </c>
      <c r="E54" s="77">
        <v>8</v>
      </c>
      <c r="F54" s="77">
        <v>8</v>
      </c>
      <c r="G54" s="77">
        <v>8</v>
      </c>
      <c r="H54" s="77">
        <v>8</v>
      </c>
      <c r="I54" s="77">
        <v>8</v>
      </c>
      <c r="J54" s="77">
        <v>8</v>
      </c>
      <c r="K54" s="17">
        <v>6</v>
      </c>
      <c r="L54" s="457">
        <f t="shared" si="36"/>
        <v>80</v>
      </c>
      <c r="M54" s="458">
        <f t="shared" si="37"/>
        <v>80</v>
      </c>
      <c r="N54" s="458">
        <f t="shared" si="11"/>
        <v>80</v>
      </c>
      <c r="O54" s="458">
        <f t="shared" si="12"/>
        <v>80</v>
      </c>
      <c r="P54" s="458">
        <f t="shared" si="13"/>
        <v>80</v>
      </c>
      <c r="Q54" s="458">
        <f t="shared" si="14"/>
        <v>80</v>
      </c>
      <c r="R54" s="459">
        <f t="shared" si="15"/>
        <v>60</v>
      </c>
      <c r="S54" s="455"/>
      <c r="T54" s="456"/>
      <c r="U54" s="456"/>
      <c r="V54" s="456"/>
      <c r="W54" s="456"/>
      <c r="X54" s="456"/>
      <c r="Y54" s="456"/>
      <c r="Z54" s="79">
        <f t="shared" si="30"/>
        <v>4</v>
      </c>
      <c r="AA54" s="78">
        <f t="shared" si="31"/>
        <v>4</v>
      </c>
      <c r="AB54" s="78">
        <f t="shared" si="32"/>
        <v>4</v>
      </c>
      <c r="AC54" s="78">
        <f t="shared" si="34"/>
        <v>4</v>
      </c>
      <c r="AD54" s="78">
        <f t="shared" si="35"/>
        <v>4</v>
      </c>
      <c r="AE54" s="78">
        <v>4</v>
      </c>
      <c r="AF54" s="80">
        <v>3</v>
      </c>
      <c r="AG54" s="33" t="str">
        <f t="shared" si="19"/>
        <v>1.02 &gt; Guatemala</v>
      </c>
      <c r="AH54" s="84">
        <f t="shared" si="23"/>
        <v>40</v>
      </c>
      <c r="AI54" s="84">
        <f t="shared" si="24"/>
        <v>2</v>
      </c>
      <c r="AJ54" s="877" t="s">
        <v>1526</v>
      </c>
    </row>
    <row r="55" spans="1:36" x14ac:dyDescent="0.2">
      <c r="A55" s="492">
        <f>INDEX(Country!$F$31:$G$76, MATCH(AI55, Country!$O$31:$O$76, 0), 1)</f>
        <v>1.02</v>
      </c>
      <c r="B55" s="2" t="str">
        <f>INDEX(Country!$F$31:$G$76, MATCH(AI55, Country!$O$31:$O$76, 0), 2)</f>
        <v>Power sector structure</v>
      </c>
      <c r="C55" s="436" t="str">
        <f>INDEX(Country!$K$31:$K$76, MATCH(AI55, Country!$O$31:$O$76, 0), 1)</f>
        <v>Questions</v>
      </c>
      <c r="D55" s="4" t="str">
        <f t="shared" si="33"/>
        <v>Guyana</v>
      </c>
      <c r="E55" s="77">
        <v>2</v>
      </c>
      <c r="F55" s="77">
        <v>2</v>
      </c>
      <c r="G55" s="77">
        <v>2</v>
      </c>
      <c r="H55" s="77">
        <v>2</v>
      </c>
      <c r="I55" s="77">
        <v>2</v>
      </c>
      <c r="J55" s="77">
        <v>2</v>
      </c>
      <c r="K55" s="17">
        <v>0</v>
      </c>
      <c r="L55" s="457">
        <f t="shared" si="36"/>
        <v>20</v>
      </c>
      <c r="M55" s="458">
        <f t="shared" si="37"/>
        <v>20</v>
      </c>
      <c r="N55" s="458">
        <f t="shared" si="11"/>
        <v>20</v>
      </c>
      <c r="O55" s="458">
        <f t="shared" si="12"/>
        <v>20</v>
      </c>
      <c r="P55" s="458">
        <f t="shared" si="13"/>
        <v>20</v>
      </c>
      <c r="Q55" s="458">
        <f t="shared" si="14"/>
        <v>20</v>
      </c>
      <c r="R55" s="459">
        <f t="shared" si="15"/>
        <v>0</v>
      </c>
      <c r="S55" s="455"/>
      <c r="T55" s="456"/>
      <c r="U55" s="456"/>
      <c r="V55" s="456"/>
      <c r="W55" s="456"/>
      <c r="X55" s="456"/>
      <c r="Y55" s="456"/>
      <c r="Z55" s="79">
        <f t="shared" si="30"/>
        <v>1</v>
      </c>
      <c r="AA55" s="78">
        <f t="shared" si="31"/>
        <v>1</v>
      </c>
      <c r="AB55" s="78">
        <f t="shared" si="32"/>
        <v>1</v>
      </c>
      <c r="AC55" s="78">
        <f t="shared" si="34"/>
        <v>1</v>
      </c>
      <c r="AD55" s="78">
        <f t="shared" si="35"/>
        <v>1</v>
      </c>
      <c r="AE55" s="78">
        <v>1</v>
      </c>
      <c r="AF55" s="80">
        <v>0</v>
      </c>
      <c r="AG55" s="33" t="str">
        <f t="shared" si="19"/>
        <v>1.02 &gt; Guyana</v>
      </c>
      <c r="AH55" s="84">
        <f t="shared" si="23"/>
        <v>41</v>
      </c>
      <c r="AI55" s="84">
        <f t="shared" si="24"/>
        <v>2</v>
      </c>
      <c r="AJ55" s="877" t="s">
        <v>1526</v>
      </c>
    </row>
    <row r="56" spans="1:36" x14ac:dyDescent="0.2">
      <c r="A56" s="492">
        <f>INDEX(Country!$F$31:$G$76, MATCH(AI56, Country!$O$31:$O$76, 0), 1)</f>
        <v>1.02</v>
      </c>
      <c r="B56" s="2" t="str">
        <f>INDEX(Country!$F$31:$G$76, MATCH(AI56, Country!$O$31:$O$76, 0), 2)</f>
        <v>Power sector structure</v>
      </c>
      <c r="C56" s="436" t="str">
        <f>INDEX(Country!$K$31:$K$76, MATCH(AI56, Country!$O$31:$O$76, 0), 1)</f>
        <v>Questions</v>
      </c>
      <c r="D56" s="4" t="str">
        <f t="shared" si="33"/>
        <v>Haiti</v>
      </c>
      <c r="E56" s="77">
        <v>1</v>
      </c>
      <c r="F56" s="77">
        <v>1</v>
      </c>
      <c r="G56" s="77">
        <v>1</v>
      </c>
      <c r="H56" s="77">
        <v>1</v>
      </c>
      <c r="I56" s="77">
        <v>1</v>
      </c>
      <c r="J56" s="77">
        <v>1</v>
      </c>
      <c r="K56" s="17">
        <v>1</v>
      </c>
      <c r="L56" s="457">
        <f t="shared" si="36"/>
        <v>10</v>
      </c>
      <c r="M56" s="458">
        <f t="shared" si="37"/>
        <v>10</v>
      </c>
      <c r="N56" s="458">
        <f t="shared" si="11"/>
        <v>10</v>
      </c>
      <c r="O56" s="458">
        <f t="shared" si="12"/>
        <v>10</v>
      </c>
      <c r="P56" s="458">
        <f t="shared" si="13"/>
        <v>10</v>
      </c>
      <c r="Q56" s="458">
        <f t="shared" si="14"/>
        <v>10</v>
      </c>
      <c r="R56" s="459">
        <f t="shared" si="15"/>
        <v>5</v>
      </c>
      <c r="S56" s="455"/>
      <c r="T56" s="456"/>
      <c r="U56" s="456"/>
      <c r="V56" s="456"/>
      <c r="W56" s="456"/>
      <c r="X56" s="456"/>
      <c r="Y56" s="456"/>
      <c r="Z56" s="79">
        <f t="shared" si="30"/>
        <v>0.5</v>
      </c>
      <c r="AA56" s="78">
        <f t="shared" si="31"/>
        <v>0.5</v>
      </c>
      <c r="AB56" s="78">
        <f t="shared" si="32"/>
        <v>0.5</v>
      </c>
      <c r="AC56" s="78">
        <f t="shared" si="34"/>
        <v>0.5</v>
      </c>
      <c r="AD56" s="78">
        <f t="shared" si="35"/>
        <v>0.5</v>
      </c>
      <c r="AE56" s="78">
        <v>0.5</v>
      </c>
      <c r="AF56" s="80">
        <v>0.25</v>
      </c>
      <c r="AG56" s="33" t="str">
        <f t="shared" si="19"/>
        <v>1.02 &gt; Haiti</v>
      </c>
      <c r="AH56" s="84">
        <f t="shared" si="23"/>
        <v>42</v>
      </c>
      <c r="AI56" s="84">
        <f t="shared" si="24"/>
        <v>2</v>
      </c>
      <c r="AJ56" s="877" t="s">
        <v>1526</v>
      </c>
    </row>
    <row r="57" spans="1:36" x14ac:dyDescent="0.2">
      <c r="A57" s="492">
        <f>INDEX(Country!$F$31:$G$76, MATCH(AI57, Country!$O$31:$O$76, 0), 1)</f>
        <v>1.02</v>
      </c>
      <c r="B57" s="2" t="str">
        <f>INDEX(Country!$F$31:$G$76, MATCH(AI57, Country!$O$31:$O$76, 0), 2)</f>
        <v>Power sector structure</v>
      </c>
      <c r="C57" s="436" t="str">
        <f>INDEX(Country!$K$31:$K$76, MATCH(AI57, Country!$O$31:$O$76, 0), 1)</f>
        <v>Questions</v>
      </c>
      <c r="D57" s="4" t="str">
        <f t="shared" si="33"/>
        <v>Honduras</v>
      </c>
      <c r="E57" s="77">
        <v>0</v>
      </c>
      <c r="F57" s="77">
        <v>0</v>
      </c>
      <c r="G57" s="77">
        <v>0</v>
      </c>
      <c r="H57" s="77">
        <v>0</v>
      </c>
      <c r="I57" s="77">
        <v>0</v>
      </c>
      <c r="J57" s="77">
        <v>0</v>
      </c>
      <c r="K57" s="17">
        <v>2</v>
      </c>
      <c r="L57" s="457">
        <f t="shared" si="36"/>
        <v>0</v>
      </c>
      <c r="M57" s="458">
        <f t="shared" si="37"/>
        <v>0</v>
      </c>
      <c r="N57" s="458">
        <f t="shared" si="11"/>
        <v>0</v>
      </c>
      <c r="O57" s="458">
        <f t="shared" si="12"/>
        <v>0</v>
      </c>
      <c r="P57" s="458">
        <f t="shared" si="13"/>
        <v>0</v>
      </c>
      <c r="Q57" s="458">
        <f t="shared" si="14"/>
        <v>0</v>
      </c>
      <c r="R57" s="459">
        <f t="shared" si="15"/>
        <v>15</v>
      </c>
      <c r="S57" s="455"/>
      <c r="T57" s="456"/>
      <c r="U57" s="456"/>
      <c r="V57" s="456"/>
      <c r="W57" s="456"/>
      <c r="X57" s="456"/>
      <c r="Y57" s="456"/>
      <c r="Z57" s="79">
        <f t="shared" si="30"/>
        <v>0</v>
      </c>
      <c r="AA57" s="78">
        <f t="shared" si="31"/>
        <v>0</v>
      </c>
      <c r="AB57" s="78">
        <f t="shared" si="32"/>
        <v>0</v>
      </c>
      <c r="AC57" s="78">
        <f t="shared" si="34"/>
        <v>0</v>
      </c>
      <c r="AD57" s="78">
        <f t="shared" si="35"/>
        <v>0</v>
      </c>
      <c r="AE57" s="78">
        <v>0</v>
      </c>
      <c r="AF57" s="80">
        <v>0.75</v>
      </c>
      <c r="AG57" s="33" t="str">
        <f t="shared" si="19"/>
        <v>1.02 &gt; Honduras</v>
      </c>
      <c r="AH57" s="84">
        <f t="shared" si="23"/>
        <v>43</v>
      </c>
      <c r="AI57" s="84">
        <f t="shared" si="24"/>
        <v>2</v>
      </c>
      <c r="AJ57" s="877" t="s">
        <v>1526</v>
      </c>
    </row>
    <row r="58" spans="1:36" x14ac:dyDescent="0.2">
      <c r="A58" s="492">
        <f>INDEX(Country!$F$31:$G$76, MATCH(AI58, Country!$O$31:$O$76, 0), 1)</f>
        <v>1.02</v>
      </c>
      <c r="B58" s="2" t="str">
        <f>INDEX(Country!$F$31:$G$76, MATCH(AI58, Country!$O$31:$O$76, 0), 2)</f>
        <v>Power sector structure</v>
      </c>
      <c r="C58" s="436" t="str">
        <f>INDEX(Country!$K$31:$K$76, MATCH(AI58, Country!$O$31:$O$76, 0), 1)</f>
        <v>Questions</v>
      </c>
      <c r="D58" s="4" t="str">
        <f t="shared" si="33"/>
        <v>Jamaica</v>
      </c>
      <c r="E58" s="77">
        <v>2</v>
      </c>
      <c r="F58" s="77">
        <v>2</v>
      </c>
      <c r="G58" s="77">
        <v>2</v>
      </c>
      <c r="H58" s="77">
        <v>2</v>
      </c>
      <c r="I58" s="77">
        <v>2</v>
      </c>
      <c r="J58" s="77">
        <v>2</v>
      </c>
      <c r="K58" s="17">
        <v>2</v>
      </c>
      <c r="L58" s="457">
        <f t="shared" si="36"/>
        <v>20</v>
      </c>
      <c r="M58" s="458">
        <f t="shared" si="37"/>
        <v>20</v>
      </c>
      <c r="N58" s="458">
        <f t="shared" si="11"/>
        <v>20</v>
      </c>
      <c r="O58" s="458">
        <f t="shared" si="12"/>
        <v>20</v>
      </c>
      <c r="P58" s="458">
        <f t="shared" si="13"/>
        <v>20</v>
      </c>
      <c r="Q58" s="458">
        <f t="shared" si="14"/>
        <v>20</v>
      </c>
      <c r="R58" s="459">
        <f t="shared" si="15"/>
        <v>15</v>
      </c>
      <c r="S58" s="455"/>
      <c r="T58" s="456"/>
      <c r="U58" s="456"/>
      <c r="V58" s="456"/>
      <c r="W58" s="456"/>
      <c r="X58" s="456"/>
      <c r="Y58" s="456"/>
      <c r="Z58" s="79">
        <f t="shared" si="30"/>
        <v>1</v>
      </c>
      <c r="AA58" s="78">
        <f t="shared" si="31"/>
        <v>1</v>
      </c>
      <c r="AB58" s="78">
        <f t="shared" si="32"/>
        <v>1</v>
      </c>
      <c r="AC58" s="78">
        <f t="shared" si="34"/>
        <v>1</v>
      </c>
      <c r="AD58" s="78">
        <f t="shared" si="35"/>
        <v>1</v>
      </c>
      <c r="AE58" s="78">
        <v>1</v>
      </c>
      <c r="AF58" s="80">
        <v>0.75</v>
      </c>
      <c r="AG58" s="33" t="str">
        <f t="shared" si="19"/>
        <v>1.02 &gt; Jamaica</v>
      </c>
      <c r="AH58" s="84">
        <f t="shared" si="23"/>
        <v>44</v>
      </c>
      <c r="AI58" s="84">
        <f t="shared" si="24"/>
        <v>2</v>
      </c>
      <c r="AJ58" s="877" t="s">
        <v>1526</v>
      </c>
    </row>
    <row r="59" spans="1:36" x14ac:dyDescent="0.2">
      <c r="A59" s="492">
        <f>INDEX(Country!$F$31:$G$76, MATCH(AI59, Country!$O$31:$O$76, 0), 1)</f>
        <v>1.02</v>
      </c>
      <c r="B59" s="2" t="str">
        <f>INDEX(Country!$F$31:$G$76, MATCH(AI59, Country!$O$31:$O$76, 0), 2)</f>
        <v>Power sector structure</v>
      </c>
      <c r="C59" s="436" t="str">
        <f>INDEX(Country!$K$31:$K$76, MATCH(AI59, Country!$O$31:$O$76, 0), 1)</f>
        <v>Questions</v>
      </c>
      <c r="D59" s="4" t="str">
        <f t="shared" si="33"/>
        <v>Mexico</v>
      </c>
      <c r="E59" s="77">
        <v>0</v>
      </c>
      <c r="F59" s="77">
        <v>0</v>
      </c>
      <c r="G59" s="77">
        <v>0</v>
      </c>
      <c r="H59" s="77">
        <v>0</v>
      </c>
      <c r="I59" s="77">
        <v>0</v>
      </c>
      <c r="J59" s="77">
        <v>0</v>
      </c>
      <c r="K59" s="17">
        <v>2</v>
      </c>
      <c r="L59" s="457">
        <f t="shared" si="36"/>
        <v>0</v>
      </c>
      <c r="M59" s="458">
        <f t="shared" si="37"/>
        <v>0</v>
      </c>
      <c r="N59" s="458">
        <f t="shared" si="11"/>
        <v>0</v>
      </c>
      <c r="O59" s="458">
        <f t="shared" si="12"/>
        <v>0</v>
      </c>
      <c r="P59" s="458">
        <f t="shared" si="13"/>
        <v>0</v>
      </c>
      <c r="Q59" s="458">
        <f t="shared" si="14"/>
        <v>0</v>
      </c>
      <c r="R59" s="459">
        <f t="shared" si="15"/>
        <v>15</v>
      </c>
      <c r="S59" s="455"/>
      <c r="T59" s="456"/>
      <c r="U59" s="456"/>
      <c r="V59" s="456"/>
      <c r="W59" s="456"/>
      <c r="X59" s="456"/>
      <c r="Y59" s="456"/>
      <c r="Z59" s="79">
        <f t="shared" si="30"/>
        <v>0</v>
      </c>
      <c r="AA59" s="78">
        <f t="shared" si="31"/>
        <v>0</v>
      </c>
      <c r="AB59" s="78">
        <f t="shared" si="32"/>
        <v>0</v>
      </c>
      <c r="AC59" s="78">
        <f t="shared" si="34"/>
        <v>0</v>
      </c>
      <c r="AD59" s="78">
        <f t="shared" si="35"/>
        <v>0</v>
      </c>
      <c r="AE59" s="78">
        <v>0</v>
      </c>
      <c r="AF59" s="80">
        <v>0.75</v>
      </c>
      <c r="AG59" s="33" t="str">
        <f t="shared" si="19"/>
        <v>1.02 &gt; Mexico</v>
      </c>
      <c r="AH59" s="84">
        <f t="shared" si="23"/>
        <v>45</v>
      </c>
      <c r="AI59" s="84">
        <f t="shared" si="24"/>
        <v>2</v>
      </c>
      <c r="AJ59" s="877" t="s">
        <v>1526</v>
      </c>
    </row>
    <row r="60" spans="1:36" x14ac:dyDescent="0.2">
      <c r="A60" s="492">
        <f>INDEX(Country!$F$31:$G$76, MATCH(AI60, Country!$O$31:$O$76, 0), 1)</f>
        <v>1.02</v>
      </c>
      <c r="B60" s="2" t="str">
        <f>INDEX(Country!$F$31:$G$76, MATCH(AI60, Country!$O$31:$O$76, 0), 2)</f>
        <v>Power sector structure</v>
      </c>
      <c r="C60" s="436" t="str">
        <f>INDEX(Country!$K$31:$K$76, MATCH(AI60, Country!$O$31:$O$76, 0), 1)</f>
        <v>Questions</v>
      </c>
      <c r="D60" s="4" t="str">
        <f t="shared" si="33"/>
        <v>Nicaragua</v>
      </c>
      <c r="E60" s="77">
        <v>8</v>
      </c>
      <c r="F60" s="77">
        <v>8</v>
      </c>
      <c r="G60" s="77">
        <v>8</v>
      </c>
      <c r="H60" s="77">
        <v>8</v>
      </c>
      <c r="I60" s="77">
        <v>8</v>
      </c>
      <c r="J60" s="77">
        <v>8</v>
      </c>
      <c r="K60" s="17">
        <v>5</v>
      </c>
      <c r="L60" s="457">
        <f t="shared" si="36"/>
        <v>80</v>
      </c>
      <c r="M60" s="458">
        <f t="shared" si="37"/>
        <v>80</v>
      </c>
      <c r="N60" s="458">
        <f t="shared" si="11"/>
        <v>80</v>
      </c>
      <c r="O60" s="458">
        <f t="shared" si="12"/>
        <v>80</v>
      </c>
      <c r="P60" s="458">
        <f t="shared" si="13"/>
        <v>80</v>
      </c>
      <c r="Q60" s="458">
        <f t="shared" si="14"/>
        <v>80</v>
      </c>
      <c r="R60" s="459">
        <f t="shared" si="15"/>
        <v>45</v>
      </c>
      <c r="S60" s="455"/>
      <c r="T60" s="456"/>
      <c r="U60" s="456"/>
      <c r="V60" s="456"/>
      <c r="W60" s="456"/>
      <c r="X60" s="456"/>
      <c r="Y60" s="456"/>
      <c r="Z60" s="79">
        <f t="shared" si="30"/>
        <v>4</v>
      </c>
      <c r="AA60" s="78">
        <f t="shared" si="31"/>
        <v>4</v>
      </c>
      <c r="AB60" s="78">
        <f t="shared" si="32"/>
        <v>4</v>
      </c>
      <c r="AC60" s="78">
        <f t="shared" si="34"/>
        <v>4</v>
      </c>
      <c r="AD60" s="78">
        <f t="shared" si="35"/>
        <v>4</v>
      </c>
      <c r="AE60" s="78">
        <v>4</v>
      </c>
      <c r="AF60" s="80">
        <v>2.25</v>
      </c>
      <c r="AG60" s="33" t="str">
        <f t="shared" si="19"/>
        <v>1.02 &gt; Nicaragua</v>
      </c>
      <c r="AH60" s="84">
        <f t="shared" si="23"/>
        <v>46</v>
      </c>
      <c r="AI60" s="84">
        <f t="shared" si="24"/>
        <v>2</v>
      </c>
      <c r="AJ60" s="877" t="s">
        <v>1526</v>
      </c>
    </row>
    <row r="61" spans="1:36" x14ac:dyDescent="0.2">
      <c r="A61" s="492">
        <f>INDEX(Country!$F$31:$G$76, MATCH(AI61, Country!$O$31:$O$76, 0), 1)</f>
        <v>1.02</v>
      </c>
      <c r="B61" s="2" t="str">
        <f>INDEX(Country!$F$31:$G$76, MATCH(AI61, Country!$O$31:$O$76, 0), 2)</f>
        <v>Power sector structure</v>
      </c>
      <c r="C61" s="436" t="str">
        <f>INDEX(Country!$K$31:$K$76, MATCH(AI61, Country!$O$31:$O$76, 0), 1)</f>
        <v>Questions</v>
      </c>
      <c r="D61" s="4" t="str">
        <f t="shared" si="33"/>
        <v>Panama</v>
      </c>
      <c r="E61" s="77">
        <v>8</v>
      </c>
      <c r="F61" s="77">
        <v>8</v>
      </c>
      <c r="G61" s="77">
        <v>8</v>
      </c>
      <c r="H61" s="77">
        <v>8</v>
      </c>
      <c r="I61" s="77">
        <v>8</v>
      </c>
      <c r="J61" s="77">
        <v>8</v>
      </c>
      <c r="K61" s="17">
        <v>5</v>
      </c>
      <c r="L61" s="457">
        <f t="shared" si="36"/>
        <v>80</v>
      </c>
      <c r="M61" s="458">
        <f t="shared" si="37"/>
        <v>80</v>
      </c>
      <c r="N61" s="458">
        <f t="shared" si="11"/>
        <v>80</v>
      </c>
      <c r="O61" s="458">
        <f t="shared" si="12"/>
        <v>80</v>
      </c>
      <c r="P61" s="458">
        <f t="shared" si="13"/>
        <v>80</v>
      </c>
      <c r="Q61" s="458">
        <f t="shared" si="14"/>
        <v>80</v>
      </c>
      <c r="R61" s="459">
        <f t="shared" si="15"/>
        <v>50</v>
      </c>
      <c r="S61" s="455"/>
      <c r="T61" s="456"/>
      <c r="U61" s="456"/>
      <c r="V61" s="456"/>
      <c r="W61" s="456"/>
      <c r="X61" s="456"/>
      <c r="Y61" s="456"/>
      <c r="Z61" s="79">
        <f t="shared" si="30"/>
        <v>4</v>
      </c>
      <c r="AA61" s="78">
        <f t="shared" si="31"/>
        <v>4</v>
      </c>
      <c r="AB61" s="78">
        <f t="shared" si="32"/>
        <v>4</v>
      </c>
      <c r="AC61" s="78">
        <f t="shared" si="34"/>
        <v>4</v>
      </c>
      <c r="AD61" s="78">
        <f t="shared" si="35"/>
        <v>4</v>
      </c>
      <c r="AE61" s="78">
        <v>4</v>
      </c>
      <c r="AF61" s="80">
        <v>2.5</v>
      </c>
      <c r="AG61" s="33" t="str">
        <f t="shared" si="19"/>
        <v>1.02 &gt; Panama</v>
      </c>
      <c r="AH61" s="84">
        <f t="shared" si="23"/>
        <v>47</v>
      </c>
      <c r="AI61" s="84">
        <f t="shared" si="24"/>
        <v>2</v>
      </c>
      <c r="AJ61" s="877" t="s">
        <v>1526</v>
      </c>
    </row>
    <row r="62" spans="1:36" x14ac:dyDescent="0.2">
      <c r="A62" s="492">
        <f>INDEX(Country!$F$31:$G$76, MATCH(AI62, Country!$O$31:$O$76, 0), 1)</f>
        <v>1.02</v>
      </c>
      <c r="B62" s="2" t="str">
        <f>INDEX(Country!$F$31:$G$76, MATCH(AI62, Country!$O$31:$O$76, 0), 2)</f>
        <v>Power sector structure</v>
      </c>
      <c r="C62" s="436" t="str">
        <f>INDEX(Country!$K$31:$K$76, MATCH(AI62, Country!$O$31:$O$76, 0), 1)</f>
        <v>Questions</v>
      </c>
      <c r="D62" s="4" t="str">
        <f t="shared" si="33"/>
        <v>Paraguay</v>
      </c>
      <c r="E62" s="77">
        <v>0</v>
      </c>
      <c r="F62" s="77">
        <v>0</v>
      </c>
      <c r="G62" s="77">
        <v>0</v>
      </c>
      <c r="H62" s="77">
        <v>0</v>
      </c>
      <c r="I62" s="77">
        <v>0</v>
      </c>
      <c r="J62" s="77">
        <v>0</v>
      </c>
      <c r="K62" s="17">
        <v>1</v>
      </c>
      <c r="L62" s="457">
        <f t="shared" si="36"/>
        <v>0</v>
      </c>
      <c r="M62" s="458">
        <f t="shared" si="37"/>
        <v>0</v>
      </c>
      <c r="N62" s="458">
        <f t="shared" si="11"/>
        <v>0</v>
      </c>
      <c r="O62" s="458">
        <f t="shared" si="12"/>
        <v>0</v>
      </c>
      <c r="P62" s="458">
        <f t="shared" si="13"/>
        <v>0</v>
      </c>
      <c r="Q62" s="458">
        <f t="shared" si="14"/>
        <v>0</v>
      </c>
      <c r="R62" s="459">
        <f t="shared" si="15"/>
        <v>10</v>
      </c>
      <c r="S62" s="455"/>
      <c r="T62" s="456"/>
      <c r="U62" s="456"/>
      <c r="V62" s="456"/>
      <c r="W62" s="456"/>
      <c r="X62" s="456"/>
      <c r="Y62" s="456"/>
      <c r="Z62" s="79">
        <f t="shared" si="30"/>
        <v>0</v>
      </c>
      <c r="AA62" s="78">
        <f t="shared" si="31"/>
        <v>0</v>
      </c>
      <c r="AB62" s="78">
        <f t="shared" si="32"/>
        <v>0</v>
      </c>
      <c r="AC62" s="78">
        <f t="shared" si="34"/>
        <v>0</v>
      </c>
      <c r="AD62" s="78">
        <f t="shared" si="35"/>
        <v>0</v>
      </c>
      <c r="AE62" s="78">
        <v>0</v>
      </c>
      <c r="AF62" s="80">
        <v>0.5</v>
      </c>
      <c r="AG62" s="33" t="str">
        <f t="shared" si="19"/>
        <v>1.02 &gt; Paraguay</v>
      </c>
      <c r="AH62" s="84">
        <f t="shared" si="23"/>
        <v>48</v>
      </c>
      <c r="AI62" s="84">
        <f t="shared" si="24"/>
        <v>2</v>
      </c>
      <c r="AJ62" s="877" t="s">
        <v>1526</v>
      </c>
    </row>
    <row r="63" spans="1:36" x14ac:dyDescent="0.2">
      <c r="A63" s="492">
        <f>INDEX(Country!$F$31:$G$76, MATCH(AI63, Country!$O$31:$O$76, 0), 1)</f>
        <v>1.02</v>
      </c>
      <c r="B63" s="2" t="str">
        <f>INDEX(Country!$F$31:$G$76, MATCH(AI63, Country!$O$31:$O$76, 0), 2)</f>
        <v>Power sector structure</v>
      </c>
      <c r="C63" s="436" t="str">
        <f>INDEX(Country!$K$31:$K$76, MATCH(AI63, Country!$O$31:$O$76, 0), 1)</f>
        <v>Questions</v>
      </c>
      <c r="D63" s="4" t="str">
        <f t="shared" si="33"/>
        <v>Peru</v>
      </c>
      <c r="E63" s="77">
        <v>9</v>
      </c>
      <c r="F63" s="77">
        <v>9</v>
      </c>
      <c r="G63" s="77">
        <v>9</v>
      </c>
      <c r="H63" s="77">
        <v>9</v>
      </c>
      <c r="I63" s="77">
        <v>9</v>
      </c>
      <c r="J63" s="77">
        <v>9</v>
      </c>
      <c r="K63" s="17">
        <v>7</v>
      </c>
      <c r="L63" s="457">
        <f t="shared" si="36"/>
        <v>90</v>
      </c>
      <c r="M63" s="458">
        <f t="shared" si="37"/>
        <v>90</v>
      </c>
      <c r="N63" s="458">
        <f t="shared" si="11"/>
        <v>90</v>
      </c>
      <c r="O63" s="458">
        <f t="shared" si="12"/>
        <v>90</v>
      </c>
      <c r="P63" s="458">
        <f t="shared" si="13"/>
        <v>90</v>
      </c>
      <c r="Q63" s="458">
        <f t="shared" si="14"/>
        <v>90</v>
      </c>
      <c r="R63" s="459">
        <f t="shared" si="15"/>
        <v>65</v>
      </c>
      <c r="S63" s="455"/>
      <c r="T63" s="456"/>
      <c r="U63" s="456"/>
      <c r="V63" s="456"/>
      <c r="W63" s="456"/>
      <c r="X63" s="456"/>
      <c r="Y63" s="456"/>
      <c r="Z63" s="79">
        <f t="shared" si="30"/>
        <v>4.5</v>
      </c>
      <c r="AA63" s="78">
        <f t="shared" si="31"/>
        <v>4.5</v>
      </c>
      <c r="AB63" s="78">
        <f t="shared" si="32"/>
        <v>4.5</v>
      </c>
      <c r="AC63" s="78">
        <f t="shared" si="34"/>
        <v>4.5</v>
      </c>
      <c r="AD63" s="78">
        <f t="shared" si="35"/>
        <v>4.5</v>
      </c>
      <c r="AE63" s="78">
        <v>4.5</v>
      </c>
      <c r="AF63" s="80">
        <v>3.25</v>
      </c>
      <c r="AG63" s="33" t="str">
        <f t="shared" si="19"/>
        <v>1.02 &gt; Peru</v>
      </c>
      <c r="AH63" s="84">
        <f t="shared" si="23"/>
        <v>49</v>
      </c>
      <c r="AI63" s="84">
        <f t="shared" si="24"/>
        <v>2</v>
      </c>
      <c r="AJ63" s="877" t="s">
        <v>1526</v>
      </c>
    </row>
    <row r="64" spans="1:36" x14ac:dyDescent="0.2">
      <c r="A64" s="492">
        <f>INDEX(Country!$F$31:$G$76, MATCH(AI64, Country!$O$31:$O$76, 0), 1)</f>
        <v>1.02</v>
      </c>
      <c r="B64" s="2" t="str">
        <f>INDEX(Country!$F$31:$G$76, MATCH(AI64, Country!$O$31:$O$76, 0), 2)</f>
        <v>Power sector structure</v>
      </c>
      <c r="C64" s="436" t="str">
        <f>INDEX(Country!$K$31:$K$76, MATCH(AI64, Country!$O$31:$O$76, 0), 1)</f>
        <v>Questions</v>
      </c>
      <c r="D64" s="4" t="str">
        <f t="shared" si="33"/>
        <v>Suriname</v>
      </c>
      <c r="E64" s="77">
        <v>1</v>
      </c>
      <c r="F64" s="77">
        <v>1</v>
      </c>
      <c r="G64" s="77">
        <v>1</v>
      </c>
      <c r="H64" s="77">
        <v>1</v>
      </c>
      <c r="I64" s="77">
        <v>1</v>
      </c>
      <c r="J64" s="77">
        <v>1</v>
      </c>
      <c r="K64" s="17">
        <v>1</v>
      </c>
      <c r="L64" s="457">
        <f t="shared" si="36"/>
        <v>10</v>
      </c>
      <c r="M64" s="458">
        <f t="shared" si="37"/>
        <v>10</v>
      </c>
      <c r="N64" s="458">
        <f t="shared" si="11"/>
        <v>10</v>
      </c>
      <c r="O64" s="458">
        <f t="shared" si="12"/>
        <v>10</v>
      </c>
      <c r="P64" s="458">
        <f t="shared" si="13"/>
        <v>10</v>
      </c>
      <c r="Q64" s="458">
        <f t="shared" si="14"/>
        <v>10</v>
      </c>
      <c r="R64" s="459">
        <f t="shared" si="15"/>
        <v>10</v>
      </c>
      <c r="S64" s="455"/>
      <c r="T64" s="456"/>
      <c r="U64" s="456"/>
      <c r="V64" s="456"/>
      <c r="W64" s="456"/>
      <c r="X64" s="456"/>
      <c r="Y64" s="456"/>
      <c r="Z64" s="79">
        <f t="shared" si="30"/>
        <v>0.5</v>
      </c>
      <c r="AA64" s="78">
        <f t="shared" si="31"/>
        <v>0.5</v>
      </c>
      <c r="AB64" s="78">
        <f t="shared" si="32"/>
        <v>0.5</v>
      </c>
      <c r="AC64" s="78">
        <f t="shared" si="34"/>
        <v>0.5</v>
      </c>
      <c r="AD64" s="78">
        <f t="shared" si="35"/>
        <v>0.5</v>
      </c>
      <c r="AE64" s="78">
        <v>0.5</v>
      </c>
      <c r="AF64" s="80">
        <v>0.5</v>
      </c>
      <c r="AG64" s="33" t="str">
        <f t="shared" si="19"/>
        <v>1.02 &gt; Suriname</v>
      </c>
      <c r="AH64" s="84">
        <f t="shared" si="23"/>
        <v>50</v>
      </c>
      <c r="AI64" s="84">
        <f t="shared" si="24"/>
        <v>2</v>
      </c>
      <c r="AJ64" s="877" t="s">
        <v>1526</v>
      </c>
    </row>
    <row r="65" spans="1:36" x14ac:dyDescent="0.2">
      <c r="A65" s="492">
        <f>INDEX(Country!$F$31:$G$76, MATCH(AI65, Country!$O$31:$O$76, 0), 1)</f>
        <v>1.02</v>
      </c>
      <c r="B65" s="2" t="str">
        <f>INDEX(Country!$F$31:$G$76, MATCH(AI65, Country!$O$31:$O$76, 0), 2)</f>
        <v>Power sector structure</v>
      </c>
      <c r="C65" s="436" t="str">
        <f>INDEX(Country!$K$31:$K$76, MATCH(AI65, Country!$O$31:$O$76, 0), 1)</f>
        <v>Questions</v>
      </c>
      <c r="D65" s="4" t="str">
        <f t="shared" si="33"/>
        <v>Trinidad &amp; Tobago</v>
      </c>
      <c r="E65" s="77">
        <v>2</v>
      </c>
      <c r="F65" s="77">
        <v>2</v>
      </c>
      <c r="G65" s="77">
        <v>2</v>
      </c>
      <c r="H65" s="77">
        <v>2</v>
      </c>
      <c r="I65" s="77">
        <v>2</v>
      </c>
      <c r="J65" s="77">
        <v>2</v>
      </c>
      <c r="K65" s="17">
        <v>2</v>
      </c>
      <c r="L65" s="457">
        <f t="shared" si="36"/>
        <v>20</v>
      </c>
      <c r="M65" s="458">
        <f t="shared" si="37"/>
        <v>20</v>
      </c>
      <c r="N65" s="458">
        <f t="shared" si="11"/>
        <v>20</v>
      </c>
      <c r="O65" s="458">
        <f t="shared" si="12"/>
        <v>20</v>
      </c>
      <c r="P65" s="458">
        <f t="shared" si="13"/>
        <v>20</v>
      </c>
      <c r="Q65" s="458">
        <f t="shared" si="14"/>
        <v>20</v>
      </c>
      <c r="R65" s="459">
        <f t="shared" si="15"/>
        <v>15</v>
      </c>
      <c r="S65" s="455"/>
      <c r="T65" s="456"/>
      <c r="U65" s="456"/>
      <c r="V65" s="456"/>
      <c r="W65" s="456"/>
      <c r="X65" s="456"/>
      <c r="Y65" s="456"/>
      <c r="Z65" s="79">
        <f t="shared" si="30"/>
        <v>1</v>
      </c>
      <c r="AA65" s="78">
        <f t="shared" si="31"/>
        <v>1</v>
      </c>
      <c r="AB65" s="78">
        <f t="shared" si="32"/>
        <v>1</v>
      </c>
      <c r="AC65" s="78">
        <f t="shared" si="34"/>
        <v>1</v>
      </c>
      <c r="AD65" s="78">
        <f t="shared" si="35"/>
        <v>1</v>
      </c>
      <c r="AE65" s="78">
        <v>1</v>
      </c>
      <c r="AF65" s="80">
        <v>0.75</v>
      </c>
      <c r="AG65" s="33" t="str">
        <f t="shared" si="19"/>
        <v>1.02 &gt; Trinidad &amp; Tobago</v>
      </c>
      <c r="AH65" s="84">
        <f t="shared" si="23"/>
        <v>51</v>
      </c>
      <c r="AI65" s="84">
        <f t="shared" si="24"/>
        <v>2</v>
      </c>
      <c r="AJ65" s="877" t="s">
        <v>1526</v>
      </c>
    </row>
    <row r="66" spans="1:36" x14ac:dyDescent="0.2">
      <c r="A66" s="492">
        <f>INDEX(Country!$F$31:$G$76, MATCH(AI66, Country!$O$31:$O$76, 0), 1)</f>
        <v>1.02</v>
      </c>
      <c r="B66" s="2" t="str">
        <f>INDEX(Country!$F$31:$G$76, MATCH(AI66, Country!$O$31:$O$76, 0), 2)</f>
        <v>Power sector structure</v>
      </c>
      <c r="C66" s="436" t="str">
        <f>INDEX(Country!$K$31:$K$76, MATCH(AI66, Country!$O$31:$O$76, 0), 1)</f>
        <v>Questions</v>
      </c>
      <c r="D66" s="4" t="str">
        <f t="shared" si="33"/>
        <v>Uruguay</v>
      </c>
      <c r="E66" s="77">
        <v>0</v>
      </c>
      <c r="F66" s="77">
        <v>1</v>
      </c>
      <c r="G66" s="77">
        <v>1</v>
      </c>
      <c r="H66" s="77">
        <v>1</v>
      </c>
      <c r="I66" s="77">
        <v>1</v>
      </c>
      <c r="J66" s="77">
        <v>1</v>
      </c>
      <c r="K66" s="17">
        <v>5</v>
      </c>
      <c r="L66" s="457">
        <f t="shared" si="36"/>
        <v>10</v>
      </c>
      <c r="M66" s="458">
        <f t="shared" si="37"/>
        <v>10</v>
      </c>
      <c r="N66" s="458">
        <f t="shared" si="11"/>
        <v>10</v>
      </c>
      <c r="O66" s="458">
        <f t="shared" si="12"/>
        <v>10</v>
      </c>
      <c r="P66" s="458">
        <f t="shared" si="13"/>
        <v>10</v>
      </c>
      <c r="Q66" s="458">
        <f t="shared" si="14"/>
        <v>10</v>
      </c>
      <c r="R66" s="459">
        <f t="shared" si="15"/>
        <v>45</v>
      </c>
      <c r="S66" s="455"/>
      <c r="T66" s="456"/>
      <c r="U66" s="456"/>
      <c r="V66" s="456"/>
      <c r="W66" s="456"/>
      <c r="X66" s="456"/>
      <c r="Y66" s="456"/>
      <c r="Z66" s="79">
        <f t="shared" si="30"/>
        <v>0.5</v>
      </c>
      <c r="AA66" s="78">
        <f t="shared" si="31"/>
        <v>0.5</v>
      </c>
      <c r="AB66" s="78">
        <f t="shared" si="32"/>
        <v>0.5</v>
      </c>
      <c r="AC66" s="78">
        <f t="shared" si="34"/>
        <v>0.5</v>
      </c>
      <c r="AD66" s="78">
        <f t="shared" si="35"/>
        <v>0.5</v>
      </c>
      <c r="AE66" s="78">
        <v>0.5</v>
      </c>
      <c r="AF66" s="80">
        <v>2.25</v>
      </c>
      <c r="AG66" s="33" t="str">
        <f t="shared" si="19"/>
        <v>1.02 &gt; Uruguay</v>
      </c>
      <c r="AH66" s="84">
        <f t="shared" si="23"/>
        <v>52</v>
      </c>
      <c r="AI66" s="84">
        <f t="shared" si="24"/>
        <v>2</v>
      </c>
      <c r="AJ66" s="877" t="s">
        <v>1526</v>
      </c>
    </row>
    <row r="67" spans="1:36" x14ac:dyDescent="0.2">
      <c r="A67" s="491">
        <f>INDEX(Country!$F$31:$G$76, MATCH(AI67, Country!$O$31:$O$76, 0), 1)</f>
        <v>1.02</v>
      </c>
      <c r="B67" s="386" t="str">
        <f>INDEX(Country!$F$31:$G$76, MATCH(AI67, Country!$O$31:$O$76, 0), 2)</f>
        <v>Power sector structure</v>
      </c>
      <c r="C67" s="437" t="str">
        <f>INDEX(Country!$K$31:$K$76, MATCH(AI67, Country!$O$31:$O$76, 0), 1)</f>
        <v>Questions</v>
      </c>
      <c r="D67" s="86" t="str">
        <f t="shared" si="33"/>
        <v>Venezuela</v>
      </c>
      <c r="E67" s="361">
        <v>0</v>
      </c>
      <c r="F67" s="361">
        <v>0</v>
      </c>
      <c r="G67" s="361">
        <v>0</v>
      </c>
      <c r="H67" s="361">
        <v>0</v>
      </c>
      <c r="I67" s="361">
        <v>0</v>
      </c>
      <c r="J67" s="361">
        <v>0</v>
      </c>
      <c r="K67" s="398">
        <v>1</v>
      </c>
      <c r="L67" s="460">
        <f t="shared" si="36"/>
        <v>0</v>
      </c>
      <c r="M67" s="461">
        <f t="shared" si="37"/>
        <v>0</v>
      </c>
      <c r="N67" s="461">
        <f t="shared" si="11"/>
        <v>0</v>
      </c>
      <c r="O67" s="461">
        <f t="shared" si="12"/>
        <v>0</v>
      </c>
      <c r="P67" s="461">
        <f t="shared" si="13"/>
        <v>0</v>
      </c>
      <c r="Q67" s="461">
        <f t="shared" si="14"/>
        <v>0</v>
      </c>
      <c r="R67" s="462">
        <f t="shared" si="15"/>
        <v>5</v>
      </c>
      <c r="S67" s="455"/>
      <c r="T67" s="456"/>
      <c r="U67" s="456"/>
      <c r="V67" s="456"/>
      <c r="W67" s="456"/>
      <c r="X67" s="456"/>
      <c r="Y67" s="456"/>
      <c r="Z67" s="93">
        <f t="shared" si="30"/>
        <v>0</v>
      </c>
      <c r="AA67" s="379">
        <f t="shared" si="31"/>
        <v>0</v>
      </c>
      <c r="AB67" s="379">
        <f t="shared" si="32"/>
        <v>0</v>
      </c>
      <c r="AC67" s="379">
        <f t="shared" si="34"/>
        <v>0</v>
      </c>
      <c r="AD67" s="379">
        <f t="shared" si="35"/>
        <v>0</v>
      </c>
      <c r="AE67" s="379">
        <v>0</v>
      </c>
      <c r="AF67" s="488">
        <v>0.25</v>
      </c>
      <c r="AG67" s="90" t="str">
        <f t="shared" si="19"/>
        <v>1.02 &gt; Venezuela</v>
      </c>
      <c r="AH67" s="392">
        <f t="shared" si="23"/>
        <v>53</v>
      </c>
      <c r="AI67" s="392">
        <f t="shared" si="24"/>
        <v>2</v>
      </c>
      <c r="AJ67" s="878" t="s">
        <v>1526</v>
      </c>
    </row>
    <row r="68" spans="1:36" x14ac:dyDescent="0.2">
      <c r="A68" s="490">
        <f>INDEX(Country!$F$31:$G$76, MATCH(AI68, Country!$O$31:$O$76, 0), 1)</f>
        <v>1.02</v>
      </c>
      <c r="B68" s="387" t="str">
        <f>INDEX(Country!$F$31:$G$76, MATCH(AI68, Country!$O$31:$O$76, 0), 2)</f>
        <v>Power sector structure</v>
      </c>
      <c r="C68" s="438" t="str">
        <f>INDEX(Country!$K$31:$K$76, MATCH(AI68, Country!$O$31:$O$76, 0), 1)</f>
        <v>Questions</v>
      </c>
      <c r="D68" s="32" t="str">
        <f t="shared" si="33"/>
        <v>Benchmark</v>
      </c>
      <c r="E68" s="362">
        <f>IFERROR(MAX(E42:E67), 0)</f>
        <v>9</v>
      </c>
      <c r="F68" s="362">
        <f t="shared" ref="F68:K68" si="38">IFERROR(MAX(F42:F67), 0)</f>
        <v>9</v>
      </c>
      <c r="G68" s="362">
        <f t="shared" si="38"/>
        <v>9</v>
      </c>
      <c r="H68" s="362">
        <f t="shared" si="38"/>
        <v>9</v>
      </c>
      <c r="I68" s="362">
        <f t="shared" si="38"/>
        <v>9</v>
      </c>
      <c r="J68" s="362">
        <f t="shared" ref="J68" si="39">IFERROR(MAX(J42:J67), 0)</f>
        <v>9</v>
      </c>
      <c r="K68" s="584">
        <f t="shared" si="38"/>
        <v>8</v>
      </c>
      <c r="L68" s="585">
        <f>(Z68/5)*dbl_BenchmarkMax</f>
        <v>100</v>
      </c>
      <c r="M68" s="463">
        <f>(AA68/5)*dbl_BenchmarkMax</f>
        <v>100</v>
      </c>
      <c r="N68" s="463">
        <f t="shared" si="11"/>
        <v>100</v>
      </c>
      <c r="O68" s="463">
        <f t="shared" si="12"/>
        <v>100</v>
      </c>
      <c r="P68" s="463">
        <f t="shared" si="13"/>
        <v>100</v>
      </c>
      <c r="Q68" s="463">
        <f t="shared" si="14"/>
        <v>100</v>
      </c>
      <c r="R68" s="586">
        <f>(AF68/5)*dbl_BenchmarkMax</f>
        <v>100</v>
      </c>
      <c r="S68" s="393"/>
      <c r="T68" s="394"/>
      <c r="U68" s="376"/>
      <c r="V68" s="376"/>
      <c r="W68" s="376"/>
      <c r="X68" s="376"/>
      <c r="Y68" s="376"/>
      <c r="Z68" s="423">
        <v>5</v>
      </c>
      <c r="AA68" s="365">
        <v>5</v>
      </c>
      <c r="AB68" s="365">
        <v>5</v>
      </c>
      <c r="AC68" s="365">
        <v>5</v>
      </c>
      <c r="AD68" s="365">
        <v>5</v>
      </c>
      <c r="AE68" s="365">
        <v>5</v>
      </c>
      <c r="AF68" s="395">
        <v>5</v>
      </c>
      <c r="AG68" s="34" t="str">
        <f t="shared" si="19"/>
        <v>1.02 &gt; Benchmark</v>
      </c>
      <c r="AH68" s="85">
        <f t="shared" si="23"/>
        <v>54</v>
      </c>
      <c r="AI68" s="85">
        <f t="shared" si="24"/>
        <v>2</v>
      </c>
      <c r="AJ68" s="871" t="s">
        <v>1526</v>
      </c>
    </row>
    <row r="69" spans="1:36" x14ac:dyDescent="0.2">
      <c r="A69" s="587">
        <f>INDEX(Country!$F$31:$G$76, MATCH(AI69, Country!$O$31:$O$76, 0), 1)</f>
        <v>1.03</v>
      </c>
      <c r="B69" s="588" t="str">
        <f>INDEX(Country!$F$31:$G$76, MATCH(AI69, Country!$O$31:$O$76, 0), 2)</f>
        <v>Clean energy rural electrification</v>
      </c>
      <c r="C69" s="589" t="str">
        <f>INDEX(Country!$K$31:$K$76, MATCH(AI69, Country!$O$31:$O$76, 0), 1)</f>
        <v>Program</v>
      </c>
      <c r="D69" s="590" t="str">
        <f t="shared" si="33"/>
        <v>Argentina</v>
      </c>
      <c r="E69" s="47">
        <f t="shared" ref="E69:G69" si="40">F69</f>
        <v>1</v>
      </c>
      <c r="F69" s="47">
        <f t="shared" si="40"/>
        <v>1</v>
      </c>
      <c r="G69" s="47">
        <f t="shared" si="40"/>
        <v>1</v>
      </c>
      <c r="H69" s="47">
        <f>I69</f>
        <v>1</v>
      </c>
      <c r="I69" s="47">
        <f>K69</f>
        <v>1</v>
      </c>
      <c r="J69" s="47">
        <v>0</v>
      </c>
      <c r="K69" s="45">
        <v>1</v>
      </c>
      <c r="L69" s="580">
        <f t="shared" ref="L69:L95" si="41">IFERROR(dbl_BenchmarkMax*E69/ SUMIFS(E$15:E$1256, $D$15:$D$1256, "Benchmark", $B$15:$B$1256,$B69), 0)</f>
        <v>100</v>
      </c>
      <c r="M69" s="581">
        <f t="shared" ref="M69:M95" si="42">IFERROR(dbl_BenchmarkMax*F69/ SUMIFS(F$15:F$1256, $D$15:$D$1256, "Benchmark", $B$15:$B$1256,$B69), 0)</f>
        <v>100</v>
      </c>
      <c r="N69" s="581">
        <f t="shared" ref="N69:N95" si="43">IFERROR(dbl_BenchmarkMax*G69/ SUMIFS(G$15:G$1256, $D$15:$D$1256, "Benchmark", $B$15:$B$1256,$B69), 0)</f>
        <v>100</v>
      </c>
      <c r="O69" s="581">
        <f t="shared" ref="O69:O95" si="44">IFERROR(dbl_BenchmarkMax*H69/ SUMIFS(H$15:H$1256, $D$15:$D$1256, "Benchmark", $B$15:$B$1256,$B69), 0)</f>
        <v>100</v>
      </c>
      <c r="P69" s="581">
        <f t="shared" ref="P69:P95" si="45">IFERROR(dbl_BenchmarkMax*I69/ SUMIFS(I$15:I$1256, $D$15:$D$1256, "Benchmark", $B$15:$B$1256,$B69), 0)</f>
        <v>100</v>
      </c>
      <c r="Q69" s="581">
        <f t="shared" ref="Q69:Q95" si="46">IFERROR(dbl_BenchmarkMax*J69/ SUMIFS(J$15:J$1256, $D$15:$D$1256, "Benchmark", $B$15:$B$1256,$B69), 0)</f>
        <v>0</v>
      </c>
      <c r="R69" s="582">
        <f t="shared" ref="R69:R95" si="47">IFERROR(dbl_BenchmarkMax*K69/ SUMIFS(K$15:K$1256, $D$15:$D$1256, "Benchmark", $B$15:$B$1256,$B69), 0)</f>
        <v>100</v>
      </c>
      <c r="S69" s="455"/>
      <c r="T69" s="456"/>
      <c r="U69" s="456"/>
      <c r="V69" s="456"/>
      <c r="W69" s="456"/>
      <c r="X69" s="456"/>
      <c r="Y69" s="456"/>
      <c r="Z69" s="455"/>
      <c r="AA69" s="456"/>
      <c r="AB69" s="456"/>
      <c r="AC69" s="456"/>
      <c r="AD69" s="456"/>
      <c r="AE69" s="456"/>
      <c r="AF69" s="456"/>
      <c r="AG69" s="396" t="str">
        <f t="shared" si="19"/>
        <v>1.03 &gt; Argentina</v>
      </c>
      <c r="AH69" s="397">
        <f t="shared" si="23"/>
        <v>55</v>
      </c>
      <c r="AI69" s="397">
        <f t="shared" si="24"/>
        <v>3</v>
      </c>
      <c r="AJ69" s="879" t="s">
        <v>1526</v>
      </c>
    </row>
    <row r="70" spans="1:36" x14ac:dyDescent="0.2">
      <c r="A70" s="492">
        <f>INDEX(Country!$F$31:$G$76, MATCH(AI70, Country!$O$31:$O$76, 0), 1)</f>
        <v>1.03</v>
      </c>
      <c r="B70" s="2" t="str">
        <f>INDEX(Country!$F$31:$G$76, MATCH(AI70, Country!$O$31:$O$76, 0), 2)</f>
        <v>Clean energy rural electrification</v>
      </c>
      <c r="C70" s="436" t="str">
        <f>INDEX(Country!$K$31:$K$76, MATCH(AI70, Country!$O$31:$O$76, 0), 1)</f>
        <v>Program</v>
      </c>
      <c r="D70" s="4" t="str">
        <f t="shared" si="33"/>
        <v>Bahamas</v>
      </c>
      <c r="E70" s="47">
        <f t="shared" ref="E70:G70" si="48">F70</f>
        <v>0</v>
      </c>
      <c r="F70" s="47">
        <f t="shared" si="48"/>
        <v>0</v>
      </c>
      <c r="G70" s="47">
        <f t="shared" si="48"/>
        <v>0</v>
      </c>
      <c r="H70" s="47">
        <f t="shared" ref="H70" si="49">I70</f>
        <v>0</v>
      </c>
      <c r="I70" s="47">
        <f t="shared" ref="I70:I94" si="50">K70</f>
        <v>0</v>
      </c>
      <c r="J70" s="47">
        <v>0</v>
      </c>
      <c r="K70" s="45">
        <v>0</v>
      </c>
      <c r="L70" s="457">
        <f t="shared" si="41"/>
        <v>0</v>
      </c>
      <c r="M70" s="458">
        <f t="shared" si="42"/>
        <v>0</v>
      </c>
      <c r="N70" s="458">
        <f t="shared" si="43"/>
        <v>0</v>
      </c>
      <c r="O70" s="458">
        <f t="shared" si="44"/>
        <v>0</v>
      </c>
      <c r="P70" s="458">
        <f t="shared" si="45"/>
        <v>0</v>
      </c>
      <c r="Q70" s="458">
        <f t="shared" si="46"/>
        <v>0</v>
      </c>
      <c r="R70" s="459">
        <f t="shared" si="47"/>
        <v>0</v>
      </c>
      <c r="S70" s="455"/>
      <c r="T70" s="456"/>
      <c r="U70" s="456"/>
      <c r="V70" s="456"/>
      <c r="W70" s="456"/>
      <c r="X70" s="456"/>
      <c r="Y70" s="456"/>
      <c r="Z70" s="455"/>
      <c r="AA70" s="456"/>
      <c r="AB70" s="456"/>
      <c r="AC70" s="456"/>
      <c r="AD70" s="456"/>
      <c r="AE70" s="456"/>
      <c r="AF70" s="456"/>
      <c r="AG70" s="33" t="str">
        <f t="shared" si="19"/>
        <v>1.03 &gt; Bahamas</v>
      </c>
      <c r="AH70" s="84">
        <f t="shared" si="23"/>
        <v>56</v>
      </c>
      <c r="AI70" s="84">
        <f t="shared" si="24"/>
        <v>3</v>
      </c>
      <c r="AJ70" s="877" t="s">
        <v>1526</v>
      </c>
    </row>
    <row r="71" spans="1:36" x14ac:dyDescent="0.2">
      <c r="A71" s="492">
        <f>INDEX(Country!$F$31:$G$76, MATCH(AI71, Country!$O$31:$O$76, 0), 1)</f>
        <v>1.03</v>
      </c>
      <c r="B71" s="2" t="str">
        <f>INDEX(Country!$F$31:$G$76, MATCH(AI71, Country!$O$31:$O$76, 0), 2)</f>
        <v>Clean energy rural electrification</v>
      </c>
      <c r="C71" s="436" t="str">
        <f>INDEX(Country!$K$31:$K$76, MATCH(AI71, Country!$O$31:$O$76, 0), 1)</f>
        <v>Program</v>
      </c>
      <c r="D71" s="4" t="str">
        <f t="shared" si="33"/>
        <v>Barbados</v>
      </c>
      <c r="E71" s="47">
        <f t="shared" ref="E71:G71" si="51">F71</f>
        <v>0</v>
      </c>
      <c r="F71" s="47">
        <f t="shared" si="51"/>
        <v>0</v>
      </c>
      <c r="G71" s="47">
        <f t="shared" si="51"/>
        <v>0</v>
      </c>
      <c r="H71" s="47">
        <f t="shared" ref="H71" si="52">I71</f>
        <v>0</v>
      </c>
      <c r="I71" s="47">
        <f t="shared" si="50"/>
        <v>0</v>
      </c>
      <c r="J71" s="47">
        <v>0</v>
      </c>
      <c r="K71" s="45">
        <v>0</v>
      </c>
      <c r="L71" s="457">
        <f t="shared" si="41"/>
        <v>0</v>
      </c>
      <c r="M71" s="458">
        <f t="shared" si="42"/>
        <v>0</v>
      </c>
      <c r="N71" s="458">
        <f t="shared" si="43"/>
        <v>0</v>
      </c>
      <c r="O71" s="458">
        <f t="shared" si="44"/>
        <v>0</v>
      </c>
      <c r="P71" s="458">
        <f t="shared" si="45"/>
        <v>0</v>
      </c>
      <c r="Q71" s="458">
        <f t="shared" si="46"/>
        <v>0</v>
      </c>
      <c r="R71" s="459">
        <f t="shared" si="47"/>
        <v>0</v>
      </c>
      <c r="S71" s="455"/>
      <c r="T71" s="456"/>
      <c r="U71" s="456"/>
      <c r="V71" s="456"/>
      <c r="W71" s="456"/>
      <c r="X71" s="456"/>
      <c r="Y71" s="456"/>
      <c r="Z71" s="455"/>
      <c r="AA71" s="456"/>
      <c r="AB71" s="456"/>
      <c r="AC71" s="456"/>
      <c r="AD71" s="456"/>
      <c r="AE71" s="456"/>
      <c r="AF71" s="456"/>
      <c r="AG71" s="33" t="str">
        <f t="shared" si="19"/>
        <v>1.03 &gt; Barbados</v>
      </c>
      <c r="AH71" s="84">
        <f t="shared" si="23"/>
        <v>57</v>
      </c>
      <c r="AI71" s="84">
        <f t="shared" si="24"/>
        <v>3</v>
      </c>
      <c r="AJ71" s="877" t="s">
        <v>1526</v>
      </c>
    </row>
    <row r="72" spans="1:36" x14ac:dyDescent="0.2">
      <c r="A72" s="492">
        <f>INDEX(Country!$F$31:$G$76, MATCH(AI72, Country!$O$31:$O$76, 0), 1)</f>
        <v>1.03</v>
      </c>
      <c r="B72" s="2" t="str">
        <f>INDEX(Country!$F$31:$G$76, MATCH(AI72, Country!$O$31:$O$76, 0), 2)</f>
        <v>Clean energy rural electrification</v>
      </c>
      <c r="C72" s="436" t="str">
        <f>INDEX(Country!$K$31:$K$76, MATCH(AI72, Country!$O$31:$O$76, 0), 1)</f>
        <v>Program</v>
      </c>
      <c r="D72" s="4" t="str">
        <f t="shared" si="33"/>
        <v>Belize</v>
      </c>
      <c r="E72" s="47">
        <f t="shared" ref="E72:G72" si="53">F72</f>
        <v>0</v>
      </c>
      <c r="F72" s="47">
        <f t="shared" si="53"/>
        <v>0</v>
      </c>
      <c r="G72" s="47">
        <f t="shared" si="53"/>
        <v>0</v>
      </c>
      <c r="H72" s="47">
        <f t="shared" ref="H72" si="54">I72</f>
        <v>0</v>
      </c>
      <c r="I72" s="47">
        <f t="shared" si="50"/>
        <v>0</v>
      </c>
      <c r="J72" s="47">
        <v>0</v>
      </c>
      <c r="K72" s="45">
        <v>0</v>
      </c>
      <c r="L72" s="457">
        <f t="shared" si="41"/>
        <v>0</v>
      </c>
      <c r="M72" s="458">
        <f t="shared" si="42"/>
        <v>0</v>
      </c>
      <c r="N72" s="458">
        <f t="shared" si="43"/>
        <v>0</v>
      </c>
      <c r="O72" s="458">
        <f t="shared" si="44"/>
        <v>0</v>
      </c>
      <c r="P72" s="458">
        <f t="shared" si="45"/>
        <v>0</v>
      </c>
      <c r="Q72" s="458">
        <f t="shared" si="46"/>
        <v>0</v>
      </c>
      <c r="R72" s="459">
        <f t="shared" si="47"/>
        <v>0</v>
      </c>
      <c r="S72" s="455"/>
      <c r="T72" s="456"/>
      <c r="U72" s="456"/>
      <c r="V72" s="456"/>
      <c r="W72" s="456"/>
      <c r="X72" s="456"/>
      <c r="Y72" s="456"/>
      <c r="Z72" s="455"/>
      <c r="AA72" s="456"/>
      <c r="AB72" s="456"/>
      <c r="AC72" s="456"/>
      <c r="AD72" s="456"/>
      <c r="AE72" s="456"/>
      <c r="AF72" s="456"/>
      <c r="AG72" s="33" t="str">
        <f t="shared" si="19"/>
        <v>1.03 &gt; Belize</v>
      </c>
      <c r="AH72" s="84">
        <f t="shared" si="23"/>
        <v>58</v>
      </c>
      <c r="AI72" s="84">
        <f t="shared" si="24"/>
        <v>3</v>
      </c>
      <c r="AJ72" s="877" t="s">
        <v>1526</v>
      </c>
    </row>
    <row r="73" spans="1:36" x14ac:dyDescent="0.2">
      <c r="A73" s="492">
        <f>INDEX(Country!$F$31:$G$76, MATCH(AI73, Country!$O$31:$O$76, 0), 1)</f>
        <v>1.03</v>
      </c>
      <c r="B73" s="2" t="str">
        <f>INDEX(Country!$F$31:$G$76, MATCH(AI73, Country!$O$31:$O$76, 0), 2)</f>
        <v>Clean energy rural electrification</v>
      </c>
      <c r="C73" s="436" t="str">
        <f>INDEX(Country!$K$31:$K$76, MATCH(AI73, Country!$O$31:$O$76, 0), 1)</f>
        <v>Program</v>
      </c>
      <c r="D73" s="4" t="str">
        <f t="shared" si="33"/>
        <v>Bolivia</v>
      </c>
      <c r="E73" s="47">
        <f t="shared" ref="E73:G73" si="55">F73</f>
        <v>1</v>
      </c>
      <c r="F73" s="47">
        <f t="shared" si="55"/>
        <v>1</v>
      </c>
      <c r="G73" s="47">
        <f t="shared" si="55"/>
        <v>1</v>
      </c>
      <c r="H73" s="47">
        <f t="shared" ref="H73" si="56">I73</f>
        <v>1</v>
      </c>
      <c r="I73" s="47">
        <f t="shared" si="50"/>
        <v>1</v>
      </c>
      <c r="J73" s="47">
        <v>1</v>
      </c>
      <c r="K73" s="45">
        <v>1</v>
      </c>
      <c r="L73" s="457">
        <f t="shared" si="41"/>
        <v>100</v>
      </c>
      <c r="M73" s="458">
        <f t="shared" si="42"/>
        <v>100</v>
      </c>
      <c r="N73" s="458">
        <f t="shared" si="43"/>
        <v>100</v>
      </c>
      <c r="O73" s="458">
        <f t="shared" si="44"/>
        <v>100</v>
      </c>
      <c r="P73" s="458">
        <f t="shared" si="45"/>
        <v>100</v>
      </c>
      <c r="Q73" s="458">
        <f t="shared" si="46"/>
        <v>100</v>
      </c>
      <c r="R73" s="459">
        <f t="shared" si="47"/>
        <v>100</v>
      </c>
      <c r="S73" s="455"/>
      <c r="T73" s="456"/>
      <c r="U73" s="456"/>
      <c r="V73" s="456"/>
      <c r="W73" s="456"/>
      <c r="X73" s="456"/>
      <c r="Y73" s="456"/>
      <c r="Z73" s="455"/>
      <c r="AA73" s="456"/>
      <c r="AB73" s="456"/>
      <c r="AC73" s="456"/>
      <c r="AD73" s="456"/>
      <c r="AE73" s="456"/>
      <c r="AF73" s="456"/>
      <c r="AG73" s="33" t="str">
        <f t="shared" si="19"/>
        <v>1.03 &gt; Bolivia</v>
      </c>
      <c r="AH73" s="84">
        <f t="shared" si="23"/>
        <v>59</v>
      </c>
      <c r="AI73" s="84">
        <f t="shared" si="24"/>
        <v>3</v>
      </c>
      <c r="AJ73" s="877" t="s">
        <v>1526</v>
      </c>
    </row>
    <row r="74" spans="1:36" x14ac:dyDescent="0.2">
      <c r="A74" s="492">
        <f>INDEX(Country!$F$31:$G$76, MATCH(AI74, Country!$O$31:$O$76, 0), 1)</f>
        <v>1.03</v>
      </c>
      <c r="B74" s="2" t="str">
        <f>INDEX(Country!$F$31:$G$76, MATCH(AI74, Country!$O$31:$O$76, 0), 2)</f>
        <v>Clean energy rural electrification</v>
      </c>
      <c r="C74" s="436" t="str">
        <f>INDEX(Country!$K$31:$K$76, MATCH(AI74, Country!$O$31:$O$76, 0), 1)</f>
        <v>Program</v>
      </c>
      <c r="D74" s="4" t="str">
        <f t="shared" si="33"/>
        <v>Brazil</v>
      </c>
      <c r="E74" s="47">
        <f t="shared" ref="E74:G74" si="57">F74</f>
        <v>1</v>
      </c>
      <c r="F74" s="47">
        <f t="shared" si="57"/>
        <v>1</v>
      </c>
      <c r="G74" s="47">
        <f t="shared" si="57"/>
        <v>1</v>
      </c>
      <c r="H74" s="47">
        <f t="shared" ref="H74" si="58">I74</f>
        <v>1</v>
      </c>
      <c r="I74" s="47">
        <f t="shared" si="50"/>
        <v>1</v>
      </c>
      <c r="J74" s="47">
        <v>1</v>
      </c>
      <c r="K74" s="45">
        <v>1</v>
      </c>
      <c r="L74" s="457">
        <f t="shared" si="41"/>
        <v>100</v>
      </c>
      <c r="M74" s="458">
        <f t="shared" si="42"/>
        <v>100</v>
      </c>
      <c r="N74" s="458">
        <f t="shared" si="43"/>
        <v>100</v>
      </c>
      <c r="O74" s="458">
        <f t="shared" si="44"/>
        <v>100</v>
      </c>
      <c r="P74" s="458">
        <f t="shared" si="45"/>
        <v>100</v>
      </c>
      <c r="Q74" s="458">
        <f t="shared" si="46"/>
        <v>100</v>
      </c>
      <c r="R74" s="459">
        <f t="shared" si="47"/>
        <v>100</v>
      </c>
      <c r="S74" s="455"/>
      <c r="T74" s="456"/>
      <c r="U74" s="456"/>
      <c r="V74" s="456"/>
      <c r="W74" s="456"/>
      <c r="X74" s="456"/>
      <c r="Y74" s="456"/>
      <c r="Z74" s="455"/>
      <c r="AA74" s="456"/>
      <c r="AB74" s="456"/>
      <c r="AC74" s="456"/>
      <c r="AD74" s="456"/>
      <c r="AE74" s="456"/>
      <c r="AF74" s="456"/>
      <c r="AG74" s="33" t="str">
        <f t="shared" si="19"/>
        <v>1.03 &gt; Brazil</v>
      </c>
      <c r="AH74" s="84">
        <f t="shared" si="23"/>
        <v>60</v>
      </c>
      <c r="AI74" s="84">
        <f t="shared" si="24"/>
        <v>3</v>
      </c>
      <c r="AJ74" s="877" t="s">
        <v>1526</v>
      </c>
    </row>
    <row r="75" spans="1:36" x14ac:dyDescent="0.2">
      <c r="A75" s="492">
        <f>INDEX(Country!$F$31:$G$76, MATCH(AI75, Country!$O$31:$O$76, 0), 1)</f>
        <v>1.03</v>
      </c>
      <c r="B75" s="2" t="str">
        <f>INDEX(Country!$F$31:$G$76, MATCH(AI75, Country!$O$31:$O$76, 0), 2)</f>
        <v>Clean energy rural electrification</v>
      </c>
      <c r="C75" s="436" t="str">
        <f>INDEX(Country!$K$31:$K$76, MATCH(AI75, Country!$O$31:$O$76, 0), 1)</f>
        <v>Program</v>
      </c>
      <c r="D75" s="4" t="str">
        <f t="shared" si="33"/>
        <v>Chile</v>
      </c>
      <c r="E75" s="47">
        <f t="shared" ref="E75:G75" si="59">F75</f>
        <v>1</v>
      </c>
      <c r="F75" s="47">
        <f t="shared" si="59"/>
        <v>1</v>
      </c>
      <c r="G75" s="47">
        <f t="shared" si="59"/>
        <v>1</v>
      </c>
      <c r="H75" s="47">
        <f t="shared" ref="H75" si="60">I75</f>
        <v>1</v>
      </c>
      <c r="I75" s="47">
        <f t="shared" si="50"/>
        <v>1</v>
      </c>
      <c r="J75" s="47">
        <v>1</v>
      </c>
      <c r="K75" s="45">
        <v>1</v>
      </c>
      <c r="L75" s="457">
        <f t="shared" si="41"/>
        <v>100</v>
      </c>
      <c r="M75" s="458">
        <f t="shared" si="42"/>
        <v>100</v>
      </c>
      <c r="N75" s="458">
        <f t="shared" si="43"/>
        <v>100</v>
      </c>
      <c r="O75" s="458">
        <f t="shared" si="44"/>
        <v>100</v>
      </c>
      <c r="P75" s="458">
        <f t="shared" si="45"/>
        <v>100</v>
      </c>
      <c r="Q75" s="458">
        <f t="shared" si="46"/>
        <v>100</v>
      </c>
      <c r="R75" s="459">
        <f t="shared" si="47"/>
        <v>100</v>
      </c>
      <c r="S75" s="455"/>
      <c r="T75" s="456"/>
      <c r="U75" s="456"/>
      <c r="V75" s="456"/>
      <c r="W75" s="456"/>
      <c r="X75" s="456"/>
      <c r="Y75" s="456"/>
      <c r="Z75" s="455"/>
      <c r="AA75" s="456"/>
      <c r="AB75" s="456"/>
      <c r="AC75" s="456"/>
      <c r="AD75" s="456"/>
      <c r="AE75" s="456"/>
      <c r="AF75" s="456"/>
      <c r="AG75" s="33" t="str">
        <f t="shared" si="19"/>
        <v>1.03 &gt; Chile</v>
      </c>
      <c r="AH75" s="84">
        <f t="shared" si="23"/>
        <v>61</v>
      </c>
      <c r="AI75" s="84">
        <f t="shared" si="24"/>
        <v>3</v>
      </c>
      <c r="AJ75" s="877" t="s">
        <v>1526</v>
      </c>
    </row>
    <row r="76" spans="1:36" x14ac:dyDescent="0.2">
      <c r="A76" s="492">
        <f>INDEX(Country!$F$31:$G$76, MATCH(AI76, Country!$O$31:$O$76, 0), 1)</f>
        <v>1.03</v>
      </c>
      <c r="B76" s="2" t="str">
        <f>INDEX(Country!$F$31:$G$76, MATCH(AI76, Country!$O$31:$O$76, 0), 2)</f>
        <v>Clean energy rural electrification</v>
      </c>
      <c r="C76" s="436" t="str">
        <f>INDEX(Country!$K$31:$K$76, MATCH(AI76, Country!$O$31:$O$76, 0), 1)</f>
        <v>Program</v>
      </c>
      <c r="D76" s="4" t="str">
        <f t="shared" si="33"/>
        <v>Colombia</v>
      </c>
      <c r="E76" s="47">
        <f t="shared" ref="E76:G76" si="61">F76</f>
        <v>1</v>
      </c>
      <c r="F76" s="47">
        <f t="shared" si="61"/>
        <v>1</v>
      </c>
      <c r="G76" s="47">
        <f t="shared" si="61"/>
        <v>1</v>
      </c>
      <c r="H76" s="47">
        <f t="shared" ref="H76" si="62">I76</f>
        <v>1</v>
      </c>
      <c r="I76" s="47">
        <f t="shared" si="50"/>
        <v>1</v>
      </c>
      <c r="J76" s="47">
        <v>1</v>
      </c>
      <c r="K76" s="45">
        <v>1</v>
      </c>
      <c r="L76" s="457">
        <f t="shared" si="41"/>
        <v>100</v>
      </c>
      <c r="M76" s="458">
        <f t="shared" si="42"/>
        <v>100</v>
      </c>
      <c r="N76" s="458">
        <f t="shared" si="43"/>
        <v>100</v>
      </c>
      <c r="O76" s="458">
        <f t="shared" si="44"/>
        <v>100</v>
      </c>
      <c r="P76" s="458">
        <f t="shared" si="45"/>
        <v>100</v>
      </c>
      <c r="Q76" s="458">
        <f t="shared" si="46"/>
        <v>100</v>
      </c>
      <c r="R76" s="459">
        <f t="shared" si="47"/>
        <v>100</v>
      </c>
      <c r="S76" s="455"/>
      <c r="T76" s="456"/>
      <c r="U76" s="456"/>
      <c r="V76" s="456"/>
      <c r="W76" s="456"/>
      <c r="X76" s="456"/>
      <c r="Y76" s="456"/>
      <c r="Z76" s="455"/>
      <c r="AA76" s="456"/>
      <c r="AB76" s="456"/>
      <c r="AC76" s="456"/>
      <c r="AD76" s="456"/>
      <c r="AE76" s="456"/>
      <c r="AF76" s="456"/>
      <c r="AG76" s="33" t="str">
        <f t="shared" si="19"/>
        <v>1.03 &gt; Colombia</v>
      </c>
      <c r="AH76" s="84">
        <f t="shared" si="23"/>
        <v>62</v>
      </c>
      <c r="AI76" s="84">
        <f t="shared" si="24"/>
        <v>3</v>
      </c>
      <c r="AJ76" s="877" t="s">
        <v>1526</v>
      </c>
    </row>
    <row r="77" spans="1:36" x14ac:dyDescent="0.2">
      <c r="A77" s="492">
        <f>INDEX(Country!$F$31:$G$76, MATCH(AI77, Country!$O$31:$O$76, 0), 1)</f>
        <v>1.03</v>
      </c>
      <c r="B77" s="2" t="str">
        <f>INDEX(Country!$F$31:$G$76, MATCH(AI77, Country!$O$31:$O$76, 0), 2)</f>
        <v>Clean energy rural electrification</v>
      </c>
      <c r="C77" s="436" t="str">
        <f>INDEX(Country!$K$31:$K$76, MATCH(AI77, Country!$O$31:$O$76, 0), 1)</f>
        <v>Program</v>
      </c>
      <c r="D77" s="4" t="str">
        <f t="shared" si="33"/>
        <v>Costa Rica</v>
      </c>
      <c r="E77" s="47">
        <f t="shared" ref="E77:G77" si="63">F77</f>
        <v>1</v>
      </c>
      <c r="F77" s="47">
        <f t="shared" si="63"/>
        <v>1</v>
      </c>
      <c r="G77" s="47">
        <f t="shared" si="63"/>
        <v>1</v>
      </c>
      <c r="H77" s="47">
        <f t="shared" ref="H77" si="64">I77</f>
        <v>1</v>
      </c>
      <c r="I77" s="47">
        <f t="shared" si="50"/>
        <v>1</v>
      </c>
      <c r="J77" s="47">
        <v>1</v>
      </c>
      <c r="K77" s="45">
        <v>1</v>
      </c>
      <c r="L77" s="457">
        <f t="shared" si="41"/>
        <v>100</v>
      </c>
      <c r="M77" s="458">
        <f t="shared" si="42"/>
        <v>100</v>
      </c>
      <c r="N77" s="458">
        <f t="shared" si="43"/>
        <v>100</v>
      </c>
      <c r="O77" s="458">
        <f t="shared" si="44"/>
        <v>100</v>
      </c>
      <c r="P77" s="458">
        <f t="shared" si="45"/>
        <v>100</v>
      </c>
      <c r="Q77" s="458">
        <f t="shared" si="46"/>
        <v>100</v>
      </c>
      <c r="R77" s="459">
        <f t="shared" si="47"/>
        <v>100</v>
      </c>
      <c r="S77" s="455"/>
      <c r="T77" s="456"/>
      <c r="U77" s="456"/>
      <c r="V77" s="456"/>
      <c r="W77" s="456"/>
      <c r="X77" s="456"/>
      <c r="Y77" s="456"/>
      <c r="Z77" s="455"/>
      <c r="AA77" s="456"/>
      <c r="AB77" s="456"/>
      <c r="AC77" s="456"/>
      <c r="AD77" s="456"/>
      <c r="AE77" s="456"/>
      <c r="AF77" s="456"/>
      <c r="AG77" s="33" t="str">
        <f t="shared" si="19"/>
        <v>1.03 &gt; Costa Rica</v>
      </c>
      <c r="AH77" s="84">
        <f t="shared" si="23"/>
        <v>63</v>
      </c>
      <c r="AI77" s="84">
        <f t="shared" si="24"/>
        <v>3</v>
      </c>
      <c r="AJ77" s="877" t="s">
        <v>1526</v>
      </c>
    </row>
    <row r="78" spans="1:36" x14ac:dyDescent="0.2">
      <c r="A78" s="492">
        <f>INDEX(Country!$F$31:$G$76, MATCH(AI78, Country!$O$31:$O$76, 0), 1)</f>
        <v>1.03</v>
      </c>
      <c r="B78" s="2" t="str">
        <f>INDEX(Country!$F$31:$G$76, MATCH(AI78, Country!$O$31:$O$76, 0), 2)</f>
        <v>Clean energy rural electrification</v>
      </c>
      <c r="C78" s="436" t="str">
        <f>INDEX(Country!$K$31:$K$76, MATCH(AI78, Country!$O$31:$O$76, 0), 1)</f>
        <v>Program</v>
      </c>
      <c r="D78" s="4" t="str">
        <f t="shared" si="33"/>
        <v>Dominican Republic</v>
      </c>
      <c r="E78" s="47">
        <f t="shared" ref="E78:G78" si="65">F78</f>
        <v>1</v>
      </c>
      <c r="F78" s="47">
        <f t="shared" si="65"/>
        <v>1</v>
      </c>
      <c r="G78" s="47">
        <f t="shared" si="65"/>
        <v>1</v>
      </c>
      <c r="H78" s="47">
        <f t="shared" ref="H78" si="66">I78</f>
        <v>1</v>
      </c>
      <c r="I78" s="47">
        <f t="shared" si="50"/>
        <v>1</v>
      </c>
      <c r="J78" s="47">
        <v>1</v>
      </c>
      <c r="K78" s="45">
        <v>1</v>
      </c>
      <c r="L78" s="457">
        <f t="shared" si="41"/>
        <v>100</v>
      </c>
      <c r="M78" s="458">
        <f t="shared" si="42"/>
        <v>100</v>
      </c>
      <c r="N78" s="458">
        <f t="shared" si="43"/>
        <v>100</v>
      </c>
      <c r="O78" s="458">
        <f t="shared" si="44"/>
        <v>100</v>
      </c>
      <c r="P78" s="458">
        <f t="shared" si="45"/>
        <v>100</v>
      </c>
      <c r="Q78" s="458">
        <f t="shared" si="46"/>
        <v>100</v>
      </c>
      <c r="R78" s="459">
        <f t="shared" si="47"/>
        <v>100</v>
      </c>
      <c r="S78" s="455"/>
      <c r="T78" s="456"/>
      <c r="U78" s="456"/>
      <c r="V78" s="456"/>
      <c r="W78" s="456"/>
      <c r="X78" s="456"/>
      <c r="Y78" s="456"/>
      <c r="Z78" s="455"/>
      <c r="AA78" s="456"/>
      <c r="AB78" s="456"/>
      <c r="AC78" s="456"/>
      <c r="AD78" s="456"/>
      <c r="AE78" s="456"/>
      <c r="AF78" s="456"/>
      <c r="AG78" s="33" t="str">
        <f t="shared" si="19"/>
        <v>1.03 &gt; Dominican Republic</v>
      </c>
      <c r="AH78" s="84">
        <f t="shared" si="23"/>
        <v>64</v>
      </c>
      <c r="AI78" s="84">
        <f t="shared" si="24"/>
        <v>3</v>
      </c>
      <c r="AJ78" s="877" t="s">
        <v>1526</v>
      </c>
    </row>
    <row r="79" spans="1:36" x14ac:dyDescent="0.2">
      <c r="A79" s="492">
        <f>INDEX(Country!$F$31:$G$76, MATCH(AI79, Country!$O$31:$O$76, 0), 1)</f>
        <v>1.03</v>
      </c>
      <c r="B79" s="2" t="str">
        <f>INDEX(Country!$F$31:$G$76, MATCH(AI79, Country!$O$31:$O$76, 0), 2)</f>
        <v>Clean energy rural electrification</v>
      </c>
      <c r="C79" s="436" t="str">
        <f>INDEX(Country!$K$31:$K$76, MATCH(AI79, Country!$O$31:$O$76, 0), 1)</f>
        <v>Program</v>
      </c>
      <c r="D79" s="4" t="str">
        <f t="shared" si="33"/>
        <v>Ecuador</v>
      </c>
      <c r="E79" s="47">
        <f t="shared" ref="E79:G79" si="67">F79</f>
        <v>1</v>
      </c>
      <c r="F79" s="47">
        <f t="shared" si="67"/>
        <v>1</v>
      </c>
      <c r="G79" s="47">
        <f t="shared" si="67"/>
        <v>1</v>
      </c>
      <c r="H79" s="47">
        <f t="shared" ref="H79" si="68">I79</f>
        <v>1</v>
      </c>
      <c r="I79" s="47">
        <f t="shared" si="50"/>
        <v>1</v>
      </c>
      <c r="J79" s="47">
        <v>1</v>
      </c>
      <c r="K79" s="45">
        <v>1</v>
      </c>
      <c r="L79" s="457">
        <f t="shared" si="41"/>
        <v>100</v>
      </c>
      <c r="M79" s="458">
        <f t="shared" si="42"/>
        <v>100</v>
      </c>
      <c r="N79" s="458">
        <f t="shared" si="43"/>
        <v>100</v>
      </c>
      <c r="O79" s="458">
        <f t="shared" si="44"/>
        <v>100</v>
      </c>
      <c r="P79" s="458">
        <f t="shared" si="45"/>
        <v>100</v>
      </c>
      <c r="Q79" s="458">
        <f t="shared" si="46"/>
        <v>100</v>
      </c>
      <c r="R79" s="459">
        <f t="shared" si="47"/>
        <v>100</v>
      </c>
      <c r="S79" s="455"/>
      <c r="T79" s="456"/>
      <c r="U79" s="456"/>
      <c r="V79" s="456"/>
      <c r="W79" s="456"/>
      <c r="X79" s="456"/>
      <c r="Y79" s="456"/>
      <c r="Z79" s="455"/>
      <c r="AA79" s="456"/>
      <c r="AB79" s="456"/>
      <c r="AC79" s="456"/>
      <c r="AD79" s="456"/>
      <c r="AE79" s="456"/>
      <c r="AF79" s="456"/>
      <c r="AG79" s="33" t="str">
        <f t="shared" ref="AG79:AG142" si="69">A79&amp;" &gt; " &amp;D79</f>
        <v>1.03 &gt; Ecuador</v>
      </c>
      <c r="AH79" s="84">
        <f t="shared" si="23"/>
        <v>65</v>
      </c>
      <c r="AI79" s="84">
        <f t="shared" si="24"/>
        <v>3</v>
      </c>
      <c r="AJ79" s="877" t="s">
        <v>1526</v>
      </c>
    </row>
    <row r="80" spans="1:36" x14ac:dyDescent="0.2">
      <c r="A80" s="492">
        <f>INDEX(Country!$F$31:$G$76, MATCH(AI80, Country!$O$31:$O$76, 0), 1)</f>
        <v>1.03</v>
      </c>
      <c r="B80" s="2" t="str">
        <f>INDEX(Country!$F$31:$G$76, MATCH(AI80, Country!$O$31:$O$76, 0), 2)</f>
        <v>Clean energy rural electrification</v>
      </c>
      <c r="C80" s="436" t="str">
        <f>INDEX(Country!$K$31:$K$76, MATCH(AI80, Country!$O$31:$O$76, 0), 1)</f>
        <v>Program</v>
      </c>
      <c r="D80" s="4" t="str">
        <f t="shared" si="33"/>
        <v>El Salvador</v>
      </c>
      <c r="E80" s="47">
        <f t="shared" ref="E80:G80" si="70">F80</f>
        <v>1</v>
      </c>
      <c r="F80" s="47">
        <f t="shared" si="70"/>
        <v>1</v>
      </c>
      <c r="G80" s="47">
        <f t="shared" si="70"/>
        <v>1</v>
      </c>
      <c r="H80" s="47">
        <f t="shared" ref="H80" si="71">I80</f>
        <v>1</v>
      </c>
      <c r="I80" s="47">
        <f t="shared" si="50"/>
        <v>1</v>
      </c>
      <c r="J80" s="47">
        <v>1</v>
      </c>
      <c r="K80" s="45">
        <v>1</v>
      </c>
      <c r="L80" s="457">
        <f t="shared" si="41"/>
        <v>100</v>
      </c>
      <c r="M80" s="458">
        <f t="shared" si="42"/>
        <v>100</v>
      </c>
      <c r="N80" s="458">
        <f t="shared" si="43"/>
        <v>100</v>
      </c>
      <c r="O80" s="458">
        <f t="shared" si="44"/>
        <v>100</v>
      </c>
      <c r="P80" s="458">
        <f t="shared" si="45"/>
        <v>100</v>
      </c>
      <c r="Q80" s="458">
        <f t="shared" si="46"/>
        <v>100</v>
      </c>
      <c r="R80" s="459">
        <f t="shared" si="47"/>
        <v>100</v>
      </c>
      <c r="S80" s="455"/>
      <c r="T80" s="456"/>
      <c r="U80" s="456"/>
      <c r="V80" s="456"/>
      <c r="W80" s="456"/>
      <c r="X80" s="456"/>
      <c r="Y80" s="456"/>
      <c r="Z80" s="455"/>
      <c r="AA80" s="456"/>
      <c r="AB80" s="456"/>
      <c r="AC80" s="456"/>
      <c r="AD80" s="456"/>
      <c r="AE80" s="456"/>
      <c r="AF80" s="456"/>
      <c r="AG80" s="33" t="str">
        <f t="shared" si="69"/>
        <v>1.03 &gt; El Salvador</v>
      </c>
      <c r="AH80" s="84">
        <f t="shared" si="23"/>
        <v>66</v>
      </c>
      <c r="AI80" s="84">
        <f t="shared" si="24"/>
        <v>3</v>
      </c>
      <c r="AJ80" s="877" t="s">
        <v>1526</v>
      </c>
    </row>
    <row r="81" spans="1:36" x14ac:dyDescent="0.2">
      <c r="A81" s="492">
        <f>INDEX(Country!$F$31:$G$76, MATCH(AI81, Country!$O$31:$O$76, 0), 1)</f>
        <v>1.03</v>
      </c>
      <c r="B81" s="2" t="str">
        <f>INDEX(Country!$F$31:$G$76, MATCH(AI81, Country!$O$31:$O$76, 0), 2)</f>
        <v>Clean energy rural electrification</v>
      </c>
      <c r="C81" s="436" t="str">
        <f>INDEX(Country!$K$31:$K$76, MATCH(AI81, Country!$O$31:$O$76, 0), 1)</f>
        <v>Program</v>
      </c>
      <c r="D81" s="4" t="str">
        <f t="shared" si="33"/>
        <v>Guatemala</v>
      </c>
      <c r="E81" s="47">
        <f t="shared" ref="E81:G81" si="72">F81</f>
        <v>1</v>
      </c>
      <c r="F81" s="47">
        <f t="shared" si="72"/>
        <v>1</v>
      </c>
      <c r="G81" s="47">
        <f t="shared" si="72"/>
        <v>1</v>
      </c>
      <c r="H81" s="47">
        <f t="shared" ref="H81" si="73">I81</f>
        <v>1</v>
      </c>
      <c r="I81" s="47">
        <f t="shared" si="50"/>
        <v>1</v>
      </c>
      <c r="J81" s="47">
        <v>1</v>
      </c>
      <c r="K81" s="45">
        <v>1</v>
      </c>
      <c r="L81" s="457">
        <f t="shared" si="41"/>
        <v>100</v>
      </c>
      <c r="M81" s="458">
        <f t="shared" si="42"/>
        <v>100</v>
      </c>
      <c r="N81" s="458">
        <f t="shared" si="43"/>
        <v>100</v>
      </c>
      <c r="O81" s="458">
        <f t="shared" si="44"/>
        <v>100</v>
      </c>
      <c r="P81" s="458">
        <f t="shared" si="45"/>
        <v>100</v>
      </c>
      <c r="Q81" s="458">
        <f t="shared" si="46"/>
        <v>100</v>
      </c>
      <c r="R81" s="459">
        <f t="shared" si="47"/>
        <v>100</v>
      </c>
      <c r="S81" s="455"/>
      <c r="T81" s="456"/>
      <c r="U81" s="456"/>
      <c r="V81" s="456"/>
      <c r="W81" s="456"/>
      <c r="X81" s="456"/>
      <c r="Y81" s="456"/>
      <c r="Z81" s="455"/>
      <c r="AA81" s="456"/>
      <c r="AB81" s="456"/>
      <c r="AC81" s="456"/>
      <c r="AD81" s="456"/>
      <c r="AE81" s="456"/>
      <c r="AF81" s="456"/>
      <c r="AG81" s="33" t="str">
        <f t="shared" si="69"/>
        <v>1.03 &gt; Guatemala</v>
      </c>
      <c r="AH81" s="84">
        <f t="shared" ref="AH81:AH144" si="74">AH80+1</f>
        <v>67</v>
      </c>
      <c r="AI81" s="84">
        <f t="shared" ref="AI81:AI144" si="75">ROUNDUP(AH81/COUNTA($D$15:$D$41),0)</f>
        <v>3</v>
      </c>
      <c r="AJ81" s="877" t="s">
        <v>1526</v>
      </c>
    </row>
    <row r="82" spans="1:36" x14ac:dyDescent="0.2">
      <c r="A82" s="492">
        <f>INDEX(Country!$F$31:$G$76, MATCH(AI82, Country!$O$31:$O$76, 0), 1)</f>
        <v>1.03</v>
      </c>
      <c r="B82" s="2" t="str">
        <f>INDEX(Country!$F$31:$G$76, MATCH(AI82, Country!$O$31:$O$76, 0), 2)</f>
        <v>Clean energy rural electrification</v>
      </c>
      <c r="C82" s="436" t="str">
        <f>INDEX(Country!$K$31:$K$76, MATCH(AI82, Country!$O$31:$O$76, 0), 1)</f>
        <v>Program</v>
      </c>
      <c r="D82" s="4" t="str">
        <f t="shared" si="33"/>
        <v>Guyana</v>
      </c>
      <c r="E82" s="47">
        <f t="shared" ref="E82:G82" si="76">F82</f>
        <v>1</v>
      </c>
      <c r="F82" s="47">
        <f t="shared" si="76"/>
        <v>1</v>
      </c>
      <c r="G82" s="47">
        <f t="shared" si="76"/>
        <v>1</v>
      </c>
      <c r="H82" s="47">
        <f t="shared" ref="H82" si="77">I82</f>
        <v>1</v>
      </c>
      <c r="I82" s="47">
        <f t="shared" si="50"/>
        <v>1</v>
      </c>
      <c r="J82" s="47">
        <v>1</v>
      </c>
      <c r="K82" s="45">
        <v>1</v>
      </c>
      <c r="L82" s="457">
        <f t="shared" si="41"/>
        <v>100</v>
      </c>
      <c r="M82" s="458">
        <f t="shared" si="42"/>
        <v>100</v>
      </c>
      <c r="N82" s="458">
        <f t="shared" si="43"/>
        <v>100</v>
      </c>
      <c r="O82" s="458">
        <f t="shared" si="44"/>
        <v>100</v>
      </c>
      <c r="P82" s="458">
        <f t="shared" si="45"/>
        <v>100</v>
      </c>
      <c r="Q82" s="458">
        <f t="shared" si="46"/>
        <v>100</v>
      </c>
      <c r="R82" s="459">
        <f t="shared" si="47"/>
        <v>100</v>
      </c>
      <c r="S82" s="455"/>
      <c r="T82" s="456"/>
      <c r="U82" s="456"/>
      <c r="V82" s="456"/>
      <c r="W82" s="456"/>
      <c r="X82" s="456"/>
      <c r="Y82" s="456"/>
      <c r="Z82" s="455"/>
      <c r="AA82" s="456"/>
      <c r="AB82" s="456"/>
      <c r="AC82" s="456"/>
      <c r="AD82" s="456"/>
      <c r="AE82" s="456"/>
      <c r="AF82" s="456"/>
      <c r="AG82" s="33" t="str">
        <f t="shared" si="69"/>
        <v>1.03 &gt; Guyana</v>
      </c>
      <c r="AH82" s="84">
        <f t="shared" si="74"/>
        <v>68</v>
      </c>
      <c r="AI82" s="84">
        <f t="shared" si="75"/>
        <v>3</v>
      </c>
      <c r="AJ82" s="877" t="s">
        <v>1526</v>
      </c>
    </row>
    <row r="83" spans="1:36" x14ac:dyDescent="0.2">
      <c r="A83" s="492">
        <f>INDEX(Country!$F$31:$G$76, MATCH(AI83, Country!$O$31:$O$76, 0), 1)</f>
        <v>1.03</v>
      </c>
      <c r="B83" s="2" t="str">
        <f>INDEX(Country!$F$31:$G$76, MATCH(AI83, Country!$O$31:$O$76, 0), 2)</f>
        <v>Clean energy rural electrification</v>
      </c>
      <c r="C83" s="436" t="str">
        <f>INDEX(Country!$K$31:$K$76, MATCH(AI83, Country!$O$31:$O$76, 0), 1)</f>
        <v>Program</v>
      </c>
      <c r="D83" s="4" t="str">
        <f t="shared" si="33"/>
        <v>Haiti</v>
      </c>
      <c r="E83" s="47">
        <f t="shared" ref="E83:G83" si="78">F83</f>
        <v>0</v>
      </c>
      <c r="F83" s="47">
        <f t="shared" si="78"/>
        <v>0</v>
      </c>
      <c r="G83" s="47">
        <f t="shared" si="78"/>
        <v>0</v>
      </c>
      <c r="H83" s="47">
        <f t="shared" ref="H83" si="79">I83</f>
        <v>0</v>
      </c>
      <c r="I83" s="47">
        <f t="shared" si="50"/>
        <v>0</v>
      </c>
      <c r="J83" s="47">
        <v>0</v>
      </c>
      <c r="K83" s="45">
        <v>0</v>
      </c>
      <c r="L83" s="457">
        <f t="shared" si="41"/>
        <v>0</v>
      </c>
      <c r="M83" s="458">
        <f t="shared" si="42"/>
        <v>0</v>
      </c>
      <c r="N83" s="458">
        <f t="shared" si="43"/>
        <v>0</v>
      </c>
      <c r="O83" s="458">
        <f t="shared" si="44"/>
        <v>0</v>
      </c>
      <c r="P83" s="458">
        <f t="shared" si="45"/>
        <v>0</v>
      </c>
      <c r="Q83" s="458">
        <f t="shared" si="46"/>
        <v>0</v>
      </c>
      <c r="R83" s="459">
        <f t="shared" si="47"/>
        <v>0</v>
      </c>
      <c r="S83" s="455"/>
      <c r="T83" s="456"/>
      <c r="U83" s="456"/>
      <c r="V83" s="456"/>
      <c r="W83" s="456"/>
      <c r="X83" s="456"/>
      <c r="Y83" s="456"/>
      <c r="Z83" s="455"/>
      <c r="AA83" s="456"/>
      <c r="AB83" s="456"/>
      <c r="AC83" s="456"/>
      <c r="AD83" s="456"/>
      <c r="AE83" s="456"/>
      <c r="AF83" s="456"/>
      <c r="AG83" s="33" t="str">
        <f t="shared" si="69"/>
        <v>1.03 &gt; Haiti</v>
      </c>
      <c r="AH83" s="84">
        <f t="shared" si="74"/>
        <v>69</v>
      </c>
      <c r="AI83" s="84">
        <f t="shared" si="75"/>
        <v>3</v>
      </c>
      <c r="AJ83" s="877" t="s">
        <v>1526</v>
      </c>
    </row>
    <row r="84" spans="1:36" x14ac:dyDescent="0.2">
      <c r="A84" s="492">
        <f>INDEX(Country!$F$31:$G$76, MATCH(AI84, Country!$O$31:$O$76, 0), 1)</f>
        <v>1.03</v>
      </c>
      <c r="B84" s="2" t="str">
        <f>INDEX(Country!$F$31:$G$76, MATCH(AI84, Country!$O$31:$O$76, 0), 2)</f>
        <v>Clean energy rural electrification</v>
      </c>
      <c r="C84" s="436" t="str">
        <f>INDEX(Country!$K$31:$K$76, MATCH(AI84, Country!$O$31:$O$76, 0), 1)</f>
        <v>Program</v>
      </c>
      <c r="D84" s="4" t="str">
        <f t="shared" si="33"/>
        <v>Honduras</v>
      </c>
      <c r="E84" s="47">
        <f t="shared" ref="E84:G84" si="80">F84</f>
        <v>1</v>
      </c>
      <c r="F84" s="47">
        <f t="shared" si="80"/>
        <v>1</v>
      </c>
      <c r="G84" s="47">
        <f t="shared" si="80"/>
        <v>1</v>
      </c>
      <c r="H84" s="47">
        <f t="shared" ref="H84" si="81">I84</f>
        <v>1</v>
      </c>
      <c r="I84" s="47">
        <f t="shared" si="50"/>
        <v>1</v>
      </c>
      <c r="J84" s="47">
        <v>1</v>
      </c>
      <c r="K84" s="45">
        <v>1</v>
      </c>
      <c r="L84" s="457">
        <f t="shared" si="41"/>
        <v>100</v>
      </c>
      <c r="M84" s="458">
        <f t="shared" si="42"/>
        <v>100</v>
      </c>
      <c r="N84" s="458">
        <f t="shared" si="43"/>
        <v>100</v>
      </c>
      <c r="O84" s="458">
        <f t="shared" si="44"/>
        <v>100</v>
      </c>
      <c r="P84" s="458">
        <f t="shared" si="45"/>
        <v>100</v>
      </c>
      <c r="Q84" s="458">
        <f t="shared" si="46"/>
        <v>100</v>
      </c>
      <c r="R84" s="459">
        <f t="shared" si="47"/>
        <v>100</v>
      </c>
      <c r="S84" s="455"/>
      <c r="T84" s="456"/>
      <c r="U84" s="456"/>
      <c r="V84" s="456"/>
      <c r="W84" s="456"/>
      <c r="X84" s="456"/>
      <c r="Y84" s="456"/>
      <c r="Z84" s="455"/>
      <c r="AA84" s="456"/>
      <c r="AB84" s="456"/>
      <c r="AC84" s="456"/>
      <c r="AD84" s="456"/>
      <c r="AE84" s="456"/>
      <c r="AF84" s="456"/>
      <c r="AG84" s="33" t="str">
        <f t="shared" si="69"/>
        <v>1.03 &gt; Honduras</v>
      </c>
      <c r="AH84" s="84">
        <f t="shared" si="74"/>
        <v>70</v>
      </c>
      <c r="AI84" s="84">
        <f t="shared" si="75"/>
        <v>3</v>
      </c>
      <c r="AJ84" s="877" t="s">
        <v>1526</v>
      </c>
    </row>
    <row r="85" spans="1:36" x14ac:dyDescent="0.2">
      <c r="A85" s="492">
        <f>INDEX(Country!$F$31:$G$76, MATCH(AI85, Country!$O$31:$O$76, 0), 1)</f>
        <v>1.03</v>
      </c>
      <c r="B85" s="2" t="str">
        <f>INDEX(Country!$F$31:$G$76, MATCH(AI85, Country!$O$31:$O$76, 0), 2)</f>
        <v>Clean energy rural electrification</v>
      </c>
      <c r="C85" s="436" t="str">
        <f>INDEX(Country!$K$31:$K$76, MATCH(AI85, Country!$O$31:$O$76, 0), 1)</f>
        <v>Program</v>
      </c>
      <c r="D85" s="4" t="str">
        <f t="shared" si="33"/>
        <v>Jamaica</v>
      </c>
      <c r="E85" s="47">
        <f t="shared" ref="E85:G85" si="82">F85</f>
        <v>1</v>
      </c>
      <c r="F85" s="47">
        <f t="shared" si="82"/>
        <v>1</v>
      </c>
      <c r="G85" s="47">
        <f t="shared" si="82"/>
        <v>1</v>
      </c>
      <c r="H85" s="47">
        <f t="shared" ref="H85" si="83">I85</f>
        <v>1</v>
      </c>
      <c r="I85" s="47">
        <f t="shared" si="50"/>
        <v>1</v>
      </c>
      <c r="J85" s="47">
        <v>1</v>
      </c>
      <c r="K85" s="45">
        <v>1</v>
      </c>
      <c r="L85" s="457">
        <f t="shared" si="41"/>
        <v>100</v>
      </c>
      <c r="M85" s="458">
        <f t="shared" si="42"/>
        <v>100</v>
      </c>
      <c r="N85" s="458">
        <f t="shared" si="43"/>
        <v>100</v>
      </c>
      <c r="O85" s="458">
        <f t="shared" si="44"/>
        <v>100</v>
      </c>
      <c r="P85" s="458">
        <f t="shared" si="45"/>
        <v>100</v>
      </c>
      <c r="Q85" s="458">
        <f t="shared" si="46"/>
        <v>100</v>
      </c>
      <c r="R85" s="459">
        <f t="shared" si="47"/>
        <v>100</v>
      </c>
      <c r="S85" s="455"/>
      <c r="T85" s="456"/>
      <c r="U85" s="456"/>
      <c r="V85" s="456"/>
      <c r="W85" s="456"/>
      <c r="X85" s="456"/>
      <c r="Y85" s="456"/>
      <c r="Z85" s="455"/>
      <c r="AA85" s="456"/>
      <c r="AB85" s="456"/>
      <c r="AC85" s="456"/>
      <c r="AD85" s="456"/>
      <c r="AE85" s="456"/>
      <c r="AF85" s="456"/>
      <c r="AG85" s="33" t="str">
        <f t="shared" si="69"/>
        <v>1.03 &gt; Jamaica</v>
      </c>
      <c r="AH85" s="84">
        <f t="shared" si="74"/>
        <v>71</v>
      </c>
      <c r="AI85" s="84">
        <f t="shared" si="75"/>
        <v>3</v>
      </c>
      <c r="AJ85" s="877" t="s">
        <v>1526</v>
      </c>
    </row>
    <row r="86" spans="1:36" x14ac:dyDescent="0.2">
      <c r="A86" s="492">
        <f>INDEX(Country!$F$31:$G$76, MATCH(AI86, Country!$O$31:$O$76, 0), 1)</f>
        <v>1.03</v>
      </c>
      <c r="B86" s="2" t="str">
        <f>INDEX(Country!$F$31:$G$76, MATCH(AI86, Country!$O$31:$O$76, 0), 2)</f>
        <v>Clean energy rural electrification</v>
      </c>
      <c r="C86" s="436" t="str">
        <f>INDEX(Country!$K$31:$K$76, MATCH(AI86, Country!$O$31:$O$76, 0), 1)</f>
        <v>Program</v>
      </c>
      <c r="D86" s="4" t="str">
        <f t="shared" si="33"/>
        <v>Mexico</v>
      </c>
      <c r="E86" s="47">
        <f t="shared" ref="E86:G86" si="84">F86</f>
        <v>1</v>
      </c>
      <c r="F86" s="47">
        <f t="shared" si="84"/>
        <v>1</v>
      </c>
      <c r="G86" s="47">
        <f t="shared" si="84"/>
        <v>1</v>
      </c>
      <c r="H86" s="47">
        <f t="shared" ref="H86" si="85">I86</f>
        <v>1</v>
      </c>
      <c r="I86" s="47">
        <f t="shared" si="50"/>
        <v>1</v>
      </c>
      <c r="J86" s="47">
        <v>1</v>
      </c>
      <c r="K86" s="45">
        <v>1</v>
      </c>
      <c r="L86" s="457">
        <f t="shared" si="41"/>
        <v>100</v>
      </c>
      <c r="M86" s="458">
        <f t="shared" si="42"/>
        <v>100</v>
      </c>
      <c r="N86" s="458">
        <f t="shared" si="43"/>
        <v>100</v>
      </c>
      <c r="O86" s="458">
        <f t="shared" si="44"/>
        <v>100</v>
      </c>
      <c r="P86" s="458">
        <f t="shared" si="45"/>
        <v>100</v>
      </c>
      <c r="Q86" s="458">
        <f t="shared" si="46"/>
        <v>100</v>
      </c>
      <c r="R86" s="459">
        <f t="shared" si="47"/>
        <v>100</v>
      </c>
      <c r="S86" s="455"/>
      <c r="T86" s="456"/>
      <c r="U86" s="456"/>
      <c r="V86" s="456"/>
      <c r="W86" s="456"/>
      <c r="X86" s="456"/>
      <c r="Y86" s="456"/>
      <c r="Z86" s="455"/>
      <c r="AA86" s="456"/>
      <c r="AB86" s="456"/>
      <c r="AC86" s="456"/>
      <c r="AD86" s="456"/>
      <c r="AE86" s="456"/>
      <c r="AF86" s="456"/>
      <c r="AG86" s="33" t="str">
        <f t="shared" si="69"/>
        <v>1.03 &gt; Mexico</v>
      </c>
      <c r="AH86" s="84">
        <f t="shared" si="74"/>
        <v>72</v>
      </c>
      <c r="AI86" s="84">
        <f t="shared" si="75"/>
        <v>3</v>
      </c>
      <c r="AJ86" s="877" t="s">
        <v>1526</v>
      </c>
    </row>
    <row r="87" spans="1:36" x14ac:dyDescent="0.2">
      <c r="A87" s="492">
        <f>INDEX(Country!$F$31:$G$76, MATCH(AI87, Country!$O$31:$O$76, 0), 1)</f>
        <v>1.03</v>
      </c>
      <c r="B87" s="2" t="str">
        <f>INDEX(Country!$F$31:$G$76, MATCH(AI87, Country!$O$31:$O$76, 0), 2)</f>
        <v>Clean energy rural electrification</v>
      </c>
      <c r="C87" s="436" t="str">
        <f>INDEX(Country!$K$31:$K$76, MATCH(AI87, Country!$O$31:$O$76, 0), 1)</f>
        <v>Program</v>
      </c>
      <c r="D87" s="4" t="str">
        <f t="shared" si="33"/>
        <v>Nicaragua</v>
      </c>
      <c r="E87" s="47">
        <f t="shared" ref="E87:G87" si="86">F87</f>
        <v>1</v>
      </c>
      <c r="F87" s="47">
        <f t="shared" si="86"/>
        <v>1</v>
      </c>
      <c r="G87" s="47">
        <f t="shared" si="86"/>
        <v>1</v>
      </c>
      <c r="H87" s="47">
        <f t="shared" ref="H87" si="87">I87</f>
        <v>1</v>
      </c>
      <c r="I87" s="47">
        <f t="shared" si="50"/>
        <v>1</v>
      </c>
      <c r="J87" s="47">
        <v>1</v>
      </c>
      <c r="K87" s="45">
        <v>1</v>
      </c>
      <c r="L87" s="457">
        <f t="shared" si="41"/>
        <v>100</v>
      </c>
      <c r="M87" s="458">
        <f t="shared" si="42"/>
        <v>100</v>
      </c>
      <c r="N87" s="458">
        <f t="shared" si="43"/>
        <v>100</v>
      </c>
      <c r="O87" s="458">
        <f t="shared" si="44"/>
        <v>100</v>
      </c>
      <c r="P87" s="458">
        <f t="shared" si="45"/>
        <v>100</v>
      </c>
      <c r="Q87" s="458">
        <f t="shared" si="46"/>
        <v>100</v>
      </c>
      <c r="R87" s="459">
        <f t="shared" si="47"/>
        <v>100</v>
      </c>
      <c r="S87" s="455"/>
      <c r="T87" s="456"/>
      <c r="U87" s="456"/>
      <c r="V87" s="456"/>
      <c r="W87" s="456"/>
      <c r="X87" s="456"/>
      <c r="Y87" s="456"/>
      <c r="Z87" s="455"/>
      <c r="AA87" s="456"/>
      <c r="AB87" s="456"/>
      <c r="AC87" s="456"/>
      <c r="AD87" s="456"/>
      <c r="AE87" s="456"/>
      <c r="AF87" s="456"/>
      <c r="AG87" s="33" t="str">
        <f t="shared" si="69"/>
        <v>1.03 &gt; Nicaragua</v>
      </c>
      <c r="AH87" s="84">
        <f t="shared" si="74"/>
        <v>73</v>
      </c>
      <c r="AI87" s="84">
        <f t="shared" si="75"/>
        <v>3</v>
      </c>
      <c r="AJ87" s="877" t="s">
        <v>1526</v>
      </c>
    </row>
    <row r="88" spans="1:36" x14ac:dyDescent="0.2">
      <c r="A88" s="492">
        <f>INDEX(Country!$F$31:$G$76, MATCH(AI88, Country!$O$31:$O$76, 0), 1)</f>
        <v>1.03</v>
      </c>
      <c r="B88" s="2" t="str">
        <f>INDEX(Country!$F$31:$G$76, MATCH(AI88, Country!$O$31:$O$76, 0), 2)</f>
        <v>Clean energy rural electrification</v>
      </c>
      <c r="C88" s="436" t="str">
        <f>INDEX(Country!$K$31:$K$76, MATCH(AI88, Country!$O$31:$O$76, 0), 1)</f>
        <v>Program</v>
      </c>
      <c r="D88" s="4" t="str">
        <f t="shared" si="33"/>
        <v>Panama</v>
      </c>
      <c r="E88" s="47">
        <f t="shared" ref="E88:G88" si="88">F88</f>
        <v>1</v>
      </c>
      <c r="F88" s="47">
        <f t="shared" si="88"/>
        <v>1</v>
      </c>
      <c r="G88" s="47">
        <f t="shared" si="88"/>
        <v>1</v>
      </c>
      <c r="H88" s="47">
        <f t="shared" ref="H88" si="89">I88</f>
        <v>1</v>
      </c>
      <c r="I88" s="47">
        <f t="shared" si="50"/>
        <v>1</v>
      </c>
      <c r="J88" s="47">
        <v>1</v>
      </c>
      <c r="K88" s="45">
        <v>1</v>
      </c>
      <c r="L88" s="457">
        <f t="shared" si="41"/>
        <v>100</v>
      </c>
      <c r="M88" s="458">
        <f t="shared" si="42"/>
        <v>100</v>
      </c>
      <c r="N88" s="458">
        <f t="shared" si="43"/>
        <v>100</v>
      </c>
      <c r="O88" s="458">
        <f t="shared" si="44"/>
        <v>100</v>
      </c>
      <c r="P88" s="458">
        <f t="shared" si="45"/>
        <v>100</v>
      </c>
      <c r="Q88" s="458">
        <f t="shared" si="46"/>
        <v>100</v>
      </c>
      <c r="R88" s="459">
        <f t="shared" si="47"/>
        <v>100</v>
      </c>
      <c r="S88" s="455"/>
      <c r="T88" s="456"/>
      <c r="U88" s="456"/>
      <c r="V88" s="456"/>
      <c r="W88" s="456"/>
      <c r="X88" s="456"/>
      <c r="Y88" s="456"/>
      <c r="Z88" s="455"/>
      <c r="AA88" s="456"/>
      <c r="AB88" s="456"/>
      <c r="AC88" s="456"/>
      <c r="AD88" s="456"/>
      <c r="AE88" s="456"/>
      <c r="AF88" s="456"/>
      <c r="AG88" s="33" t="str">
        <f t="shared" si="69"/>
        <v>1.03 &gt; Panama</v>
      </c>
      <c r="AH88" s="84">
        <f t="shared" si="74"/>
        <v>74</v>
      </c>
      <c r="AI88" s="84">
        <f t="shared" si="75"/>
        <v>3</v>
      </c>
      <c r="AJ88" s="877" t="s">
        <v>1526</v>
      </c>
    </row>
    <row r="89" spans="1:36" x14ac:dyDescent="0.2">
      <c r="A89" s="492">
        <f>INDEX(Country!$F$31:$G$76, MATCH(AI89, Country!$O$31:$O$76, 0), 1)</f>
        <v>1.03</v>
      </c>
      <c r="B89" s="2" t="str">
        <f>INDEX(Country!$F$31:$G$76, MATCH(AI89, Country!$O$31:$O$76, 0), 2)</f>
        <v>Clean energy rural electrification</v>
      </c>
      <c r="C89" s="436" t="str">
        <f>INDEX(Country!$K$31:$K$76, MATCH(AI89, Country!$O$31:$O$76, 0), 1)</f>
        <v>Program</v>
      </c>
      <c r="D89" s="4" t="str">
        <f t="shared" si="33"/>
        <v>Paraguay</v>
      </c>
      <c r="E89" s="47">
        <f t="shared" ref="E89:G89" si="90">F89</f>
        <v>0</v>
      </c>
      <c r="F89" s="47">
        <f t="shared" si="90"/>
        <v>0</v>
      </c>
      <c r="G89" s="47">
        <f t="shared" si="90"/>
        <v>0</v>
      </c>
      <c r="H89" s="47">
        <f t="shared" ref="H89" si="91">I89</f>
        <v>0</v>
      </c>
      <c r="I89" s="47">
        <f t="shared" si="50"/>
        <v>0</v>
      </c>
      <c r="J89" s="47">
        <v>0</v>
      </c>
      <c r="K89" s="45">
        <v>0</v>
      </c>
      <c r="L89" s="457">
        <f t="shared" si="41"/>
        <v>0</v>
      </c>
      <c r="M89" s="458">
        <f t="shared" si="42"/>
        <v>0</v>
      </c>
      <c r="N89" s="458">
        <f t="shared" si="43"/>
        <v>0</v>
      </c>
      <c r="O89" s="458">
        <f t="shared" si="44"/>
        <v>0</v>
      </c>
      <c r="P89" s="458">
        <f t="shared" si="45"/>
        <v>0</v>
      </c>
      <c r="Q89" s="458">
        <f t="shared" si="46"/>
        <v>0</v>
      </c>
      <c r="R89" s="459">
        <f t="shared" si="47"/>
        <v>0</v>
      </c>
      <c r="S89" s="455"/>
      <c r="T89" s="456"/>
      <c r="U89" s="456"/>
      <c r="V89" s="456"/>
      <c r="W89" s="456"/>
      <c r="X89" s="456"/>
      <c r="Y89" s="456"/>
      <c r="Z89" s="455"/>
      <c r="AA89" s="456"/>
      <c r="AB89" s="456"/>
      <c r="AC89" s="456"/>
      <c r="AD89" s="456"/>
      <c r="AE89" s="456"/>
      <c r="AF89" s="456"/>
      <c r="AG89" s="33" t="str">
        <f t="shared" si="69"/>
        <v>1.03 &gt; Paraguay</v>
      </c>
      <c r="AH89" s="84">
        <f t="shared" si="74"/>
        <v>75</v>
      </c>
      <c r="AI89" s="84">
        <f t="shared" si="75"/>
        <v>3</v>
      </c>
      <c r="AJ89" s="877" t="s">
        <v>1526</v>
      </c>
    </row>
    <row r="90" spans="1:36" x14ac:dyDescent="0.2">
      <c r="A90" s="492">
        <f>INDEX(Country!$F$31:$G$76, MATCH(AI90, Country!$O$31:$O$76, 0), 1)</f>
        <v>1.03</v>
      </c>
      <c r="B90" s="2" t="str">
        <f>INDEX(Country!$F$31:$G$76, MATCH(AI90, Country!$O$31:$O$76, 0), 2)</f>
        <v>Clean energy rural electrification</v>
      </c>
      <c r="C90" s="436" t="str">
        <f>INDEX(Country!$K$31:$K$76, MATCH(AI90, Country!$O$31:$O$76, 0), 1)</f>
        <v>Program</v>
      </c>
      <c r="D90" s="4" t="str">
        <f t="shared" si="33"/>
        <v>Peru</v>
      </c>
      <c r="E90" s="47">
        <f t="shared" ref="E90:G90" si="92">F90</f>
        <v>1</v>
      </c>
      <c r="F90" s="47">
        <f t="shared" si="92"/>
        <v>1</v>
      </c>
      <c r="G90" s="47">
        <f t="shared" si="92"/>
        <v>1</v>
      </c>
      <c r="H90" s="47">
        <f t="shared" ref="H90" si="93">I90</f>
        <v>1</v>
      </c>
      <c r="I90" s="47">
        <f t="shared" si="50"/>
        <v>1</v>
      </c>
      <c r="J90" s="47">
        <v>1</v>
      </c>
      <c r="K90" s="45">
        <v>1</v>
      </c>
      <c r="L90" s="457">
        <f t="shared" si="41"/>
        <v>100</v>
      </c>
      <c r="M90" s="458">
        <f t="shared" si="42"/>
        <v>100</v>
      </c>
      <c r="N90" s="458">
        <f t="shared" si="43"/>
        <v>100</v>
      </c>
      <c r="O90" s="458">
        <f t="shared" si="44"/>
        <v>100</v>
      </c>
      <c r="P90" s="458">
        <f t="shared" si="45"/>
        <v>100</v>
      </c>
      <c r="Q90" s="458">
        <f t="shared" si="46"/>
        <v>100</v>
      </c>
      <c r="R90" s="459">
        <f t="shared" si="47"/>
        <v>100</v>
      </c>
      <c r="S90" s="455"/>
      <c r="T90" s="456"/>
      <c r="U90" s="456"/>
      <c r="V90" s="456"/>
      <c r="W90" s="456"/>
      <c r="X90" s="456"/>
      <c r="Y90" s="456"/>
      <c r="Z90" s="455"/>
      <c r="AA90" s="456"/>
      <c r="AB90" s="456"/>
      <c r="AC90" s="456"/>
      <c r="AD90" s="456"/>
      <c r="AE90" s="456"/>
      <c r="AF90" s="456"/>
      <c r="AG90" s="33" t="str">
        <f t="shared" si="69"/>
        <v>1.03 &gt; Peru</v>
      </c>
      <c r="AH90" s="84">
        <f t="shared" si="74"/>
        <v>76</v>
      </c>
      <c r="AI90" s="84">
        <f t="shared" si="75"/>
        <v>3</v>
      </c>
      <c r="AJ90" s="877" t="s">
        <v>1526</v>
      </c>
    </row>
    <row r="91" spans="1:36" x14ac:dyDescent="0.2">
      <c r="A91" s="492">
        <f>INDEX(Country!$F$31:$G$76, MATCH(AI91, Country!$O$31:$O$76, 0), 1)</f>
        <v>1.03</v>
      </c>
      <c r="B91" s="2" t="str">
        <f>INDEX(Country!$F$31:$G$76, MATCH(AI91, Country!$O$31:$O$76, 0), 2)</f>
        <v>Clean energy rural electrification</v>
      </c>
      <c r="C91" s="436" t="str">
        <f>INDEX(Country!$K$31:$K$76, MATCH(AI91, Country!$O$31:$O$76, 0), 1)</f>
        <v>Program</v>
      </c>
      <c r="D91" s="4" t="str">
        <f t="shared" si="33"/>
        <v>Suriname</v>
      </c>
      <c r="E91" s="47">
        <f t="shared" ref="E91:G91" si="94">F91</f>
        <v>0</v>
      </c>
      <c r="F91" s="47">
        <f t="shared" si="94"/>
        <v>0</v>
      </c>
      <c r="G91" s="47">
        <f t="shared" si="94"/>
        <v>0</v>
      </c>
      <c r="H91" s="47">
        <f t="shared" ref="H91" si="95">I91</f>
        <v>0</v>
      </c>
      <c r="I91" s="47">
        <f t="shared" si="50"/>
        <v>0</v>
      </c>
      <c r="J91" s="47">
        <v>0</v>
      </c>
      <c r="K91" s="45">
        <v>0</v>
      </c>
      <c r="L91" s="457">
        <f t="shared" si="41"/>
        <v>0</v>
      </c>
      <c r="M91" s="458">
        <f t="shared" si="42"/>
        <v>0</v>
      </c>
      <c r="N91" s="458">
        <f t="shared" si="43"/>
        <v>0</v>
      </c>
      <c r="O91" s="458">
        <f t="shared" si="44"/>
        <v>0</v>
      </c>
      <c r="P91" s="458">
        <f t="shared" si="45"/>
        <v>0</v>
      </c>
      <c r="Q91" s="458">
        <f t="shared" si="46"/>
        <v>0</v>
      </c>
      <c r="R91" s="459">
        <f t="shared" si="47"/>
        <v>0</v>
      </c>
      <c r="S91" s="455"/>
      <c r="T91" s="456"/>
      <c r="U91" s="456"/>
      <c r="V91" s="456"/>
      <c r="W91" s="456"/>
      <c r="X91" s="456"/>
      <c r="Y91" s="456"/>
      <c r="Z91" s="455"/>
      <c r="AA91" s="456"/>
      <c r="AB91" s="456"/>
      <c r="AC91" s="456"/>
      <c r="AD91" s="456"/>
      <c r="AE91" s="456"/>
      <c r="AF91" s="456"/>
      <c r="AG91" s="33" t="str">
        <f t="shared" si="69"/>
        <v>1.03 &gt; Suriname</v>
      </c>
      <c r="AH91" s="84">
        <f t="shared" si="74"/>
        <v>77</v>
      </c>
      <c r="AI91" s="84">
        <f t="shared" si="75"/>
        <v>3</v>
      </c>
      <c r="AJ91" s="877" t="s">
        <v>1526</v>
      </c>
    </row>
    <row r="92" spans="1:36" x14ac:dyDescent="0.2">
      <c r="A92" s="492">
        <f>INDEX(Country!$F$31:$G$76, MATCH(AI92, Country!$O$31:$O$76, 0), 1)</f>
        <v>1.03</v>
      </c>
      <c r="B92" s="2" t="str">
        <f>INDEX(Country!$F$31:$G$76, MATCH(AI92, Country!$O$31:$O$76, 0), 2)</f>
        <v>Clean energy rural electrification</v>
      </c>
      <c r="C92" s="436" t="str">
        <f>INDEX(Country!$K$31:$K$76, MATCH(AI92, Country!$O$31:$O$76, 0), 1)</f>
        <v>Program</v>
      </c>
      <c r="D92" s="4" t="str">
        <f t="shared" si="33"/>
        <v>Trinidad &amp; Tobago</v>
      </c>
      <c r="E92" s="47">
        <f t="shared" ref="E92:G92" si="96">F92</f>
        <v>0</v>
      </c>
      <c r="F92" s="47">
        <f t="shared" si="96"/>
        <v>0</v>
      </c>
      <c r="G92" s="47">
        <f t="shared" si="96"/>
        <v>0</v>
      </c>
      <c r="H92" s="47">
        <f t="shared" ref="H92" si="97">I92</f>
        <v>0</v>
      </c>
      <c r="I92" s="47">
        <f t="shared" si="50"/>
        <v>0</v>
      </c>
      <c r="J92" s="47">
        <v>0</v>
      </c>
      <c r="K92" s="45">
        <v>0</v>
      </c>
      <c r="L92" s="457">
        <f t="shared" si="41"/>
        <v>0</v>
      </c>
      <c r="M92" s="458">
        <f t="shared" si="42"/>
        <v>0</v>
      </c>
      <c r="N92" s="458">
        <f t="shared" si="43"/>
        <v>0</v>
      </c>
      <c r="O92" s="458">
        <f t="shared" si="44"/>
        <v>0</v>
      </c>
      <c r="P92" s="458">
        <f t="shared" si="45"/>
        <v>0</v>
      </c>
      <c r="Q92" s="458">
        <f t="shared" si="46"/>
        <v>0</v>
      </c>
      <c r="R92" s="459">
        <f t="shared" si="47"/>
        <v>0</v>
      </c>
      <c r="S92" s="455"/>
      <c r="T92" s="456"/>
      <c r="U92" s="456"/>
      <c r="V92" s="456"/>
      <c r="W92" s="456"/>
      <c r="X92" s="456"/>
      <c r="Y92" s="456"/>
      <c r="Z92" s="455"/>
      <c r="AA92" s="456"/>
      <c r="AB92" s="456"/>
      <c r="AC92" s="456"/>
      <c r="AD92" s="456"/>
      <c r="AE92" s="456"/>
      <c r="AF92" s="456"/>
      <c r="AG92" s="33" t="str">
        <f t="shared" si="69"/>
        <v>1.03 &gt; Trinidad &amp; Tobago</v>
      </c>
      <c r="AH92" s="84">
        <f t="shared" si="74"/>
        <v>78</v>
      </c>
      <c r="AI92" s="84">
        <f t="shared" si="75"/>
        <v>3</v>
      </c>
      <c r="AJ92" s="877" t="s">
        <v>1526</v>
      </c>
    </row>
    <row r="93" spans="1:36" x14ac:dyDescent="0.2">
      <c r="A93" s="492">
        <f>INDEX(Country!$F$31:$G$76, MATCH(AI93, Country!$O$31:$O$76, 0), 1)</f>
        <v>1.03</v>
      </c>
      <c r="B93" s="2" t="str">
        <f>INDEX(Country!$F$31:$G$76, MATCH(AI93, Country!$O$31:$O$76, 0), 2)</f>
        <v>Clean energy rural electrification</v>
      </c>
      <c r="C93" s="436" t="str">
        <f>INDEX(Country!$K$31:$K$76, MATCH(AI93, Country!$O$31:$O$76, 0), 1)</f>
        <v>Program</v>
      </c>
      <c r="D93" s="4" t="str">
        <f t="shared" si="33"/>
        <v>Uruguay</v>
      </c>
      <c r="E93" s="47">
        <f t="shared" ref="E93:G93" si="98">F93</f>
        <v>1</v>
      </c>
      <c r="F93" s="47">
        <f t="shared" si="98"/>
        <v>1</v>
      </c>
      <c r="G93" s="47">
        <f t="shared" si="98"/>
        <v>1</v>
      </c>
      <c r="H93" s="47">
        <f t="shared" ref="H93" si="99">I93</f>
        <v>1</v>
      </c>
      <c r="I93" s="47">
        <f t="shared" si="50"/>
        <v>1</v>
      </c>
      <c r="J93" s="47">
        <v>1</v>
      </c>
      <c r="K93" s="45">
        <v>1</v>
      </c>
      <c r="L93" s="457">
        <f t="shared" si="41"/>
        <v>100</v>
      </c>
      <c r="M93" s="458">
        <f t="shared" si="42"/>
        <v>100</v>
      </c>
      <c r="N93" s="458">
        <f t="shared" si="43"/>
        <v>100</v>
      </c>
      <c r="O93" s="458">
        <f t="shared" si="44"/>
        <v>100</v>
      </c>
      <c r="P93" s="458">
        <f t="shared" si="45"/>
        <v>100</v>
      </c>
      <c r="Q93" s="458">
        <f t="shared" si="46"/>
        <v>100</v>
      </c>
      <c r="R93" s="459">
        <f t="shared" si="47"/>
        <v>100</v>
      </c>
      <c r="S93" s="455"/>
      <c r="T93" s="456"/>
      <c r="U93" s="456"/>
      <c r="V93" s="456"/>
      <c r="W93" s="456"/>
      <c r="X93" s="456"/>
      <c r="Y93" s="456"/>
      <c r="Z93" s="455"/>
      <c r="AA93" s="456"/>
      <c r="AB93" s="456"/>
      <c r="AC93" s="456"/>
      <c r="AD93" s="456"/>
      <c r="AE93" s="456"/>
      <c r="AF93" s="456"/>
      <c r="AG93" s="33" t="str">
        <f t="shared" si="69"/>
        <v>1.03 &gt; Uruguay</v>
      </c>
      <c r="AH93" s="84">
        <f t="shared" si="74"/>
        <v>79</v>
      </c>
      <c r="AI93" s="84">
        <f t="shared" si="75"/>
        <v>3</v>
      </c>
      <c r="AJ93" s="877" t="s">
        <v>1526</v>
      </c>
    </row>
    <row r="94" spans="1:36" x14ac:dyDescent="0.2">
      <c r="A94" s="491">
        <f>INDEX(Country!$F$31:$G$76, MATCH(AI94, Country!$O$31:$O$76, 0), 1)</f>
        <v>1.03</v>
      </c>
      <c r="B94" s="386" t="str">
        <f>INDEX(Country!$F$31:$G$76, MATCH(AI94, Country!$O$31:$O$76, 0), 2)</f>
        <v>Clean energy rural electrification</v>
      </c>
      <c r="C94" s="437" t="str">
        <f>INDEX(Country!$K$31:$K$76, MATCH(AI94, Country!$O$31:$O$76, 0), 1)</f>
        <v>Program</v>
      </c>
      <c r="D94" s="86" t="str">
        <f t="shared" si="33"/>
        <v>Venezuela</v>
      </c>
      <c r="E94" s="363">
        <f t="shared" ref="E94:G94" si="100">F94</f>
        <v>1</v>
      </c>
      <c r="F94" s="363">
        <f t="shared" si="100"/>
        <v>1</v>
      </c>
      <c r="G94" s="363">
        <f t="shared" si="100"/>
        <v>1</v>
      </c>
      <c r="H94" s="363">
        <f t="shared" ref="H94" si="101">I94</f>
        <v>1</v>
      </c>
      <c r="I94" s="363">
        <f t="shared" si="50"/>
        <v>1</v>
      </c>
      <c r="J94" s="363">
        <v>1</v>
      </c>
      <c r="K94" s="400">
        <v>1</v>
      </c>
      <c r="L94" s="460">
        <f t="shared" si="41"/>
        <v>100</v>
      </c>
      <c r="M94" s="461">
        <f t="shared" si="42"/>
        <v>100</v>
      </c>
      <c r="N94" s="461">
        <f t="shared" si="43"/>
        <v>100</v>
      </c>
      <c r="O94" s="461">
        <f t="shared" si="44"/>
        <v>100</v>
      </c>
      <c r="P94" s="461">
        <f t="shared" si="45"/>
        <v>100</v>
      </c>
      <c r="Q94" s="461">
        <f t="shared" si="46"/>
        <v>100</v>
      </c>
      <c r="R94" s="462">
        <f t="shared" si="47"/>
        <v>100</v>
      </c>
      <c r="S94" s="455"/>
      <c r="T94" s="456"/>
      <c r="U94" s="456"/>
      <c r="V94" s="456"/>
      <c r="W94" s="456"/>
      <c r="X94" s="456"/>
      <c r="Y94" s="456"/>
      <c r="Z94" s="455"/>
      <c r="AA94" s="456"/>
      <c r="AB94" s="456"/>
      <c r="AC94" s="456"/>
      <c r="AD94" s="456"/>
      <c r="AE94" s="456"/>
      <c r="AF94" s="456"/>
      <c r="AG94" s="90" t="str">
        <f t="shared" si="69"/>
        <v>1.03 &gt; Venezuela</v>
      </c>
      <c r="AH94" s="392">
        <f t="shared" si="74"/>
        <v>80</v>
      </c>
      <c r="AI94" s="392">
        <f t="shared" si="75"/>
        <v>3</v>
      </c>
      <c r="AJ94" s="878" t="s">
        <v>1526</v>
      </c>
    </row>
    <row r="95" spans="1:36" x14ac:dyDescent="0.2">
      <c r="A95" s="490">
        <f>INDEX(Country!$F$31:$G$76, MATCH(AI95, Country!$O$31:$O$76, 0), 1)</f>
        <v>1.03</v>
      </c>
      <c r="B95" s="387" t="str">
        <f>INDEX(Country!$F$31:$G$76, MATCH(AI95, Country!$O$31:$O$76, 0), 2)</f>
        <v>Clean energy rural electrification</v>
      </c>
      <c r="C95" s="438" t="str">
        <f>INDEX(Country!$K$31:$K$76, MATCH(AI95, Country!$O$31:$O$76, 0), 1)</f>
        <v>Program</v>
      </c>
      <c r="D95" s="32" t="str">
        <f t="shared" si="33"/>
        <v>Benchmark</v>
      </c>
      <c r="E95" s="362">
        <f>IFERROR(MAX(E69:E94), 0)</f>
        <v>1</v>
      </c>
      <c r="F95" s="362">
        <f t="shared" ref="F95" si="102">IFERROR(MAX(F69:F94), 0)</f>
        <v>1</v>
      </c>
      <c r="G95" s="362">
        <f t="shared" ref="G95" si="103">IFERROR(MAX(G69:G94), 0)</f>
        <v>1</v>
      </c>
      <c r="H95" s="362">
        <f t="shared" ref="H95" si="104">IFERROR(MAX(H69:H94), 0)</f>
        <v>1</v>
      </c>
      <c r="I95" s="362">
        <f t="shared" ref="I95" si="105">IFERROR(MAX(I69:I94), 0)</f>
        <v>1</v>
      </c>
      <c r="J95" s="362">
        <f t="shared" ref="J95:K95" si="106">IFERROR(MAX(J69:J94), 0)</f>
        <v>1</v>
      </c>
      <c r="K95" s="584">
        <f t="shared" si="106"/>
        <v>1</v>
      </c>
      <c r="L95" s="585">
        <f t="shared" si="41"/>
        <v>100</v>
      </c>
      <c r="M95" s="463">
        <f t="shared" si="42"/>
        <v>100</v>
      </c>
      <c r="N95" s="463">
        <f t="shared" si="43"/>
        <v>100</v>
      </c>
      <c r="O95" s="463">
        <f t="shared" si="44"/>
        <v>100</v>
      </c>
      <c r="P95" s="463">
        <f t="shared" si="45"/>
        <v>100</v>
      </c>
      <c r="Q95" s="463">
        <f t="shared" si="46"/>
        <v>100</v>
      </c>
      <c r="R95" s="586">
        <f t="shared" si="47"/>
        <v>100</v>
      </c>
      <c r="S95" s="393"/>
      <c r="T95" s="394"/>
      <c r="U95" s="376"/>
      <c r="V95" s="376"/>
      <c r="W95" s="376"/>
      <c r="X95" s="376"/>
      <c r="Y95" s="376"/>
      <c r="Z95" s="440" t="s">
        <v>1243</v>
      </c>
      <c r="AA95" s="441"/>
      <c r="AB95" s="442"/>
      <c r="AC95" s="442"/>
      <c r="AD95" s="442"/>
      <c r="AE95" s="442"/>
      <c r="AF95" s="443"/>
      <c r="AG95" s="34" t="str">
        <f t="shared" si="69"/>
        <v>1.03 &gt; Benchmark</v>
      </c>
      <c r="AH95" s="85">
        <f t="shared" si="74"/>
        <v>81</v>
      </c>
      <c r="AI95" s="85">
        <f t="shared" si="75"/>
        <v>3</v>
      </c>
      <c r="AJ95" s="871" t="s">
        <v>1526</v>
      </c>
    </row>
    <row r="96" spans="1:36" x14ac:dyDescent="0.2">
      <c r="A96" s="587">
        <f>INDEX(Country!$F$31:$G$76, MATCH(AI96, Country!$O$31:$O$76, 0), 1)</f>
        <v>1.04</v>
      </c>
      <c r="B96" s="588" t="str">
        <f>INDEX(Country!$F$31:$G$76, MATCH(AI96, Country!$O$31:$O$76, 0), 2)</f>
        <v>Clean energy installed capacity</v>
      </c>
      <c r="C96" s="589" t="str">
        <f>INDEX(Country!$K$31:$K$76, MATCH(AI96, Country!$O$31:$O$76, 0), 1)</f>
        <v>MW</v>
      </c>
      <c r="D96" s="590" t="str">
        <f t="shared" si="33"/>
        <v>Argentina</v>
      </c>
      <c r="E96" s="5">
        <f>Levelisation!F293</f>
        <v>535.19799999999998</v>
      </c>
      <c r="F96" s="5">
        <f>Levelisation!G293</f>
        <v>521.29500000000007</v>
      </c>
      <c r="G96" s="5">
        <f>Levelisation!H293</f>
        <v>522.89919999999995</v>
      </c>
      <c r="H96" s="5">
        <f>Levelisation!I293</f>
        <v>522.25020000000006</v>
      </c>
      <c r="I96" s="5">
        <f>Levelisation!J293</f>
        <v>525.17320000000007</v>
      </c>
      <c r="J96" s="5">
        <f>Levelisation!K293</f>
        <v>557.97850000000005</v>
      </c>
      <c r="K96" s="5">
        <f>Levelisation!L293</f>
        <v>557.97850000000005</v>
      </c>
      <c r="L96" s="580">
        <f t="shared" ref="L96:L121" si="107">IFERROR(dbl_BenchmarkMax*Z96/L$122, 0)</f>
        <v>4.0498817729658416</v>
      </c>
      <c r="M96" s="581">
        <f t="shared" ref="M96:M121" si="108">IFERROR(dbl_BenchmarkMax*AA96/M$122, 0)</f>
        <v>3.6578102470829705</v>
      </c>
      <c r="N96" s="581">
        <f t="shared" ref="N96:N121" si="109">IFERROR(dbl_BenchmarkMax*AB96/N$122, 0)</f>
        <v>3.4565590807363091</v>
      </c>
      <c r="O96" s="581">
        <f t="shared" ref="O96:O121" si="110">IFERROR(dbl_BenchmarkMax*AC96/O$122, 0)</f>
        <v>2.9933745099721789</v>
      </c>
      <c r="P96" s="581">
        <f t="shared" ref="P96:P121" si="111">IFERROR(dbl_BenchmarkMax*AD96/P$122, 0)</f>
        <v>2.6176690106315359</v>
      </c>
      <c r="Q96" s="581">
        <f t="shared" ref="Q96:Q121" si="112">IFERROR(dbl_BenchmarkMax*AE96/Q$122, 0)</f>
        <v>2.6288443851009791</v>
      </c>
      <c r="R96" s="582">
        <f t="shared" ref="R96:R121" si="113">IFERROR(dbl_BenchmarkMax*AF96/R$122, 0)</f>
        <v>2.6234055111662147</v>
      </c>
      <c r="S96" s="455"/>
      <c r="T96" s="456"/>
      <c r="U96" s="456"/>
      <c r="V96" s="456"/>
      <c r="W96" s="456"/>
      <c r="X96" s="456"/>
      <c r="Y96" s="456"/>
      <c r="Z96" s="421">
        <f>IFERROR(E96/Levelisation!F319, 0)</f>
        <v>1.8872097408031856E-2</v>
      </c>
      <c r="AA96" s="471">
        <f>IFERROR(F96/Levelisation!G319, 0)</f>
        <v>1.8058839401682361E-2</v>
      </c>
      <c r="AB96" s="471">
        <f>IFERROR(G96/Levelisation!H319, 0)</f>
        <v>1.6876422621022368E-2</v>
      </c>
      <c r="AC96" s="5">
        <f>IFERROR(H96/Levelisation!I319, 0)</f>
        <v>1.6256700590743217E-2</v>
      </c>
      <c r="AD96" s="5">
        <f>IFERROR(I96/Levelisation!J319, 0)</f>
        <v>1.5974111032161155E-2</v>
      </c>
      <c r="AE96" s="5">
        <f>IFERROR(J96/Levelisation!K319, 0)</f>
        <v>1.6512067953269698E-2</v>
      </c>
      <c r="AF96" s="6">
        <f>IFERROR(K96/Levelisation!L319, 0)</f>
        <v>1.6512067953269698E-2</v>
      </c>
      <c r="AG96" s="396" t="str">
        <f t="shared" si="69"/>
        <v>1.04 &gt; Argentina</v>
      </c>
      <c r="AH96" s="397">
        <f t="shared" si="74"/>
        <v>82</v>
      </c>
      <c r="AI96" s="397">
        <f t="shared" si="75"/>
        <v>4</v>
      </c>
      <c r="AJ96" s="879" t="s">
        <v>1526</v>
      </c>
    </row>
    <row r="97" spans="1:36" x14ac:dyDescent="0.2">
      <c r="A97" s="492">
        <f>INDEX(Country!$F$31:$G$76, MATCH(AI97, Country!$O$31:$O$76, 0), 1)</f>
        <v>1.04</v>
      </c>
      <c r="B97" s="2" t="str">
        <f>INDEX(Country!$F$31:$G$76, MATCH(AI97, Country!$O$31:$O$76, 0), 2)</f>
        <v>Clean energy installed capacity</v>
      </c>
      <c r="C97" s="436" t="str">
        <f>INDEX(Country!$K$31:$K$76, MATCH(AI97, Country!$O$31:$O$76, 0), 1)</f>
        <v>MW</v>
      </c>
      <c r="D97" s="4" t="str">
        <f t="shared" si="33"/>
        <v>Bahamas</v>
      </c>
      <c r="E97" s="5">
        <f>Levelisation!F294</f>
        <v>0</v>
      </c>
      <c r="F97" s="5">
        <f>Levelisation!G294</f>
        <v>0</v>
      </c>
      <c r="G97" s="5">
        <f>Levelisation!H294</f>
        <v>0</v>
      </c>
      <c r="H97" s="5">
        <f>Levelisation!I294</f>
        <v>0</v>
      </c>
      <c r="I97" s="5">
        <f>Levelisation!J294</f>
        <v>0</v>
      </c>
      <c r="J97" s="5">
        <f>Levelisation!K294</f>
        <v>0</v>
      </c>
      <c r="K97" s="5">
        <f>Levelisation!L294</f>
        <v>0</v>
      </c>
      <c r="L97" s="457">
        <f t="shared" si="107"/>
        <v>0</v>
      </c>
      <c r="M97" s="458">
        <f t="shared" si="108"/>
        <v>0</v>
      </c>
      <c r="N97" s="458">
        <f t="shared" si="109"/>
        <v>0</v>
      </c>
      <c r="O97" s="458">
        <f t="shared" si="110"/>
        <v>0</v>
      </c>
      <c r="P97" s="458">
        <f t="shared" si="111"/>
        <v>0</v>
      </c>
      <c r="Q97" s="458">
        <f t="shared" si="112"/>
        <v>0</v>
      </c>
      <c r="R97" s="459">
        <f t="shared" si="113"/>
        <v>0</v>
      </c>
      <c r="S97" s="455"/>
      <c r="T97" s="456"/>
      <c r="U97" s="456"/>
      <c r="V97" s="456"/>
      <c r="W97" s="456"/>
      <c r="X97" s="456"/>
      <c r="Y97" s="456"/>
      <c r="Z97" s="421">
        <f>IFERROR(E97/Levelisation!F320, 0)</f>
        <v>0</v>
      </c>
      <c r="AA97" s="471">
        <f>IFERROR(F97/Levelisation!G320, 0)</f>
        <v>0</v>
      </c>
      <c r="AB97" s="471">
        <f>IFERROR(G97/Levelisation!H320, 0)</f>
        <v>0</v>
      </c>
      <c r="AC97" s="5">
        <f>IFERROR(H97/Levelisation!I320, 0)</f>
        <v>0</v>
      </c>
      <c r="AD97" s="5">
        <f>IFERROR(I97/Levelisation!J320, 0)</f>
        <v>0</v>
      </c>
      <c r="AE97" s="5">
        <f>IFERROR(J97/Levelisation!K320, 0)</f>
        <v>0</v>
      </c>
      <c r="AF97" s="6">
        <f>IFERROR(K97/Levelisation!L320, 0)</f>
        <v>0</v>
      </c>
      <c r="AG97" s="33" t="str">
        <f t="shared" si="69"/>
        <v>1.04 &gt; Bahamas</v>
      </c>
      <c r="AH97" s="84">
        <f t="shared" si="74"/>
        <v>83</v>
      </c>
      <c r="AI97" s="84">
        <f t="shared" si="75"/>
        <v>4</v>
      </c>
      <c r="AJ97" s="877" t="s">
        <v>1526</v>
      </c>
    </row>
    <row r="98" spans="1:36" x14ac:dyDescent="0.2">
      <c r="A98" s="492">
        <f>INDEX(Country!$F$31:$G$76, MATCH(AI98, Country!$O$31:$O$76, 0), 1)</f>
        <v>1.04</v>
      </c>
      <c r="B98" s="2" t="str">
        <f>INDEX(Country!$F$31:$G$76, MATCH(AI98, Country!$O$31:$O$76, 0), 2)</f>
        <v>Clean energy installed capacity</v>
      </c>
      <c r="C98" s="436" t="str">
        <f>INDEX(Country!$K$31:$K$76, MATCH(AI98, Country!$O$31:$O$76, 0), 1)</f>
        <v>MW</v>
      </c>
      <c r="D98" s="4" t="str">
        <f t="shared" si="33"/>
        <v>Barbados</v>
      </c>
      <c r="E98" s="5">
        <f>Levelisation!F295</f>
        <v>0</v>
      </c>
      <c r="F98" s="5">
        <f>Levelisation!G295</f>
        <v>0</v>
      </c>
      <c r="G98" s="5">
        <f>Levelisation!H295</f>
        <v>0</v>
      </c>
      <c r="H98" s="5">
        <f>Levelisation!I295</f>
        <v>0</v>
      </c>
      <c r="I98" s="5">
        <f>Levelisation!J295</f>
        <v>0</v>
      </c>
      <c r="J98" s="5">
        <f>Levelisation!K295</f>
        <v>0</v>
      </c>
      <c r="K98" s="5">
        <f>Levelisation!L295</f>
        <v>0</v>
      </c>
      <c r="L98" s="457">
        <f t="shared" si="107"/>
        <v>0</v>
      </c>
      <c r="M98" s="458">
        <f t="shared" si="108"/>
        <v>0</v>
      </c>
      <c r="N98" s="458">
        <f t="shared" si="109"/>
        <v>0</v>
      </c>
      <c r="O98" s="458">
        <f t="shared" si="110"/>
        <v>0</v>
      </c>
      <c r="P98" s="458">
        <f t="shared" si="111"/>
        <v>0</v>
      </c>
      <c r="Q98" s="458">
        <f t="shared" si="112"/>
        <v>0</v>
      </c>
      <c r="R98" s="459">
        <f t="shared" si="113"/>
        <v>0</v>
      </c>
      <c r="S98" s="455"/>
      <c r="T98" s="456"/>
      <c r="U98" s="456"/>
      <c r="V98" s="456"/>
      <c r="W98" s="456"/>
      <c r="X98" s="456"/>
      <c r="Y98" s="456"/>
      <c r="Z98" s="421">
        <f>IFERROR(E98/Levelisation!F321, 0)</f>
        <v>0</v>
      </c>
      <c r="AA98" s="471">
        <f>IFERROR(F98/Levelisation!G321, 0)</f>
        <v>0</v>
      </c>
      <c r="AB98" s="471">
        <f>IFERROR(G98/Levelisation!H321, 0)</f>
        <v>0</v>
      </c>
      <c r="AC98" s="5">
        <f>IFERROR(H98/Levelisation!I321, 0)</f>
        <v>0</v>
      </c>
      <c r="AD98" s="5">
        <f>IFERROR(I98/Levelisation!J321, 0)</f>
        <v>0</v>
      </c>
      <c r="AE98" s="5">
        <f>IFERROR(J98/Levelisation!K321, 0)</f>
        <v>0</v>
      </c>
      <c r="AF98" s="6">
        <f>IFERROR(K98/Levelisation!L321, 0)</f>
        <v>0</v>
      </c>
      <c r="AG98" s="33" t="str">
        <f t="shared" si="69"/>
        <v>1.04 &gt; Barbados</v>
      </c>
      <c r="AH98" s="84">
        <f t="shared" si="74"/>
        <v>84</v>
      </c>
      <c r="AI98" s="84">
        <f t="shared" si="75"/>
        <v>4</v>
      </c>
      <c r="AJ98" s="877" t="s">
        <v>1526</v>
      </c>
    </row>
    <row r="99" spans="1:36" x14ac:dyDescent="0.2">
      <c r="A99" s="492">
        <f>INDEX(Country!$F$31:$G$76, MATCH(AI99, Country!$O$31:$O$76, 0), 1)</f>
        <v>1.04</v>
      </c>
      <c r="B99" s="2" t="str">
        <f>INDEX(Country!$F$31:$G$76, MATCH(AI99, Country!$O$31:$O$76, 0), 2)</f>
        <v>Clean energy installed capacity</v>
      </c>
      <c r="C99" s="436" t="str">
        <f>INDEX(Country!$K$31:$K$76, MATCH(AI99, Country!$O$31:$O$76, 0), 1)</f>
        <v>MW</v>
      </c>
      <c r="D99" s="4" t="str">
        <f t="shared" si="33"/>
        <v>Belize</v>
      </c>
      <c r="E99" s="5">
        <f>Levelisation!F296</f>
        <v>32.200000000000003</v>
      </c>
      <c r="F99" s="5">
        <f>Levelisation!G296</f>
        <v>35.300000000000004</v>
      </c>
      <c r="G99" s="5">
        <f>Levelisation!H296</f>
        <v>35.300000000000004</v>
      </c>
      <c r="H99" s="5">
        <f>Levelisation!I296</f>
        <v>66.800000000000011</v>
      </c>
      <c r="I99" s="5">
        <f>Levelisation!J296</f>
        <v>85.800000000000011</v>
      </c>
      <c r="J99" s="5">
        <f>Levelisation!K296</f>
        <v>85.800000000000011</v>
      </c>
      <c r="K99" s="5">
        <f>Levelisation!L296</f>
        <v>86.28</v>
      </c>
      <c r="L99" s="457">
        <f t="shared" si="107"/>
        <v>100.00000000000001</v>
      </c>
      <c r="M99" s="458">
        <f t="shared" si="108"/>
        <v>100</v>
      </c>
      <c r="N99" s="458">
        <f t="shared" si="109"/>
        <v>100</v>
      </c>
      <c r="O99" s="458">
        <f t="shared" si="110"/>
        <v>100</v>
      </c>
      <c r="P99" s="458">
        <f t="shared" si="111"/>
        <v>100</v>
      </c>
      <c r="Q99" s="458">
        <f t="shared" si="112"/>
        <v>100</v>
      </c>
      <c r="R99" s="459">
        <f t="shared" si="113"/>
        <v>100</v>
      </c>
      <c r="S99" s="455"/>
      <c r="T99" s="456"/>
      <c r="U99" s="456"/>
      <c r="V99" s="456"/>
      <c r="W99" s="456"/>
      <c r="X99" s="456"/>
      <c r="Y99" s="456"/>
      <c r="Z99" s="421">
        <f>IFERROR(E99/Levelisation!F322, 0)</f>
        <v>0.4659913169319827</v>
      </c>
      <c r="AA99" s="471">
        <f>IFERROR(F99/Levelisation!G322, 0)</f>
        <v>0.49370629370629376</v>
      </c>
      <c r="AB99" s="471">
        <f>IFERROR(G99/Levelisation!H322, 0)</f>
        <v>0.48824343015214383</v>
      </c>
      <c r="AC99" s="5">
        <f>IFERROR(H99/Levelisation!I322, 0)</f>
        <v>0.54308943089430906</v>
      </c>
      <c r="AD99" s="5">
        <f>IFERROR(I99/Levelisation!J322, 0)</f>
        <v>0.61024182076813671</v>
      </c>
      <c r="AE99" s="5">
        <f>IFERROR(J99/Levelisation!K322, 0)</f>
        <v>0.62811127379209386</v>
      </c>
      <c r="AF99" s="6">
        <f>IFERROR(K99/Levelisation!L322, 0)</f>
        <v>0.62941348117887375</v>
      </c>
      <c r="AG99" s="33" t="str">
        <f t="shared" si="69"/>
        <v>1.04 &gt; Belize</v>
      </c>
      <c r="AH99" s="84">
        <f t="shared" si="74"/>
        <v>85</v>
      </c>
      <c r="AI99" s="84">
        <f t="shared" si="75"/>
        <v>4</v>
      </c>
      <c r="AJ99" s="877" t="s">
        <v>1526</v>
      </c>
    </row>
    <row r="100" spans="1:36" x14ac:dyDescent="0.2">
      <c r="A100" s="492">
        <f>INDEX(Country!$F$31:$G$76, MATCH(AI100, Country!$O$31:$O$76, 0), 1)</f>
        <v>1.04</v>
      </c>
      <c r="B100" s="2" t="str">
        <f>INDEX(Country!$F$31:$G$76, MATCH(AI100, Country!$O$31:$O$76, 0), 2)</f>
        <v>Clean energy installed capacity</v>
      </c>
      <c r="C100" s="436" t="str">
        <f>INDEX(Country!$K$31:$K$76, MATCH(AI100, Country!$O$31:$O$76, 0), 1)</f>
        <v>MW</v>
      </c>
      <c r="D100" s="4" t="str">
        <f t="shared" si="33"/>
        <v>Bolivia</v>
      </c>
      <c r="E100" s="5">
        <f>Levelisation!F297</f>
        <v>307.60000000000002</v>
      </c>
      <c r="F100" s="5">
        <f>Levelisation!G297</f>
        <v>307.60000000000002</v>
      </c>
      <c r="G100" s="5">
        <f>Levelisation!H297</f>
        <v>310.40000000000003</v>
      </c>
      <c r="H100" s="5">
        <f>Levelisation!I297</f>
        <v>310.40000000000003</v>
      </c>
      <c r="I100" s="5">
        <f>Levelisation!J297</f>
        <v>310.40000000000003</v>
      </c>
      <c r="J100" s="5">
        <f>Levelisation!K297</f>
        <v>311.30000000000007</v>
      </c>
      <c r="K100" s="5">
        <f>Levelisation!L297</f>
        <v>311.30000000000007</v>
      </c>
      <c r="L100" s="457">
        <f t="shared" si="107"/>
        <v>45.039447096476714</v>
      </c>
      <c r="M100" s="458">
        <f t="shared" si="108"/>
        <v>41.675083138317525</v>
      </c>
      <c r="N100" s="458">
        <f t="shared" si="109"/>
        <v>42.357814772892652</v>
      </c>
      <c r="O100" s="458">
        <f t="shared" si="110"/>
        <v>37.39008963624498</v>
      </c>
      <c r="P100" s="458">
        <f t="shared" si="111"/>
        <v>31.032323583113648</v>
      </c>
      <c r="Q100" s="458">
        <f t="shared" si="112"/>
        <v>29.534164859830796</v>
      </c>
      <c r="R100" s="459">
        <f t="shared" si="113"/>
        <v>29.473060976941582</v>
      </c>
      <c r="S100" s="455"/>
      <c r="T100" s="456"/>
      <c r="U100" s="456"/>
      <c r="V100" s="456"/>
      <c r="W100" s="456"/>
      <c r="X100" s="456"/>
      <c r="Y100" s="456"/>
      <c r="Z100" s="421">
        <f>IFERROR(E100/Levelisation!F323, 0)</f>
        <v>0.2098799126637555</v>
      </c>
      <c r="AA100" s="471">
        <f>IFERROR(F100/Levelisation!G323, 0)</f>
        <v>0.20575250836120404</v>
      </c>
      <c r="AB100" s="471">
        <f>IFERROR(G100/Levelisation!H323, 0)</f>
        <v>0.20680924778466259</v>
      </c>
      <c r="AC100" s="5">
        <f>IFERROR(H100/Levelisation!I323, 0)</f>
        <v>0.20306162501635486</v>
      </c>
      <c r="AD100" s="5">
        <f>IFERROR(I100/Levelisation!J323, 0)</f>
        <v>0.1893722164602526</v>
      </c>
      <c r="AE100" s="5">
        <f>IFERROR(J100/Levelisation!K323, 0)</f>
        <v>0.18550741910494017</v>
      </c>
      <c r="AF100" s="6">
        <f>IFERROR(K100/Levelisation!L323, 0)</f>
        <v>0.18550741910494017</v>
      </c>
      <c r="AG100" s="33" t="str">
        <f t="shared" si="69"/>
        <v>1.04 &gt; Bolivia</v>
      </c>
      <c r="AH100" s="84">
        <f t="shared" si="74"/>
        <v>86</v>
      </c>
      <c r="AI100" s="84">
        <f t="shared" si="75"/>
        <v>4</v>
      </c>
      <c r="AJ100" s="877" t="s">
        <v>1526</v>
      </c>
    </row>
    <row r="101" spans="1:36" x14ac:dyDescent="0.2">
      <c r="A101" s="492">
        <f>INDEX(Country!$F$31:$G$76, MATCH(AI101, Country!$O$31:$O$76, 0), 1)</f>
        <v>1.04</v>
      </c>
      <c r="B101" s="2" t="str">
        <f>INDEX(Country!$F$31:$G$76, MATCH(AI101, Country!$O$31:$O$76, 0), 2)</f>
        <v>Clean energy installed capacity</v>
      </c>
      <c r="C101" s="436" t="str">
        <f>INDEX(Country!$K$31:$K$76, MATCH(AI101, Country!$O$31:$O$76, 0), 1)</f>
        <v>MW</v>
      </c>
      <c r="D101" s="4" t="str">
        <f t="shared" si="33"/>
        <v>Brazil</v>
      </c>
      <c r="E101" s="5">
        <f>Levelisation!F298</f>
        <v>4819.4400000000005</v>
      </c>
      <c r="F101" s="5">
        <f>Levelisation!G298</f>
        <v>5815.8</v>
      </c>
      <c r="G101" s="5">
        <f>Levelisation!H298</f>
        <v>7588</v>
      </c>
      <c r="H101" s="5">
        <f>Levelisation!I298</f>
        <v>9167</v>
      </c>
      <c r="I101" s="5">
        <f>Levelisation!J298</f>
        <v>11244</v>
      </c>
      <c r="J101" s="5">
        <f>Levelisation!K298</f>
        <v>13862.1</v>
      </c>
      <c r="K101" s="5">
        <f>Levelisation!L298</f>
        <v>15880.9</v>
      </c>
      <c r="L101" s="457">
        <f t="shared" si="107"/>
        <v>10.740377005358976</v>
      </c>
      <c r="M101" s="458">
        <f t="shared" si="108"/>
        <v>11.738558461185464</v>
      </c>
      <c r="N101" s="458">
        <f t="shared" si="109"/>
        <v>15.096239654624778</v>
      </c>
      <c r="O101" s="458">
        <f t="shared" si="110"/>
        <v>15.944528576958092</v>
      </c>
      <c r="P101" s="458">
        <f t="shared" si="111"/>
        <v>16.258687265596471</v>
      </c>
      <c r="Q101" s="458">
        <f t="shared" si="112"/>
        <v>19.003950882061048</v>
      </c>
      <c r="R101" s="459">
        <f t="shared" si="113"/>
        <v>20.439328412026658</v>
      </c>
      <c r="S101" s="455"/>
      <c r="T101" s="456"/>
      <c r="U101" s="456"/>
      <c r="V101" s="456"/>
      <c r="W101" s="456"/>
      <c r="X101" s="456"/>
      <c r="Y101" s="456"/>
      <c r="Z101" s="421">
        <f>IFERROR(E101/Levelisation!F324, 0)</f>
        <v>5.004922425073214E-2</v>
      </c>
      <c r="AA101" s="471">
        <f>IFERROR(F101/Levelisation!G324, 0)</f>
        <v>5.7954001913265302E-2</v>
      </c>
      <c r="AB101" s="471">
        <f>IFERROR(G101/Levelisation!H324, 0)</f>
        <v>7.3706398313728161E-2</v>
      </c>
      <c r="AC101" s="5">
        <f>IFERROR(H101/Levelisation!I324, 0)</f>
        <v>8.6593049507382183E-2</v>
      </c>
      <c r="AD101" s="5">
        <f>IFERROR(I101/Levelisation!J324, 0)</f>
        <v>9.9217309202573087E-2</v>
      </c>
      <c r="AE101" s="5">
        <f>IFERROR(J101/Levelisation!K324, 0)</f>
        <v>0.1193659579561375</v>
      </c>
      <c r="AF101" s="6">
        <f>IFERROR(K101/Levelisation!L324, 0)</f>
        <v>0.1286478884877196</v>
      </c>
      <c r="AG101" s="33" t="str">
        <f t="shared" si="69"/>
        <v>1.04 &gt; Brazil</v>
      </c>
      <c r="AH101" s="84">
        <f t="shared" si="74"/>
        <v>87</v>
      </c>
      <c r="AI101" s="84">
        <f t="shared" si="75"/>
        <v>4</v>
      </c>
      <c r="AJ101" s="877" t="s">
        <v>1526</v>
      </c>
    </row>
    <row r="102" spans="1:36" x14ac:dyDescent="0.2">
      <c r="A102" s="492">
        <f>INDEX(Country!$F$31:$G$76, MATCH(AI102, Country!$O$31:$O$76, 0), 1)</f>
        <v>1.04</v>
      </c>
      <c r="B102" s="2" t="str">
        <f>INDEX(Country!$F$31:$G$76, MATCH(AI102, Country!$O$31:$O$76, 0), 2)</f>
        <v>Clean energy installed capacity</v>
      </c>
      <c r="C102" s="436" t="str">
        <f>INDEX(Country!$K$31:$K$76, MATCH(AI102, Country!$O$31:$O$76, 0), 1)</f>
        <v>MW</v>
      </c>
      <c r="D102" s="4" t="str">
        <f t="shared" si="33"/>
        <v>Chile</v>
      </c>
      <c r="E102" s="5">
        <f>Levelisation!F299</f>
        <v>606.42425000000003</v>
      </c>
      <c r="F102" s="5">
        <f>Levelisation!G299</f>
        <v>697.57424999999989</v>
      </c>
      <c r="G102" s="5">
        <f>Levelisation!H299</f>
        <v>767.38924999999995</v>
      </c>
      <c r="H102" s="5">
        <f>Levelisation!I299</f>
        <v>871.35225000000003</v>
      </c>
      <c r="I102" s="5">
        <f>Levelisation!J299</f>
        <v>994.07224999999994</v>
      </c>
      <c r="J102" s="5">
        <f>Levelisation!K299</f>
        <v>1084.3775000000001</v>
      </c>
      <c r="K102" s="5">
        <f>Levelisation!L299</f>
        <v>1211.3775000000001</v>
      </c>
      <c r="L102" s="457">
        <f t="shared" si="107"/>
        <v>11.329343631395997</v>
      </c>
      <c r="M102" s="458">
        <f t="shared" si="108"/>
        <v>11.871492638624954</v>
      </c>
      <c r="N102" s="458">
        <f t="shared" si="109"/>
        <v>12.442243250835599</v>
      </c>
      <c r="O102" s="458">
        <f t="shared" si="110"/>
        <v>11.420891183252571</v>
      </c>
      <c r="P102" s="458">
        <f t="shared" si="111"/>
        <v>10.77136550842901</v>
      </c>
      <c r="Q102" s="458">
        <f t="shared" si="112"/>
        <v>10.475682142884734</v>
      </c>
      <c r="R102" s="459">
        <f t="shared" si="113"/>
        <v>10.964153895489689</v>
      </c>
      <c r="S102" s="455"/>
      <c r="T102" s="456"/>
      <c r="U102" s="456"/>
      <c r="V102" s="456"/>
      <c r="W102" s="456"/>
      <c r="X102" s="456"/>
      <c r="Y102" s="456"/>
      <c r="Z102" s="421">
        <f>IFERROR(E102/Levelisation!F325, 0)</f>
        <v>5.2793757587691913E-2</v>
      </c>
      <c r="AA102" s="471">
        <f>IFERROR(F102/Levelisation!G325, 0)</f>
        <v>5.8610306313770753E-2</v>
      </c>
      <c r="AB102" s="471">
        <f>IFERROR(G102/Levelisation!H325, 0)</f>
        <v>6.0748435235753337E-2</v>
      </c>
      <c r="AC102" s="5">
        <f>IFERROR(H102/Levelisation!I325, 0)</f>
        <v>6.2025652930184708E-2</v>
      </c>
      <c r="AD102" s="5">
        <f>IFERROR(I102/Levelisation!J325, 0)</f>
        <v>6.5731377000228255E-2</v>
      </c>
      <c r="AE102" s="5">
        <f>IFERROR(J102/Levelisation!K325, 0)</f>
        <v>6.579894054608422E-2</v>
      </c>
      <c r="AF102" s="6">
        <f>IFERROR(K102/Levelisation!L325, 0)</f>
        <v>6.900986271541075E-2</v>
      </c>
      <c r="AG102" s="33" t="str">
        <f t="shared" si="69"/>
        <v>1.04 &gt; Chile</v>
      </c>
      <c r="AH102" s="84">
        <f t="shared" si="74"/>
        <v>88</v>
      </c>
      <c r="AI102" s="84">
        <f t="shared" si="75"/>
        <v>4</v>
      </c>
      <c r="AJ102" s="877" t="s">
        <v>1526</v>
      </c>
    </row>
    <row r="103" spans="1:36" x14ac:dyDescent="0.2">
      <c r="A103" s="492">
        <f>INDEX(Country!$F$31:$G$76, MATCH(AI103, Country!$O$31:$O$76, 0), 1)</f>
        <v>1.04</v>
      </c>
      <c r="B103" s="2" t="str">
        <f>INDEX(Country!$F$31:$G$76, MATCH(AI103, Country!$O$31:$O$76, 0), 2)</f>
        <v>Clean energy installed capacity</v>
      </c>
      <c r="C103" s="436" t="str">
        <f>INDEX(Country!$K$31:$K$76, MATCH(AI103, Country!$O$31:$O$76, 0), 1)</f>
        <v>MW</v>
      </c>
      <c r="D103" s="4" t="str">
        <f t="shared" si="33"/>
        <v>Colombia</v>
      </c>
      <c r="E103" s="5">
        <f>Levelisation!F300</f>
        <v>481.4</v>
      </c>
      <c r="F103" s="5">
        <f>Levelisation!G300</f>
        <v>506</v>
      </c>
      <c r="G103" s="5">
        <f>Levelisation!H300</f>
        <v>511.2</v>
      </c>
      <c r="H103" s="5">
        <f>Levelisation!I300</f>
        <v>525.4</v>
      </c>
      <c r="I103" s="5">
        <f>Levelisation!J300</f>
        <v>592.09999999999991</v>
      </c>
      <c r="J103" s="5">
        <f>Levelisation!K300</f>
        <v>606.19999999999993</v>
      </c>
      <c r="K103" s="5">
        <f>Levelisation!L300</f>
        <v>669.69999999999993</v>
      </c>
      <c r="L103" s="457">
        <f t="shared" si="107"/>
        <v>7.7807554275549746</v>
      </c>
      <c r="M103" s="458">
        <f t="shared" si="108"/>
        <v>7.6452617159742262</v>
      </c>
      <c r="N103" s="458">
        <f t="shared" si="109"/>
        <v>7.7805919452161936</v>
      </c>
      <c r="O103" s="458">
        <f t="shared" si="110"/>
        <v>7.1683645557327074</v>
      </c>
      <c r="P103" s="458">
        <f t="shared" si="111"/>
        <v>7.3010353705639437</v>
      </c>
      <c r="Q103" s="458">
        <f t="shared" si="112"/>
        <v>6.6988423685075338</v>
      </c>
      <c r="R103" s="459">
        <f t="shared" si="113"/>
        <v>7.4086385604446061</v>
      </c>
      <c r="S103" s="455"/>
      <c r="T103" s="456"/>
      <c r="U103" s="456"/>
      <c r="V103" s="456"/>
      <c r="W103" s="456"/>
      <c r="X103" s="456"/>
      <c r="Y103" s="456"/>
      <c r="Z103" s="421">
        <f>IFERROR(E103/Levelisation!F326, 0)</f>
        <v>3.6257644684120148E-2</v>
      </c>
      <c r="AA103" s="471">
        <f>IFERROR(F103/Levelisation!G326, 0)</f>
        <v>3.7745138262082548E-2</v>
      </c>
      <c r="AB103" s="471">
        <f>IFERROR(G103/Levelisation!H326, 0)</f>
        <v>3.7988228999464954E-2</v>
      </c>
      <c r="AC103" s="5">
        <f>IFERROR(H103/Levelisation!I326, 0)</f>
        <v>3.8930630270158126E-2</v>
      </c>
      <c r="AD103" s="5">
        <f>IFERROR(I103/Levelisation!J326, 0)</f>
        <v>4.4553971180255086E-2</v>
      </c>
      <c r="AE103" s="5">
        <f>IFERROR(J103/Levelisation!K326, 0)</f>
        <v>4.2076184130157145E-2</v>
      </c>
      <c r="AF103" s="6">
        <f>IFERROR(K103/Levelisation!L326, 0)</f>
        <v>4.6630969871254792E-2</v>
      </c>
      <c r="AG103" s="33" t="str">
        <f t="shared" si="69"/>
        <v>1.04 &gt; Colombia</v>
      </c>
      <c r="AH103" s="84">
        <f t="shared" si="74"/>
        <v>89</v>
      </c>
      <c r="AI103" s="84">
        <f t="shared" si="75"/>
        <v>4</v>
      </c>
      <c r="AJ103" s="877" t="s">
        <v>1526</v>
      </c>
    </row>
    <row r="104" spans="1:36" x14ac:dyDescent="0.2">
      <c r="A104" s="492">
        <f>INDEX(Country!$F$31:$G$76, MATCH(AI104, Country!$O$31:$O$76, 0), 1)</f>
        <v>1.04</v>
      </c>
      <c r="B104" s="2" t="str">
        <f>INDEX(Country!$F$31:$G$76, MATCH(AI104, Country!$O$31:$O$76, 0), 2)</f>
        <v>Clean energy installed capacity</v>
      </c>
      <c r="C104" s="436" t="str">
        <f>INDEX(Country!$K$31:$K$76, MATCH(AI104, Country!$O$31:$O$76, 0), 1)</f>
        <v>MW</v>
      </c>
      <c r="D104" s="4" t="str">
        <f t="shared" si="33"/>
        <v>Costa Rica</v>
      </c>
      <c r="E104" s="5">
        <f>Levelisation!F301</f>
        <v>727.70199999999988</v>
      </c>
      <c r="F104" s="5">
        <f>Levelisation!G301</f>
        <v>761.73619999999994</v>
      </c>
      <c r="G104" s="5">
        <f>Levelisation!H301</f>
        <v>792.23619999999994</v>
      </c>
      <c r="H104" s="5">
        <f>Levelisation!I301</f>
        <v>838.28619999999989</v>
      </c>
      <c r="I104" s="5">
        <f>Levelisation!J301</f>
        <v>838.28619999999989</v>
      </c>
      <c r="J104" s="5">
        <f>Levelisation!K301</f>
        <v>941.67520000000002</v>
      </c>
      <c r="K104" s="5">
        <f>Levelisation!L301</f>
        <v>971.63019999999995</v>
      </c>
      <c r="L104" s="457">
        <f t="shared" si="107"/>
        <v>75.314784829786603</v>
      </c>
      <c r="M104" s="458">
        <f t="shared" si="108"/>
        <v>71.563107262121946</v>
      </c>
      <c r="N104" s="458">
        <f t="shared" si="109"/>
        <v>68.594350127975588</v>
      </c>
      <c r="O104" s="458">
        <f t="shared" si="110"/>
        <v>64.005582094692301</v>
      </c>
      <c r="P104" s="458">
        <f t="shared" si="111"/>
        <v>52.551698846042953</v>
      </c>
      <c r="Q104" s="458">
        <f t="shared" si="112"/>
        <v>56.565032627024024</v>
      </c>
      <c r="R104" s="459">
        <f t="shared" si="113"/>
        <v>57.395978800204702</v>
      </c>
      <c r="S104" s="455"/>
      <c r="T104" s="456"/>
      <c r="U104" s="456"/>
      <c r="V104" s="456"/>
      <c r="W104" s="456"/>
      <c r="X104" s="456"/>
      <c r="Y104" s="456"/>
      <c r="Z104" s="421">
        <f>IFERROR(E104/Levelisation!F327, 0)</f>
        <v>0.3509603576728117</v>
      </c>
      <c r="AA104" s="471">
        <f>IFERROR(F104/Levelisation!G327, 0)</f>
        <v>0.35331156452488177</v>
      </c>
      <c r="AB104" s="471">
        <f>IFERROR(G104/Levelisation!H327, 0)</f>
        <v>0.33490740795539953</v>
      </c>
      <c r="AC104" s="5">
        <f>IFERROR(H104/Levelisation!I327, 0)</f>
        <v>0.34760755153865419</v>
      </c>
      <c r="AD104" s="5">
        <f>IFERROR(I104/Levelisation!J327, 0)</f>
        <v>0.32069244388268042</v>
      </c>
      <c r="AE104" s="5">
        <f>IFERROR(J104/Levelisation!K327, 0)</f>
        <v>0.35529134695451414</v>
      </c>
      <c r="AF104" s="6">
        <f>IFERROR(K104/Levelisation!L327, 0)</f>
        <v>0.3612580282230568</v>
      </c>
      <c r="AG104" s="33" t="str">
        <f t="shared" si="69"/>
        <v>1.04 &gt; Costa Rica</v>
      </c>
      <c r="AH104" s="84">
        <f t="shared" si="74"/>
        <v>90</v>
      </c>
      <c r="AI104" s="84">
        <f t="shared" si="75"/>
        <v>4</v>
      </c>
      <c r="AJ104" s="877" t="s">
        <v>1526</v>
      </c>
    </row>
    <row r="105" spans="1:36" x14ac:dyDescent="0.2">
      <c r="A105" s="492">
        <f>INDEX(Country!$F$31:$G$76, MATCH(AI105, Country!$O$31:$O$76, 0), 1)</f>
        <v>1.04</v>
      </c>
      <c r="B105" s="2" t="str">
        <f>INDEX(Country!$F$31:$G$76, MATCH(AI105, Country!$O$31:$O$76, 0), 2)</f>
        <v>Clean energy installed capacity</v>
      </c>
      <c r="C105" s="436" t="str">
        <f>INDEX(Country!$K$31:$K$76, MATCH(AI105, Country!$O$31:$O$76, 0), 1)</f>
        <v>MW</v>
      </c>
      <c r="D105" s="4" t="str">
        <f t="shared" si="33"/>
        <v>Dominican Republic</v>
      </c>
      <c r="E105" s="5">
        <f>Levelisation!F302</f>
        <v>169.3</v>
      </c>
      <c r="F105" s="5">
        <f>Levelisation!G302</f>
        <v>169.3</v>
      </c>
      <c r="G105" s="5">
        <f>Levelisation!H302</f>
        <v>172.3</v>
      </c>
      <c r="H105" s="5">
        <f>Levelisation!I302</f>
        <v>223.15</v>
      </c>
      <c r="I105" s="5">
        <f>Levelisation!J302</f>
        <v>223.15</v>
      </c>
      <c r="J105" s="5">
        <f>Levelisation!K302</f>
        <v>253.14999999999998</v>
      </c>
      <c r="K105" s="5">
        <f>Levelisation!L302</f>
        <v>260.45</v>
      </c>
      <c r="L105" s="457">
        <f t="shared" si="107"/>
        <v>10.704207026405522</v>
      </c>
      <c r="M105" s="458">
        <f t="shared" si="108"/>
        <v>10.103309584128365</v>
      </c>
      <c r="N105" s="458">
        <f t="shared" si="109"/>
        <v>11.217346907534907</v>
      </c>
      <c r="O105" s="458">
        <f t="shared" si="110"/>
        <v>12.877818209907611</v>
      </c>
      <c r="P105" s="458">
        <f t="shared" si="111"/>
        <v>11.471859800372336</v>
      </c>
      <c r="Q105" s="458">
        <f t="shared" si="112"/>
        <v>12.012031383166169</v>
      </c>
      <c r="R105" s="459">
        <f t="shared" si="113"/>
        <v>12.020204296546332</v>
      </c>
      <c r="S105" s="455"/>
      <c r="T105" s="456"/>
      <c r="U105" s="456"/>
      <c r="V105" s="456"/>
      <c r="W105" s="456"/>
      <c r="X105" s="456"/>
      <c r="Y105" s="456"/>
      <c r="Z105" s="421">
        <f>IFERROR(E105/Levelisation!F328, 0)</f>
        <v>4.988067528947291E-2</v>
      </c>
      <c r="AA105" s="471">
        <f>IFERROR(F105/Levelisation!G328, 0)</f>
        <v>4.988067528947291E-2</v>
      </c>
      <c r="AB105" s="471">
        <f>IFERROR(G105/Levelisation!H328, 0)</f>
        <v>5.4767959313413862E-2</v>
      </c>
      <c r="AC105" s="5">
        <f>IFERROR(H105/Levelisation!I328, 0)</f>
        <v>6.9938069627790936E-2</v>
      </c>
      <c r="AD105" s="5">
        <f>IFERROR(I105/Levelisation!J328, 0)</f>
        <v>7.0006086121760069E-2</v>
      </c>
      <c r="AE105" s="5">
        <f>IFERROR(J105/Levelisation!K328, 0)</f>
        <v>7.5448923329111101E-2</v>
      </c>
      <c r="AF105" s="6">
        <f>IFERROR(K105/Levelisation!L328, 0)</f>
        <v>7.5656786307704824E-2</v>
      </c>
      <c r="AG105" s="33" t="str">
        <f t="shared" si="69"/>
        <v>1.04 &gt; Dominican Republic</v>
      </c>
      <c r="AH105" s="84">
        <f t="shared" si="74"/>
        <v>91</v>
      </c>
      <c r="AI105" s="84">
        <f t="shared" si="75"/>
        <v>4</v>
      </c>
      <c r="AJ105" s="877" t="s">
        <v>1526</v>
      </c>
    </row>
    <row r="106" spans="1:36" x14ac:dyDescent="0.2">
      <c r="A106" s="492">
        <f>INDEX(Country!$F$31:$G$76, MATCH(AI106, Country!$O$31:$O$76, 0), 1)</f>
        <v>1.04</v>
      </c>
      <c r="B106" s="2" t="str">
        <f>INDEX(Country!$F$31:$G$76, MATCH(AI106, Country!$O$31:$O$76, 0), 2)</f>
        <v>Clean energy installed capacity</v>
      </c>
      <c r="C106" s="436" t="str">
        <f>INDEX(Country!$K$31:$K$76, MATCH(AI106, Country!$O$31:$O$76, 0), 1)</f>
        <v>MW</v>
      </c>
      <c r="D106" s="4" t="str">
        <f t="shared" si="33"/>
        <v>Ecuador</v>
      </c>
      <c r="E106" s="5">
        <f>Levelisation!F303</f>
        <v>351.10999999999996</v>
      </c>
      <c r="F106" s="5">
        <f>Levelisation!G303</f>
        <v>381.46</v>
      </c>
      <c r="G106" s="5">
        <f>Levelisation!H303</f>
        <v>414.23999999999995</v>
      </c>
      <c r="H106" s="5">
        <f>Levelisation!I303</f>
        <v>416.87999999999994</v>
      </c>
      <c r="I106" s="5">
        <f>Levelisation!J303</f>
        <v>411.25999999999988</v>
      </c>
      <c r="J106" s="5">
        <f>Levelisation!K303</f>
        <v>402.78999999999991</v>
      </c>
      <c r="K106" s="5">
        <f>Levelisation!L303</f>
        <v>442.00999999999988</v>
      </c>
      <c r="L106" s="457">
        <f t="shared" si="107"/>
        <v>18.847231710560617</v>
      </c>
      <c r="M106" s="458">
        <f t="shared" si="108"/>
        <v>17.211784432455769</v>
      </c>
      <c r="N106" s="458">
        <f t="shared" si="109"/>
        <v>18.620768225677484</v>
      </c>
      <c r="O106" s="458">
        <f t="shared" si="110"/>
        <v>15.863938314702967</v>
      </c>
      <c r="P106" s="458">
        <f t="shared" si="111"/>
        <v>13.104611732567133</v>
      </c>
      <c r="Q106" s="458">
        <f t="shared" si="112"/>
        <v>12.256933413260638</v>
      </c>
      <c r="R106" s="459">
        <f t="shared" si="113"/>
        <v>12.745644351953391</v>
      </c>
      <c r="S106" s="455"/>
      <c r="T106" s="456"/>
      <c r="U106" s="456"/>
      <c r="V106" s="456"/>
      <c r="W106" s="456"/>
      <c r="X106" s="456"/>
      <c r="Y106" s="456"/>
      <c r="Z106" s="421">
        <f>IFERROR(E106/Levelisation!F329, 0)</f>
        <v>8.7826463253263667E-2</v>
      </c>
      <c r="AA106" s="471">
        <f>IFERROR(F106/Levelisation!G329, 0)</f>
        <v>8.4975663002194224E-2</v>
      </c>
      <c r="AB106" s="471">
        <f>IFERROR(G106/Levelisation!H329, 0)</f>
        <v>9.0914677505728236E-2</v>
      </c>
      <c r="AC106" s="5">
        <f>IFERROR(H106/Levelisation!I329, 0)</f>
        <v>8.6155372310744591E-2</v>
      </c>
      <c r="AD106" s="5">
        <f>IFERROR(I106/Levelisation!J329, 0)</f>
        <v>7.9969821241412539E-2</v>
      </c>
      <c r="AE106" s="5">
        <f>IFERROR(J106/Levelisation!K329, 0)</f>
        <v>7.6987180589880161E-2</v>
      </c>
      <c r="AF106" s="6">
        <f>IFERROR(K106/Levelisation!L329, 0)</f>
        <v>8.0222803814308338E-2</v>
      </c>
      <c r="AG106" s="33" t="str">
        <f t="shared" si="69"/>
        <v>1.04 &gt; Ecuador</v>
      </c>
      <c r="AH106" s="84">
        <f t="shared" si="74"/>
        <v>92</v>
      </c>
      <c r="AI106" s="84">
        <f t="shared" si="75"/>
        <v>4</v>
      </c>
      <c r="AJ106" s="877" t="s">
        <v>1526</v>
      </c>
    </row>
    <row r="107" spans="1:36" x14ac:dyDescent="0.2">
      <c r="A107" s="492">
        <f>INDEX(Country!$F$31:$G$76, MATCH(AI107, Country!$O$31:$O$76, 0), 1)</f>
        <v>1.04</v>
      </c>
      <c r="B107" s="2" t="str">
        <f>INDEX(Country!$F$31:$G$76, MATCH(AI107, Country!$O$31:$O$76, 0), 2)</f>
        <v>Clean energy installed capacity</v>
      </c>
      <c r="C107" s="436" t="str">
        <f>INDEX(Country!$K$31:$K$76, MATCH(AI107, Country!$O$31:$O$76, 0), 1)</f>
        <v>MW</v>
      </c>
      <c r="D107" s="4" t="str">
        <f t="shared" ref="D107:D170" si="114">D80</f>
        <v>El Salvador</v>
      </c>
      <c r="E107" s="5">
        <f>Levelisation!F304</f>
        <v>249</v>
      </c>
      <c r="F107" s="5">
        <f>Levelisation!G304</f>
        <v>350.9</v>
      </c>
      <c r="G107" s="5">
        <f>Levelisation!H304</f>
        <v>346.9</v>
      </c>
      <c r="H107" s="5">
        <f>Levelisation!I304</f>
        <v>346.9</v>
      </c>
      <c r="I107" s="5">
        <f>Levelisation!J304</f>
        <v>337.7</v>
      </c>
      <c r="J107" s="5">
        <f>Levelisation!K304</f>
        <v>348.2</v>
      </c>
      <c r="K107" s="5">
        <f>Levelisation!L304</f>
        <v>348.2</v>
      </c>
      <c r="L107" s="457">
        <f t="shared" si="107"/>
        <v>41.325964462250141</v>
      </c>
      <c r="M107" s="458">
        <f t="shared" si="108"/>
        <v>49.408860543866005</v>
      </c>
      <c r="N107" s="458">
        <f t="shared" si="109"/>
        <v>49.296207055756433</v>
      </c>
      <c r="O107" s="458">
        <f t="shared" si="110"/>
        <v>42.860698786283017</v>
      </c>
      <c r="P107" s="458">
        <f t="shared" si="111"/>
        <v>37.363255653715434</v>
      </c>
      <c r="Q107" s="458">
        <f t="shared" si="112"/>
        <v>37.028947495850161</v>
      </c>
      <c r="R107" s="459">
        <f t="shared" si="113"/>
        <v>36.952337492417335</v>
      </c>
      <c r="S107" s="455"/>
      <c r="T107" s="456"/>
      <c r="U107" s="456"/>
      <c r="V107" s="456"/>
      <c r="W107" s="456"/>
      <c r="X107" s="456"/>
      <c r="Y107" s="456"/>
      <c r="Z107" s="421">
        <f>IFERROR(E107/Levelisation!F330, 0)</f>
        <v>0.19257540603248258</v>
      </c>
      <c r="AA107" s="471">
        <f>IFERROR(F107/Levelisation!G330, 0)</f>
        <v>0.24393465415363219</v>
      </c>
      <c r="AB107" s="471">
        <f>IFERROR(G107/Levelisation!H330, 0)</f>
        <v>0.24068549226392835</v>
      </c>
      <c r="AC107" s="5">
        <f>IFERROR(H107/Levelisation!I330, 0)</f>
        <v>0.23277192511574846</v>
      </c>
      <c r="AD107" s="5">
        <f>IFERROR(I107/Levelisation!J330, 0)</f>
        <v>0.22800621159948684</v>
      </c>
      <c r="AE107" s="5">
        <f>IFERROR(J107/Levelisation!K330, 0)</f>
        <v>0.23258299378799008</v>
      </c>
      <c r="AF107" s="6">
        <f>IFERROR(K107/Levelisation!L330, 0)</f>
        <v>0.23258299378799008</v>
      </c>
      <c r="AG107" s="33" t="str">
        <f t="shared" si="69"/>
        <v>1.04 &gt; El Salvador</v>
      </c>
      <c r="AH107" s="84">
        <f t="shared" si="74"/>
        <v>93</v>
      </c>
      <c r="AI107" s="84">
        <f t="shared" si="75"/>
        <v>4</v>
      </c>
      <c r="AJ107" s="877" t="s">
        <v>1526</v>
      </c>
    </row>
    <row r="108" spans="1:36" x14ac:dyDescent="0.2">
      <c r="A108" s="492">
        <f>INDEX(Country!$F$31:$G$76, MATCH(AI108, Country!$O$31:$O$76, 0), 1)</f>
        <v>1.04</v>
      </c>
      <c r="B108" s="2" t="str">
        <f>INDEX(Country!$F$31:$G$76, MATCH(AI108, Country!$O$31:$O$76, 0), 2)</f>
        <v>Clean energy installed capacity</v>
      </c>
      <c r="C108" s="436" t="str">
        <f>INDEX(Country!$K$31:$K$76, MATCH(AI108, Country!$O$31:$O$76, 0), 1)</f>
        <v>MW</v>
      </c>
      <c r="D108" s="4" t="str">
        <f t="shared" si="114"/>
        <v>Guatemala</v>
      </c>
      <c r="E108" s="5">
        <f>Levelisation!F305</f>
        <v>479.072</v>
      </c>
      <c r="F108" s="5">
        <f>Levelisation!G305</f>
        <v>530.27199999999993</v>
      </c>
      <c r="G108" s="5">
        <f>Levelisation!H305</f>
        <v>530.43200000000002</v>
      </c>
      <c r="H108" s="5">
        <f>Levelisation!I305</f>
        <v>543.93200000000002</v>
      </c>
      <c r="I108" s="5">
        <f>Levelisation!J305</f>
        <v>548.47</v>
      </c>
      <c r="J108" s="5">
        <f>Levelisation!K305</f>
        <v>621.35</v>
      </c>
      <c r="K108" s="5">
        <f>Levelisation!L305</f>
        <v>636.30999999999995</v>
      </c>
      <c r="L108" s="457">
        <f t="shared" si="107"/>
        <v>45.194090812123008</v>
      </c>
      <c r="M108" s="458">
        <f t="shared" si="108"/>
        <v>45.866169373615726</v>
      </c>
      <c r="N108" s="458">
        <f t="shared" si="109"/>
        <v>44.852265501966052</v>
      </c>
      <c r="O108" s="458">
        <f t="shared" si="110"/>
        <v>41.11975630459937</v>
      </c>
      <c r="P108" s="458">
        <f t="shared" si="111"/>
        <v>35.465373670794484</v>
      </c>
      <c r="Q108" s="458">
        <f t="shared" si="112"/>
        <v>37.943730372364044</v>
      </c>
      <c r="R108" s="459">
        <f t="shared" si="113"/>
        <v>36.234084858614047</v>
      </c>
      <c r="S108" s="455"/>
      <c r="T108" s="456"/>
      <c r="U108" s="456"/>
      <c r="V108" s="456"/>
      <c r="W108" s="456"/>
      <c r="X108" s="456"/>
      <c r="Y108" s="456"/>
      <c r="Z108" s="421">
        <f>IFERROR(E108/Levelisation!F331, 0)</f>
        <v>0.21060053895084821</v>
      </c>
      <c r="AA108" s="471">
        <f>IFERROR(F108/Levelisation!G331, 0)</f>
        <v>0.22644416487952942</v>
      </c>
      <c r="AB108" s="471">
        <f>IFERROR(G108/Levelisation!H331, 0)</f>
        <v>0.21898823958774571</v>
      </c>
      <c r="AC108" s="5">
        <f>IFERROR(H108/Levelisation!I331, 0)</f>
        <v>0.22331705049977549</v>
      </c>
      <c r="AD108" s="5">
        <f>IFERROR(I108/Levelisation!J331, 0)</f>
        <v>0.21642454203087963</v>
      </c>
      <c r="AE108" s="5">
        <f>IFERROR(J108/Levelisation!K331, 0)</f>
        <v>0.2383288481660934</v>
      </c>
      <c r="AF108" s="6">
        <f>IFERROR(K108/Levelisation!L331, 0)</f>
        <v>0.22806221488190986</v>
      </c>
      <c r="AG108" s="33" t="str">
        <f t="shared" si="69"/>
        <v>1.04 &gt; Guatemala</v>
      </c>
      <c r="AH108" s="84">
        <f t="shared" si="74"/>
        <v>94</v>
      </c>
      <c r="AI108" s="84">
        <f t="shared" si="75"/>
        <v>4</v>
      </c>
      <c r="AJ108" s="877" t="s">
        <v>1526</v>
      </c>
    </row>
    <row r="109" spans="1:36" x14ac:dyDescent="0.2">
      <c r="A109" s="492">
        <f>INDEX(Country!$F$31:$G$76, MATCH(AI109, Country!$O$31:$O$76, 0), 1)</f>
        <v>1.04</v>
      </c>
      <c r="B109" s="2" t="str">
        <f>INDEX(Country!$F$31:$G$76, MATCH(AI109, Country!$O$31:$O$76, 0), 2)</f>
        <v>Clean energy installed capacity</v>
      </c>
      <c r="C109" s="436" t="str">
        <f>INDEX(Country!$K$31:$K$76, MATCH(AI109, Country!$O$31:$O$76, 0), 1)</f>
        <v>MW</v>
      </c>
      <c r="D109" s="4" t="str">
        <f t="shared" si="114"/>
        <v>Guyana</v>
      </c>
      <c r="E109" s="5">
        <f>Levelisation!F306</f>
        <v>0</v>
      </c>
      <c r="F109" s="5">
        <f>Levelisation!G306</f>
        <v>0</v>
      </c>
      <c r="G109" s="5">
        <f>Levelisation!H306</f>
        <v>0</v>
      </c>
      <c r="H109" s="5">
        <f>Levelisation!I306</f>
        <v>15</v>
      </c>
      <c r="I109" s="5">
        <f>Levelisation!J306</f>
        <v>15</v>
      </c>
      <c r="J109" s="5">
        <f>Levelisation!K306</f>
        <v>15</v>
      </c>
      <c r="K109" s="5">
        <f>Levelisation!L306</f>
        <v>15</v>
      </c>
      <c r="L109" s="457">
        <f t="shared" si="107"/>
        <v>0</v>
      </c>
      <c r="M109" s="458">
        <f t="shared" si="108"/>
        <v>0</v>
      </c>
      <c r="N109" s="458">
        <f t="shared" si="109"/>
        <v>0</v>
      </c>
      <c r="O109" s="458">
        <f t="shared" si="110"/>
        <v>15.753913118321877</v>
      </c>
      <c r="P109" s="458">
        <f t="shared" si="111"/>
        <v>14.175559158258118</v>
      </c>
      <c r="Q109" s="458">
        <f t="shared" si="112"/>
        <v>10.820624776220606</v>
      </c>
      <c r="R109" s="459">
        <f t="shared" si="113"/>
        <v>13.743777802375142</v>
      </c>
      <c r="S109" s="455"/>
      <c r="T109" s="456"/>
      <c r="U109" s="456"/>
      <c r="V109" s="456"/>
      <c r="W109" s="456"/>
      <c r="X109" s="456"/>
      <c r="Y109" s="456"/>
      <c r="Z109" s="421">
        <f>IFERROR(E109/Levelisation!F332, 0)</f>
        <v>0</v>
      </c>
      <c r="AA109" s="471">
        <f>IFERROR(F109/Levelisation!G332, 0)</f>
        <v>0</v>
      </c>
      <c r="AB109" s="471">
        <f>IFERROR(G109/Levelisation!H332, 0)</f>
        <v>0</v>
      </c>
      <c r="AC109" s="5">
        <f>IFERROR(H109/Levelisation!I332, 0)</f>
        <v>8.5557837097878175E-2</v>
      </c>
      <c r="AD109" s="5">
        <f>IFERROR(I109/Levelisation!J332, 0)</f>
        <v>8.6505190311418678E-2</v>
      </c>
      <c r="AE109" s="5">
        <f>IFERROR(J109/Levelisation!K332, 0)</f>
        <v>6.7965564114182156E-2</v>
      </c>
      <c r="AF109" s="6">
        <f>IFERROR(K109/Levelisation!L332, 0)</f>
        <v>8.6505190311418678E-2</v>
      </c>
      <c r="AG109" s="33" t="str">
        <f t="shared" si="69"/>
        <v>1.04 &gt; Guyana</v>
      </c>
      <c r="AH109" s="84">
        <f t="shared" si="74"/>
        <v>95</v>
      </c>
      <c r="AI109" s="84">
        <f t="shared" si="75"/>
        <v>4</v>
      </c>
      <c r="AJ109" s="877" t="s">
        <v>1526</v>
      </c>
    </row>
    <row r="110" spans="1:36" x14ac:dyDescent="0.2">
      <c r="A110" s="492">
        <f>INDEX(Country!$F$31:$G$76, MATCH(AI110, Country!$O$31:$O$76, 0), 1)</f>
        <v>1.04</v>
      </c>
      <c r="B110" s="2" t="str">
        <f>INDEX(Country!$F$31:$G$76, MATCH(AI110, Country!$O$31:$O$76, 0), 2)</f>
        <v>Clean energy installed capacity</v>
      </c>
      <c r="C110" s="436" t="str">
        <f>INDEX(Country!$K$31:$K$76, MATCH(AI110, Country!$O$31:$O$76, 0), 1)</f>
        <v>MW</v>
      </c>
      <c r="D110" s="4" t="str">
        <f t="shared" si="114"/>
        <v>Haiti</v>
      </c>
      <c r="E110" s="5">
        <f>Levelisation!F307</f>
        <v>0</v>
      </c>
      <c r="F110" s="5">
        <f>Levelisation!G307</f>
        <v>0</v>
      </c>
      <c r="G110" s="5">
        <f>Levelisation!H307</f>
        <v>0</v>
      </c>
      <c r="H110" s="5">
        <f>Levelisation!I307</f>
        <v>0</v>
      </c>
      <c r="I110" s="5">
        <f>Levelisation!J307</f>
        <v>0</v>
      </c>
      <c r="J110" s="5">
        <f>Levelisation!K307</f>
        <v>48</v>
      </c>
      <c r="K110" s="5">
        <f>Levelisation!L307</f>
        <v>55</v>
      </c>
      <c r="L110" s="457">
        <f t="shared" si="107"/>
        <v>0</v>
      </c>
      <c r="M110" s="458">
        <f t="shared" si="108"/>
        <v>0</v>
      </c>
      <c r="N110" s="458">
        <f t="shared" si="109"/>
        <v>0</v>
      </c>
      <c r="O110" s="458">
        <f t="shared" si="110"/>
        <v>0</v>
      </c>
      <c r="P110" s="458">
        <f t="shared" si="111"/>
        <v>0</v>
      </c>
      <c r="Q110" s="458">
        <f t="shared" si="112"/>
        <v>64.110386258037238</v>
      </c>
      <c r="R110" s="459">
        <f t="shared" si="113"/>
        <v>36.258481023859396</v>
      </c>
      <c r="S110" s="455"/>
      <c r="T110" s="456"/>
      <c r="U110" s="456"/>
      <c r="V110" s="456"/>
      <c r="W110" s="456"/>
      <c r="X110" s="456"/>
      <c r="Y110" s="456"/>
      <c r="Z110" s="421">
        <f>IFERROR(E110/Levelisation!F333, 0)</f>
        <v>0</v>
      </c>
      <c r="AA110" s="471">
        <f>IFERROR(F110/Levelisation!G333, 0)</f>
        <v>0</v>
      </c>
      <c r="AB110" s="471">
        <f>IFERROR(G110/Levelisation!H333, 0)</f>
        <v>0</v>
      </c>
      <c r="AC110" s="5">
        <f>IFERROR(H110/Levelisation!I333, 0)</f>
        <v>0</v>
      </c>
      <c r="AD110" s="5">
        <f>IFERROR(I110/Levelisation!J333, 0)</f>
        <v>0</v>
      </c>
      <c r="AE110" s="5">
        <f>IFERROR(J110/Levelisation!K333, 0)</f>
        <v>0.40268456375838924</v>
      </c>
      <c r="AF110" s="6">
        <f>IFERROR(K110/Levelisation!L333, 0)</f>
        <v>0.22821576763485477</v>
      </c>
      <c r="AG110" s="33" t="str">
        <f t="shared" si="69"/>
        <v>1.04 &gt; Haiti</v>
      </c>
      <c r="AH110" s="84">
        <f t="shared" si="74"/>
        <v>96</v>
      </c>
      <c r="AI110" s="84">
        <f t="shared" si="75"/>
        <v>4</v>
      </c>
      <c r="AJ110" s="877" t="s">
        <v>1526</v>
      </c>
    </row>
    <row r="111" spans="1:36" x14ac:dyDescent="0.2">
      <c r="A111" s="492">
        <f>INDEX(Country!$F$31:$G$76, MATCH(AI111, Country!$O$31:$O$76, 0), 1)</f>
        <v>1.04</v>
      </c>
      <c r="B111" s="2" t="str">
        <f>INDEX(Country!$F$31:$G$76, MATCH(AI111, Country!$O$31:$O$76, 0), 2)</f>
        <v>Clean energy installed capacity</v>
      </c>
      <c r="C111" s="436" t="str">
        <f>INDEX(Country!$K$31:$K$76, MATCH(AI111, Country!$O$31:$O$76, 0), 1)</f>
        <v>MW</v>
      </c>
      <c r="D111" s="4" t="str">
        <f t="shared" si="114"/>
        <v>Honduras</v>
      </c>
      <c r="E111" s="5">
        <f>Levelisation!F308</f>
        <v>210.9</v>
      </c>
      <c r="F111" s="5">
        <f>Levelisation!G308</f>
        <v>247.6</v>
      </c>
      <c r="G111" s="5">
        <f>Levelisation!H308</f>
        <v>256.8</v>
      </c>
      <c r="H111" s="5">
        <f>Levelisation!I308</f>
        <v>263.3</v>
      </c>
      <c r="I111" s="5">
        <f>Levelisation!J308</f>
        <v>262.8</v>
      </c>
      <c r="J111" s="5">
        <f>Levelisation!K308</f>
        <v>388.63</v>
      </c>
      <c r="K111" s="5">
        <f>Levelisation!L308</f>
        <v>397.2399999999999</v>
      </c>
      <c r="L111" s="457">
        <f t="shared" si="107"/>
        <v>28.849027305754127</v>
      </c>
      <c r="M111" s="458">
        <f t="shared" si="108"/>
        <v>31.178908789266647</v>
      </c>
      <c r="N111" s="458">
        <f t="shared" si="109"/>
        <v>32.265943120679616</v>
      </c>
      <c r="O111" s="458">
        <f t="shared" si="110"/>
        <v>29.638028015371621</v>
      </c>
      <c r="P111" s="458">
        <f t="shared" si="111"/>
        <v>26.334553357118018</v>
      </c>
      <c r="Q111" s="458">
        <f t="shared" si="112"/>
        <v>34.884837802582759</v>
      </c>
      <c r="R111" s="459">
        <f t="shared" si="113"/>
        <v>35.404077705611435</v>
      </c>
      <c r="S111" s="455"/>
      <c r="T111" s="456"/>
      <c r="U111" s="456"/>
      <c r="V111" s="456"/>
      <c r="W111" s="456"/>
      <c r="X111" s="456"/>
      <c r="Y111" s="456"/>
      <c r="Z111" s="421">
        <f>IFERROR(E111/Levelisation!F334, 0)</f>
        <v>0.13443396226415094</v>
      </c>
      <c r="AA111" s="471">
        <f>IFERROR(F111/Levelisation!G334, 0)</f>
        <v>0.15393223500155423</v>
      </c>
      <c r="AB111" s="471">
        <f>IFERROR(G111/Levelisation!H334, 0)</f>
        <v>0.15753634746334583</v>
      </c>
      <c r="AC111" s="5">
        <f>IFERROR(H111/Levelisation!I334, 0)</f>
        <v>0.16096099767697764</v>
      </c>
      <c r="AD111" s="5">
        <f>IFERROR(I111/Levelisation!J334, 0)</f>
        <v>0.16070445789763346</v>
      </c>
      <c r="AE111" s="5">
        <f>IFERROR(J111/Levelisation!K334, 0)</f>
        <v>0.21911559908210843</v>
      </c>
      <c r="AF111" s="6">
        <f>IFERROR(K111/Levelisation!L334, 0)</f>
        <v>0.22283803796616247</v>
      </c>
      <c r="AG111" s="33" t="str">
        <f t="shared" si="69"/>
        <v>1.04 &gt; Honduras</v>
      </c>
      <c r="AH111" s="84">
        <f t="shared" si="74"/>
        <v>97</v>
      </c>
      <c r="AI111" s="84">
        <f t="shared" si="75"/>
        <v>4</v>
      </c>
      <c r="AJ111" s="877" t="s">
        <v>1526</v>
      </c>
    </row>
    <row r="112" spans="1:36" x14ac:dyDescent="0.2">
      <c r="A112" s="492">
        <f>INDEX(Country!$F$31:$G$76, MATCH(AI112, Country!$O$31:$O$76, 0), 1)</f>
        <v>1.04</v>
      </c>
      <c r="B112" s="2" t="str">
        <f>INDEX(Country!$F$31:$G$76, MATCH(AI112, Country!$O$31:$O$76, 0), 2)</f>
        <v>Clean energy installed capacity</v>
      </c>
      <c r="C112" s="436" t="str">
        <f>INDEX(Country!$K$31:$K$76, MATCH(AI112, Country!$O$31:$O$76, 0), 1)</f>
        <v>MW</v>
      </c>
      <c r="D112" s="4" t="str">
        <f t="shared" si="114"/>
        <v>Jamaica</v>
      </c>
      <c r="E112" s="5">
        <f>Levelisation!F309</f>
        <v>42.4</v>
      </c>
      <c r="F112" s="5">
        <f>Levelisation!G309</f>
        <v>43.5</v>
      </c>
      <c r="G112" s="5">
        <f>Levelisation!H309</f>
        <v>43.5</v>
      </c>
      <c r="H112" s="5">
        <f>Levelisation!I309</f>
        <v>43.5</v>
      </c>
      <c r="I112" s="5">
        <f>Levelisation!J309</f>
        <v>46.5</v>
      </c>
      <c r="J112" s="5">
        <f>Levelisation!K309</f>
        <v>64.5</v>
      </c>
      <c r="K112" s="5">
        <f>Levelisation!L309</f>
        <v>64.5</v>
      </c>
      <c r="L112" s="457">
        <f t="shared" si="107"/>
        <v>10.850603400564824</v>
      </c>
      <c r="M112" s="458">
        <f t="shared" si="108"/>
        <v>10.493421760689726</v>
      </c>
      <c r="N112" s="458">
        <f t="shared" si="109"/>
        <v>10.610830675494649</v>
      </c>
      <c r="O112" s="458">
        <f t="shared" si="110"/>
        <v>9.5392546255891126</v>
      </c>
      <c r="P112" s="458">
        <f t="shared" si="111"/>
        <v>8.9157443543983188</v>
      </c>
      <c r="Q112" s="458">
        <f t="shared" si="112"/>
        <v>11.767333347330137</v>
      </c>
      <c r="R112" s="459">
        <f t="shared" si="113"/>
        <v>10.923121434517515</v>
      </c>
      <c r="S112" s="455"/>
      <c r="T112" s="456"/>
      <c r="U112" s="456"/>
      <c r="V112" s="456"/>
      <c r="W112" s="456"/>
      <c r="X112" s="456"/>
      <c r="Y112" s="456"/>
      <c r="Z112" s="421">
        <f>IFERROR(E112/Levelisation!F335, 0)</f>
        <v>5.0562869681358515E-2</v>
      </c>
      <c r="AA112" s="471">
        <f>IFERROR(F112/Levelisation!G335, 0)</f>
        <v>5.1806683657670966E-2</v>
      </c>
      <c r="AB112" s="471">
        <f>IFERROR(G112/Levelisation!H335, 0)</f>
        <v>5.1806683657670966E-2</v>
      </c>
      <c r="AC112" s="5">
        <f>IFERROR(H112/Levelisation!I335, 0)</f>
        <v>5.1806683657670966E-2</v>
      </c>
      <c r="AD112" s="5">
        <f>IFERROR(I112/Levelisation!J335, 0)</f>
        <v>5.4407600683312664E-2</v>
      </c>
      <c r="AE112" s="5">
        <f>IFERROR(J112/Levelisation!K335, 0)</f>
        <v>7.3911947379277157E-2</v>
      </c>
      <c r="AF112" s="6">
        <f>IFERROR(K112/Levelisation!L335, 0)</f>
        <v>6.8751598874392431E-2</v>
      </c>
      <c r="AG112" s="33" t="str">
        <f t="shared" si="69"/>
        <v>1.04 &gt; Jamaica</v>
      </c>
      <c r="AH112" s="84">
        <f t="shared" si="74"/>
        <v>98</v>
      </c>
      <c r="AI112" s="84">
        <f t="shared" si="75"/>
        <v>4</v>
      </c>
      <c r="AJ112" s="877" t="s">
        <v>1526</v>
      </c>
    </row>
    <row r="113" spans="1:36" x14ac:dyDescent="0.2">
      <c r="A113" s="492">
        <f>INDEX(Country!$F$31:$G$76, MATCH(AI113, Country!$O$31:$O$76, 0), 1)</f>
        <v>1.04</v>
      </c>
      <c r="B113" s="2" t="str">
        <f>INDEX(Country!$F$31:$G$76, MATCH(AI113, Country!$O$31:$O$76, 0), 2)</f>
        <v>Clean energy installed capacity</v>
      </c>
      <c r="C113" s="436" t="str">
        <f>INDEX(Country!$K$31:$K$76, MATCH(AI113, Country!$O$31:$O$76, 0), 1)</f>
        <v>MW</v>
      </c>
      <c r="D113" s="4" t="str">
        <f t="shared" si="114"/>
        <v>Mexico</v>
      </c>
      <c r="E113" s="5">
        <f>Levelisation!F310</f>
        <v>1407.2730000000001</v>
      </c>
      <c r="F113" s="5">
        <f>Levelisation!G310</f>
        <v>1517.5730000000003</v>
      </c>
      <c r="G113" s="5">
        <f>Levelisation!H310</f>
        <v>1529.5080000000003</v>
      </c>
      <c r="H113" s="5">
        <f>Levelisation!I310</f>
        <v>2007.7404000000001</v>
      </c>
      <c r="I113" s="5">
        <f>Levelisation!J310</f>
        <v>2231.1813982733738</v>
      </c>
      <c r="J113" s="5">
        <f>Levelisation!K310</f>
        <v>2290.1330000000003</v>
      </c>
      <c r="K113" s="5">
        <f>Levelisation!L310</f>
        <v>2931.2110000000002</v>
      </c>
      <c r="L113" s="457">
        <f t="shared" si="107"/>
        <v>5.5382592619911684</v>
      </c>
      <c r="M113" s="458">
        <f t="shared" si="108"/>
        <v>5.2959062113523006</v>
      </c>
      <c r="N113" s="458">
        <f t="shared" si="109"/>
        <v>5.3533246588613599</v>
      </c>
      <c r="O113" s="458">
        <f t="shared" si="110"/>
        <v>6.1566862385781089</v>
      </c>
      <c r="P113" s="458">
        <f t="shared" si="111"/>
        <v>5.946828536784615</v>
      </c>
      <c r="Q113" s="458">
        <f t="shared" si="112"/>
        <v>5.9351277040362795</v>
      </c>
      <c r="R113" s="459">
        <f t="shared" si="113"/>
        <v>7.4577590546348098</v>
      </c>
      <c r="S113" s="455"/>
      <c r="T113" s="456"/>
      <c r="U113" s="456"/>
      <c r="V113" s="456"/>
      <c r="W113" s="456"/>
      <c r="X113" s="456"/>
      <c r="Y113" s="456"/>
      <c r="Z113" s="421">
        <f>IFERROR(E113/Levelisation!F336, 0)</f>
        <v>2.5807807270060153E-2</v>
      </c>
      <c r="AA113" s="471">
        <f>IFERROR(F113/Levelisation!G336, 0)</f>
        <v>2.6146222274228841E-2</v>
      </c>
      <c r="AB113" s="471">
        <f>IFERROR(G113/Levelisation!H336, 0)</f>
        <v>2.6137255941605257E-2</v>
      </c>
      <c r="AC113" s="5">
        <f>IFERROR(H113/Levelisation!I336, 0)</f>
        <v>3.3436312255042094E-2</v>
      </c>
      <c r="AD113" s="5">
        <f>IFERROR(I113/Levelisation!J336, 0)</f>
        <v>3.6290034740833574E-2</v>
      </c>
      <c r="AE113" s="5">
        <f>IFERROR(J113/Levelisation!K336, 0)</f>
        <v>3.7279206223009731E-2</v>
      </c>
      <c r="AF113" s="6">
        <f>IFERROR(K113/Levelisation!L336, 0)</f>
        <v>4.6940140883709625E-2</v>
      </c>
      <c r="AG113" s="33" t="str">
        <f t="shared" si="69"/>
        <v>1.04 &gt; Mexico</v>
      </c>
      <c r="AH113" s="84">
        <f t="shared" si="74"/>
        <v>99</v>
      </c>
      <c r="AI113" s="84">
        <f t="shared" si="75"/>
        <v>4</v>
      </c>
      <c r="AJ113" s="877" t="s">
        <v>1526</v>
      </c>
    </row>
    <row r="114" spans="1:36" x14ac:dyDescent="0.2">
      <c r="A114" s="492">
        <f>INDEX(Country!$F$31:$G$76, MATCH(AI114, Country!$O$31:$O$76, 0), 1)</f>
        <v>1.04</v>
      </c>
      <c r="B114" s="2" t="str">
        <f>INDEX(Country!$F$31:$G$76, MATCH(AI114, Country!$O$31:$O$76, 0), 2)</f>
        <v>Clean energy installed capacity</v>
      </c>
      <c r="C114" s="436" t="str">
        <f>INDEX(Country!$K$31:$K$76, MATCH(AI114, Country!$O$31:$O$76, 0), 1)</f>
        <v>MW</v>
      </c>
      <c r="D114" s="4" t="str">
        <f t="shared" si="114"/>
        <v>Nicaragua</v>
      </c>
      <c r="E114" s="5">
        <f>Levelisation!F311</f>
        <v>259.52999999999997</v>
      </c>
      <c r="F114" s="5">
        <f>Levelisation!G311</f>
        <v>260.2</v>
      </c>
      <c r="G114" s="5">
        <f>Levelisation!H311</f>
        <v>260.2</v>
      </c>
      <c r="H114" s="5">
        <f>Levelisation!I311</f>
        <v>300.2</v>
      </c>
      <c r="I114" s="5">
        <f>Levelisation!J311</f>
        <v>323.2</v>
      </c>
      <c r="J114" s="5">
        <f>Levelisation!K311</f>
        <v>323.2</v>
      </c>
      <c r="K114" s="5">
        <f>Levelisation!L311</f>
        <v>451.8</v>
      </c>
      <c r="L114" s="457">
        <f t="shared" si="107"/>
        <v>72.988887762864039</v>
      </c>
      <c r="M114" s="458">
        <f t="shared" si="108"/>
        <v>63.366757362366855</v>
      </c>
      <c r="N114" s="458">
        <f t="shared" si="109"/>
        <v>59.81535402116468</v>
      </c>
      <c r="O114" s="458">
        <f t="shared" si="110"/>
        <v>56.303893359194518</v>
      </c>
      <c r="P114" s="458">
        <f t="shared" si="111"/>
        <v>49.378243991283448</v>
      </c>
      <c r="Q114" s="458">
        <f t="shared" si="112"/>
        <v>46.428146798988351</v>
      </c>
      <c r="R114" s="459">
        <f t="shared" si="113"/>
        <v>57.775704201082817</v>
      </c>
      <c r="S114" s="455"/>
      <c r="T114" s="456"/>
      <c r="U114" s="456"/>
      <c r="V114" s="456"/>
      <c r="W114" s="456"/>
      <c r="X114" s="456"/>
      <c r="Y114" s="456"/>
      <c r="Z114" s="421">
        <f>IFERROR(E114/Levelisation!F337, 0)</f>
        <v>0.3401218793001769</v>
      </c>
      <c r="AA114" s="471">
        <f>IFERROR(F114/Levelisation!G337, 0)</f>
        <v>0.31284566921560142</v>
      </c>
      <c r="AB114" s="471">
        <f>IFERROR(G114/Levelisation!H337, 0)</f>
        <v>0.29204453623058274</v>
      </c>
      <c r="AC114" s="5">
        <f>IFERROR(H114/Levelisation!I337, 0)</f>
        <v>0.30578049401578816</v>
      </c>
      <c r="AD114" s="5">
        <f>IFERROR(I114/Levelisation!J337, 0)</f>
        <v>0.30132669519574118</v>
      </c>
      <c r="AE114" s="5">
        <f>IFERROR(J114/Levelisation!K337, 0)</f>
        <v>0.29162042425718898</v>
      </c>
      <c r="AF114" s="6">
        <f>IFERROR(K114/Levelisation!L337, 0)</f>
        <v>0.36364807108764419</v>
      </c>
      <c r="AG114" s="33" t="str">
        <f t="shared" si="69"/>
        <v>1.04 &gt; Nicaragua</v>
      </c>
      <c r="AH114" s="84">
        <f t="shared" si="74"/>
        <v>100</v>
      </c>
      <c r="AI114" s="84">
        <f t="shared" si="75"/>
        <v>4</v>
      </c>
      <c r="AJ114" s="877" t="s">
        <v>1526</v>
      </c>
    </row>
    <row r="115" spans="1:36" x14ac:dyDescent="0.2">
      <c r="A115" s="492">
        <f>INDEX(Country!$F$31:$G$76, MATCH(AI115, Country!$O$31:$O$76, 0), 1)</f>
        <v>1.04</v>
      </c>
      <c r="B115" s="2" t="str">
        <f>INDEX(Country!$F$31:$G$76, MATCH(AI115, Country!$O$31:$O$76, 0), 2)</f>
        <v>Clean energy installed capacity</v>
      </c>
      <c r="C115" s="436" t="str">
        <f>INDEX(Country!$K$31:$K$76, MATCH(AI115, Country!$O$31:$O$76, 0), 1)</f>
        <v>MW</v>
      </c>
      <c r="D115" s="4" t="str">
        <f t="shared" si="114"/>
        <v>Panama</v>
      </c>
      <c r="E115" s="5">
        <f>Levelisation!F312</f>
        <v>106.535</v>
      </c>
      <c r="F115" s="5">
        <f>Levelisation!G312</f>
        <v>63.744999999999997</v>
      </c>
      <c r="G115" s="5">
        <f>Levelisation!H312</f>
        <v>74.248999999999995</v>
      </c>
      <c r="H115" s="5">
        <f>Levelisation!I312</f>
        <v>84.108999999999995</v>
      </c>
      <c r="I115" s="5">
        <f>Levelisation!J312</f>
        <v>200.03</v>
      </c>
      <c r="J115" s="5">
        <f>Levelisation!K312</f>
        <v>274.38</v>
      </c>
      <c r="K115" s="5">
        <f>Levelisation!L312</f>
        <v>279.8</v>
      </c>
      <c r="L115" s="457">
        <f t="shared" si="107"/>
        <v>15.155180397815137</v>
      </c>
      <c r="M115" s="458">
        <f t="shared" si="108"/>
        <v>8.2714368391651636</v>
      </c>
      <c r="N115" s="458">
        <f t="shared" si="109"/>
        <v>8.9199029655551882</v>
      </c>
      <c r="O115" s="458">
        <f t="shared" si="110"/>
        <v>8.5340752358297447</v>
      </c>
      <c r="P115" s="458">
        <f t="shared" si="111"/>
        <v>16.499954121518602</v>
      </c>
      <c r="Q115" s="458">
        <f t="shared" si="112"/>
        <v>19.507327038597545</v>
      </c>
      <c r="R115" s="459">
        <f t="shared" si="113"/>
        <v>20.282553759318514</v>
      </c>
      <c r="S115" s="455"/>
      <c r="T115" s="456"/>
      <c r="U115" s="456"/>
      <c r="V115" s="456"/>
      <c r="W115" s="456"/>
      <c r="X115" s="456"/>
      <c r="Y115" s="456"/>
      <c r="Z115" s="421">
        <f>IFERROR(E115/Levelisation!F338, 0)</f>
        <v>7.0621824719196452E-2</v>
      </c>
      <c r="AA115" s="471">
        <f>IFERROR(F115/Levelisation!G338, 0)</f>
        <v>4.0836604254899336E-2</v>
      </c>
      <c r="AB115" s="471">
        <f>IFERROR(G115/Levelisation!H338, 0)</f>
        <v>4.3550840205269455E-2</v>
      </c>
      <c r="AC115" s="5">
        <f>IFERROR(H115/Levelisation!I338, 0)</f>
        <v>4.6347660630359923E-2</v>
      </c>
      <c r="AD115" s="5">
        <f>IFERROR(I115/Levelisation!J338, 0)</f>
        <v>0.10068962045706233</v>
      </c>
      <c r="AE115" s="5">
        <f>IFERROR(J115/Levelisation!K338, 0)</f>
        <v>0.1225277203449246</v>
      </c>
      <c r="AF115" s="6">
        <f>IFERROR(K115/Levelisation!L338, 0)</f>
        <v>0.12766112768850318</v>
      </c>
      <c r="AG115" s="33" t="str">
        <f t="shared" si="69"/>
        <v>1.04 &gt; Panama</v>
      </c>
      <c r="AH115" s="84">
        <f t="shared" si="74"/>
        <v>101</v>
      </c>
      <c r="AI115" s="84">
        <f t="shared" si="75"/>
        <v>4</v>
      </c>
      <c r="AJ115" s="877" t="s">
        <v>1526</v>
      </c>
    </row>
    <row r="116" spans="1:36" x14ac:dyDescent="0.2">
      <c r="A116" s="492">
        <f>INDEX(Country!$F$31:$G$76, MATCH(AI116, Country!$O$31:$O$76, 0), 1)</f>
        <v>1.04</v>
      </c>
      <c r="B116" s="2" t="str">
        <f>INDEX(Country!$F$31:$G$76, MATCH(AI116, Country!$O$31:$O$76, 0), 2)</f>
        <v>Clean energy installed capacity</v>
      </c>
      <c r="C116" s="436" t="str">
        <f>INDEX(Country!$K$31:$K$76, MATCH(AI116, Country!$O$31:$O$76, 0), 1)</f>
        <v>MW</v>
      </c>
      <c r="D116" s="4" t="str">
        <f t="shared" si="114"/>
        <v>Paraguay</v>
      </c>
      <c r="E116" s="5">
        <f>Levelisation!F313</f>
        <v>0</v>
      </c>
      <c r="F116" s="5">
        <f>Levelisation!G313</f>
        <v>0</v>
      </c>
      <c r="G116" s="5">
        <f>Levelisation!H313</f>
        <v>0</v>
      </c>
      <c r="H116" s="5">
        <f>Levelisation!I313</f>
        <v>0</v>
      </c>
      <c r="I116" s="5">
        <f>Levelisation!J313</f>
        <v>0</v>
      </c>
      <c r="J116" s="5">
        <f>Levelisation!K313</f>
        <v>0</v>
      </c>
      <c r="K116" s="5">
        <f>Levelisation!L313</f>
        <v>0</v>
      </c>
      <c r="L116" s="457">
        <f t="shared" si="107"/>
        <v>0</v>
      </c>
      <c r="M116" s="458">
        <f t="shared" si="108"/>
        <v>0</v>
      </c>
      <c r="N116" s="458">
        <f t="shared" si="109"/>
        <v>0</v>
      </c>
      <c r="O116" s="458">
        <f t="shared" si="110"/>
        <v>0</v>
      </c>
      <c r="P116" s="458">
        <f t="shared" si="111"/>
        <v>0</v>
      </c>
      <c r="Q116" s="458">
        <f t="shared" si="112"/>
        <v>0</v>
      </c>
      <c r="R116" s="459">
        <f t="shared" si="113"/>
        <v>0</v>
      </c>
      <c r="S116" s="455"/>
      <c r="T116" s="456"/>
      <c r="U116" s="456"/>
      <c r="V116" s="456"/>
      <c r="W116" s="456"/>
      <c r="X116" s="456"/>
      <c r="Y116" s="456"/>
      <c r="Z116" s="421">
        <f>IFERROR(E116/Levelisation!F339, 0)</f>
        <v>0</v>
      </c>
      <c r="AA116" s="471">
        <f>IFERROR(F116/Levelisation!G339, 0)</f>
        <v>0</v>
      </c>
      <c r="AB116" s="471">
        <f>IFERROR(G116/Levelisation!H339, 0)</f>
        <v>0</v>
      </c>
      <c r="AC116" s="5">
        <f>IFERROR(H116/Levelisation!I339, 0)</f>
        <v>0</v>
      </c>
      <c r="AD116" s="5">
        <f>IFERROR(I116/Levelisation!J339, 0)</f>
        <v>0</v>
      </c>
      <c r="AE116" s="5">
        <f>IFERROR(J116/Levelisation!K339, 0)</f>
        <v>0</v>
      </c>
      <c r="AF116" s="6">
        <f>IFERROR(K116/Levelisation!L339, 0)</f>
        <v>0</v>
      </c>
      <c r="AG116" s="33" t="str">
        <f t="shared" si="69"/>
        <v>1.04 &gt; Paraguay</v>
      </c>
      <c r="AH116" s="84">
        <f t="shared" si="74"/>
        <v>102</v>
      </c>
      <c r="AI116" s="84">
        <f t="shared" si="75"/>
        <v>4</v>
      </c>
      <c r="AJ116" s="877" t="s">
        <v>1526</v>
      </c>
    </row>
    <row r="117" spans="1:36" x14ac:dyDescent="0.2">
      <c r="A117" s="492">
        <f>INDEX(Country!$F$31:$G$76, MATCH(AI117, Country!$O$31:$O$76, 0), 1)</f>
        <v>1.04</v>
      </c>
      <c r="B117" s="2" t="str">
        <f>INDEX(Country!$F$31:$G$76, MATCH(AI117, Country!$O$31:$O$76, 0), 2)</f>
        <v>Clean energy installed capacity</v>
      </c>
      <c r="C117" s="436" t="str">
        <f>INDEX(Country!$K$31:$K$76, MATCH(AI117, Country!$O$31:$O$76, 0), 1)</f>
        <v>MW</v>
      </c>
      <c r="D117" s="4" t="str">
        <f t="shared" si="114"/>
        <v>Peru</v>
      </c>
      <c r="E117" s="5">
        <f>Levelisation!F314</f>
        <v>509.98700000000002</v>
      </c>
      <c r="F117" s="5">
        <f>Levelisation!G314</f>
        <v>512.15</v>
      </c>
      <c r="G117" s="5">
        <f>Levelisation!H314</f>
        <v>519.28200000000004</v>
      </c>
      <c r="H117" s="5">
        <f>Levelisation!I314</f>
        <v>589.42100000000005</v>
      </c>
      <c r="I117" s="5">
        <f>Levelisation!J314</f>
        <v>585.37600000000009</v>
      </c>
      <c r="J117" s="5">
        <f>Levelisation!K314</f>
        <v>595.87599999999998</v>
      </c>
      <c r="K117" s="5">
        <f>Levelisation!L314</f>
        <v>737.87599999999998</v>
      </c>
      <c r="L117" s="457">
        <f t="shared" si="107"/>
        <v>17.435630748751198</v>
      </c>
      <c r="M117" s="458">
        <f t="shared" si="108"/>
        <v>15.602202035636747</v>
      </c>
      <c r="N117" s="458">
        <f t="shared" si="109"/>
        <v>15.688734067669328</v>
      </c>
      <c r="O117" s="458">
        <f t="shared" si="110"/>
        <v>14.2685741031977</v>
      </c>
      <c r="P117" s="458">
        <f t="shared" si="111"/>
        <v>11.652210668750874</v>
      </c>
      <c r="Q117" s="458">
        <f t="shared" si="112"/>
        <v>11.542701329527123</v>
      </c>
      <c r="R117" s="459">
        <f t="shared" si="113"/>
        <v>13.185110983532033</v>
      </c>
      <c r="S117" s="455"/>
      <c r="T117" s="456"/>
      <c r="U117" s="456"/>
      <c r="V117" s="456"/>
      <c r="W117" s="456"/>
      <c r="X117" s="456"/>
      <c r="Y117" s="456"/>
      <c r="Z117" s="421">
        <f>IFERROR(E117/Levelisation!F340, 0)</f>
        <v>8.1248525341503425E-2</v>
      </c>
      <c r="AA117" s="471">
        <f>IFERROR(F117/Levelisation!G340, 0)</f>
        <v>7.7029053406710096E-2</v>
      </c>
      <c r="AB117" s="471">
        <f>IFERROR(G117/Levelisation!H340, 0)</f>
        <v>7.6599213359436688E-2</v>
      </c>
      <c r="AC117" s="5">
        <f>IFERROR(H117/Levelisation!I340, 0)</f>
        <v>7.7491117893789152E-2</v>
      </c>
      <c r="AD117" s="5">
        <f>IFERROR(I117/Levelisation!J340, 0)</f>
        <v>7.1106662544724406E-2</v>
      </c>
      <c r="AE117" s="5">
        <f>IFERROR(J117/Levelisation!K340, 0)</f>
        <v>7.2501008350909765E-2</v>
      </c>
      <c r="AF117" s="6">
        <f>IFERROR(K117/Levelisation!L340, 0)</f>
        <v>8.2988866038747014E-2</v>
      </c>
      <c r="AG117" s="33" t="str">
        <f t="shared" si="69"/>
        <v>1.04 &gt; Peru</v>
      </c>
      <c r="AH117" s="84">
        <f t="shared" si="74"/>
        <v>103</v>
      </c>
      <c r="AI117" s="84">
        <f t="shared" si="75"/>
        <v>4</v>
      </c>
      <c r="AJ117" s="877" t="s">
        <v>1526</v>
      </c>
    </row>
    <row r="118" spans="1:36" x14ac:dyDescent="0.2">
      <c r="A118" s="492">
        <f>INDEX(Country!$F$31:$G$76, MATCH(AI118, Country!$O$31:$O$76, 0), 1)</f>
        <v>1.04</v>
      </c>
      <c r="B118" s="2" t="str">
        <f>INDEX(Country!$F$31:$G$76, MATCH(AI118, Country!$O$31:$O$76, 0), 2)</f>
        <v>Clean energy installed capacity</v>
      </c>
      <c r="C118" s="436" t="str">
        <f>INDEX(Country!$K$31:$K$76, MATCH(AI118, Country!$O$31:$O$76, 0), 1)</f>
        <v>MW</v>
      </c>
      <c r="D118" s="4" t="str">
        <f t="shared" si="114"/>
        <v>Suriname</v>
      </c>
      <c r="E118" s="5">
        <f>Levelisation!F315</f>
        <v>0</v>
      </c>
      <c r="F118" s="5">
        <f>Levelisation!G315</f>
        <v>0</v>
      </c>
      <c r="G118" s="5">
        <f>Levelisation!H315</f>
        <v>0</v>
      </c>
      <c r="H118" s="5">
        <f>Levelisation!I315</f>
        <v>0</v>
      </c>
      <c r="I118" s="5">
        <f>Levelisation!J315</f>
        <v>0</v>
      </c>
      <c r="J118" s="5">
        <f>Levelisation!K315</f>
        <v>0</v>
      </c>
      <c r="K118" s="5">
        <f>Levelisation!L315</f>
        <v>0</v>
      </c>
      <c r="L118" s="457">
        <f t="shared" si="107"/>
        <v>0</v>
      </c>
      <c r="M118" s="458">
        <f t="shared" si="108"/>
        <v>0</v>
      </c>
      <c r="N118" s="458">
        <f t="shared" si="109"/>
        <v>0</v>
      </c>
      <c r="O118" s="458">
        <f t="shared" si="110"/>
        <v>0</v>
      </c>
      <c r="P118" s="458">
        <f t="shared" si="111"/>
        <v>0</v>
      </c>
      <c r="Q118" s="458">
        <f t="shared" si="112"/>
        <v>0</v>
      </c>
      <c r="R118" s="459">
        <f t="shared" si="113"/>
        <v>0</v>
      </c>
      <c r="S118" s="455"/>
      <c r="T118" s="456"/>
      <c r="U118" s="456"/>
      <c r="V118" s="456"/>
      <c r="W118" s="456"/>
      <c r="X118" s="456"/>
      <c r="Y118" s="456"/>
      <c r="Z118" s="421">
        <f>IFERROR(E118/Levelisation!F341, 0)</f>
        <v>0</v>
      </c>
      <c r="AA118" s="471">
        <f>IFERROR(F118/Levelisation!G341, 0)</f>
        <v>0</v>
      </c>
      <c r="AB118" s="471">
        <f>IFERROR(G118/Levelisation!H341, 0)</f>
        <v>0</v>
      </c>
      <c r="AC118" s="5">
        <f>IFERROR(H118/Levelisation!I341, 0)</f>
        <v>0</v>
      </c>
      <c r="AD118" s="5">
        <f>IFERROR(I118/Levelisation!J341, 0)</f>
        <v>0</v>
      </c>
      <c r="AE118" s="5">
        <f>IFERROR(J118/Levelisation!K341, 0)</f>
        <v>0</v>
      </c>
      <c r="AF118" s="6">
        <f>IFERROR(K118/Levelisation!L341, 0)</f>
        <v>0</v>
      </c>
      <c r="AG118" s="33" t="str">
        <f t="shared" si="69"/>
        <v>1.04 &gt; Suriname</v>
      </c>
      <c r="AH118" s="84">
        <f t="shared" si="74"/>
        <v>104</v>
      </c>
      <c r="AI118" s="84">
        <f t="shared" si="75"/>
        <v>4</v>
      </c>
      <c r="AJ118" s="877" t="s">
        <v>1526</v>
      </c>
    </row>
    <row r="119" spans="1:36" x14ac:dyDescent="0.2">
      <c r="A119" s="492">
        <f>INDEX(Country!$F$31:$G$76, MATCH(AI119, Country!$O$31:$O$76, 0), 1)</f>
        <v>1.04</v>
      </c>
      <c r="B119" s="2" t="str">
        <f>INDEX(Country!$F$31:$G$76, MATCH(AI119, Country!$O$31:$O$76, 0), 2)</f>
        <v>Clean energy installed capacity</v>
      </c>
      <c r="C119" s="436" t="str">
        <f>INDEX(Country!$K$31:$K$76, MATCH(AI119, Country!$O$31:$O$76, 0), 1)</f>
        <v>MW</v>
      </c>
      <c r="D119" s="4" t="str">
        <f t="shared" si="114"/>
        <v>Trinidad &amp; Tobago</v>
      </c>
      <c r="E119" s="5">
        <f>Levelisation!F316</f>
        <v>0</v>
      </c>
      <c r="F119" s="5">
        <f>Levelisation!G316</f>
        <v>0</v>
      </c>
      <c r="G119" s="5">
        <f>Levelisation!H316</f>
        <v>0</v>
      </c>
      <c r="H119" s="5">
        <f>Levelisation!I316</f>
        <v>0</v>
      </c>
      <c r="I119" s="5">
        <f>Levelisation!J316</f>
        <v>0</v>
      </c>
      <c r="J119" s="5">
        <f>Levelisation!K316</f>
        <v>0</v>
      </c>
      <c r="K119" s="5">
        <f>Levelisation!L316</f>
        <v>0</v>
      </c>
      <c r="L119" s="457">
        <f t="shared" si="107"/>
        <v>0</v>
      </c>
      <c r="M119" s="458">
        <f t="shared" si="108"/>
        <v>0</v>
      </c>
      <c r="N119" s="458">
        <f t="shared" si="109"/>
        <v>0</v>
      </c>
      <c r="O119" s="458">
        <f t="shared" si="110"/>
        <v>0</v>
      </c>
      <c r="P119" s="458">
        <f t="shared" si="111"/>
        <v>0</v>
      </c>
      <c r="Q119" s="458">
        <f t="shared" si="112"/>
        <v>0</v>
      </c>
      <c r="R119" s="459">
        <f t="shared" si="113"/>
        <v>0</v>
      </c>
      <c r="S119" s="455"/>
      <c r="T119" s="456"/>
      <c r="U119" s="456"/>
      <c r="V119" s="456"/>
      <c r="W119" s="456"/>
      <c r="X119" s="456"/>
      <c r="Y119" s="456"/>
      <c r="Z119" s="421">
        <f>IFERROR(E119/Levelisation!F342, 0)</f>
        <v>0</v>
      </c>
      <c r="AA119" s="471">
        <f>IFERROR(F119/Levelisation!G342, 0)</f>
        <v>0</v>
      </c>
      <c r="AB119" s="471">
        <f>IFERROR(G119/Levelisation!H342, 0)</f>
        <v>0</v>
      </c>
      <c r="AC119" s="5">
        <f>IFERROR(H119/Levelisation!I342, 0)</f>
        <v>0</v>
      </c>
      <c r="AD119" s="5">
        <f>IFERROR(I119/Levelisation!J342, 0)</f>
        <v>0</v>
      </c>
      <c r="AE119" s="5">
        <f>IFERROR(J119/Levelisation!K342, 0)</f>
        <v>0</v>
      </c>
      <c r="AF119" s="6">
        <f>IFERROR(K119/Levelisation!L342, 0)</f>
        <v>0</v>
      </c>
      <c r="AG119" s="33" t="str">
        <f t="shared" si="69"/>
        <v>1.04 &gt; Trinidad &amp; Tobago</v>
      </c>
      <c r="AH119" s="84">
        <f t="shared" si="74"/>
        <v>105</v>
      </c>
      <c r="AI119" s="84">
        <f t="shared" si="75"/>
        <v>4</v>
      </c>
      <c r="AJ119" s="877" t="s">
        <v>1526</v>
      </c>
    </row>
    <row r="120" spans="1:36" x14ac:dyDescent="0.2">
      <c r="A120" s="492">
        <f>INDEX(Country!$F$31:$G$76, MATCH(AI120, Country!$O$31:$O$76, 0), 1)</f>
        <v>1.04</v>
      </c>
      <c r="B120" s="2" t="str">
        <f>INDEX(Country!$F$31:$G$76, MATCH(AI120, Country!$O$31:$O$76, 0), 2)</f>
        <v>Clean energy installed capacity</v>
      </c>
      <c r="C120" s="436" t="str">
        <f>INDEX(Country!$K$31:$K$76, MATCH(AI120, Country!$O$31:$O$76, 0), 1)</f>
        <v>MW</v>
      </c>
      <c r="D120" s="4" t="str">
        <f t="shared" si="114"/>
        <v>Uruguay</v>
      </c>
      <c r="E120" s="5">
        <f>Levelisation!F317</f>
        <v>15.559999999999999</v>
      </c>
      <c r="F120" s="5">
        <f>Levelisation!G317</f>
        <v>176.56</v>
      </c>
      <c r="G120" s="5">
        <f>Levelisation!H317</f>
        <v>191.01</v>
      </c>
      <c r="H120" s="5">
        <f>Levelisation!I317</f>
        <v>207.01</v>
      </c>
      <c r="I120" s="5">
        <f>Levelisation!J317</f>
        <v>280.16000000000003</v>
      </c>
      <c r="J120" s="5">
        <f>Levelisation!K317</f>
        <v>295.30284999999998</v>
      </c>
      <c r="K120" s="5">
        <f>Levelisation!L317</f>
        <v>304.38297999999998</v>
      </c>
      <c r="L120" s="457">
        <f t="shared" si="107"/>
        <v>1.4861594938701357</v>
      </c>
      <c r="M120" s="458">
        <f t="shared" si="108"/>
        <v>14.858735410981444</v>
      </c>
      <c r="N120" s="458">
        <f t="shared" si="109"/>
        <v>15.497127380496757</v>
      </c>
      <c r="O120" s="458">
        <f t="shared" si="110"/>
        <v>14.541799694966489</v>
      </c>
      <c r="P120" s="458">
        <f t="shared" si="111"/>
        <v>17.051831477836913</v>
      </c>
      <c r="Q120" s="458">
        <f t="shared" si="112"/>
        <v>17.364493797382863</v>
      </c>
      <c r="R120" s="459">
        <f t="shared" si="113"/>
        <v>16.87018347817088</v>
      </c>
      <c r="S120" s="455"/>
      <c r="T120" s="456"/>
      <c r="U120" s="456"/>
      <c r="V120" s="456"/>
      <c r="W120" s="456"/>
      <c r="X120" s="456"/>
      <c r="Y120" s="456"/>
      <c r="Z120" s="421">
        <f>IFERROR(E120/Levelisation!F343, 0)</f>
        <v>6.9253741971951341E-3</v>
      </c>
      <c r="AA120" s="471">
        <f>IFERROR(F120/Levelisation!G343, 0)</f>
        <v>7.3358511889181119E-2</v>
      </c>
      <c r="AB120" s="471">
        <f>IFERROR(G120/Levelisation!H343, 0)</f>
        <v>7.566370629758444E-2</v>
      </c>
      <c r="AC120" s="5">
        <f>IFERROR(H120/Levelisation!I343, 0)</f>
        <v>7.8974977205183872E-2</v>
      </c>
      <c r="AD120" s="5">
        <f>IFERROR(I120/Levelisation!J343, 0)</f>
        <v>0.10405740688466626</v>
      </c>
      <c r="AE120" s="5">
        <f>IFERROR(J120/Levelisation!K343, 0)</f>
        <v>0.10906834317829064</v>
      </c>
      <c r="AF120" s="6">
        <f>IFERROR(K120/Levelisation!L343, 0)</f>
        <v>0.10618320911121854</v>
      </c>
      <c r="AG120" s="33" t="str">
        <f t="shared" si="69"/>
        <v>1.04 &gt; Uruguay</v>
      </c>
      <c r="AH120" s="84">
        <f t="shared" si="74"/>
        <v>106</v>
      </c>
      <c r="AI120" s="84">
        <f t="shared" si="75"/>
        <v>4</v>
      </c>
      <c r="AJ120" s="877" t="s">
        <v>1526</v>
      </c>
    </row>
    <row r="121" spans="1:36" x14ac:dyDescent="0.2">
      <c r="A121" s="491">
        <f>INDEX(Country!$F$31:$G$76, MATCH(AI121, Country!$O$31:$O$76, 0), 1)</f>
        <v>1.04</v>
      </c>
      <c r="B121" s="386" t="str">
        <f>INDEX(Country!$F$31:$G$76, MATCH(AI121, Country!$O$31:$O$76, 0), 2)</f>
        <v>Clean energy installed capacity</v>
      </c>
      <c r="C121" s="437" t="str">
        <f>INDEX(Country!$K$31:$K$76, MATCH(AI121, Country!$O$31:$O$76, 0), 1)</f>
        <v>MW</v>
      </c>
      <c r="D121" s="86" t="str">
        <f t="shared" si="114"/>
        <v>Venezuela</v>
      </c>
      <c r="E121" s="364">
        <f>Levelisation!F318</f>
        <v>0</v>
      </c>
      <c r="F121" s="364">
        <f>Levelisation!G318</f>
        <v>0</v>
      </c>
      <c r="G121" s="364">
        <f>Levelisation!H318</f>
        <v>0</v>
      </c>
      <c r="H121" s="364">
        <f>Levelisation!I318</f>
        <v>26.33</v>
      </c>
      <c r="I121" s="364">
        <f>Levelisation!J318</f>
        <v>26.33</v>
      </c>
      <c r="J121" s="364">
        <f>Levelisation!K318</f>
        <v>26.33</v>
      </c>
      <c r="K121" s="364">
        <f>Levelisation!L318</f>
        <v>32.629999999999995</v>
      </c>
      <c r="L121" s="460">
        <f t="shared" si="107"/>
        <v>0</v>
      </c>
      <c r="M121" s="461">
        <f t="shared" si="108"/>
        <v>0</v>
      </c>
      <c r="N121" s="461">
        <f t="shared" si="109"/>
        <v>0</v>
      </c>
      <c r="O121" s="461">
        <f t="shared" si="110"/>
        <v>0.20434652005913048</v>
      </c>
      <c r="P121" s="461">
        <f t="shared" si="111"/>
        <v>0.17359186072697413</v>
      </c>
      <c r="Q121" s="461">
        <f t="shared" si="112"/>
        <v>0.16307004542975989</v>
      </c>
      <c r="R121" s="462">
        <f t="shared" si="113"/>
        <v>0.18849117260644319</v>
      </c>
      <c r="S121" s="455"/>
      <c r="T121" s="456"/>
      <c r="U121" s="456"/>
      <c r="V121" s="456"/>
      <c r="W121" s="456"/>
      <c r="X121" s="456"/>
      <c r="Y121" s="456"/>
      <c r="Z121" s="422">
        <f>IFERROR(E121/Levelisation!F344, 0)</f>
        <v>0</v>
      </c>
      <c r="AA121" s="470">
        <f>IFERROR(F121/Levelisation!G344, 0)</f>
        <v>0</v>
      </c>
      <c r="AB121" s="470">
        <f>IFERROR(G121/Levelisation!H344, 0)</f>
        <v>0</v>
      </c>
      <c r="AC121" s="364">
        <f>IFERROR(H121/Levelisation!I344, 0)</f>
        <v>1.1097843528414567E-3</v>
      </c>
      <c r="AD121" s="364">
        <f>IFERROR(I121/Levelisation!J344, 0)</f>
        <v>1.059330131605575E-3</v>
      </c>
      <c r="AE121" s="364">
        <f>IFERROR(J121/Levelisation!K344, 0)</f>
        <v>1.024261339522211E-3</v>
      </c>
      <c r="AF121" s="390">
        <f>IFERROR(K121/Levelisation!L344, 0)</f>
        <v>1.1863888512170936E-3</v>
      </c>
      <c r="AG121" s="90" t="str">
        <f t="shared" si="69"/>
        <v>1.04 &gt; Venezuela</v>
      </c>
      <c r="AH121" s="392">
        <f t="shared" si="74"/>
        <v>107</v>
      </c>
      <c r="AI121" s="392">
        <f t="shared" si="75"/>
        <v>4</v>
      </c>
      <c r="AJ121" s="878" t="s">
        <v>1526</v>
      </c>
    </row>
    <row r="122" spans="1:36" x14ac:dyDescent="0.2">
      <c r="A122" s="490">
        <f>INDEX(Country!$F$31:$G$76, MATCH(AI122, Country!$O$31:$O$76, 0), 1)</f>
        <v>1.04</v>
      </c>
      <c r="B122" s="387" t="str">
        <f>INDEX(Country!$F$31:$G$76, MATCH(AI122, Country!$O$31:$O$76, 0), 2)</f>
        <v>Clean energy installed capacity</v>
      </c>
      <c r="C122" s="438" t="str">
        <f>INDEX(Country!$K$31:$K$76, MATCH(AI122, Country!$O$31:$O$76, 0), 1)</f>
        <v>MW</v>
      </c>
      <c r="D122" s="32" t="str">
        <f>D95</f>
        <v>Benchmark</v>
      </c>
      <c r="E122" s="365">
        <f>IFERROR(MAX(E96:E121), 0)</f>
        <v>4819.4400000000005</v>
      </c>
      <c r="F122" s="365">
        <f t="shared" ref="F122" si="115">IFERROR(MAX(F96:F121), 0)</f>
        <v>5815.8</v>
      </c>
      <c r="G122" s="365">
        <f t="shared" ref="G122" si="116">IFERROR(MAX(G96:G121), 0)</f>
        <v>7588</v>
      </c>
      <c r="H122" s="365">
        <f t="shared" ref="H122" si="117">IFERROR(MAX(H96:H121), 0)</f>
        <v>9167</v>
      </c>
      <c r="I122" s="365">
        <f t="shared" ref="I122" si="118">IFERROR(MAX(I96:I121), 0)</f>
        <v>11244</v>
      </c>
      <c r="J122" s="365">
        <f>IFERROR(MAX(J96:J121), 0)</f>
        <v>13862.1</v>
      </c>
      <c r="K122" s="593">
        <f t="shared" ref="K122" si="119">IFERROR(MAX(K96:K121), 0)</f>
        <v>15880.9</v>
      </c>
      <c r="L122" s="585">
        <f t="shared" ref="L122:M122" si="120">MAX(Z96:Z121)</f>
        <v>0.4659913169319827</v>
      </c>
      <c r="M122" s="463">
        <f t="shared" si="120"/>
        <v>0.49370629370629376</v>
      </c>
      <c r="N122" s="463">
        <f t="shared" ref="N122" si="121">MAX(AB96:AB121)</f>
        <v>0.48824343015214383</v>
      </c>
      <c r="O122" s="463">
        <f t="shared" ref="O122" si="122">MAX(AC96:AC121)</f>
        <v>0.54308943089430906</v>
      </c>
      <c r="P122" s="463">
        <f t="shared" ref="P122" si="123">MAX(AD96:AD121)</f>
        <v>0.61024182076813671</v>
      </c>
      <c r="Q122" s="463">
        <f t="shared" ref="Q122" si="124">MAX(AE96:AE121)</f>
        <v>0.62811127379209386</v>
      </c>
      <c r="R122" s="586">
        <f t="shared" ref="R122" si="125">MAX(AF96:AF121)</f>
        <v>0.62941348117887375</v>
      </c>
      <c r="S122" s="393"/>
      <c r="T122" s="394"/>
      <c r="U122" s="376"/>
      <c r="V122" s="376"/>
      <c r="W122" s="376"/>
      <c r="X122" s="376"/>
      <c r="Y122" s="376"/>
      <c r="Z122" s="393"/>
      <c r="AA122" s="394"/>
      <c r="AB122" s="376"/>
      <c r="AC122" s="376"/>
      <c r="AD122" s="376"/>
      <c r="AE122" s="376"/>
      <c r="AF122" s="401"/>
      <c r="AG122" s="34" t="str">
        <f t="shared" si="69"/>
        <v>1.04 &gt; Benchmark</v>
      </c>
      <c r="AH122" s="85">
        <f t="shared" si="74"/>
        <v>108</v>
      </c>
      <c r="AI122" s="85">
        <f t="shared" si="75"/>
        <v>4</v>
      </c>
      <c r="AJ122" s="871" t="s">
        <v>1526</v>
      </c>
    </row>
    <row r="123" spans="1:36" x14ac:dyDescent="0.2">
      <c r="A123" s="587">
        <f>INDEX(Country!$F$31:$G$76, MATCH(AI123, Country!$O$31:$O$76, 0), 1)</f>
        <v>1.05</v>
      </c>
      <c r="B123" s="588" t="str">
        <f>INDEX(Country!$F$31:$G$76, MATCH(AI123, Country!$O$31:$O$76, 0), 2)</f>
        <v>Growth rate of installed capacity</v>
      </c>
      <c r="C123" s="589" t="str">
        <f>INDEX(Country!$K$31:$K$76, MATCH(AI123, Country!$O$31:$O$76, 0), 1)</f>
        <v>%</v>
      </c>
      <c r="D123" s="590" t="str">
        <f t="shared" si="114"/>
        <v>Argentina</v>
      </c>
      <c r="E123" s="580"/>
      <c r="F123" s="594">
        <f>IF(E96&lt;&gt;0, F96/E96-1, 0)</f>
        <v>-2.5977301858377433E-2</v>
      </c>
      <c r="G123" s="594">
        <f>IF(F96&lt;&gt;0, G96/F96-1, 0)</f>
        <v>3.0773362491485212E-3</v>
      </c>
      <c r="H123" s="594">
        <f>IF(G96&lt;&gt;0, H96/G96-1, 0)</f>
        <v>-1.241156995458903E-3</v>
      </c>
      <c r="I123" s="594">
        <f t="shared" ref="G123:K138" si="126">IF(H96&lt;&gt;0, I96/H96-1, 0)</f>
        <v>5.5969341897810221E-3</v>
      </c>
      <c r="J123" s="594">
        <f t="shared" si="126"/>
        <v>6.2465677989661295E-2</v>
      </c>
      <c r="K123" s="594">
        <f t="shared" si="126"/>
        <v>0</v>
      </c>
      <c r="L123" s="595">
        <f t="shared" ref="L123:L149" si="127">IFERROR(dbl_BenchmarkMax*E123/ SUMIFS(E$15:E$1256, $D$15:$D$1256, "Benchmark", $B$15:$B$1256,$B123), 0)</f>
        <v>0</v>
      </c>
      <c r="M123" s="596">
        <f t="shared" ref="M123:M149" si="128">IFERROR(dbl_BenchmarkMax*F123/ SUMIFS(F$15:F$1256, $D$15:$D$1256, "Benchmark", $B$15:$B$1256,$B123), 0)</f>
        <v>-0.25106013473065392</v>
      </c>
      <c r="N123" s="596">
        <f t="shared" ref="N123:N149" si="129">IFERROR(dbl_BenchmarkMax*G123/ SUMIFS(G$15:G$1256, $D$15:$D$1256, "Benchmark", $B$15:$B$1256,$B123), 0)</f>
        <v>1.0098844463264851</v>
      </c>
      <c r="O123" s="596">
        <f t="shared" ref="O123:O149" si="130">IFERROR(dbl_BenchmarkMax*H123/ SUMIFS(H$15:H$1256, $D$15:$D$1256, "Benchmark", $B$15:$B$1256,$B123), 0)</f>
        <v>-0.13908838711015642</v>
      </c>
      <c r="P123" s="596">
        <f t="shared" ref="P123:P149" si="131">IFERROR(dbl_BenchmarkMax*I123/ SUMIFS(I$15:I$1256, $D$15:$D$1256, "Benchmark", $B$15:$B$1256,$B123), 0)</f>
        <v>0.40609771979908038</v>
      </c>
      <c r="Q123" s="596">
        <f t="shared" ref="Q123:Q149" si="132">IFERROR(dbl_BenchmarkMax*J123/ SUMIFS(J$15:J$1256, $D$15:$D$1256, "Benchmark", $B$15:$B$1256,$B123), 0)</f>
        <v>13.046157653725652</v>
      </c>
      <c r="R123" s="597">
        <f t="shared" ref="R123:R149" si="133">IFERROR(dbl_BenchmarkMax*K123/ SUMIFS(K$15:K$1256, $D$15:$D$1256, "Benchmark", $B$15:$B$1256,$B123), 0)</f>
        <v>0</v>
      </c>
      <c r="S123" s="455"/>
      <c r="T123" s="456"/>
      <c r="U123" s="456"/>
      <c r="V123" s="456"/>
      <c r="W123" s="456"/>
      <c r="X123" s="456"/>
      <c r="Y123" s="456"/>
      <c r="Z123" s="455"/>
      <c r="AA123" s="456"/>
      <c r="AB123" s="456"/>
      <c r="AC123" s="456"/>
      <c r="AD123" s="456"/>
      <c r="AE123" s="456"/>
      <c r="AF123" s="456"/>
      <c r="AG123" s="396" t="str">
        <f t="shared" si="69"/>
        <v>1.05 &gt; Argentina</v>
      </c>
      <c r="AH123" s="397">
        <f t="shared" si="74"/>
        <v>109</v>
      </c>
      <c r="AI123" s="397">
        <f t="shared" si="75"/>
        <v>5</v>
      </c>
      <c r="AJ123" s="879" t="s">
        <v>1526</v>
      </c>
    </row>
    <row r="124" spans="1:36" x14ac:dyDescent="0.2">
      <c r="A124" s="492">
        <f>INDEX(Country!$F$31:$G$76, MATCH(AI124, Country!$O$31:$O$76, 0), 1)</f>
        <v>1.05</v>
      </c>
      <c r="B124" s="2" t="str">
        <f>INDEX(Country!$F$31:$G$76, MATCH(AI124, Country!$O$31:$O$76, 0), 2)</f>
        <v>Growth rate of installed capacity</v>
      </c>
      <c r="C124" s="436" t="str">
        <f>INDEX(Country!$K$31:$K$76, MATCH(AI124, Country!$O$31:$O$76, 0), 1)</f>
        <v>%</v>
      </c>
      <c r="D124" s="4" t="str">
        <f t="shared" si="114"/>
        <v>Bahamas</v>
      </c>
      <c r="E124" s="457"/>
      <c r="F124" s="486">
        <f t="shared" ref="F124" si="134">IF(E97&lt;&gt;0, F97/E97-1, 0)</f>
        <v>0</v>
      </c>
      <c r="G124" s="486">
        <f t="shared" si="126"/>
        <v>0</v>
      </c>
      <c r="H124" s="486">
        <f t="shared" si="126"/>
        <v>0</v>
      </c>
      <c r="I124" s="486">
        <f t="shared" si="126"/>
        <v>0</v>
      </c>
      <c r="J124" s="486">
        <f t="shared" si="126"/>
        <v>0</v>
      </c>
      <c r="K124" s="486">
        <f t="shared" si="126"/>
        <v>0</v>
      </c>
      <c r="L124" s="483">
        <f t="shared" si="127"/>
        <v>0</v>
      </c>
      <c r="M124" s="482">
        <f t="shared" si="128"/>
        <v>0</v>
      </c>
      <c r="N124" s="482">
        <f t="shared" si="129"/>
        <v>0</v>
      </c>
      <c r="O124" s="482">
        <f t="shared" si="130"/>
        <v>0</v>
      </c>
      <c r="P124" s="482">
        <f t="shared" si="131"/>
        <v>0</v>
      </c>
      <c r="Q124" s="482">
        <f t="shared" si="132"/>
        <v>0</v>
      </c>
      <c r="R124" s="481">
        <f t="shared" si="133"/>
        <v>0</v>
      </c>
      <c r="S124" s="455"/>
      <c r="T124" s="456"/>
      <c r="U124" s="456"/>
      <c r="V124" s="456"/>
      <c r="W124" s="456"/>
      <c r="X124" s="456"/>
      <c r="Y124" s="456"/>
      <c r="Z124" s="455"/>
      <c r="AA124" s="456"/>
      <c r="AB124" s="456"/>
      <c r="AC124" s="456"/>
      <c r="AD124" s="456"/>
      <c r="AE124" s="456"/>
      <c r="AF124" s="456"/>
      <c r="AG124" s="33" t="str">
        <f t="shared" si="69"/>
        <v>1.05 &gt; Bahamas</v>
      </c>
      <c r="AH124" s="84">
        <f t="shared" si="74"/>
        <v>110</v>
      </c>
      <c r="AI124" s="84">
        <f t="shared" si="75"/>
        <v>5</v>
      </c>
      <c r="AJ124" s="877" t="s">
        <v>1526</v>
      </c>
    </row>
    <row r="125" spans="1:36" x14ac:dyDescent="0.2">
      <c r="A125" s="492">
        <f>INDEX(Country!$F$31:$G$76, MATCH(AI125, Country!$O$31:$O$76, 0), 1)</f>
        <v>1.05</v>
      </c>
      <c r="B125" s="2" t="str">
        <f>INDEX(Country!$F$31:$G$76, MATCH(AI125, Country!$O$31:$O$76, 0), 2)</f>
        <v>Growth rate of installed capacity</v>
      </c>
      <c r="C125" s="436" t="str">
        <f>INDEX(Country!$K$31:$K$76, MATCH(AI125, Country!$O$31:$O$76, 0), 1)</f>
        <v>%</v>
      </c>
      <c r="D125" s="4" t="str">
        <f t="shared" si="114"/>
        <v>Barbados</v>
      </c>
      <c r="E125" s="457"/>
      <c r="F125" s="486">
        <f t="shared" ref="F125" si="135">IF(E98&lt;&gt;0, F98/E98-1, 0)</f>
        <v>0</v>
      </c>
      <c r="G125" s="486">
        <f t="shared" si="126"/>
        <v>0</v>
      </c>
      <c r="H125" s="486">
        <f t="shared" si="126"/>
        <v>0</v>
      </c>
      <c r="I125" s="486">
        <f t="shared" si="126"/>
        <v>0</v>
      </c>
      <c r="J125" s="486">
        <f t="shared" si="126"/>
        <v>0</v>
      </c>
      <c r="K125" s="486">
        <f t="shared" si="126"/>
        <v>0</v>
      </c>
      <c r="L125" s="483">
        <f t="shared" si="127"/>
        <v>0</v>
      </c>
      <c r="M125" s="482">
        <f t="shared" si="128"/>
        <v>0</v>
      </c>
      <c r="N125" s="482">
        <f t="shared" si="129"/>
        <v>0</v>
      </c>
      <c r="O125" s="482">
        <f t="shared" si="130"/>
        <v>0</v>
      </c>
      <c r="P125" s="482">
        <f t="shared" si="131"/>
        <v>0</v>
      </c>
      <c r="Q125" s="482">
        <f t="shared" si="132"/>
        <v>0</v>
      </c>
      <c r="R125" s="481">
        <f t="shared" si="133"/>
        <v>0</v>
      </c>
      <c r="S125" s="455"/>
      <c r="T125" s="456"/>
      <c r="U125" s="456"/>
      <c r="V125" s="456"/>
      <c r="W125" s="456"/>
      <c r="X125" s="456"/>
      <c r="Y125" s="456"/>
      <c r="Z125" s="455"/>
      <c r="AA125" s="456"/>
      <c r="AB125" s="456"/>
      <c r="AC125" s="456"/>
      <c r="AD125" s="456"/>
      <c r="AE125" s="456"/>
      <c r="AF125" s="456"/>
      <c r="AG125" s="33" t="str">
        <f t="shared" si="69"/>
        <v>1.05 &gt; Barbados</v>
      </c>
      <c r="AH125" s="84">
        <f t="shared" si="74"/>
        <v>111</v>
      </c>
      <c r="AI125" s="84">
        <f t="shared" si="75"/>
        <v>5</v>
      </c>
      <c r="AJ125" s="877" t="s">
        <v>1526</v>
      </c>
    </row>
    <row r="126" spans="1:36" x14ac:dyDescent="0.2">
      <c r="A126" s="492">
        <f>INDEX(Country!$F$31:$G$76, MATCH(AI126, Country!$O$31:$O$76, 0), 1)</f>
        <v>1.05</v>
      </c>
      <c r="B126" s="2" t="str">
        <f>INDEX(Country!$F$31:$G$76, MATCH(AI126, Country!$O$31:$O$76, 0), 2)</f>
        <v>Growth rate of installed capacity</v>
      </c>
      <c r="C126" s="436" t="str">
        <f>INDEX(Country!$K$31:$K$76, MATCH(AI126, Country!$O$31:$O$76, 0), 1)</f>
        <v>%</v>
      </c>
      <c r="D126" s="4" t="str">
        <f t="shared" si="114"/>
        <v>Belize</v>
      </c>
      <c r="E126" s="457"/>
      <c r="F126" s="486">
        <f t="shared" ref="F126:F127" si="136">IF(E99&lt;&gt;0, F99/E99-1, 0)</f>
        <v>9.6273291925465854E-2</v>
      </c>
      <c r="G126" s="486">
        <f t="shared" si="126"/>
        <v>0</v>
      </c>
      <c r="H126" s="486">
        <f t="shared" si="126"/>
        <v>0.89235127478753551</v>
      </c>
      <c r="I126" s="486">
        <f t="shared" si="126"/>
        <v>0.28443113772455075</v>
      </c>
      <c r="J126" s="486">
        <f t="shared" si="126"/>
        <v>0</v>
      </c>
      <c r="K126" s="486">
        <f t="shared" si="126"/>
        <v>5.5944055944054938E-3</v>
      </c>
      <c r="L126" s="483">
        <f t="shared" si="127"/>
        <v>0</v>
      </c>
      <c r="M126" s="482">
        <f t="shared" si="128"/>
        <v>0.93044249836040283</v>
      </c>
      <c r="N126" s="482">
        <f t="shared" si="129"/>
        <v>0</v>
      </c>
      <c r="O126" s="482">
        <f t="shared" si="130"/>
        <v>100</v>
      </c>
      <c r="P126" s="482">
        <f t="shared" si="131"/>
        <v>20.637519140513138</v>
      </c>
      <c r="Q126" s="482">
        <f t="shared" si="132"/>
        <v>0</v>
      </c>
      <c r="R126" s="481">
        <f t="shared" si="133"/>
        <v>1.4059968025753147</v>
      </c>
      <c r="S126" s="455"/>
      <c r="T126" s="456"/>
      <c r="U126" s="456"/>
      <c r="V126" s="456"/>
      <c r="W126" s="456"/>
      <c r="X126" s="456"/>
      <c r="Y126" s="456"/>
      <c r="Z126" s="455"/>
      <c r="AA126" s="456"/>
      <c r="AB126" s="456"/>
      <c r="AC126" s="456"/>
      <c r="AD126" s="456"/>
      <c r="AE126" s="456"/>
      <c r="AF126" s="456"/>
      <c r="AG126" s="33" t="str">
        <f t="shared" si="69"/>
        <v>1.05 &gt; Belize</v>
      </c>
      <c r="AH126" s="84">
        <f t="shared" si="74"/>
        <v>112</v>
      </c>
      <c r="AI126" s="84">
        <f t="shared" si="75"/>
        <v>5</v>
      </c>
      <c r="AJ126" s="877" t="s">
        <v>1526</v>
      </c>
    </row>
    <row r="127" spans="1:36" x14ac:dyDescent="0.2">
      <c r="A127" s="492">
        <f>INDEX(Country!$F$31:$G$76, MATCH(AI127, Country!$O$31:$O$76, 0), 1)</f>
        <v>1.05</v>
      </c>
      <c r="B127" s="2" t="str">
        <f>INDEX(Country!$F$31:$G$76, MATCH(AI127, Country!$O$31:$O$76, 0), 2)</f>
        <v>Growth rate of installed capacity</v>
      </c>
      <c r="C127" s="436" t="str">
        <f>INDEX(Country!$K$31:$K$76, MATCH(AI127, Country!$O$31:$O$76, 0), 1)</f>
        <v>%</v>
      </c>
      <c r="D127" s="4" t="str">
        <f t="shared" si="114"/>
        <v>Bolivia</v>
      </c>
      <c r="E127" s="457"/>
      <c r="F127" s="486">
        <f t="shared" si="136"/>
        <v>0</v>
      </c>
      <c r="G127" s="486">
        <f t="shared" si="126"/>
        <v>9.1027308192457301E-3</v>
      </c>
      <c r="H127" s="486">
        <f t="shared" si="126"/>
        <v>0</v>
      </c>
      <c r="I127" s="486">
        <f t="shared" si="126"/>
        <v>0</v>
      </c>
      <c r="J127" s="486">
        <f t="shared" si="126"/>
        <v>2.8994845360825749E-3</v>
      </c>
      <c r="K127" s="486">
        <f t="shared" si="126"/>
        <v>0</v>
      </c>
      <c r="L127" s="483">
        <f t="shared" si="127"/>
        <v>0</v>
      </c>
      <c r="M127" s="482">
        <f t="shared" si="128"/>
        <v>0</v>
      </c>
      <c r="N127" s="482">
        <f t="shared" si="129"/>
        <v>2.9872284109338292</v>
      </c>
      <c r="O127" s="482">
        <f t="shared" si="130"/>
        <v>0</v>
      </c>
      <c r="P127" s="482">
        <f t="shared" si="131"/>
        <v>0</v>
      </c>
      <c r="Q127" s="482">
        <f t="shared" si="132"/>
        <v>0.6055666662024165</v>
      </c>
      <c r="R127" s="481">
        <f t="shared" si="133"/>
        <v>0</v>
      </c>
      <c r="S127" s="455"/>
      <c r="T127" s="456"/>
      <c r="U127" s="456"/>
      <c r="V127" s="456"/>
      <c r="W127" s="456"/>
      <c r="X127" s="456"/>
      <c r="Y127" s="456"/>
      <c r="Z127" s="455"/>
      <c r="AA127" s="456"/>
      <c r="AB127" s="456"/>
      <c r="AC127" s="456"/>
      <c r="AD127" s="456"/>
      <c r="AE127" s="456"/>
      <c r="AF127" s="456"/>
      <c r="AG127" s="33" t="str">
        <f t="shared" si="69"/>
        <v>1.05 &gt; Bolivia</v>
      </c>
      <c r="AH127" s="84">
        <f t="shared" si="74"/>
        <v>113</v>
      </c>
      <c r="AI127" s="84">
        <f t="shared" si="75"/>
        <v>5</v>
      </c>
      <c r="AJ127" s="877" t="s">
        <v>1526</v>
      </c>
    </row>
    <row r="128" spans="1:36" x14ac:dyDescent="0.2">
      <c r="A128" s="492">
        <f>INDEX(Country!$F$31:$G$76, MATCH(AI128, Country!$O$31:$O$76, 0), 1)</f>
        <v>1.05</v>
      </c>
      <c r="B128" s="2" t="str">
        <f>INDEX(Country!$F$31:$G$76, MATCH(AI128, Country!$O$31:$O$76, 0), 2)</f>
        <v>Growth rate of installed capacity</v>
      </c>
      <c r="C128" s="436" t="str">
        <f>INDEX(Country!$K$31:$K$76, MATCH(AI128, Country!$O$31:$O$76, 0), 1)</f>
        <v>%</v>
      </c>
      <c r="D128" s="4" t="str">
        <f t="shared" si="114"/>
        <v>Brazil</v>
      </c>
      <c r="E128" s="457"/>
      <c r="F128" s="486">
        <f t="shared" ref="F128" si="137">IF(E101&lt;&gt;0, F101/E101-1, 0)</f>
        <v>0.20673771226532534</v>
      </c>
      <c r="G128" s="486">
        <f t="shared" si="126"/>
        <v>0.30472162041335671</v>
      </c>
      <c r="H128" s="486">
        <f t="shared" si="126"/>
        <v>0.20809172377438068</v>
      </c>
      <c r="I128" s="486">
        <f t="shared" si="126"/>
        <v>0.2265735791425767</v>
      </c>
      <c r="J128" s="486">
        <f>IF(I101&lt;&gt;0, J101/I101-1, 0)</f>
        <v>0.23284418356456782</v>
      </c>
      <c r="K128" s="486">
        <f t="shared" si="126"/>
        <v>0.14563449982325904</v>
      </c>
      <c r="L128" s="483">
        <f t="shared" si="127"/>
        <v>0</v>
      </c>
      <c r="M128" s="482">
        <f t="shared" si="128"/>
        <v>1.9980365235083615</v>
      </c>
      <c r="N128" s="482">
        <f t="shared" si="129"/>
        <v>100</v>
      </c>
      <c r="O128" s="482">
        <f t="shared" si="130"/>
        <v>23.319485235668687</v>
      </c>
      <c r="P128" s="482">
        <f t="shared" si="131"/>
        <v>16.439538278744127</v>
      </c>
      <c r="Q128" s="482">
        <f t="shared" si="132"/>
        <v>48.63025625110739</v>
      </c>
      <c r="R128" s="481">
        <f t="shared" si="133"/>
        <v>36.601143345938802</v>
      </c>
      <c r="S128" s="455"/>
      <c r="T128" s="456"/>
      <c r="U128" s="456"/>
      <c r="V128" s="456"/>
      <c r="W128" s="456"/>
      <c r="X128" s="456"/>
      <c r="Y128" s="456"/>
      <c r="Z128" s="455"/>
      <c r="AA128" s="456"/>
      <c r="AB128" s="456"/>
      <c r="AC128" s="456"/>
      <c r="AD128" s="456"/>
      <c r="AE128" s="456"/>
      <c r="AF128" s="456"/>
      <c r="AG128" s="33" t="str">
        <f t="shared" si="69"/>
        <v>1.05 &gt; Brazil</v>
      </c>
      <c r="AH128" s="84">
        <f t="shared" si="74"/>
        <v>114</v>
      </c>
      <c r="AI128" s="84">
        <f t="shared" si="75"/>
        <v>5</v>
      </c>
      <c r="AJ128" s="877" t="s">
        <v>1526</v>
      </c>
    </row>
    <row r="129" spans="1:36" x14ac:dyDescent="0.2">
      <c r="A129" s="492">
        <f>INDEX(Country!$F$31:$G$76, MATCH(AI129, Country!$O$31:$O$76, 0), 1)</f>
        <v>1.05</v>
      </c>
      <c r="B129" s="2" t="str">
        <f>INDEX(Country!$F$31:$G$76, MATCH(AI129, Country!$O$31:$O$76, 0), 2)</f>
        <v>Growth rate of installed capacity</v>
      </c>
      <c r="C129" s="436" t="str">
        <f>INDEX(Country!$K$31:$K$76, MATCH(AI129, Country!$O$31:$O$76, 0), 1)</f>
        <v>%</v>
      </c>
      <c r="D129" s="4" t="str">
        <f t="shared" si="114"/>
        <v>Chile</v>
      </c>
      <c r="E129" s="457"/>
      <c r="F129" s="486">
        <f t="shared" ref="F129" si="138">IF(E102&lt;&gt;0, F102/E102-1, 0)</f>
        <v>0.1503073137329185</v>
      </c>
      <c r="G129" s="486">
        <f t="shared" si="126"/>
        <v>0.10008253601677541</v>
      </c>
      <c r="H129" s="486">
        <f t="shared" si="126"/>
        <v>0.13547622669981374</v>
      </c>
      <c r="I129" s="486">
        <f t="shared" si="126"/>
        <v>0.14083856442672849</v>
      </c>
      <c r="J129" s="486">
        <f t="shared" si="126"/>
        <v>9.0843749033332477E-2</v>
      </c>
      <c r="K129" s="486">
        <f t="shared" si="126"/>
        <v>0.11711788560718017</v>
      </c>
      <c r="L129" s="483">
        <f t="shared" si="127"/>
        <v>0</v>
      </c>
      <c r="M129" s="482">
        <f t="shared" si="128"/>
        <v>1.4526595041516843</v>
      </c>
      <c r="N129" s="482">
        <f t="shared" si="129"/>
        <v>32.843923539462956</v>
      </c>
      <c r="O129" s="482">
        <f t="shared" si="130"/>
        <v>15.181939055566428</v>
      </c>
      <c r="P129" s="482">
        <f t="shared" si="131"/>
        <v>10.218848021814603</v>
      </c>
      <c r="Q129" s="482">
        <f t="shared" si="132"/>
        <v>18.973009016895634</v>
      </c>
      <c r="R129" s="481">
        <f t="shared" si="133"/>
        <v>29.434292867994255</v>
      </c>
      <c r="S129" s="455"/>
      <c r="T129" s="456"/>
      <c r="U129" s="456"/>
      <c r="V129" s="456"/>
      <c r="W129" s="456"/>
      <c r="X129" s="456"/>
      <c r="Y129" s="456"/>
      <c r="Z129" s="455"/>
      <c r="AA129" s="456"/>
      <c r="AB129" s="456"/>
      <c r="AC129" s="456"/>
      <c r="AD129" s="456"/>
      <c r="AE129" s="456"/>
      <c r="AF129" s="456"/>
      <c r="AG129" s="33" t="str">
        <f t="shared" si="69"/>
        <v>1.05 &gt; Chile</v>
      </c>
      <c r="AH129" s="84">
        <f t="shared" si="74"/>
        <v>115</v>
      </c>
      <c r="AI129" s="84">
        <f t="shared" si="75"/>
        <v>5</v>
      </c>
      <c r="AJ129" s="877" t="s">
        <v>1526</v>
      </c>
    </row>
    <row r="130" spans="1:36" x14ac:dyDescent="0.2">
      <c r="A130" s="492">
        <f>INDEX(Country!$F$31:$G$76, MATCH(AI130, Country!$O$31:$O$76, 0), 1)</f>
        <v>1.05</v>
      </c>
      <c r="B130" s="2" t="str">
        <f>INDEX(Country!$F$31:$G$76, MATCH(AI130, Country!$O$31:$O$76, 0), 2)</f>
        <v>Growth rate of installed capacity</v>
      </c>
      <c r="C130" s="436" t="str">
        <f>INDEX(Country!$K$31:$K$76, MATCH(AI130, Country!$O$31:$O$76, 0), 1)</f>
        <v>%</v>
      </c>
      <c r="D130" s="4" t="str">
        <f t="shared" si="114"/>
        <v>Colombia</v>
      </c>
      <c r="E130" s="457"/>
      <c r="F130" s="486">
        <f t="shared" ref="F130" si="139">IF(E103&lt;&gt;0, F103/E103-1, 0)</f>
        <v>5.1100955546323323E-2</v>
      </c>
      <c r="G130" s="486">
        <f t="shared" si="126"/>
        <v>1.0276679841897174E-2</v>
      </c>
      <c r="H130" s="486">
        <f t="shared" si="126"/>
        <v>2.7777777777777679E-2</v>
      </c>
      <c r="I130" s="486">
        <f t="shared" si="126"/>
        <v>0.1269508945565283</v>
      </c>
      <c r="J130" s="486">
        <f t="shared" si="126"/>
        <v>2.3813545009289117E-2</v>
      </c>
      <c r="K130" s="486">
        <f t="shared" si="126"/>
        <v>0.10475090729132308</v>
      </c>
      <c r="L130" s="483">
        <f t="shared" si="127"/>
        <v>0</v>
      </c>
      <c r="M130" s="482">
        <f t="shared" si="128"/>
        <v>0.49387010453465269</v>
      </c>
      <c r="N130" s="482">
        <f t="shared" si="129"/>
        <v>3.3724813578888155</v>
      </c>
      <c r="O130" s="482">
        <f t="shared" si="130"/>
        <v>3.1128747795414347</v>
      </c>
      <c r="P130" s="482">
        <f t="shared" si="131"/>
        <v>9.211197962625441</v>
      </c>
      <c r="Q130" s="482">
        <f t="shared" si="132"/>
        <v>4.9735354275142489</v>
      </c>
      <c r="R130" s="481">
        <f t="shared" si="133"/>
        <v>26.32620002842582</v>
      </c>
      <c r="S130" s="455"/>
      <c r="T130" s="456"/>
      <c r="U130" s="456"/>
      <c r="V130" s="456"/>
      <c r="W130" s="456"/>
      <c r="X130" s="456"/>
      <c r="Y130" s="456"/>
      <c r="Z130" s="455"/>
      <c r="AA130" s="456"/>
      <c r="AB130" s="456"/>
      <c r="AC130" s="456"/>
      <c r="AD130" s="456"/>
      <c r="AE130" s="456"/>
      <c r="AF130" s="456"/>
      <c r="AG130" s="33" t="str">
        <f t="shared" si="69"/>
        <v>1.05 &gt; Colombia</v>
      </c>
      <c r="AH130" s="84">
        <f t="shared" si="74"/>
        <v>116</v>
      </c>
      <c r="AI130" s="84">
        <f t="shared" si="75"/>
        <v>5</v>
      </c>
      <c r="AJ130" s="877" t="s">
        <v>1526</v>
      </c>
    </row>
    <row r="131" spans="1:36" x14ac:dyDescent="0.2">
      <c r="A131" s="492">
        <f>INDEX(Country!$F$31:$G$76, MATCH(AI131, Country!$O$31:$O$76, 0), 1)</f>
        <v>1.05</v>
      </c>
      <c r="B131" s="2" t="str">
        <f>INDEX(Country!$F$31:$G$76, MATCH(AI131, Country!$O$31:$O$76, 0), 2)</f>
        <v>Growth rate of installed capacity</v>
      </c>
      <c r="C131" s="436" t="str">
        <f>INDEX(Country!$K$31:$K$76, MATCH(AI131, Country!$O$31:$O$76, 0), 1)</f>
        <v>%</v>
      </c>
      <c r="D131" s="4" t="str">
        <f t="shared" si="114"/>
        <v>Costa Rica</v>
      </c>
      <c r="E131" s="457"/>
      <c r="F131" s="486">
        <f t="shared" ref="F131" si="140">IF(E104&lt;&gt;0, F104/E104-1, 0)</f>
        <v>4.6769419350228603E-2</v>
      </c>
      <c r="G131" s="486">
        <f t="shared" si="126"/>
        <v>4.0040108373476269E-2</v>
      </c>
      <c r="H131" s="486">
        <f t="shared" si="126"/>
        <v>5.8126604161738538E-2</v>
      </c>
      <c r="I131" s="486">
        <f t="shared" si="126"/>
        <v>0</v>
      </c>
      <c r="J131" s="486">
        <f t="shared" si="126"/>
        <v>0.12333377311949079</v>
      </c>
      <c r="K131" s="486">
        <f t="shared" si="126"/>
        <v>3.1810331205494036E-2</v>
      </c>
      <c r="L131" s="483">
        <f t="shared" si="127"/>
        <v>0</v>
      </c>
      <c r="M131" s="482">
        <f t="shared" si="128"/>
        <v>0.45200755595624659</v>
      </c>
      <c r="N131" s="482">
        <f t="shared" si="129"/>
        <v>13.139897431354434</v>
      </c>
      <c r="O131" s="482">
        <f t="shared" si="130"/>
        <v>6.5138702441567302</v>
      </c>
      <c r="P131" s="482">
        <f t="shared" si="131"/>
        <v>0</v>
      </c>
      <c r="Q131" s="482">
        <f t="shared" si="132"/>
        <v>25.758654991498194</v>
      </c>
      <c r="R131" s="481">
        <f t="shared" si="133"/>
        <v>7.9946337835269574</v>
      </c>
      <c r="S131" s="455"/>
      <c r="T131" s="456"/>
      <c r="U131" s="456"/>
      <c r="V131" s="456"/>
      <c r="W131" s="456"/>
      <c r="X131" s="456"/>
      <c r="Y131" s="456"/>
      <c r="Z131" s="455"/>
      <c r="AA131" s="456"/>
      <c r="AB131" s="456"/>
      <c r="AC131" s="456"/>
      <c r="AD131" s="456"/>
      <c r="AE131" s="456"/>
      <c r="AF131" s="456"/>
      <c r="AG131" s="33" t="str">
        <f t="shared" si="69"/>
        <v>1.05 &gt; Costa Rica</v>
      </c>
      <c r="AH131" s="84">
        <f t="shared" si="74"/>
        <v>117</v>
      </c>
      <c r="AI131" s="84">
        <f t="shared" si="75"/>
        <v>5</v>
      </c>
      <c r="AJ131" s="877" t="s">
        <v>1526</v>
      </c>
    </row>
    <row r="132" spans="1:36" x14ac:dyDescent="0.2">
      <c r="A132" s="492">
        <f>INDEX(Country!$F$31:$G$76, MATCH(AI132, Country!$O$31:$O$76, 0), 1)</f>
        <v>1.05</v>
      </c>
      <c r="B132" s="2" t="str">
        <f>INDEX(Country!$F$31:$G$76, MATCH(AI132, Country!$O$31:$O$76, 0), 2)</f>
        <v>Growth rate of installed capacity</v>
      </c>
      <c r="C132" s="436" t="str">
        <f>INDEX(Country!$K$31:$K$76, MATCH(AI132, Country!$O$31:$O$76, 0), 1)</f>
        <v>%</v>
      </c>
      <c r="D132" s="4" t="str">
        <f t="shared" si="114"/>
        <v>Dominican Republic</v>
      </c>
      <c r="E132" s="457"/>
      <c r="F132" s="486">
        <f t="shared" ref="F132" si="141">IF(E105&lt;&gt;0, F105/E105-1, 0)</f>
        <v>0</v>
      </c>
      <c r="G132" s="486">
        <f t="shared" si="126"/>
        <v>1.7720023626698111E-2</v>
      </c>
      <c r="H132" s="486">
        <f t="shared" si="126"/>
        <v>0.2951247823563552</v>
      </c>
      <c r="I132" s="486">
        <f t="shared" si="126"/>
        <v>0</v>
      </c>
      <c r="J132" s="486">
        <f t="shared" si="126"/>
        <v>0.13443871835088483</v>
      </c>
      <c r="K132" s="486">
        <f t="shared" si="126"/>
        <v>2.8836658107841195E-2</v>
      </c>
      <c r="L132" s="483">
        <f t="shared" si="127"/>
        <v>0</v>
      </c>
      <c r="M132" s="482">
        <f t="shared" si="128"/>
        <v>0</v>
      </c>
      <c r="N132" s="482">
        <f t="shared" si="129"/>
        <v>5.8151514167786296</v>
      </c>
      <c r="O132" s="482">
        <f t="shared" si="130"/>
        <v>33.072713705331232</v>
      </c>
      <c r="P132" s="482">
        <f t="shared" si="131"/>
        <v>0</v>
      </c>
      <c r="Q132" s="482">
        <f t="shared" si="132"/>
        <v>28.077958501639142</v>
      </c>
      <c r="R132" s="481">
        <f t="shared" si="133"/>
        <v>7.2472845260142069</v>
      </c>
      <c r="S132" s="455"/>
      <c r="T132" s="456"/>
      <c r="U132" s="456"/>
      <c r="V132" s="456"/>
      <c r="W132" s="456"/>
      <c r="X132" s="456"/>
      <c r="Y132" s="456"/>
      <c r="Z132" s="455"/>
      <c r="AA132" s="456"/>
      <c r="AB132" s="456"/>
      <c r="AC132" s="456"/>
      <c r="AD132" s="456"/>
      <c r="AE132" s="456"/>
      <c r="AF132" s="456"/>
      <c r="AG132" s="33" t="str">
        <f t="shared" si="69"/>
        <v>1.05 &gt; Dominican Republic</v>
      </c>
      <c r="AH132" s="84">
        <f t="shared" si="74"/>
        <v>118</v>
      </c>
      <c r="AI132" s="84">
        <f t="shared" si="75"/>
        <v>5</v>
      </c>
      <c r="AJ132" s="877" t="s">
        <v>1526</v>
      </c>
    </row>
    <row r="133" spans="1:36" x14ac:dyDescent="0.2">
      <c r="A133" s="492">
        <f>INDEX(Country!$F$31:$G$76, MATCH(AI133, Country!$O$31:$O$76, 0), 1)</f>
        <v>1.05</v>
      </c>
      <c r="B133" s="2" t="str">
        <f>INDEX(Country!$F$31:$G$76, MATCH(AI133, Country!$O$31:$O$76, 0), 2)</f>
        <v>Growth rate of installed capacity</v>
      </c>
      <c r="C133" s="436" t="str">
        <f>INDEX(Country!$K$31:$K$76, MATCH(AI133, Country!$O$31:$O$76, 0), 1)</f>
        <v>%</v>
      </c>
      <c r="D133" s="4" t="str">
        <f t="shared" si="114"/>
        <v>Ecuador</v>
      </c>
      <c r="E133" s="457"/>
      <c r="F133" s="486">
        <f t="shared" ref="F133" si="142">IF(E106&lt;&gt;0, F106/E106-1, 0)</f>
        <v>8.6440146962490472E-2</v>
      </c>
      <c r="G133" s="486">
        <f t="shared" si="126"/>
        <v>8.5932994285115027E-2</v>
      </c>
      <c r="H133" s="486">
        <f t="shared" si="126"/>
        <v>6.3731170336036591E-3</v>
      </c>
      <c r="I133" s="486">
        <f t="shared" si="126"/>
        <v>-1.3481097677988996E-2</v>
      </c>
      <c r="J133" s="486">
        <f t="shared" si="126"/>
        <v>-2.0595243884647063E-2</v>
      </c>
      <c r="K133" s="486">
        <f t="shared" si="126"/>
        <v>9.7370838402144999E-2</v>
      </c>
      <c r="L133" s="483">
        <f t="shared" si="127"/>
        <v>0</v>
      </c>
      <c r="M133" s="482">
        <f t="shared" si="128"/>
        <v>0.83540912219649177</v>
      </c>
      <c r="N133" s="482">
        <f t="shared" si="129"/>
        <v>28.200491375881505</v>
      </c>
      <c r="O133" s="482">
        <f t="shared" si="130"/>
        <v>0.71419375011494968</v>
      </c>
      <c r="P133" s="482">
        <f t="shared" si="131"/>
        <v>-0.97815033048194577</v>
      </c>
      <c r="Q133" s="482">
        <f t="shared" si="132"/>
        <v>-4.3013828919059431</v>
      </c>
      <c r="R133" s="481">
        <f t="shared" si="133"/>
        <v>24.471426883027409</v>
      </c>
      <c r="S133" s="455"/>
      <c r="T133" s="456"/>
      <c r="U133" s="456"/>
      <c r="V133" s="456"/>
      <c r="W133" s="456"/>
      <c r="X133" s="456"/>
      <c r="Y133" s="456"/>
      <c r="Z133" s="455"/>
      <c r="AA133" s="456"/>
      <c r="AB133" s="456"/>
      <c r="AC133" s="456"/>
      <c r="AD133" s="456"/>
      <c r="AE133" s="456"/>
      <c r="AF133" s="456"/>
      <c r="AG133" s="33" t="str">
        <f t="shared" si="69"/>
        <v>1.05 &gt; Ecuador</v>
      </c>
      <c r="AH133" s="84">
        <f t="shared" si="74"/>
        <v>119</v>
      </c>
      <c r="AI133" s="84">
        <f t="shared" si="75"/>
        <v>5</v>
      </c>
      <c r="AJ133" s="877" t="s">
        <v>1526</v>
      </c>
    </row>
    <row r="134" spans="1:36" x14ac:dyDescent="0.2">
      <c r="A134" s="492">
        <f>INDEX(Country!$F$31:$G$76, MATCH(AI134, Country!$O$31:$O$76, 0), 1)</f>
        <v>1.05</v>
      </c>
      <c r="B134" s="2" t="str">
        <f>INDEX(Country!$F$31:$G$76, MATCH(AI134, Country!$O$31:$O$76, 0), 2)</f>
        <v>Growth rate of installed capacity</v>
      </c>
      <c r="C134" s="436" t="str">
        <f>INDEX(Country!$K$31:$K$76, MATCH(AI134, Country!$O$31:$O$76, 0), 1)</f>
        <v>%</v>
      </c>
      <c r="D134" s="4" t="str">
        <f t="shared" si="114"/>
        <v>El Salvador</v>
      </c>
      <c r="E134" s="457"/>
      <c r="F134" s="486">
        <f t="shared" ref="F134" si="143">IF(E107&lt;&gt;0, F107/E107-1, 0)</f>
        <v>0.4092369477911646</v>
      </c>
      <c r="G134" s="486">
        <f t="shared" si="126"/>
        <v>-1.1399259048161858E-2</v>
      </c>
      <c r="H134" s="486">
        <f t="shared" si="126"/>
        <v>0</v>
      </c>
      <c r="I134" s="486">
        <f t="shared" si="126"/>
        <v>-2.6520611127125893E-2</v>
      </c>
      <c r="J134" s="486">
        <f t="shared" si="126"/>
        <v>3.1092685815812926E-2</v>
      </c>
      <c r="K134" s="486">
        <f t="shared" si="126"/>
        <v>0</v>
      </c>
      <c r="L134" s="483">
        <f t="shared" si="127"/>
        <v>0</v>
      </c>
      <c r="M134" s="482">
        <f t="shared" si="128"/>
        <v>3.9551098805158511</v>
      </c>
      <c r="N134" s="482">
        <f t="shared" si="129"/>
        <v>-3.7408763555072642</v>
      </c>
      <c r="O134" s="482">
        <f t="shared" si="130"/>
        <v>0</v>
      </c>
      <c r="P134" s="482">
        <f t="shared" si="131"/>
        <v>-1.9242605578725438</v>
      </c>
      <c r="Q134" s="482">
        <f t="shared" si="132"/>
        <v>6.4938073848808999</v>
      </c>
      <c r="R134" s="481">
        <f t="shared" si="133"/>
        <v>0</v>
      </c>
      <c r="S134" s="455"/>
      <c r="T134" s="456"/>
      <c r="U134" s="456"/>
      <c r="V134" s="456"/>
      <c r="W134" s="456"/>
      <c r="X134" s="456"/>
      <c r="Y134" s="456"/>
      <c r="Z134" s="455"/>
      <c r="AA134" s="456"/>
      <c r="AB134" s="456"/>
      <c r="AC134" s="456"/>
      <c r="AD134" s="456"/>
      <c r="AE134" s="456"/>
      <c r="AF134" s="456"/>
      <c r="AG134" s="33" t="str">
        <f t="shared" si="69"/>
        <v>1.05 &gt; El Salvador</v>
      </c>
      <c r="AH134" s="84">
        <f t="shared" si="74"/>
        <v>120</v>
      </c>
      <c r="AI134" s="84">
        <f t="shared" si="75"/>
        <v>5</v>
      </c>
      <c r="AJ134" s="877" t="s">
        <v>1526</v>
      </c>
    </row>
    <row r="135" spans="1:36" x14ac:dyDescent="0.2">
      <c r="A135" s="492">
        <f>INDEX(Country!$F$31:$G$76, MATCH(AI135, Country!$O$31:$O$76, 0), 1)</f>
        <v>1.05</v>
      </c>
      <c r="B135" s="2" t="str">
        <f>INDEX(Country!$F$31:$G$76, MATCH(AI135, Country!$O$31:$O$76, 0), 2)</f>
        <v>Growth rate of installed capacity</v>
      </c>
      <c r="C135" s="436" t="str">
        <f>INDEX(Country!$K$31:$K$76, MATCH(AI135, Country!$O$31:$O$76, 0), 1)</f>
        <v>%</v>
      </c>
      <c r="D135" s="4" t="str">
        <f t="shared" si="114"/>
        <v>Guatemala</v>
      </c>
      <c r="E135" s="457"/>
      <c r="F135" s="486">
        <f t="shared" ref="F135" si="144">IF(E108&lt;&gt;0, F108/E108-1, 0)</f>
        <v>0.10687328835749099</v>
      </c>
      <c r="G135" s="486">
        <f t="shared" si="126"/>
        <v>3.0173194134341941E-4</v>
      </c>
      <c r="H135" s="486">
        <f t="shared" si="126"/>
        <v>2.5450953185328196E-2</v>
      </c>
      <c r="I135" s="486">
        <f t="shared" si="126"/>
        <v>8.3429546340352267E-3</v>
      </c>
      <c r="J135" s="486">
        <f t="shared" si="126"/>
        <v>0.13287873539117911</v>
      </c>
      <c r="K135" s="486">
        <f t="shared" si="126"/>
        <v>2.4076607387140792E-2</v>
      </c>
      <c r="L135" s="483">
        <f t="shared" si="127"/>
        <v>0</v>
      </c>
      <c r="M135" s="482">
        <f t="shared" si="128"/>
        <v>1.0328871843742606</v>
      </c>
      <c r="N135" s="482">
        <f t="shared" si="129"/>
        <v>9.9018881868020464E-2</v>
      </c>
      <c r="O135" s="482">
        <f t="shared" si="130"/>
        <v>2.852122690292334</v>
      </c>
      <c r="P135" s="482">
        <f t="shared" si="131"/>
        <v>0.60534119901835626</v>
      </c>
      <c r="Q135" s="482">
        <f t="shared" si="132"/>
        <v>27.75215104569806</v>
      </c>
      <c r="R135" s="481">
        <f t="shared" si="133"/>
        <v>6.0509793993187406</v>
      </c>
      <c r="S135" s="455"/>
      <c r="T135" s="456"/>
      <c r="U135" s="456"/>
      <c r="V135" s="456"/>
      <c r="W135" s="456"/>
      <c r="X135" s="456"/>
      <c r="Y135" s="456"/>
      <c r="Z135" s="455"/>
      <c r="AA135" s="456"/>
      <c r="AB135" s="456"/>
      <c r="AC135" s="456"/>
      <c r="AD135" s="456"/>
      <c r="AE135" s="456"/>
      <c r="AF135" s="456"/>
      <c r="AG135" s="33" t="str">
        <f t="shared" si="69"/>
        <v>1.05 &gt; Guatemala</v>
      </c>
      <c r="AH135" s="84">
        <f t="shared" si="74"/>
        <v>121</v>
      </c>
      <c r="AI135" s="84">
        <f t="shared" si="75"/>
        <v>5</v>
      </c>
      <c r="AJ135" s="877" t="s">
        <v>1526</v>
      </c>
    </row>
    <row r="136" spans="1:36" x14ac:dyDescent="0.2">
      <c r="A136" s="492">
        <f>INDEX(Country!$F$31:$G$76, MATCH(AI136, Country!$O$31:$O$76, 0), 1)</f>
        <v>1.05</v>
      </c>
      <c r="B136" s="2" t="str">
        <f>INDEX(Country!$F$31:$G$76, MATCH(AI136, Country!$O$31:$O$76, 0), 2)</f>
        <v>Growth rate of installed capacity</v>
      </c>
      <c r="C136" s="436" t="str">
        <f>INDEX(Country!$K$31:$K$76, MATCH(AI136, Country!$O$31:$O$76, 0), 1)</f>
        <v>%</v>
      </c>
      <c r="D136" s="4" t="str">
        <f t="shared" si="114"/>
        <v>Guyana</v>
      </c>
      <c r="E136" s="457"/>
      <c r="F136" s="486">
        <f t="shared" ref="F136" si="145">IF(E109&lt;&gt;0, F109/E109-1, 0)</f>
        <v>0</v>
      </c>
      <c r="G136" s="486">
        <f t="shared" si="126"/>
        <v>0</v>
      </c>
      <c r="H136" s="486">
        <f t="shared" si="126"/>
        <v>0</v>
      </c>
      <c r="I136" s="486">
        <f t="shared" si="126"/>
        <v>0</v>
      </c>
      <c r="J136" s="486">
        <f t="shared" si="126"/>
        <v>0</v>
      </c>
      <c r="K136" s="486">
        <f t="shared" si="126"/>
        <v>0</v>
      </c>
      <c r="L136" s="483">
        <f t="shared" si="127"/>
        <v>0</v>
      </c>
      <c r="M136" s="482">
        <f t="shared" si="128"/>
        <v>0</v>
      </c>
      <c r="N136" s="482">
        <f t="shared" si="129"/>
        <v>0</v>
      </c>
      <c r="O136" s="482">
        <f t="shared" si="130"/>
        <v>0</v>
      </c>
      <c r="P136" s="482">
        <f t="shared" si="131"/>
        <v>0</v>
      </c>
      <c r="Q136" s="482">
        <f t="shared" si="132"/>
        <v>0</v>
      </c>
      <c r="R136" s="481">
        <f t="shared" si="133"/>
        <v>0</v>
      </c>
      <c r="S136" s="455"/>
      <c r="T136" s="456"/>
      <c r="U136" s="456"/>
      <c r="V136" s="456"/>
      <c r="W136" s="456"/>
      <c r="X136" s="456"/>
      <c r="Y136" s="456"/>
      <c r="Z136" s="455"/>
      <c r="AA136" s="456"/>
      <c r="AB136" s="456"/>
      <c r="AC136" s="456"/>
      <c r="AD136" s="456"/>
      <c r="AE136" s="456"/>
      <c r="AF136" s="456"/>
      <c r="AG136" s="33" t="str">
        <f t="shared" si="69"/>
        <v>1.05 &gt; Guyana</v>
      </c>
      <c r="AH136" s="84">
        <f t="shared" si="74"/>
        <v>122</v>
      </c>
      <c r="AI136" s="84">
        <f t="shared" si="75"/>
        <v>5</v>
      </c>
      <c r="AJ136" s="877" t="s">
        <v>1526</v>
      </c>
    </row>
    <row r="137" spans="1:36" x14ac:dyDescent="0.2">
      <c r="A137" s="492">
        <f>INDEX(Country!$F$31:$G$76, MATCH(AI137, Country!$O$31:$O$76, 0), 1)</f>
        <v>1.05</v>
      </c>
      <c r="B137" s="2" t="str">
        <f>INDEX(Country!$F$31:$G$76, MATCH(AI137, Country!$O$31:$O$76, 0), 2)</f>
        <v>Growth rate of installed capacity</v>
      </c>
      <c r="C137" s="436" t="str">
        <f>INDEX(Country!$K$31:$K$76, MATCH(AI137, Country!$O$31:$O$76, 0), 1)</f>
        <v>%</v>
      </c>
      <c r="D137" s="4" t="str">
        <f t="shared" si="114"/>
        <v>Haiti</v>
      </c>
      <c r="E137" s="457"/>
      <c r="F137" s="486">
        <f t="shared" ref="F137" si="146">IF(E110&lt;&gt;0, F110/E110-1, 0)</f>
        <v>0</v>
      </c>
      <c r="G137" s="486">
        <f t="shared" si="126"/>
        <v>0</v>
      </c>
      <c r="H137" s="486">
        <f t="shared" si="126"/>
        <v>0</v>
      </c>
      <c r="I137" s="486">
        <f t="shared" si="126"/>
        <v>0</v>
      </c>
      <c r="J137" s="486">
        <f t="shared" si="126"/>
        <v>0</v>
      </c>
      <c r="K137" s="486">
        <f t="shared" si="126"/>
        <v>0.14583333333333326</v>
      </c>
      <c r="L137" s="483">
        <f t="shared" si="127"/>
        <v>0</v>
      </c>
      <c r="M137" s="482">
        <f t="shared" si="128"/>
        <v>0</v>
      </c>
      <c r="N137" s="482">
        <f t="shared" si="129"/>
        <v>0</v>
      </c>
      <c r="O137" s="482">
        <f t="shared" si="130"/>
        <v>0</v>
      </c>
      <c r="P137" s="482">
        <f t="shared" si="131"/>
        <v>0</v>
      </c>
      <c r="Q137" s="482">
        <f t="shared" si="132"/>
        <v>0</v>
      </c>
      <c r="R137" s="481">
        <f t="shared" si="133"/>
        <v>36.651114567133192</v>
      </c>
      <c r="S137" s="455"/>
      <c r="T137" s="456"/>
      <c r="U137" s="456"/>
      <c r="V137" s="456"/>
      <c r="W137" s="456"/>
      <c r="X137" s="456"/>
      <c r="Y137" s="456"/>
      <c r="Z137" s="455"/>
      <c r="AA137" s="456"/>
      <c r="AB137" s="456"/>
      <c r="AC137" s="456"/>
      <c r="AD137" s="456"/>
      <c r="AE137" s="456"/>
      <c r="AF137" s="456"/>
      <c r="AG137" s="33" t="str">
        <f t="shared" si="69"/>
        <v>1.05 &gt; Haiti</v>
      </c>
      <c r="AH137" s="84">
        <f t="shared" si="74"/>
        <v>123</v>
      </c>
      <c r="AI137" s="84">
        <f t="shared" si="75"/>
        <v>5</v>
      </c>
      <c r="AJ137" s="877" t="s">
        <v>1526</v>
      </c>
    </row>
    <row r="138" spans="1:36" x14ac:dyDescent="0.2">
      <c r="A138" s="492">
        <f>INDEX(Country!$F$31:$G$76, MATCH(AI138, Country!$O$31:$O$76, 0), 1)</f>
        <v>1.05</v>
      </c>
      <c r="B138" s="2" t="str">
        <f>INDEX(Country!$F$31:$G$76, MATCH(AI138, Country!$O$31:$O$76, 0), 2)</f>
        <v>Growth rate of installed capacity</v>
      </c>
      <c r="C138" s="436" t="str">
        <f>INDEX(Country!$K$31:$K$76, MATCH(AI138, Country!$O$31:$O$76, 0), 1)</f>
        <v>%</v>
      </c>
      <c r="D138" s="4" t="str">
        <f t="shared" si="114"/>
        <v>Honduras</v>
      </c>
      <c r="E138" s="457"/>
      <c r="F138" s="486">
        <f t="shared" ref="F138" si="147">IF(E111&lt;&gt;0, F111/E111-1, 0)</f>
        <v>0.17401612138454237</v>
      </c>
      <c r="G138" s="486">
        <f t="shared" si="126"/>
        <v>3.7156704361874127E-2</v>
      </c>
      <c r="H138" s="486">
        <f t="shared" si="126"/>
        <v>2.5311526479750768E-2</v>
      </c>
      <c r="I138" s="486">
        <f t="shared" si="126"/>
        <v>-1.8989745537409952E-3</v>
      </c>
      <c r="J138" s="486">
        <f t="shared" si="126"/>
        <v>0.47880517503805176</v>
      </c>
      <c r="K138" s="486">
        <f t="shared" si="126"/>
        <v>2.2154748732727603E-2</v>
      </c>
      <c r="L138" s="483">
        <f t="shared" si="127"/>
        <v>0</v>
      </c>
      <c r="M138" s="482">
        <f t="shared" si="128"/>
        <v>1.6817955582257633</v>
      </c>
      <c r="N138" s="482">
        <f t="shared" si="129"/>
        <v>12.193655412921089</v>
      </c>
      <c r="O138" s="482">
        <f t="shared" si="130"/>
        <v>2.8364980467784191</v>
      </c>
      <c r="P138" s="482">
        <f t="shared" si="131"/>
        <v>-0.13778422437746513</v>
      </c>
      <c r="Q138" s="482">
        <f t="shared" si="132"/>
        <v>100</v>
      </c>
      <c r="R138" s="481">
        <f t="shared" si="133"/>
        <v>5.5679741760634194</v>
      </c>
      <c r="S138" s="455"/>
      <c r="T138" s="456"/>
      <c r="U138" s="456"/>
      <c r="V138" s="456"/>
      <c r="W138" s="456"/>
      <c r="X138" s="456"/>
      <c r="Y138" s="456"/>
      <c r="Z138" s="455"/>
      <c r="AA138" s="456"/>
      <c r="AB138" s="456"/>
      <c r="AC138" s="456"/>
      <c r="AD138" s="456"/>
      <c r="AE138" s="456"/>
      <c r="AF138" s="456"/>
      <c r="AG138" s="33" t="str">
        <f t="shared" si="69"/>
        <v>1.05 &gt; Honduras</v>
      </c>
      <c r="AH138" s="84">
        <f t="shared" si="74"/>
        <v>124</v>
      </c>
      <c r="AI138" s="84">
        <f t="shared" si="75"/>
        <v>5</v>
      </c>
      <c r="AJ138" s="877" t="s">
        <v>1526</v>
      </c>
    </row>
    <row r="139" spans="1:36" x14ac:dyDescent="0.2">
      <c r="A139" s="492">
        <f>INDEX(Country!$F$31:$G$76, MATCH(AI139, Country!$O$31:$O$76, 0), 1)</f>
        <v>1.05</v>
      </c>
      <c r="B139" s="2" t="str">
        <f>INDEX(Country!$F$31:$G$76, MATCH(AI139, Country!$O$31:$O$76, 0), 2)</f>
        <v>Growth rate of installed capacity</v>
      </c>
      <c r="C139" s="436" t="str">
        <f>INDEX(Country!$K$31:$K$76, MATCH(AI139, Country!$O$31:$O$76, 0), 1)</f>
        <v>%</v>
      </c>
      <c r="D139" s="4" t="str">
        <f t="shared" si="114"/>
        <v>Jamaica</v>
      </c>
      <c r="E139" s="457"/>
      <c r="F139" s="486">
        <f t="shared" ref="F139" si="148">IF(E112&lt;&gt;0, F112/E112-1, 0)</f>
        <v>2.5943396226415061E-2</v>
      </c>
      <c r="G139" s="486">
        <f t="shared" ref="G139:G148" si="149">IF(F112&lt;&gt;0, G112/F112-1, 0)</f>
        <v>0</v>
      </c>
      <c r="H139" s="486">
        <f t="shared" ref="H139:H148" si="150">IF(G112&lt;&gt;0, H112/G112-1, 0)</f>
        <v>0</v>
      </c>
      <c r="I139" s="486">
        <f t="shared" ref="I139:I148" si="151">IF(H112&lt;&gt;0, I112/H112-1, 0)</f>
        <v>6.8965517241379226E-2</v>
      </c>
      <c r="J139" s="486">
        <f>IF(I112&lt;&gt;0, J112/I112-1, 0)</f>
        <v>0.38709677419354849</v>
      </c>
      <c r="K139" s="486">
        <f t="shared" ref="K139:K148" si="152">IF(J112&lt;&gt;0, K112/J112-1, 0)</f>
        <v>0</v>
      </c>
      <c r="L139" s="483">
        <f t="shared" si="127"/>
        <v>0</v>
      </c>
      <c r="M139" s="482">
        <f t="shared" si="128"/>
        <v>0.25073245048634679</v>
      </c>
      <c r="N139" s="482">
        <f t="shared" si="129"/>
        <v>0</v>
      </c>
      <c r="O139" s="482">
        <f t="shared" si="130"/>
        <v>0</v>
      </c>
      <c r="P139" s="482">
        <f t="shared" si="131"/>
        <v>5.0039429349774114</v>
      </c>
      <c r="Q139" s="482">
        <f t="shared" si="132"/>
        <v>80.846405672784343</v>
      </c>
      <c r="R139" s="481">
        <f t="shared" si="133"/>
        <v>0</v>
      </c>
      <c r="S139" s="455"/>
      <c r="T139" s="456"/>
      <c r="U139" s="456"/>
      <c r="V139" s="456"/>
      <c r="W139" s="456"/>
      <c r="X139" s="456"/>
      <c r="Y139" s="456"/>
      <c r="Z139" s="455"/>
      <c r="AA139" s="456"/>
      <c r="AB139" s="456"/>
      <c r="AC139" s="456"/>
      <c r="AD139" s="456"/>
      <c r="AE139" s="456"/>
      <c r="AF139" s="456"/>
      <c r="AG139" s="33" t="str">
        <f t="shared" si="69"/>
        <v>1.05 &gt; Jamaica</v>
      </c>
      <c r="AH139" s="84">
        <f t="shared" si="74"/>
        <v>125</v>
      </c>
      <c r="AI139" s="84">
        <f t="shared" si="75"/>
        <v>5</v>
      </c>
      <c r="AJ139" s="877" t="s">
        <v>1526</v>
      </c>
    </row>
    <row r="140" spans="1:36" x14ac:dyDescent="0.2">
      <c r="A140" s="492">
        <f>INDEX(Country!$F$31:$G$76, MATCH(AI140, Country!$O$31:$O$76, 0), 1)</f>
        <v>1.05</v>
      </c>
      <c r="B140" s="2" t="str">
        <f>INDEX(Country!$F$31:$G$76, MATCH(AI140, Country!$O$31:$O$76, 0), 2)</f>
        <v>Growth rate of installed capacity</v>
      </c>
      <c r="C140" s="436" t="str">
        <f>INDEX(Country!$K$31:$K$76, MATCH(AI140, Country!$O$31:$O$76, 0), 1)</f>
        <v>%</v>
      </c>
      <c r="D140" s="4" t="str">
        <f t="shared" si="114"/>
        <v>Mexico</v>
      </c>
      <c r="E140" s="457"/>
      <c r="F140" s="486">
        <f t="shared" ref="F140" si="153">IF(E113&lt;&gt;0, F113/E113-1, 0)</f>
        <v>7.8378537781937263E-2</v>
      </c>
      <c r="G140" s="486">
        <f t="shared" si="149"/>
        <v>7.8645310637444066E-3</v>
      </c>
      <c r="H140" s="486">
        <f t="shared" si="150"/>
        <v>0.31267074117951643</v>
      </c>
      <c r="I140" s="486">
        <f t="shared" si="151"/>
        <v>0.1112897854091961</v>
      </c>
      <c r="J140" s="486">
        <f t="shared" ref="J140:J148" si="154">IF(I113&lt;&gt;0, J113/I113-1, 0)</f>
        <v>2.6421698286050121E-2</v>
      </c>
      <c r="K140" s="486">
        <f t="shared" si="152"/>
        <v>0.27993046692048007</v>
      </c>
      <c r="L140" s="483">
        <f t="shared" si="127"/>
        <v>0</v>
      </c>
      <c r="M140" s="482">
        <f t="shared" si="128"/>
        <v>0.7574969241533811</v>
      </c>
      <c r="N140" s="482">
        <f t="shared" si="129"/>
        <v>2.5808904051757544</v>
      </c>
      <c r="O140" s="482">
        <f t="shared" si="130"/>
        <v>35.038975122656915</v>
      </c>
      <c r="P140" s="482">
        <f t="shared" si="131"/>
        <v>8.074872163785745</v>
      </c>
      <c r="Q140" s="482">
        <f t="shared" si="132"/>
        <v>5.5182566236779556</v>
      </c>
      <c r="R140" s="481">
        <f t="shared" si="133"/>
        <v>70.352664781259037</v>
      </c>
      <c r="S140" s="455"/>
      <c r="T140" s="456"/>
      <c r="U140" s="456"/>
      <c r="V140" s="456"/>
      <c r="W140" s="456"/>
      <c r="X140" s="456"/>
      <c r="Y140" s="456"/>
      <c r="Z140" s="455"/>
      <c r="AA140" s="456"/>
      <c r="AB140" s="456"/>
      <c r="AC140" s="456"/>
      <c r="AD140" s="456"/>
      <c r="AE140" s="456"/>
      <c r="AF140" s="456"/>
      <c r="AG140" s="33" t="str">
        <f t="shared" si="69"/>
        <v>1.05 &gt; Mexico</v>
      </c>
      <c r="AH140" s="84">
        <f t="shared" si="74"/>
        <v>126</v>
      </c>
      <c r="AI140" s="84">
        <f t="shared" si="75"/>
        <v>5</v>
      </c>
      <c r="AJ140" s="877" t="s">
        <v>1526</v>
      </c>
    </row>
    <row r="141" spans="1:36" x14ac:dyDescent="0.2">
      <c r="A141" s="492">
        <f>INDEX(Country!$F$31:$G$76, MATCH(AI141, Country!$O$31:$O$76, 0), 1)</f>
        <v>1.05</v>
      </c>
      <c r="B141" s="2" t="str">
        <f>INDEX(Country!$F$31:$G$76, MATCH(AI141, Country!$O$31:$O$76, 0), 2)</f>
        <v>Growth rate of installed capacity</v>
      </c>
      <c r="C141" s="436" t="str">
        <f>INDEX(Country!$K$31:$K$76, MATCH(AI141, Country!$O$31:$O$76, 0), 1)</f>
        <v>%</v>
      </c>
      <c r="D141" s="4" t="str">
        <f t="shared" si="114"/>
        <v>Nicaragua</v>
      </c>
      <c r="E141" s="457"/>
      <c r="F141" s="486">
        <f t="shared" ref="F141" si="155">IF(E114&lt;&gt;0, F114/E114-1, 0)</f>
        <v>2.5815897969407864E-3</v>
      </c>
      <c r="G141" s="486">
        <f t="shared" si="149"/>
        <v>0</v>
      </c>
      <c r="H141" s="486">
        <f t="shared" si="150"/>
        <v>0.15372790161414307</v>
      </c>
      <c r="I141" s="486">
        <f t="shared" si="151"/>
        <v>7.6615589606928713E-2</v>
      </c>
      <c r="J141" s="486">
        <f t="shared" si="154"/>
        <v>0</v>
      </c>
      <c r="K141" s="486">
        <f>IF(J114&lt;&gt;0, K114/J114-1, 0)</f>
        <v>0.39789603960396058</v>
      </c>
      <c r="L141" s="483">
        <f t="shared" si="127"/>
        <v>0</v>
      </c>
      <c r="M141" s="482">
        <f t="shared" si="128"/>
        <v>2.495002313068238E-2</v>
      </c>
      <c r="N141" s="482">
        <f t="shared" si="129"/>
        <v>0</v>
      </c>
      <c r="O141" s="482">
        <f t="shared" si="130"/>
        <v>17.22728548247381</v>
      </c>
      <c r="P141" s="482">
        <f t="shared" si="131"/>
        <v>5.5590105556794427</v>
      </c>
      <c r="Q141" s="482">
        <f>IFERROR(dbl_BenchmarkMax*J141/ SUMIFS(J$15:J$1256, $D$15:$D$1256, "Benchmark", $B$15:$B$1256,$B141), 0)</f>
        <v>0</v>
      </c>
      <c r="R141" s="481">
        <f t="shared" si="133"/>
        <v>100</v>
      </c>
      <c r="S141" s="455"/>
      <c r="T141" s="456"/>
      <c r="U141" s="456"/>
      <c r="V141" s="456"/>
      <c r="W141" s="456"/>
      <c r="X141" s="456"/>
      <c r="Y141" s="456"/>
      <c r="Z141" s="455"/>
      <c r="AA141" s="456"/>
      <c r="AB141" s="456"/>
      <c r="AC141" s="456"/>
      <c r="AD141" s="456"/>
      <c r="AE141" s="456"/>
      <c r="AF141" s="456"/>
      <c r="AG141" s="33" t="str">
        <f t="shared" si="69"/>
        <v>1.05 &gt; Nicaragua</v>
      </c>
      <c r="AH141" s="84">
        <f t="shared" si="74"/>
        <v>127</v>
      </c>
      <c r="AI141" s="84">
        <f t="shared" si="75"/>
        <v>5</v>
      </c>
      <c r="AJ141" s="877" t="s">
        <v>1526</v>
      </c>
    </row>
    <row r="142" spans="1:36" x14ac:dyDescent="0.2">
      <c r="A142" s="492">
        <f>INDEX(Country!$F$31:$G$76, MATCH(AI142, Country!$O$31:$O$76, 0), 1)</f>
        <v>1.05</v>
      </c>
      <c r="B142" s="2" t="str">
        <f>INDEX(Country!$F$31:$G$76, MATCH(AI142, Country!$O$31:$O$76, 0), 2)</f>
        <v>Growth rate of installed capacity</v>
      </c>
      <c r="C142" s="436" t="str">
        <f>INDEX(Country!$K$31:$K$76, MATCH(AI142, Country!$O$31:$O$76, 0), 1)</f>
        <v>%</v>
      </c>
      <c r="D142" s="4" t="str">
        <f t="shared" si="114"/>
        <v>Panama</v>
      </c>
      <c r="E142" s="457"/>
      <c r="F142" s="486">
        <f t="shared" ref="F142" si="156">IF(E115&lt;&gt;0, F115/E115-1, 0)</f>
        <v>-0.40165203923593185</v>
      </c>
      <c r="G142" s="486">
        <f t="shared" si="149"/>
        <v>0.16478155149423479</v>
      </c>
      <c r="H142" s="486">
        <f t="shared" si="150"/>
        <v>0.13279640129833403</v>
      </c>
      <c r="I142" s="486">
        <f t="shared" si="151"/>
        <v>1.3782234957020059</v>
      </c>
      <c r="J142" s="486">
        <f t="shared" si="154"/>
        <v>0.3716942458631205</v>
      </c>
      <c r="K142" s="486">
        <f t="shared" si="152"/>
        <v>1.9753626357606358E-2</v>
      </c>
      <c r="L142" s="483">
        <f t="shared" si="127"/>
        <v>0</v>
      </c>
      <c r="M142" s="482">
        <f t="shared" si="128"/>
        <v>-3.8818048015596887</v>
      </c>
      <c r="N142" s="482">
        <f t="shared" si="129"/>
        <v>54.076094525458231</v>
      </c>
      <c r="O142" s="482">
        <f t="shared" si="130"/>
        <v>14.881628462956161</v>
      </c>
      <c r="P142" s="482">
        <f t="shared" si="131"/>
        <v>99.999999999999986</v>
      </c>
      <c r="Q142" s="482">
        <f t="shared" si="132"/>
        <v>77.629538117164472</v>
      </c>
      <c r="R142" s="481">
        <f t="shared" si="133"/>
        <v>4.9645194702786712</v>
      </c>
      <c r="S142" s="455"/>
      <c r="T142" s="456"/>
      <c r="U142" s="456"/>
      <c r="V142" s="456"/>
      <c r="W142" s="456"/>
      <c r="X142" s="456"/>
      <c r="Y142" s="456"/>
      <c r="Z142" s="455"/>
      <c r="AA142" s="456"/>
      <c r="AB142" s="456"/>
      <c r="AC142" s="456"/>
      <c r="AD142" s="456"/>
      <c r="AE142" s="456"/>
      <c r="AF142" s="456"/>
      <c r="AG142" s="33" t="str">
        <f t="shared" si="69"/>
        <v>1.05 &gt; Panama</v>
      </c>
      <c r="AH142" s="84">
        <f t="shared" si="74"/>
        <v>128</v>
      </c>
      <c r="AI142" s="84">
        <f t="shared" si="75"/>
        <v>5</v>
      </c>
      <c r="AJ142" s="877" t="s">
        <v>1526</v>
      </c>
    </row>
    <row r="143" spans="1:36" x14ac:dyDescent="0.2">
      <c r="A143" s="492">
        <f>INDEX(Country!$F$31:$G$76, MATCH(AI143, Country!$O$31:$O$76, 0), 1)</f>
        <v>1.05</v>
      </c>
      <c r="B143" s="2" t="str">
        <f>INDEX(Country!$F$31:$G$76, MATCH(AI143, Country!$O$31:$O$76, 0), 2)</f>
        <v>Growth rate of installed capacity</v>
      </c>
      <c r="C143" s="436" t="str">
        <f>INDEX(Country!$K$31:$K$76, MATCH(AI143, Country!$O$31:$O$76, 0), 1)</f>
        <v>%</v>
      </c>
      <c r="D143" s="4" t="str">
        <f t="shared" si="114"/>
        <v>Paraguay</v>
      </c>
      <c r="E143" s="457"/>
      <c r="F143" s="486">
        <f t="shared" ref="F143" si="157">IF(E116&lt;&gt;0, F116/E116-1, 0)</f>
        <v>0</v>
      </c>
      <c r="G143" s="486">
        <f t="shared" si="149"/>
        <v>0</v>
      </c>
      <c r="H143" s="486">
        <f t="shared" si="150"/>
        <v>0</v>
      </c>
      <c r="I143" s="486">
        <f t="shared" si="151"/>
        <v>0</v>
      </c>
      <c r="J143" s="486">
        <f t="shared" si="154"/>
        <v>0</v>
      </c>
      <c r="K143" s="486">
        <f t="shared" si="152"/>
        <v>0</v>
      </c>
      <c r="L143" s="483">
        <f t="shared" si="127"/>
        <v>0</v>
      </c>
      <c r="M143" s="482">
        <f t="shared" si="128"/>
        <v>0</v>
      </c>
      <c r="N143" s="482">
        <f t="shared" si="129"/>
        <v>0</v>
      </c>
      <c r="O143" s="482">
        <f t="shared" si="130"/>
        <v>0</v>
      </c>
      <c r="P143" s="482">
        <f t="shared" si="131"/>
        <v>0</v>
      </c>
      <c r="Q143" s="482">
        <f t="shared" si="132"/>
        <v>0</v>
      </c>
      <c r="R143" s="481">
        <f t="shared" si="133"/>
        <v>0</v>
      </c>
      <c r="S143" s="455"/>
      <c r="T143" s="456"/>
      <c r="U143" s="456"/>
      <c r="V143" s="456"/>
      <c r="W143" s="456"/>
      <c r="X143" s="456"/>
      <c r="Y143" s="456"/>
      <c r="Z143" s="455"/>
      <c r="AA143" s="456"/>
      <c r="AB143" s="456"/>
      <c r="AC143" s="456"/>
      <c r="AD143" s="456"/>
      <c r="AE143" s="456"/>
      <c r="AF143" s="456"/>
      <c r="AG143" s="33" t="str">
        <f t="shared" ref="AG143:AG206" si="158">A143&amp;" &gt; " &amp;D143</f>
        <v>1.05 &gt; Paraguay</v>
      </c>
      <c r="AH143" s="84">
        <f t="shared" si="74"/>
        <v>129</v>
      </c>
      <c r="AI143" s="84">
        <f t="shared" si="75"/>
        <v>5</v>
      </c>
      <c r="AJ143" s="877" t="s">
        <v>1526</v>
      </c>
    </row>
    <row r="144" spans="1:36" x14ac:dyDescent="0.2">
      <c r="A144" s="492">
        <f>INDEX(Country!$F$31:$G$76, MATCH(AI144, Country!$O$31:$O$76, 0), 1)</f>
        <v>1.05</v>
      </c>
      <c r="B144" s="2" t="str">
        <f>INDEX(Country!$F$31:$G$76, MATCH(AI144, Country!$O$31:$O$76, 0), 2)</f>
        <v>Growth rate of installed capacity</v>
      </c>
      <c r="C144" s="436" t="str">
        <f>INDEX(Country!$K$31:$K$76, MATCH(AI144, Country!$O$31:$O$76, 0), 1)</f>
        <v>%</v>
      </c>
      <c r="D144" s="4" t="str">
        <f t="shared" si="114"/>
        <v>Peru</v>
      </c>
      <c r="E144" s="457"/>
      <c r="F144" s="486">
        <f t="shared" ref="F144" si="159">IF(E117&lt;&gt;0, F117/E117-1, 0)</f>
        <v>4.2412845817636491E-3</v>
      </c>
      <c r="G144" s="486">
        <f t="shared" si="149"/>
        <v>1.3925607732109935E-2</v>
      </c>
      <c r="H144" s="486">
        <f t="shared" si="150"/>
        <v>0.13506919169160492</v>
      </c>
      <c r="I144" s="486">
        <f t="shared" si="151"/>
        <v>-6.8626669222846548E-3</v>
      </c>
      <c r="J144" s="486">
        <f t="shared" si="154"/>
        <v>1.7937189088722327E-2</v>
      </c>
      <c r="K144" s="486">
        <f t="shared" si="152"/>
        <v>0.23830461371157763</v>
      </c>
      <c r="L144" s="483">
        <f t="shared" si="127"/>
        <v>0</v>
      </c>
      <c r="M144" s="482">
        <f t="shared" si="128"/>
        <v>4.0990303162883462E-2</v>
      </c>
      <c r="N144" s="482">
        <f t="shared" si="129"/>
        <v>4.5699441061056856</v>
      </c>
      <c r="O144" s="482">
        <f t="shared" si="130"/>
        <v>15.136325291154455</v>
      </c>
      <c r="P144" s="482">
        <f t="shared" si="131"/>
        <v>-0.49793570808260795</v>
      </c>
      <c r="Q144" s="482">
        <f t="shared" si="132"/>
        <v>3.7462396030487386</v>
      </c>
      <c r="R144" s="481">
        <f t="shared" si="133"/>
        <v>59.891175078990557</v>
      </c>
      <c r="S144" s="455"/>
      <c r="T144" s="456"/>
      <c r="U144" s="456"/>
      <c r="V144" s="456"/>
      <c r="W144" s="456"/>
      <c r="X144" s="456"/>
      <c r="Y144" s="456"/>
      <c r="Z144" s="455"/>
      <c r="AA144" s="456"/>
      <c r="AB144" s="456"/>
      <c r="AC144" s="456"/>
      <c r="AD144" s="456"/>
      <c r="AE144" s="456"/>
      <c r="AF144" s="456"/>
      <c r="AG144" s="33" t="str">
        <f t="shared" si="158"/>
        <v>1.05 &gt; Peru</v>
      </c>
      <c r="AH144" s="84">
        <f t="shared" si="74"/>
        <v>130</v>
      </c>
      <c r="AI144" s="84">
        <f t="shared" si="75"/>
        <v>5</v>
      </c>
      <c r="AJ144" s="877" t="s">
        <v>1526</v>
      </c>
    </row>
    <row r="145" spans="1:36" x14ac:dyDescent="0.2">
      <c r="A145" s="492">
        <f>INDEX(Country!$F$31:$G$76, MATCH(AI145, Country!$O$31:$O$76, 0), 1)</f>
        <v>1.05</v>
      </c>
      <c r="B145" s="2" t="str">
        <f>INDEX(Country!$F$31:$G$76, MATCH(AI145, Country!$O$31:$O$76, 0), 2)</f>
        <v>Growth rate of installed capacity</v>
      </c>
      <c r="C145" s="436" t="str">
        <f>INDEX(Country!$K$31:$K$76, MATCH(AI145, Country!$O$31:$O$76, 0), 1)</f>
        <v>%</v>
      </c>
      <c r="D145" s="4" t="str">
        <f t="shared" si="114"/>
        <v>Suriname</v>
      </c>
      <c r="E145" s="457"/>
      <c r="F145" s="486">
        <f t="shared" ref="F145" si="160">IF(E118&lt;&gt;0, F118/E118-1, 0)</f>
        <v>0</v>
      </c>
      <c r="G145" s="486">
        <f t="shared" si="149"/>
        <v>0</v>
      </c>
      <c r="H145" s="486">
        <f t="shared" si="150"/>
        <v>0</v>
      </c>
      <c r="I145" s="486">
        <f t="shared" si="151"/>
        <v>0</v>
      </c>
      <c r="J145" s="486">
        <f t="shared" si="154"/>
        <v>0</v>
      </c>
      <c r="K145" s="486">
        <f t="shared" si="152"/>
        <v>0</v>
      </c>
      <c r="L145" s="483">
        <f t="shared" si="127"/>
        <v>0</v>
      </c>
      <c r="M145" s="482">
        <f t="shared" si="128"/>
        <v>0</v>
      </c>
      <c r="N145" s="482">
        <f t="shared" si="129"/>
        <v>0</v>
      </c>
      <c r="O145" s="482">
        <f t="shared" si="130"/>
        <v>0</v>
      </c>
      <c r="P145" s="482">
        <f t="shared" si="131"/>
        <v>0</v>
      </c>
      <c r="Q145" s="482">
        <f t="shared" si="132"/>
        <v>0</v>
      </c>
      <c r="R145" s="481">
        <f t="shared" si="133"/>
        <v>0</v>
      </c>
      <c r="S145" s="455"/>
      <c r="T145" s="456"/>
      <c r="U145" s="456"/>
      <c r="V145" s="456"/>
      <c r="W145" s="456"/>
      <c r="X145" s="456"/>
      <c r="Y145" s="456"/>
      <c r="Z145" s="455"/>
      <c r="AA145" s="456"/>
      <c r="AB145" s="456"/>
      <c r="AC145" s="456"/>
      <c r="AD145" s="456"/>
      <c r="AE145" s="456"/>
      <c r="AF145" s="456"/>
      <c r="AG145" s="33" t="str">
        <f t="shared" si="158"/>
        <v>1.05 &gt; Suriname</v>
      </c>
      <c r="AH145" s="84">
        <f t="shared" ref="AH145:AH208" si="161">AH144+1</f>
        <v>131</v>
      </c>
      <c r="AI145" s="84">
        <f t="shared" ref="AI145:AI208" si="162">ROUNDUP(AH145/COUNTA($D$15:$D$41),0)</f>
        <v>5</v>
      </c>
      <c r="AJ145" s="877" t="s">
        <v>1526</v>
      </c>
    </row>
    <row r="146" spans="1:36" x14ac:dyDescent="0.2">
      <c r="A146" s="492">
        <f>INDEX(Country!$F$31:$G$76, MATCH(AI146, Country!$O$31:$O$76, 0), 1)</f>
        <v>1.05</v>
      </c>
      <c r="B146" s="2" t="str">
        <f>INDEX(Country!$F$31:$G$76, MATCH(AI146, Country!$O$31:$O$76, 0), 2)</f>
        <v>Growth rate of installed capacity</v>
      </c>
      <c r="C146" s="436" t="str">
        <f>INDEX(Country!$K$31:$K$76, MATCH(AI146, Country!$O$31:$O$76, 0), 1)</f>
        <v>%</v>
      </c>
      <c r="D146" s="4" t="str">
        <f t="shared" si="114"/>
        <v>Trinidad &amp; Tobago</v>
      </c>
      <c r="E146" s="457"/>
      <c r="F146" s="486">
        <f t="shared" ref="F146" si="163">IF(E119&lt;&gt;0, F119/E119-1, 0)</f>
        <v>0</v>
      </c>
      <c r="G146" s="486">
        <f t="shared" si="149"/>
        <v>0</v>
      </c>
      <c r="H146" s="486">
        <f t="shared" si="150"/>
        <v>0</v>
      </c>
      <c r="I146" s="486">
        <f t="shared" si="151"/>
        <v>0</v>
      </c>
      <c r="J146" s="486">
        <f t="shared" si="154"/>
        <v>0</v>
      </c>
      <c r="K146" s="486">
        <f t="shared" si="152"/>
        <v>0</v>
      </c>
      <c r="L146" s="483">
        <f t="shared" si="127"/>
        <v>0</v>
      </c>
      <c r="M146" s="482">
        <f t="shared" si="128"/>
        <v>0</v>
      </c>
      <c r="N146" s="482">
        <f t="shared" si="129"/>
        <v>0</v>
      </c>
      <c r="O146" s="482">
        <f t="shared" si="130"/>
        <v>0</v>
      </c>
      <c r="P146" s="482">
        <f t="shared" si="131"/>
        <v>0</v>
      </c>
      <c r="Q146" s="482">
        <f t="shared" si="132"/>
        <v>0</v>
      </c>
      <c r="R146" s="481">
        <f t="shared" si="133"/>
        <v>0</v>
      </c>
      <c r="S146" s="455"/>
      <c r="T146" s="456"/>
      <c r="U146" s="456"/>
      <c r="V146" s="456"/>
      <c r="W146" s="456"/>
      <c r="X146" s="456"/>
      <c r="Y146" s="456"/>
      <c r="Z146" s="455"/>
      <c r="AA146" s="456"/>
      <c r="AB146" s="456"/>
      <c r="AC146" s="456"/>
      <c r="AD146" s="456"/>
      <c r="AE146" s="456"/>
      <c r="AF146" s="456"/>
      <c r="AG146" s="33" t="str">
        <f t="shared" si="158"/>
        <v>1.05 &gt; Trinidad &amp; Tobago</v>
      </c>
      <c r="AH146" s="84">
        <f t="shared" si="161"/>
        <v>132</v>
      </c>
      <c r="AI146" s="84">
        <f t="shared" si="162"/>
        <v>5</v>
      </c>
      <c r="AJ146" s="877" t="s">
        <v>1526</v>
      </c>
    </row>
    <row r="147" spans="1:36" x14ac:dyDescent="0.2">
      <c r="A147" s="492">
        <f>INDEX(Country!$F$31:$G$76, MATCH(AI147, Country!$O$31:$O$76, 0), 1)</f>
        <v>1.05</v>
      </c>
      <c r="B147" s="2" t="str">
        <f>INDEX(Country!$F$31:$G$76, MATCH(AI147, Country!$O$31:$O$76, 0), 2)</f>
        <v>Growth rate of installed capacity</v>
      </c>
      <c r="C147" s="436" t="str">
        <f>INDEX(Country!$K$31:$K$76, MATCH(AI147, Country!$O$31:$O$76, 0), 1)</f>
        <v>%</v>
      </c>
      <c r="D147" s="4" t="str">
        <f t="shared" si="114"/>
        <v>Uruguay</v>
      </c>
      <c r="E147" s="457"/>
      <c r="F147" s="486">
        <f t="shared" ref="F147" si="164">IF(E120&lt;&gt;0, F120/E120-1, 0)</f>
        <v>10.347043701799487</v>
      </c>
      <c r="G147" s="486">
        <f t="shared" si="149"/>
        <v>8.1841866787494277E-2</v>
      </c>
      <c r="H147" s="486">
        <f t="shared" si="150"/>
        <v>8.3765247892780392E-2</v>
      </c>
      <c r="I147" s="486">
        <f t="shared" si="151"/>
        <v>0.35336457175981861</v>
      </c>
      <c r="J147" s="486">
        <f t="shared" si="154"/>
        <v>5.405072101656172E-2</v>
      </c>
      <c r="K147" s="486">
        <f t="shared" si="152"/>
        <v>3.0748534936252625E-2</v>
      </c>
      <c r="L147" s="483">
        <f t="shared" si="127"/>
        <v>0</v>
      </c>
      <c r="M147" s="482">
        <f t="shared" si="128"/>
        <v>100</v>
      </c>
      <c r="N147" s="482">
        <f t="shared" si="129"/>
        <v>26.857912699622457</v>
      </c>
      <c r="O147" s="482">
        <f t="shared" si="130"/>
        <v>9.3870261924290403</v>
      </c>
      <c r="P147" s="482">
        <f t="shared" si="131"/>
        <v>25.639134208768542</v>
      </c>
      <c r="Q147" s="482">
        <f t="shared" si="132"/>
        <v>11.288666838712883</v>
      </c>
      <c r="R147" s="481">
        <f t="shared" si="133"/>
        <v>7.7277810975092098</v>
      </c>
      <c r="S147" s="455"/>
      <c r="T147" s="456"/>
      <c r="U147" s="456"/>
      <c r="V147" s="456"/>
      <c r="W147" s="456"/>
      <c r="X147" s="456"/>
      <c r="Y147" s="456"/>
      <c r="Z147" s="455"/>
      <c r="AA147" s="456"/>
      <c r="AB147" s="456"/>
      <c r="AC147" s="456"/>
      <c r="AD147" s="456"/>
      <c r="AE147" s="456"/>
      <c r="AF147" s="456"/>
      <c r="AG147" s="33" t="str">
        <f t="shared" si="158"/>
        <v>1.05 &gt; Uruguay</v>
      </c>
      <c r="AH147" s="84">
        <f t="shared" si="161"/>
        <v>133</v>
      </c>
      <c r="AI147" s="84">
        <f t="shared" si="162"/>
        <v>5</v>
      </c>
      <c r="AJ147" s="877" t="s">
        <v>1526</v>
      </c>
    </row>
    <row r="148" spans="1:36" x14ac:dyDescent="0.2">
      <c r="A148" s="491">
        <f>INDEX(Country!$F$31:$G$76, MATCH(AI148, Country!$O$31:$O$76, 0), 1)</f>
        <v>1.05</v>
      </c>
      <c r="B148" s="386" t="str">
        <f>INDEX(Country!$F$31:$G$76, MATCH(AI148, Country!$O$31:$O$76, 0), 2)</f>
        <v>Growth rate of installed capacity</v>
      </c>
      <c r="C148" s="437" t="str">
        <f>INDEX(Country!$K$31:$K$76, MATCH(AI148, Country!$O$31:$O$76, 0), 1)</f>
        <v>%</v>
      </c>
      <c r="D148" s="86" t="str">
        <f t="shared" si="114"/>
        <v>Venezuela</v>
      </c>
      <c r="E148" s="460"/>
      <c r="F148" s="484">
        <f t="shared" ref="F148" si="165">IF(E121&lt;&gt;0, F121/E121-1, 0)</f>
        <v>0</v>
      </c>
      <c r="G148" s="484">
        <f t="shared" si="149"/>
        <v>0</v>
      </c>
      <c r="H148" s="484">
        <f t="shared" si="150"/>
        <v>0</v>
      </c>
      <c r="I148" s="484">
        <f t="shared" si="151"/>
        <v>0</v>
      </c>
      <c r="J148" s="484">
        <f t="shared" si="154"/>
        <v>0</v>
      </c>
      <c r="K148" s="484">
        <f t="shared" si="152"/>
        <v>0.2392707937713634</v>
      </c>
      <c r="L148" s="480">
        <f t="shared" si="127"/>
        <v>0</v>
      </c>
      <c r="M148" s="479">
        <f t="shared" si="128"/>
        <v>0</v>
      </c>
      <c r="N148" s="479">
        <f t="shared" si="129"/>
        <v>0</v>
      </c>
      <c r="O148" s="479">
        <f t="shared" si="130"/>
        <v>0</v>
      </c>
      <c r="P148" s="479">
        <f t="shared" si="131"/>
        <v>0</v>
      </c>
      <c r="Q148" s="479">
        <f t="shared" si="132"/>
        <v>0</v>
      </c>
      <c r="R148" s="478">
        <f t="shared" si="133"/>
        <v>60.133997314855847</v>
      </c>
      <c r="S148" s="455"/>
      <c r="T148" s="456"/>
      <c r="U148" s="456"/>
      <c r="V148" s="456"/>
      <c r="W148" s="456"/>
      <c r="X148" s="456"/>
      <c r="Y148" s="456"/>
      <c r="Z148" s="455"/>
      <c r="AA148" s="456"/>
      <c r="AB148" s="456"/>
      <c r="AC148" s="456"/>
      <c r="AD148" s="456"/>
      <c r="AE148" s="456"/>
      <c r="AF148" s="456"/>
      <c r="AG148" s="90" t="str">
        <f t="shared" si="158"/>
        <v>1.05 &gt; Venezuela</v>
      </c>
      <c r="AH148" s="392">
        <f t="shared" si="161"/>
        <v>134</v>
      </c>
      <c r="AI148" s="392">
        <f t="shared" si="162"/>
        <v>5</v>
      </c>
      <c r="AJ148" s="878" t="s">
        <v>1526</v>
      </c>
    </row>
    <row r="149" spans="1:36" x14ac:dyDescent="0.2">
      <c r="A149" s="490">
        <f>INDEX(Country!$F$31:$G$76, MATCH(AI149, Country!$O$31:$O$76, 0), 1)</f>
        <v>1.05</v>
      </c>
      <c r="B149" s="387" t="str">
        <f>INDEX(Country!$F$31:$G$76, MATCH(AI149, Country!$O$31:$O$76, 0), 2)</f>
        <v>Growth rate of installed capacity</v>
      </c>
      <c r="C149" s="438" t="str">
        <f>INDEX(Country!$K$31:$K$76, MATCH(AI149, Country!$O$31:$O$76, 0), 1)</f>
        <v>%</v>
      </c>
      <c r="D149" s="32" t="str">
        <f t="shared" si="114"/>
        <v>Benchmark</v>
      </c>
      <c r="E149" s="366">
        <f>IFERROR(MAX(E123:E148), 0)</f>
        <v>0</v>
      </c>
      <c r="F149" s="366">
        <f t="shared" ref="F149" si="166">IFERROR(MAX(F123:F148), 0)</f>
        <v>10.347043701799487</v>
      </c>
      <c r="G149" s="366">
        <f t="shared" ref="G149" si="167">IFERROR(MAX(G123:G148), 0)</f>
        <v>0.30472162041335671</v>
      </c>
      <c r="H149" s="366">
        <f t="shared" ref="H149" si="168">IFERROR(MAX(H123:H148), 0)</f>
        <v>0.89235127478753551</v>
      </c>
      <c r="I149" s="366">
        <f t="shared" ref="I149" si="169">IFERROR(MAX(I123:I148), 0)</f>
        <v>1.3782234957020059</v>
      </c>
      <c r="J149" s="366">
        <f t="shared" ref="J149:K149" si="170">IFERROR(MAX(J123:J148), 0)</f>
        <v>0.47880517503805176</v>
      </c>
      <c r="K149" s="598">
        <f t="shared" si="170"/>
        <v>0.39789603960396058</v>
      </c>
      <c r="L149" s="599">
        <f t="shared" si="127"/>
        <v>0</v>
      </c>
      <c r="M149" s="476">
        <f t="shared" si="128"/>
        <v>100</v>
      </c>
      <c r="N149" s="476">
        <f t="shared" si="129"/>
        <v>100</v>
      </c>
      <c r="O149" s="476">
        <f t="shared" si="130"/>
        <v>100</v>
      </c>
      <c r="P149" s="476">
        <f t="shared" si="131"/>
        <v>99.999999999999986</v>
      </c>
      <c r="Q149" s="476">
        <f t="shared" si="132"/>
        <v>100</v>
      </c>
      <c r="R149" s="600">
        <f t="shared" si="133"/>
        <v>100</v>
      </c>
      <c r="S149" s="393"/>
      <c r="T149" s="394"/>
      <c r="U149" s="376"/>
      <c r="V149" s="376"/>
      <c r="W149" s="376"/>
      <c r="X149" s="376"/>
      <c r="Y149" s="376"/>
      <c r="Z149" s="440" t="s">
        <v>1528</v>
      </c>
      <c r="AA149" s="441"/>
      <c r="AB149" s="442"/>
      <c r="AC149" s="442"/>
      <c r="AD149" s="442"/>
      <c r="AE149" s="442"/>
      <c r="AF149" s="443"/>
      <c r="AG149" s="34" t="str">
        <f t="shared" si="158"/>
        <v>1.05 &gt; Benchmark</v>
      </c>
      <c r="AH149" s="85">
        <f t="shared" si="161"/>
        <v>135</v>
      </c>
      <c r="AI149" s="85">
        <f t="shared" si="162"/>
        <v>5</v>
      </c>
      <c r="AJ149" s="871" t="s">
        <v>1526</v>
      </c>
    </row>
    <row r="150" spans="1:36" x14ac:dyDescent="0.2">
      <c r="A150" s="587">
        <f>INDEX(Country!$F$31:$G$76, MATCH(AI150, Country!$O$31:$O$76, 0), 1)</f>
        <v>1.06</v>
      </c>
      <c r="B150" s="588" t="str">
        <f>INDEX(Country!$F$31:$G$76, MATCH(AI150, Country!$O$31:$O$76, 0), 2)</f>
        <v>Clean energy electricity generation</v>
      </c>
      <c r="C150" s="589" t="str">
        <f>INDEX(Country!$K$31:$K$76, MATCH(AI150, Country!$O$31:$O$76, 0), 1)</f>
        <v>GWh</v>
      </c>
      <c r="D150" s="590" t="str">
        <f t="shared" si="114"/>
        <v>Argentina</v>
      </c>
      <c r="E150" s="601">
        <f>Levelisation!F632</f>
        <v>2123.799</v>
      </c>
      <c r="F150" s="601">
        <f>Levelisation!G632</f>
        <v>2086.9339999999997</v>
      </c>
      <c r="G150" s="601">
        <f>Levelisation!H632</f>
        <v>1971.2850899999996</v>
      </c>
      <c r="H150" s="601">
        <f>Levelisation!I632</f>
        <v>1738.6360075999996</v>
      </c>
      <c r="I150" s="601">
        <f>Levelisation!J632</f>
        <v>1581.3846242000006</v>
      </c>
      <c r="J150" s="601">
        <f>Levelisation!K632</f>
        <v>1386.4304728299999</v>
      </c>
      <c r="K150" s="601">
        <f>Levelisation!L632</f>
        <v>1386.4304728299999</v>
      </c>
      <c r="L150" s="580">
        <f t="shared" ref="L150:L175" si="171">IFERROR(dbl_BenchmarkMax*Z150/L$176, 0)</f>
        <v>2.1899416129135196</v>
      </c>
      <c r="M150" s="581">
        <f t="shared" ref="M150:M175" si="172">IFERROR(dbl_BenchmarkMax*AA150/M$176, 0)</f>
        <v>2.2155091812202512</v>
      </c>
      <c r="N150" s="581">
        <f t="shared" ref="N150:N175" si="173">IFERROR(dbl_BenchmarkMax*AB150/N$176, 0)</f>
        <v>1.7017105415611791</v>
      </c>
      <c r="O150" s="581">
        <f t="shared" ref="O150:O175" si="174">IFERROR(dbl_BenchmarkMax*AC150/O$176, 0)</f>
        <v>1.9291265300246014</v>
      </c>
      <c r="P150" s="581">
        <f t="shared" ref="P150:P175" si="175">IFERROR(dbl_BenchmarkMax*AD150/P$176, 0)</f>
        <v>1.3038067951308321</v>
      </c>
      <c r="Q150" s="581">
        <f t="shared" ref="Q150:Q175" si="176">IFERROR(dbl_BenchmarkMax*AE150/Q$176, 0)</f>
        <v>1.0941890947174162</v>
      </c>
      <c r="R150" s="582">
        <f t="shared" ref="R150:R175" si="177">IFERROR(dbl_BenchmarkMax*AF150/R$176, 0)</f>
        <v>1.1371384140090737</v>
      </c>
      <c r="S150" s="455"/>
      <c r="T150" s="456"/>
      <c r="U150" s="456"/>
      <c r="V150" s="456"/>
      <c r="W150" s="456"/>
      <c r="X150" s="456"/>
      <c r="Y150" s="456"/>
      <c r="Z150" s="421">
        <f>IFERROR(E150/Levelisation!F658, 0)</f>
        <v>1.8724496699786063E-2</v>
      </c>
      <c r="AA150" s="471">
        <f>IFERROR(F150/Levelisation!G658, 0)</f>
        <v>1.8410908876422473E-2</v>
      </c>
      <c r="AB150" s="471">
        <f>IFERROR(G150/Levelisation!H658, 0)</f>
        <v>1.6170633617686003E-2</v>
      </c>
      <c r="AC150" s="5">
        <f>IFERROR(H150/Levelisation!I658, 0)</f>
        <v>1.4213134306094609E-2</v>
      </c>
      <c r="AD150" s="5">
        <f>IFERROR(I150/Levelisation!J658, 0)</f>
        <v>1.2551482536667886E-2</v>
      </c>
      <c r="AE150" s="5">
        <f>IFERROR(J150/Levelisation!K658, 0)</f>
        <v>1.0707241582374615E-2</v>
      </c>
      <c r="AF150" s="6">
        <f>IFERROR(K150/Levelisation!L658, 0)</f>
        <v>1.0707241582374615E-2</v>
      </c>
      <c r="AG150" s="396" t="str">
        <f t="shared" si="158"/>
        <v>1.06 &gt; Argentina</v>
      </c>
      <c r="AH150" s="397">
        <f t="shared" si="161"/>
        <v>136</v>
      </c>
      <c r="AI150" s="397">
        <f t="shared" si="162"/>
        <v>6</v>
      </c>
      <c r="AJ150" s="879" t="s">
        <v>1526</v>
      </c>
    </row>
    <row r="151" spans="1:36" x14ac:dyDescent="0.2">
      <c r="A151" s="492">
        <f>INDEX(Country!$F$31:$G$76, MATCH(AI151, Country!$O$31:$O$76, 0), 1)</f>
        <v>1.06</v>
      </c>
      <c r="B151" s="2" t="str">
        <f>INDEX(Country!$F$31:$G$76, MATCH(AI151, Country!$O$31:$O$76, 0), 2)</f>
        <v>Clean energy electricity generation</v>
      </c>
      <c r="C151" s="436" t="str">
        <f>INDEX(Country!$K$31:$K$76, MATCH(AI151, Country!$O$31:$O$76, 0), 1)</f>
        <v>GWh</v>
      </c>
      <c r="D151" s="4" t="str">
        <f t="shared" si="114"/>
        <v>Bahamas</v>
      </c>
      <c r="E151" s="5">
        <f>Levelisation!F633</f>
        <v>0</v>
      </c>
      <c r="F151" s="5">
        <f>Levelisation!G633</f>
        <v>0</v>
      </c>
      <c r="G151" s="5">
        <f>Levelisation!H633</f>
        <v>0</v>
      </c>
      <c r="H151" s="5">
        <f>Levelisation!I633</f>
        <v>0</v>
      </c>
      <c r="I151" s="5">
        <f>Levelisation!J633</f>
        <v>0</v>
      </c>
      <c r="J151" s="5">
        <f>Levelisation!K633</f>
        <v>0</v>
      </c>
      <c r="K151" s="5">
        <f>Levelisation!L633</f>
        <v>0</v>
      </c>
      <c r="L151" s="457">
        <f t="shared" si="171"/>
        <v>0</v>
      </c>
      <c r="M151" s="458">
        <f t="shared" si="172"/>
        <v>0</v>
      </c>
      <c r="N151" s="458">
        <f t="shared" si="173"/>
        <v>0</v>
      </c>
      <c r="O151" s="458">
        <f t="shared" si="174"/>
        <v>0</v>
      </c>
      <c r="P151" s="458">
        <f t="shared" si="175"/>
        <v>0</v>
      </c>
      <c r="Q151" s="458">
        <f t="shared" si="176"/>
        <v>0</v>
      </c>
      <c r="R151" s="459">
        <f t="shared" si="177"/>
        <v>0</v>
      </c>
      <c r="S151" s="455"/>
      <c r="T151" s="456"/>
      <c r="U151" s="456"/>
      <c r="V151" s="456"/>
      <c r="W151" s="456"/>
      <c r="X151" s="456"/>
      <c r="Y151" s="456"/>
      <c r="Z151" s="421">
        <f>IFERROR(E151/Levelisation!F659, 0)</f>
        <v>0</v>
      </c>
      <c r="AA151" s="471">
        <f>IFERROR(F151/Levelisation!G659, 0)</f>
        <v>0</v>
      </c>
      <c r="AB151" s="471">
        <f>IFERROR(G151/Levelisation!H659, 0)</f>
        <v>0</v>
      </c>
      <c r="AC151" s="5">
        <f>IFERROR(H151/Levelisation!I659, 0)</f>
        <v>0</v>
      </c>
      <c r="AD151" s="5">
        <f>IFERROR(I151/Levelisation!J659, 0)</f>
        <v>0</v>
      </c>
      <c r="AE151" s="5">
        <f>IFERROR(J151/Levelisation!K659, 0)</f>
        <v>0</v>
      </c>
      <c r="AF151" s="6">
        <f>IFERROR(K151/Levelisation!L659, 0)</f>
        <v>0</v>
      </c>
      <c r="AG151" s="33" t="str">
        <f t="shared" si="158"/>
        <v>1.06 &gt; Bahamas</v>
      </c>
      <c r="AH151" s="84">
        <f t="shared" si="161"/>
        <v>137</v>
      </c>
      <c r="AI151" s="84">
        <f t="shared" si="162"/>
        <v>6</v>
      </c>
      <c r="AJ151" s="877" t="s">
        <v>1526</v>
      </c>
    </row>
    <row r="152" spans="1:36" x14ac:dyDescent="0.2">
      <c r="A152" s="492">
        <f>INDEX(Country!$F$31:$G$76, MATCH(AI152, Country!$O$31:$O$76, 0), 1)</f>
        <v>1.06</v>
      </c>
      <c r="B152" s="2" t="str">
        <f>INDEX(Country!$F$31:$G$76, MATCH(AI152, Country!$O$31:$O$76, 0), 2)</f>
        <v>Clean energy electricity generation</v>
      </c>
      <c r="C152" s="436" t="str">
        <f>INDEX(Country!$K$31:$K$76, MATCH(AI152, Country!$O$31:$O$76, 0), 1)</f>
        <v>GWh</v>
      </c>
      <c r="D152" s="4" t="str">
        <f t="shared" si="114"/>
        <v>Barbados</v>
      </c>
      <c r="E152" s="5">
        <f>Levelisation!F634</f>
        <v>0</v>
      </c>
      <c r="F152" s="5">
        <f>Levelisation!G634</f>
        <v>0</v>
      </c>
      <c r="G152" s="5">
        <f>Levelisation!H634</f>
        <v>0</v>
      </c>
      <c r="H152" s="5">
        <f>Levelisation!I634</f>
        <v>0</v>
      </c>
      <c r="I152" s="5">
        <f>Levelisation!J634</f>
        <v>0</v>
      </c>
      <c r="J152" s="5">
        <f>Levelisation!K634</f>
        <v>0</v>
      </c>
      <c r="K152" s="5">
        <f>Levelisation!L634</f>
        <v>0</v>
      </c>
      <c r="L152" s="457">
        <f t="shared" si="171"/>
        <v>0</v>
      </c>
      <c r="M152" s="458">
        <f t="shared" si="172"/>
        <v>0</v>
      </c>
      <c r="N152" s="458">
        <f t="shared" si="173"/>
        <v>0</v>
      </c>
      <c r="O152" s="458">
        <f t="shared" si="174"/>
        <v>0</v>
      </c>
      <c r="P152" s="458">
        <f t="shared" si="175"/>
        <v>0</v>
      </c>
      <c r="Q152" s="458">
        <f t="shared" si="176"/>
        <v>0</v>
      </c>
      <c r="R152" s="459">
        <f t="shared" si="177"/>
        <v>0</v>
      </c>
      <c r="S152" s="455"/>
      <c r="T152" s="456"/>
      <c r="U152" s="456"/>
      <c r="V152" s="456"/>
      <c r="W152" s="456"/>
      <c r="X152" s="456"/>
      <c r="Y152" s="456"/>
      <c r="Z152" s="421">
        <f>IFERROR(E152/Levelisation!F660, 0)</f>
        <v>0</v>
      </c>
      <c r="AA152" s="471">
        <f>IFERROR(F152/Levelisation!G660, 0)</f>
        <v>0</v>
      </c>
      <c r="AB152" s="471">
        <f>IFERROR(G152/Levelisation!H660, 0)</f>
        <v>0</v>
      </c>
      <c r="AC152" s="5">
        <f>IFERROR(H152/Levelisation!I660, 0)</f>
        <v>0</v>
      </c>
      <c r="AD152" s="5">
        <f>IFERROR(I152/Levelisation!J660, 0)</f>
        <v>0</v>
      </c>
      <c r="AE152" s="5">
        <f>IFERROR(J152/Levelisation!K660, 0)</f>
        <v>0</v>
      </c>
      <c r="AF152" s="6">
        <f>IFERROR(K152/Levelisation!L660, 0)</f>
        <v>0</v>
      </c>
      <c r="AG152" s="33" t="str">
        <f t="shared" si="158"/>
        <v>1.06 &gt; Barbados</v>
      </c>
      <c r="AH152" s="84">
        <f t="shared" si="161"/>
        <v>138</v>
      </c>
      <c r="AI152" s="84">
        <f t="shared" si="162"/>
        <v>6</v>
      </c>
      <c r="AJ152" s="877" t="s">
        <v>1526</v>
      </c>
    </row>
    <row r="153" spans="1:36" x14ac:dyDescent="0.2">
      <c r="A153" s="492">
        <f>INDEX(Country!$F$31:$G$76, MATCH(AI153, Country!$O$31:$O$76, 0), 1)</f>
        <v>1.06</v>
      </c>
      <c r="B153" s="2" t="str">
        <f>INDEX(Country!$F$31:$G$76, MATCH(AI153, Country!$O$31:$O$76, 0), 2)</f>
        <v>Clean energy electricity generation</v>
      </c>
      <c r="C153" s="436" t="str">
        <f>INDEX(Country!$K$31:$K$76, MATCH(AI153, Country!$O$31:$O$76, 0), 1)</f>
        <v>GWh</v>
      </c>
      <c r="D153" s="4" t="str">
        <f t="shared" si="114"/>
        <v>Belize</v>
      </c>
      <c r="E153" s="5">
        <f>Levelisation!F635</f>
        <v>177.73267000000001</v>
      </c>
      <c r="F153" s="5">
        <f>Levelisation!G635</f>
        <v>177.40299999999999</v>
      </c>
      <c r="G153" s="5">
        <f>Levelisation!H635</f>
        <v>204.48727695566078</v>
      </c>
      <c r="H153" s="5">
        <f>Levelisation!I635</f>
        <v>189.03943200000001</v>
      </c>
      <c r="I153" s="5">
        <f>Levelisation!J635</f>
        <v>311.32498000000004</v>
      </c>
      <c r="J153" s="5">
        <f>Levelisation!K635</f>
        <v>315.31938799999995</v>
      </c>
      <c r="K153" s="5">
        <f>Levelisation!L635</f>
        <v>273.35275509999997</v>
      </c>
      <c r="L153" s="457">
        <f t="shared" si="171"/>
        <v>100</v>
      </c>
      <c r="M153" s="458">
        <f t="shared" si="172"/>
        <v>100</v>
      </c>
      <c r="N153" s="458">
        <f t="shared" si="173"/>
        <v>100</v>
      </c>
      <c r="O153" s="458">
        <f t="shared" si="174"/>
        <v>100</v>
      </c>
      <c r="P153" s="458">
        <f t="shared" si="175"/>
        <v>100</v>
      </c>
      <c r="Q153" s="458">
        <f t="shared" si="176"/>
        <v>100</v>
      </c>
      <c r="R153" s="459">
        <f>IFERROR(dbl_BenchmarkMax*AF153/R$176, 0)</f>
        <v>100</v>
      </c>
      <c r="S153" s="455"/>
      <c r="T153" s="456"/>
      <c r="U153" s="456"/>
      <c r="V153" s="456"/>
      <c r="W153" s="456"/>
      <c r="X153" s="456"/>
      <c r="Y153" s="456"/>
      <c r="Z153" s="421">
        <f>IFERROR(E153/Levelisation!F661, 0)</f>
        <v>0.85502264486744961</v>
      </c>
      <c r="AA153" s="471">
        <f>IFERROR(F153/Levelisation!G661, 0)</f>
        <v>0.83100124488232407</v>
      </c>
      <c r="AB153" s="471">
        <f>IFERROR(G153/Levelisation!H661, 0)</f>
        <v>0.95025759215493721</v>
      </c>
      <c r="AC153" s="5">
        <f>IFERROR(H153/Levelisation!I661, 0)</f>
        <v>0.73676527095987598</v>
      </c>
      <c r="AD153" s="5">
        <f>IFERROR(I153/Levelisation!J661, 0)</f>
        <v>0.96267963808306367</v>
      </c>
      <c r="AE153" s="5">
        <f>IFERROR(J153/Levelisation!K661, 0)</f>
        <v>0.97855495307599039</v>
      </c>
      <c r="AF153" s="6">
        <f>IFERROR(K153/Levelisation!L661, 0)</f>
        <v>0.94159527551491007</v>
      </c>
      <c r="AG153" s="33" t="str">
        <f t="shared" si="158"/>
        <v>1.06 &gt; Belize</v>
      </c>
      <c r="AH153" s="84">
        <f t="shared" si="161"/>
        <v>139</v>
      </c>
      <c r="AI153" s="84">
        <f t="shared" si="162"/>
        <v>6</v>
      </c>
      <c r="AJ153" s="877" t="s">
        <v>1526</v>
      </c>
    </row>
    <row r="154" spans="1:36" x14ac:dyDescent="0.2">
      <c r="A154" s="492">
        <f>INDEX(Country!$F$31:$G$76, MATCH(AI154, Country!$O$31:$O$76, 0), 1)</f>
        <v>1.06</v>
      </c>
      <c r="B154" s="2" t="str">
        <f>INDEX(Country!$F$31:$G$76, MATCH(AI154, Country!$O$31:$O$76, 0), 2)</f>
        <v>Clean energy electricity generation</v>
      </c>
      <c r="C154" s="436" t="str">
        <f>INDEX(Country!$K$31:$K$76, MATCH(AI154, Country!$O$31:$O$76, 0), 1)</f>
        <v>GWh</v>
      </c>
      <c r="D154" s="4" t="str">
        <f t="shared" si="114"/>
        <v>Bolivia</v>
      </c>
      <c r="E154" s="5">
        <f>Levelisation!F636</f>
        <v>1218.9689999999998</v>
      </c>
      <c r="F154" s="5">
        <f>Levelisation!G636</f>
        <v>1333.7660000000003</v>
      </c>
      <c r="G154" s="5">
        <f>Levelisation!H636</f>
        <v>1289.229</v>
      </c>
      <c r="H154" s="5">
        <f>Levelisation!I636</f>
        <v>1339.6355000000001</v>
      </c>
      <c r="I154" s="5">
        <f>Levelisation!J636</f>
        <v>1368.7239999999997</v>
      </c>
      <c r="J154" s="5">
        <f>Levelisation!K636</f>
        <v>1409.3</v>
      </c>
      <c r="K154" s="5">
        <f>Levelisation!L636</f>
        <v>1409.3</v>
      </c>
      <c r="L154" s="457">
        <f t="shared" si="171"/>
        <v>27.990830659810843</v>
      </c>
      <c r="M154" s="458">
        <f t="shared" si="172"/>
        <v>28.812171627328169</v>
      </c>
      <c r="N154" s="458">
        <f t="shared" si="173"/>
        <v>21.7708412503288</v>
      </c>
      <c r="O154" s="458">
        <f t="shared" si="174"/>
        <v>27.828193727368483</v>
      </c>
      <c r="P154" s="458">
        <f t="shared" si="175"/>
        <v>20.399522954279888</v>
      </c>
      <c r="Q154" s="458">
        <f t="shared" si="176"/>
        <v>19.948539805889315</v>
      </c>
      <c r="R154" s="459">
        <f t="shared" si="177"/>
        <v>20.731563699713394</v>
      </c>
      <c r="S154" s="455"/>
      <c r="T154" s="456"/>
      <c r="U154" s="456"/>
      <c r="V154" s="456"/>
      <c r="W154" s="456"/>
      <c r="X154" s="456"/>
      <c r="Y154" s="456"/>
      <c r="Z154" s="421">
        <f>IFERROR(E154/Levelisation!F662, 0)</f>
        <v>0.23932794062788368</v>
      </c>
      <c r="AA154" s="471">
        <f>IFERROR(F154/Levelisation!G662, 0)</f>
        <v>0.23942950490072887</v>
      </c>
      <c r="AB154" s="471">
        <f>IFERROR(G154/Levelisation!H662, 0)</f>
        <v>0.2068790718572483</v>
      </c>
      <c r="AC154" s="5">
        <f>IFERROR(H154/Levelisation!I662, 0)</f>
        <v>0.20502846691868562</v>
      </c>
      <c r="AD154" s="5">
        <f>IFERROR(I154/Levelisation!J662, 0)</f>
        <v>0.19638205374693313</v>
      </c>
      <c r="AE154" s="5">
        <f>IFERROR(J154/Levelisation!K662, 0)</f>
        <v>0.19520742433686541</v>
      </c>
      <c r="AF154" s="6">
        <f>IFERROR(K154/Levelisation!L662, 0)</f>
        <v>0.19520742433686541</v>
      </c>
      <c r="AG154" s="33" t="str">
        <f t="shared" si="158"/>
        <v>1.06 &gt; Bolivia</v>
      </c>
      <c r="AH154" s="84">
        <f t="shared" si="161"/>
        <v>140</v>
      </c>
      <c r="AI154" s="84">
        <f t="shared" si="162"/>
        <v>6</v>
      </c>
      <c r="AJ154" s="877" t="s">
        <v>1526</v>
      </c>
    </row>
    <row r="155" spans="1:36" x14ac:dyDescent="0.2">
      <c r="A155" s="492">
        <f>INDEX(Country!$F$31:$G$76, MATCH(AI155, Country!$O$31:$O$76, 0), 1)</f>
        <v>1.06</v>
      </c>
      <c r="B155" s="2" t="str">
        <f>INDEX(Country!$F$31:$G$76, MATCH(AI155, Country!$O$31:$O$76, 0), 2)</f>
        <v>Clean energy electricity generation</v>
      </c>
      <c r="C155" s="436" t="str">
        <f>INDEX(Country!$K$31:$K$76, MATCH(AI155, Country!$O$31:$O$76, 0), 1)</f>
        <v>GWh</v>
      </c>
      <c r="D155" s="4" t="str">
        <f t="shared" si="114"/>
        <v>Brazil</v>
      </c>
      <c r="E155" s="5">
        <f>Levelisation!F637</f>
        <v>26251.739999999998</v>
      </c>
      <c r="F155" s="5">
        <f>Levelisation!G637</f>
        <v>30696.16</v>
      </c>
      <c r="G155" s="5">
        <f>Levelisation!H637</f>
        <v>36102.720000000001</v>
      </c>
      <c r="H155" s="5">
        <f>Levelisation!I637</f>
        <v>39584.879999999997</v>
      </c>
      <c r="I155" s="5">
        <f>Levelisation!J637</f>
        <v>52952.94</v>
      </c>
      <c r="J155" s="5">
        <f>Levelisation!K637</f>
        <v>57399.82</v>
      </c>
      <c r="K155" s="5">
        <f>Levelisation!L637</f>
        <v>57399.82</v>
      </c>
      <c r="L155" s="457">
        <f t="shared" si="171"/>
        <v>7.1682375177119066</v>
      </c>
      <c r="M155" s="458">
        <f t="shared" si="172"/>
        <v>8.1198704755408126</v>
      </c>
      <c r="N155" s="458">
        <f t="shared" si="173"/>
        <v>7.9730759233804651</v>
      </c>
      <c r="O155" s="458">
        <f t="shared" si="174"/>
        <v>11.226019344204316</v>
      </c>
      <c r="P155" s="458">
        <f t="shared" si="175"/>
        <v>10.347971663834381</v>
      </c>
      <c r="Q155" s="458">
        <f t="shared" si="176"/>
        <v>10.679979310453859</v>
      </c>
      <c r="R155" s="459">
        <f t="shared" si="177"/>
        <v>11.099191897791373</v>
      </c>
      <c r="S155" s="455"/>
      <c r="T155" s="456"/>
      <c r="U155" s="456"/>
      <c r="V155" s="456"/>
      <c r="W155" s="456"/>
      <c r="X155" s="456"/>
      <c r="Y155" s="456"/>
      <c r="Z155" s="421">
        <f>IFERROR(E155/Levelisation!F663, 0)</f>
        <v>6.1290054014321166E-2</v>
      </c>
      <c r="AA155" s="471">
        <f>IFERROR(F155/Levelisation!G663, 0)</f>
        <v>6.7476224734576443E-2</v>
      </c>
      <c r="AB155" s="471">
        <f>IFERROR(G155/Levelisation!H663, 0)</f>
        <v>7.576475929020024E-2</v>
      </c>
      <c r="AC155" s="5">
        <f>IFERROR(H155/Levelisation!I663, 0)</f>
        <v>8.2709411839335015E-2</v>
      </c>
      <c r="AD155" s="5">
        <f>IFERROR(I155/Levelisation!J663, 0)</f>
        <v>9.9617816162338807E-2</v>
      </c>
      <c r="AE155" s="5">
        <f>IFERROR(J155/Levelisation!K663, 0)</f>
        <v>0.10450946652993726</v>
      </c>
      <c r="AF155" s="6">
        <f>IFERROR(K155/Levelisation!L663, 0)</f>
        <v>0.10450946652993726</v>
      </c>
      <c r="AG155" s="33" t="str">
        <f t="shared" si="158"/>
        <v>1.06 &gt; Brazil</v>
      </c>
      <c r="AH155" s="84">
        <f t="shared" si="161"/>
        <v>141</v>
      </c>
      <c r="AI155" s="84">
        <f t="shared" si="162"/>
        <v>6</v>
      </c>
      <c r="AJ155" s="877" t="s">
        <v>1526</v>
      </c>
    </row>
    <row r="156" spans="1:36" x14ac:dyDescent="0.2">
      <c r="A156" s="492">
        <f>INDEX(Country!$F$31:$G$76, MATCH(AI156, Country!$O$31:$O$76, 0), 1)</f>
        <v>1.06</v>
      </c>
      <c r="B156" s="2" t="str">
        <f>INDEX(Country!$F$31:$G$76, MATCH(AI156, Country!$O$31:$O$76, 0), 2)</f>
        <v>Clean energy electricity generation</v>
      </c>
      <c r="C156" s="436" t="str">
        <f>INDEX(Country!$K$31:$K$76, MATCH(AI156, Country!$O$31:$O$76, 0), 1)</f>
        <v>GWh</v>
      </c>
      <c r="D156" s="4" t="str">
        <f t="shared" si="114"/>
        <v>Chile</v>
      </c>
      <c r="E156" s="5">
        <f>Levelisation!F638</f>
        <v>3355.2783599999993</v>
      </c>
      <c r="F156" s="5">
        <f>Levelisation!G638</f>
        <v>3287.8808199999999</v>
      </c>
      <c r="G156" s="5">
        <f>Levelisation!H638</f>
        <v>4030.9044888734397</v>
      </c>
      <c r="H156" s="5">
        <f>Levelisation!I638</f>
        <v>4282.8779090499993</v>
      </c>
      <c r="I156" s="5">
        <f>Levelisation!J638</f>
        <v>4203.7636394999981</v>
      </c>
      <c r="J156" s="5">
        <f>Levelisation!K638</f>
        <v>4242.9130165099987</v>
      </c>
      <c r="K156" s="5">
        <f>Levelisation!L638</f>
        <v>5428.6768119499993</v>
      </c>
      <c r="L156" s="457">
        <f t="shared" si="171"/>
        <v>7.303170926740429</v>
      </c>
      <c r="M156" s="458">
        <f t="shared" si="172"/>
        <v>7.0437760186282823</v>
      </c>
      <c r="N156" s="458">
        <f t="shared" si="173"/>
        <v>7.4808739718641037</v>
      </c>
      <c r="O156" s="458">
        <f t="shared" si="174"/>
        <v>10.190389410660782</v>
      </c>
      <c r="P156" s="458">
        <f t="shared" si="175"/>
        <v>7.4426347937292503</v>
      </c>
      <c r="Q156" s="458">
        <f t="shared" si="176"/>
        <v>6.9519544105061222</v>
      </c>
      <c r="R156" s="459">
        <f t="shared" si="177"/>
        <v>8.7355124623579865</v>
      </c>
      <c r="S156" s="455"/>
      <c r="T156" s="456"/>
      <c r="U156" s="456"/>
      <c r="V156" s="456"/>
      <c r="W156" s="456"/>
      <c r="X156" s="456"/>
      <c r="Y156" s="456"/>
      <c r="Z156" s="421">
        <f>IFERROR(E156/Levelisation!F664, 0)</f>
        <v>6.2443765217006647E-2</v>
      </c>
      <c r="AA156" s="471">
        <f>IFERROR(F156/Levelisation!G664, 0)</f>
        <v>5.8533866401523624E-2</v>
      </c>
      <c r="AB156" s="471">
        <f>IFERROR(G156/Levelisation!H664, 0)</f>
        <v>7.1087572877181246E-2</v>
      </c>
      <c r="AC156" s="5">
        <f>IFERROR(H156/Levelisation!I664, 0)</f>
        <v>7.5079250153321411E-2</v>
      </c>
      <c r="AD156" s="5">
        <f>IFERROR(I156/Levelisation!J664, 0)</f>
        <v>7.1648729696116922E-2</v>
      </c>
      <c r="AE156" s="5">
        <f>IFERROR(J156/Levelisation!K664, 0)</f>
        <v>6.8028694219592428E-2</v>
      </c>
      <c r="AF156" s="6">
        <f>IFERROR(K156/Levelisation!L664, 0)</f>
        <v>8.2253172637578989E-2</v>
      </c>
      <c r="AG156" s="33" t="str">
        <f t="shared" si="158"/>
        <v>1.06 &gt; Chile</v>
      </c>
      <c r="AH156" s="84">
        <f t="shared" si="161"/>
        <v>142</v>
      </c>
      <c r="AI156" s="84">
        <f t="shared" si="162"/>
        <v>6</v>
      </c>
      <c r="AJ156" s="877" t="s">
        <v>1526</v>
      </c>
    </row>
    <row r="157" spans="1:36" x14ac:dyDescent="0.2">
      <c r="A157" s="492">
        <f>INDEX(Country!$F$31:$G$76, MATCH(AI157, Country!$O$31:$O$76, 0), 1)</f>
        <v>1.06</v>
      </c>
      <c r="B157" s="2" t="str">
        <f>INDEX(Country!$F$31:$G$76, MATCH(AI157, Country!$O$31:$O$76, 0), 2)</f>
        <v>Clean energy electricity generation</v>
      </c>
      <c r="C157" s="436" t="str">
        <f>INDEX(Country!$K$31:$K$76, MATCH(AI157, Country!$O$31:$O$76, 0), 1)</f>
        <v>GWh</v>
      </c>
      <c r="D157" s="4" t="str">
        <f t="shared" si="114"/>
        <v>Colombia</v>
      </c>
      <c r="E157" s="5">
        <f>Levelisation!F639</f>
        <v>2077.73</v>
      </c>
      <c r="F157" s="5">
        <f>Levelisation!G639</f>
        <v>2150.8779999999997</v>
      </c>
      <c r="G157" s="5">
        <f>Levelisation!H639</f>
        <v>2151.4092000000001</v>
      </c>
      <c r="H157" s="5">
        <f>Levelisation!I639</f>
        <v>2221.9151999999999</v>
      </c>
      <c r="I157" s="5">
        <f>Levelisation!J639</f>
        <v>2543.3991999999998</v>
      </c>
      <c r="J157" s="5">
        <f>Levelisation!K639</f>
        <v>3206.27</v>
      </c>
      <c r="K157" s="5">
        <f>Levelisation!L639</f>
        <v>3059.85</v>
      </c>
      <c r="L157" s="457">
        <f t="shared" si="171"/>
        <v>4.642729462962901</v>
      </c>
      <c r="M157" s="458">
        <f t="shared" si="172"/>
        <v>4.8267079913611379</v>
      </c>
      <c r="N157" s="458">
        <f t="shared" si="173"/>
        <v>4.162166267807148</v>
      </c>
      <c r="O157" s="458">
        <f t="shared" si="174"/>
        <v>5.3886040801248871</v>
      </c>
      <c r="P157" s="458">
        <f t="shared" si="175"/>
        <v>4.6442125187798222</v>
      </c>
      <c r="Q157" s="458">
        <f t="shared" si="176"/>
        <v>5.5894240279263405</v>
      </c>
      <c r="R157" s="459">
        <f t="shared" si="177"/>
        <v>5.4051873807251809</v>
      </c>
      <c r="S157" s="455"/>
      <c r="T157" s="456"/>
      <c r="U157" s="456"/>
      <c r="V157" s="456"/>
      <c r="W157" s="456"/>
      <c r="X157" s="456"/>
      <c r="Y157" s="456"/>
      <c r="Z157" s="421">
        <f>IFERROR(E157/Levelisation!F665, 0)</f>
        <v>3.9696388248265733E-2</v>
      </c>
      <c r="AA157" s="471">
        <f>IFERROR(F157/Levelisation!G665, 0)</f>
        <v>4.0110003495045676E-2</v>
      </c>
      <c r="AB157" s="471">
        <f>IFERROR(G157/Levelisation!H665, 0)</f>
        <v>3.9551300957949224E-2</v>
      </c>
      <c r="AC157" s="5">
        <f>IFERROR(H157/Levelisation!I665, 0)</f>
        <v>3.9701363451887059E-2</v>
      </c>
      <c r="AD157" s="5">
        <f>IFERROR(I157/Levelisation!J665, 0)</f>
        <v>4.4708888267597925E-2</v>
      </c>
      <c r="AE157" s="5">
        <f>IFERROR(J157/Levelisation!K665, 0)</f>
        <v>5.4695585673692738E-2</v>
      </c>
      <c r="AF157" s="6">
        <f>IFERROR(K157/Levelisation!L665, 0)</f>
        <v>5.0894989009636425E-2</v>
      </c>
      <c r="AG157" s="33" t="str">
        <f t="shared" si="158"/>
        <v>1.06 &gt; Colombia</v>
      </c>
      <c r="AH157" s="84">
        <f t="shared" si="161"/>
        <v>143</v>
      </c>
      <c r="AI157" s="84">
        <f t="shared" si="162"/>
        <v>6</v>
      </c>
      <c r="AJ157" s="877" t="s">
        <v>1526</v>
      </c>
    </row>
    <row r="158" spans="1:36" x14ac:dyDescent="0.2">
      <c r="A158" s="492">
        <f>INDEX(Country!$F$31:$G$76, MATCH(AI158, Country!$O$31:$O$76, 0), 1)</f>
        <v>1.06</v>
      </c>
      <c r="B158" s="2" t="str">
        <f>INDEX(Country!$F$31:$G$76, MATCH(AI158, Country!$O$31:$O$76, 0), 2)</f>
        <v>Clean energy electricity generation</v>
      </c>
      <c r="C158" s="436" t="str">
        <f>INDEX(Country!$K$31:$K$76, MATCH(AI158, Country!$O$31:$O$76, 0), 1)</f>
        <v>GWh</v>
      </c>
      <c r="D158" s="4" t="str">
        <f t="shared" si="114"/>
        <v>Costa Rica</v>
      </c>
      <c r="E158" s="5">
        <f>Levelisation!F640</f>
        <v>3545.9718567403083</v>
      </c>
      <c r="F158" s="5">
        <f>Levelisation!G640</f>
        <v>3815.015386474332</v>
      </c>
      <c r="G158" s="5">
        <f>Levelisation!H640</f>
        <v>3923.2745480305598</v>
      </c>
      <c r="H158" s="5">
        <f>Levelisation!I640</f>
        <v>4006.7318534988053</v>
      </c>
      <c r="I158" s="5">
        <f>Levelisation!J640</f>
        <v>4191.2031404119753</v>
      </c>
      <c r="J158" s="5">
        <f>Levelisation!K640</f>
        <v>4185.5863351607113</v>
      </c>
      <c r="K158" s="5">
        <f>Levelisation!L640</f>
        <v>4461.1504290619732</v>
      </c>
      <c r="L158" s="457">
        <f t="shared" si="171"/>
        <v>48.151358246027428</v>
      </c>
      <c r="M158" s="458">
        <f t="shared" si="172"/>
        <v>51.474306349999019</v>
      </c>
      <c r="N158" s="458">
        <f t="shared" si="173"/>
        <v>44.189525205016217</v>
      </c>
      <c r="O158" s="458">
        <f t="shared" si="174"/>
        <v>59.316169799384369</v>
      </c>
      <c r="P158" s="458">
        <f t="shared" si="175"/>
        <v>45.881443585802138</v>
      </c>
      <c r="Q158" s="458">
        <f t="shared" si="176"/>
        <v>43.879934619695597</v>
      </c>
      <c r="R158" s="459">
        <f t="shared" si="177"/>
        <v>47.174554193754808</v>
      </c>
      <c r="S158" s="455"/>
      <c r="T158" s="456"/>
      <c r="U158" s="456"/>
      <c r="V158" s="456"/>
      <c r="W158" s="456"/>
      <c r="X158" s="456"/>
      <c r="Y158" s="456"/>
      <c r="Z158" s="421">
        <f>IFERROR(E158/Levelisation!F666, 0)</f>
        <v>0.4117050168147845</v>
      </c>
      <c r="AA158" s="471">
        <f>IFERROR(F158/Levelisation!G666, 0)</f>
        <v>0.42775212656303302</v>
      </c>
      <c r="AB158" s="471">
        <f>IFERROR(G158/Levelisation!H666, 0)</f>
        <v>0.41991431819788616</v>
      </c>
      <c r="AC158" s="5">
        <f>IFERROR(H158/Levelisation!I666, 0)</f>
        <v>0.43702093914545437</v>
      </c>
      <c r="AD158" s="5">
        <f>IFERROR(I158/Levelisation!J666, 0)</f>
        <v>0.44169131505908504</v>
      </c>
      <c r="AE158" s="5">
        <f>IFERROR(J158/Levelisation!K666, 0)</f>
        <v>0.42938927362753754</v>
      </c>
      <c r="AF158" s="6">
        <f>IFERROR(K158/Levelisation!L666, 0)</f>
        <v>0.44419337353361615</v>
      </c>
      <c r="AG158" s="33" t="str">
        <f t="shared" si="158"/>
        <v>1.06 &gt; Costa Rica</v>
      </c>
      <c r="AH158" s="84">
        <f t="shared" si="161"/>
        <v>144</v>
      </c>
      <c r="AI158" s="84">
        <f t="shared" si="162"/>
        <v>6</v>
      </c>
      <c r="AJ158" s="877" t="s">
        <v>1526</v>
      </c>
    </row>
    <row r="159" spans="1:36" x14ac:dyDescent="0.2">
      <c r="A159" s="492">
        <f>INDEX(Country!$F$31:$G$76, MATCH(AI159, Country!$O$31:$O$76, 0), 1)</f>
        <v>1.06</v>
      </c>
      <c r="B159" s="2" t="str">
        <f>INDEX(Country!$F$31:$G$76, MATCH(AI159, Country!$O$31:$O$76, 0), 2)</f>
        <v>Clean energy electricity generation</v>
      </c>
      <c r="C159" s="436" t="str">
        <f>INDEX(Country!$K$31:$K$76, MATCH(AI159, Country!$O$31:$O$76, 0), 1)</f>
        <v>GWh</v>
      </c>
      <c r="D159" s="4" t="str">
        <f t="shared" si="114"/>
        <v>Dominican Republic</v>
      </c>
      <c r="E159" s="5">
        <f>Levelisation!F641</f>
        <v>673.85733592416</v>
      </c>
      <c r="F159" s="5">
        <f>Levelisation!G641</f>
        <v>673.85733592416</v>
      </c>
      <c r="G159" s="5">
        <f>Levelisation!H641</f>
        <v>744.38099999999997</v>
      </c>
      <c r="H159" s="5">
        <f>Levelisation!I641</f>
        <v>788.88800000000003</v>
      </c>
      <c r="I159" s="5">
        <f>Levelisation!J641</f>
        <v>911.62865999999997</v>
      </c>
      <c r="J159" s="5">
        <f>Levelisation!K641</f>
        <v>831.82995270639992</v>
      </c>
      <c r="K159" s="5">
        <f>Levelisation!L641</f>
        <v>934.88923361770003</v>
      </c>
      <c r="L159" s="457">
        <f t="shared" si="171"/>
        <v>7.3939073400601059</v>
      </c>
      <c r="M159" s="458">
        <f t="shared" si="172"/>
        <v>7.2812899006213403</v>
      </c>
      <c r="N159" s="458">
        <f t="shared" si="173"/>
        <v>6.8107662246909175</v>
      </c>
      <c r="O159" s="458">
        <f t="shared" si="174"/>
        <v>9.219951815747093</v>
      </c>
      <c r="P159" s="458">
        <f t="shared" si="175"/>
        <v>7.6666172547006335</v>
      </c>
      <c r="Q159" s="458">
        <f t="shared" si="176"/>
        <v>6.8158110145887907</v>
      </c>
      <c r="R159" s="459">
        <f t="shared" si="177"/>
        <v>7.4328456605303792</v>
      </c>
      <c r="S159" s="455"/>
      <c r="T159" s="456"/>
      <c r="U159" s="456"/>
      <c r="V159" s="456"/>
      <c r="W159" s="456"/>
      <c r="X159" s="456"/>
      <c r="Y159" s="456"/>
      <c r="Z159" s="421">
        <f>IFERROR(E159/Levelisation!F667, 0)</f>
        <v>6.3219582098030414E-2</v>
      </c>
      <c r="AA159" s="471">
        <f>IFERROR(F159/Levelisation!G667, 0)</f>
        <v>6.050760971765428E-2</v>
      </c>
      <c r="AB159" s="471">
        <f>IFERROR(G159/Levelisation!H667, 0)</f>
        <v>6.4719823134049628E-2</v>
      </c>
      <c r="AC159" s="5">
        <f>IFERROR(H159/Levelisation!I667, 0)</f>
        <v>6.7929402977659079E-2</v>
      </c>
      <c r="AD159" s="5">
        <f>IFERROR(I159/Levelisation!J667, 0)</f>
        <v>7.380496324076577E-2</v>
      </c>
      <c r="AE159" s="5">
        <f>IFERROR(J159/Levelisation!K667, 0)</f>
        <v>6.6696456275557522E-2</v>
      </c>
      <c r="AF159" s="6">
        <f>IFERROR(K159/Levelisation!L667, 0)</f>
        <v>6.9987323575869065E-2</v>
      </c>
      <c r="AG159" s="33" t="str">
        <f t="shared" si="158"/>
        <v>1.06 &gt; Dominican Republic</v>
      </c>
      <c r="AH159" s="84">
        <f t="shared" si="161"/>
        <v>145</v>
      </c>
      <c r="AI159" s="84">
        <f t="shared" si="162"/>
        <v>6</v>
      </c>
      <c r="AJ159" s="877" t="s">
        <v>1526</v>
      </c>
    </row>
    <row r="160" spans="1:36" x14ac:dyDescent="0.2">
      <c r="A160" s="492">
        <f>INDEX(Country!$F$31:$G$76, MATCH(AI160, Country!$O$31:$O$76, 0), 1)</f>
        <v>1.06</v>
      </c>
      <c r="B160" s="2" t="str">
        <f>INDEX(Country!$F$31:$G$76, MATCH(AI160, Country!$O$31:$O$76, 0), 2)</f>
        <v>Clean energy electricity generation</v>
      </c>
      <c r="C160" s="436" t="str">
        <f>INDEX(Country!$K$31:$K$76, MATCH(AI160, Country!$O$31:$O$76, 0), 1)</f>
        <v>GWh</v>
      </c>
      <c r="D160" s="4" t="str">
        <f t="shared" si="114"/>
        <v>Ecuador</v>
      </c>
      <c r="E160" s="5">
        <f>Levelisation!F642</f>
        <v>1306.6746099999998</v>
      </c>
      <c r="F160" s="5">
        <f>Levelisation!G642</f>
        <v>1689.6709300000002</v>
      </c>
      <c r="G160" s="5">
        <f>Levelisation!H642</f>
        <v>1907.8861899999999</v>
      </c>
      <c r="H160" s="5">
        <f>Levelisation!I642</f>
        <v>1941.5702299999998</v>
      </c>
      <c r="I160" s="5">
        <f>Levelisation!J642</f>
        <v>1640.92164</v>
      </c>
      <c r="J160" s="5">
        <f>Levelisation!K642</f>
        <v>2131.5691699999998</v>
      </c>
      <c r="K160" s="5">
        <f>Levelisation!L642</f>
        <v>2042.3042000000005</v>
      </c>
      <c r="L160" s="457">
        <f t="shared" si="171"/>
        <v>10.316115108471356</v>
      </c>
      <c r="M160" s="458">
        <f t="shared" si="172"/>
        <v>11.728298907627279</v>
      </c>
      <c r="N160" s="458">
        <f t="shared" si="173"/>
        <v>10.789444097955171</v>
      </c>
      <c r="O160" s="458">
        <f t="shared" si="174"/>
        <v>14.191693295566949</v>
      </c>
      <c r="P160" s="458">
        <f t="shared" si="175"/>
        <v>8.7367937649552783</v>
      </c>
      <c r="Q160" s="458">
        <f t="shared" si="176"/>
        <v>10.602964362559696</v>
      </c>
      <c r="R160" s="459">
        <f t="shared" si="177"/>
        <v>9.5256662655028368</v>
      </c>
      <c r="S160" s="455"/>
      <c r="T160" s="456"/>
      <c r="U160" s="456"/>
      <c r="V160" s="456"/>
      <c r="W160" s="456"/>
      <c r="X160" s="456"/>
      <c r="Y160" s="456"/>
      <c r="Z160" s="421">
        <f>IFERROR(E160/Levelisation!F668, 0)</f>
        <v>8.8205120248022351E-2</v>
      </c>
      <c r="AA160" s="471">
        <f>IFERROR(F160/Levelisation!G668, 0)</f>
        <v>9.7462309925902699E-2</v>
      </c>
      <c r="AB160" s="471">
        <f>IFERROR(G160/Levelisation!H668, 0)</f>
        <v>0.10252751169213178</v>
      </c>
      <c r="AC160" s="5">
        <f>IFERROR(H160/Levelisation!I668, 0)</f>
        <v>0.10455946756287839</v>
      </c>
      <c r="AD160" s="5">
        <f>IFERROR(I160/Levelisation!J668, 0)</f>
        <v>8.4107334596535147E-2</v>
      </c>
      <c r="AE160" s="5">
        <f>IFERROR(J160/Levelisation!K668, 0)</f>
        <v>0.10375583294271001</v>
      </c>
      <c r="AF160" s="6">
        <f>IFERROR(K160/Levelisation!L668, 0)</f>
        <v>8.9693223517292281E-2</v>
      </c>
      <c r="AG160" s="33" t="str">
        <f t="shared" si="158"/>
        <v>1.06 &gt; Ecuador</v>
      </c>
      <c r="AH160" s="84">
        <f t="shared" si="161"/>
        <v>146</v>
      </c>
      <c r="AI160" s="84">
        <f t="shared" si="162"/>
        <v>6</v>
      </c>
      <c r="AJ160" s="877" t="s">
        <v>1526</v>
      </c>
    </row>
    <row r="161" spans="1:36" x14ac:dyDescent="0.2">
      <c r="A161" s="492">
        <f>INDEX(Country!$F$31:$G$76, MATCH(AI161, Country!$O$31:$O$76, 0), 1)</f>
        <v>1.06</v>
      </c>
      <c r="B161" s="2" t="str">
        <f>INDEX(Country!$F$31:$G$76, MATCH(AI161, Country!$O$31:$O$76, 0), 2)</f>
        <v>Clean energy electricity generation</v>
      </c>
      <c r="C161" s="436" t="str">
        <f>INDEX(Country!$K$31:$K$76, MATCH(AI161, Country!$O$31:$O$76, 0), 1)</f>
        <v>GWh</v>
      </c>
      <c r="D161" s="4" t="str">
        <f t="shared" si="114"/>
        <v>El Salvador</v>
      </c>
      <c r="E161" s="5">
        <f>Levelisation!F643</f>
        <v>1456.9544000000001</v>
      </c>
      <c r="F161" s="5">
        <f>Levelisation!G643</f>
        <v>1737.7424000000001</v>
      </c>
      <c r="G161" s="5">
        <f>Levelisation!H643</f>
        <v>1921.5305000000001</v>
      </c>
      <c r="H161" s="5">
        <f>Levelisation!I643</f>
        <v>1873.9254000000001</v>
      </c>
      <c r="I161" s="5">
        <f>Levelisation!J643</f>
        <v>1954.0146</v>
      </c>
      <c r="J161" s="5">
        <f>Levelisation!K643</f>
        <v>1775.7506999999998</v>
      </c>
      <c r="K161" s="5">
        <f>Levelisation!L643</f>
        <v>1775.7506999999998</v>
      </c>
      <c r="L161" s="457">
        <f t="shared" si="171"/>
        <v>29.941352089001708</v>
      </c>
      <c r="M161" s="458">
        <f t="shared" si="172"/>
        <v>34.786554849467386</v>
      </c>
      <c r="N161" s="458">
        <f t="shared" si="173"/>
        <v>33.215903063283477</v>
      </c>
      <c r="O161" s="458">
        <f t="shared" si="174"/>
        <v>43.442317606040781</v>
      </c>
      <c r="P161" s="458">
        <f t="shared" si="175"/>
        <v>33.602342117054718</v>
      </c>
      <c r="Q161" s="458">
        <f t="shared" si="176"/>
        <v>31.166602590917133</v>
      </c>
      <c r="R161" s="459">
        <f t="shared" si="177"/>
        <v>32.389960027374862</v>
      </c>
      <c r="S161" s="455"/>
      <c r="T161" s="456"/>
      <c r="U161" s="456"/>
      <c r="V161" s="456"/>
      <c r="W161" s="456"/>
      <c r="X161" s="456"/>
      <c r="Y161" s="456"/>
      <c r="Z161" s="421">
        <f>IFERROR(E161/Levelisation!F669, 0)</f>
        <v>0.25600534054045776</v>
      </c>
      <c r="AA161" s="471">
        <f>IFERROR(F161/Levelisation!G669, 0)</f>
        <v>0.28907670385074646</v>
      </c>
      <c r="AB161" s="471">
        <f>IFERROR(G161/Levelisation!H669, 0)</f>
        <v>0.31563664066167557</v>
      </c>
      <c r="AC161" s="5">
        <f>IFERROR(H161/Levelisation!I669, 0)</f>
        <v>0.32006790902139626</v>
      </c>
      <c r="AD161" s="5">
        <f>IFERROR(I161/Levelisation!J669, 0)</f>
        <v>0.32348290547989522</v>
      </c>
      <c r="AE161" s="5">
        <f>IFERROR(J161/Levelisation!K669, 0)</f>
        <v>0.30498233335892955</v>
      </c>
      <c r="AF161" s="6">
        <f>IFERROR(K161/Levelisation!L669, 0)</f>
        <v>0.30498233335892955</v>
      </c>
      <c r="AG161" s="33" t="str">
        <f t="shared" si="158"/>
        <v>1.06 &gt; El Salvador</v>
      </c>
      <c r="AH161" s="84">
        <f t="shared" si="161"/>
        <v>147</v>
      </c>
      <c r="AI161" s="84">
        <f t="shared" si="162"/>
        <v>6</v>
      </c>
      <c r="AJ161" s="877" t="s">
        <v>1526</v>
      </c>
    </row>
    <row r="162" spans="1:36" x14ac:dyDescent="0.2">
      <c r="A162" s="492">
        <f>INDEX(Country!$F$31:$G$76, MATCH(AI162, Country!$O$31:$O$76, 0), 1)</f>
        <v>1.06</v>
      </c>
      <c r="B162" s="2" t="str">
        <f>INDEX(Country!$F$31:$G$76, MATCH(AI162, Country!$O$31:$O$76, 0), 2)</f>
        <v>Clean energy electricity generation</v>
      </c>
      <c r="C162" s="436" t="str">
        <f>INDEX(Country!$K$31:$K$76, MATCH(AI162, Country!$O$31:$O$76, 0), 1)</f>
        <v>GWh</v>
      </c>
      <c r="D162" s="4" t="str">
        <f t="shared" si="114"/>
        <v>Guatemala</v>
      </c>
      <c r="E162" s="5">
        <f>Levelisation!F644</f>
        <v>1389.8346000000001</v>
      </c>
      <c r="F162" s="5">
        <f>Levelisation!G644</f>
        <v>1502.5444139696874</v>
      </c>
      <c r="G162" s="5">
        <f>Levelisation!H644</f>
        <v>1716.8606222863573</v>
      </c>
      <c r="H162" s="5">
        <f>Levelisation!I644</f>
        <v>1655.9061985930562</v>
      </c>
      <c r="I162" s="5">
        <f>Levelisation!J644</f>
        <v>1680.410601323834</v>
      </c>
      <c r="J162" s="5">
        <f>Levelisation!K644</f>
        <v>1707.4977029543793</v>
      </c>
      <c r="K162" s="5">
        <f>Levelisation!L644</f>
        <v>1955.0441998160431</v>
      </c>
      <c r="L162" s="457">
        <f t="shared" si="171"/>
        <v>21.858003744611374</v>
      </c>
      <c r="M162" s="458">
        <f t="shared" si="172"/>
        <v>22.811695229699868</v>
      </c>
      <c r="N162" s="458">
        <f t="shared" si="173"/>
        <v>22.823963399115335</v>
      </c>
      <c r="O162" s="458">
        <f t="shared" si="174"/>
        <v>28.491113416534965</v>
      </c>
      <c r="P162" s="458">
        <f t="shared" si="175"/>
        <v>22.349006866756433</v>
      </c>
      <c r="Q162" s="458">
        <f t="shared" si="176"/>
        <v>21.419043691741877</v>
      </c>
      <c r="R162" s="459">
        <f t="shared" si="177"/>
        <v>23.855862693498452</v>
      </c>
      <c r="S162" s="455"/>
      <c r="T162" s="456"/>
      <c r="U162" s="456"/>
      <c r="V162" s="456"/>
      <c r="W162" s="456"/>
      <c r="X162" s="456"/>
      <c r="Y162" s="456"/>
      <c r="Z162" s="421">
        <f>IFERROR(E162/Levelisation!F670, 0)</f>
        <v>0.18689088173240231</v>
      </c>
      <c r="AA162" s="471">
        <f>IFERROR(F162/Levelisation!G670, 0)</f>
        <v>0.18956547133756765</v>
      </c>
      <c r="AB162" s="471">
        <f>IFERROR(G162/Levelisation!H670, 0)</f>
        <v>0.21688644503075755</v>
      </c>
      <c r="AC162" s="5">
        <f>IFERROR(H162/Levelisation!I670, 0)</f>
        <v>0.20991262896281943</v>
      </c>
      <c r="AD162" s="5">
        <f>IFERROR(I162/Levelisation!J670, 0)</f>
        <v>0.21514933842004988</v>
      </c>
      <c r="AE162" s="5">
        <f>IFERROR(J162/Levelisation!K670, 0)</f>
        <v>0.20959711294705061</v>
      </c>
      <c r="AF162" s="6">
        <f>IFERROR(K162/Levelisation!L670, 0)</f>
        <v>0.22462567605530537</v>
      </c>
      <c r="AG162" s="33" t="str">
        <f t="shared" si="158"/>
        <v>1.06 &gt; Guatemala</v>
      </c>
      <c r="AH162" s="84">
        <f t="shared" si="161"/>
        <v>148</v>
      </c>
      <c r="AI162" s="84">
        <f t="shared" si="162"/>
        <v>6</v>
      </c>
      <c r="AJ162" s="877" t="s">
        <v>1526</v>
      </c>
    </row>
    <row r="163" spans="1:36" x14ac:dyDescent="0.2">
      <c r="A163" s="492">
        <f>INDEX(Country!$F$31:$G$76, MATCH(AI163, Country!$O$31:$O$76, 0), 1)</f>
        <v>1.06</v>
      </c>
      <c r="B163" s="2" t="str">
        <f>INDEX(Country!$F$31:$G$76, MATCH(AI163, Country!$O$31:$O$76, 0), 2)</f>
        <v>Clean energy electricity generation</v>
      </c>
      <c r="C163" s="436" t="str">
        <f>INDEX(Country!$K$31:$K$76, MATCH(AI163, Country!$O$31:$O$76, 0), 1)</f>
        <v>GWh</v>
      </c>
      <c r="D163" s="4" t="str">
        <f t="shared" si="114"/>
        <v>Guyana</v>
      </c>
      <c r="E163" s="5">
        <f>Levelisation!F645</f>
        <v>0</v>
      </c>
      <c r="F163" s="5">
        <f>Levelisation!G645</f>
        <v>0</v>
      </c>
      <c r="G163" s="5">
        <f>Levelisation!H645</f>
        <v>0</v>
      </c>
      <c r="H163" s="5">
        <f>Levelisation!I645</f>
        <v>0</v>
      </c>
      <c r="I163" s="5">
        <f>Levelisation!J645</f>
        <v>0</v>
      </c>
      <c r="J163" s="5">
        <f>Levelisation!K645</f>
        <v>0</v>
      </c>
      <c r="K163" s="5">
        <f>Levelisation!L645</f>
        <v>0</v>
      </c>
      <c r="L163" s="457">
        <f t="shared" si="171"/>
        <v>0</v>
      </c>
      <c r="M163" s="458">
        <f t="shared" si="172"/>
        <v>0</v>
      </c>
      <c r="N163" s="458">
        <f t="shared" si="173"/>
        <v>0</v>
      </c>
      <c r="O163" s="458">
        <f t="shared" si="174"/>
        <v>0</v>
      </c>
      <c r="P163" s="458">
        <f t="shared" si="175"/>
        <v>0</v>
      </c>
      <c r="Q163" s="458">
        <f t="shared" si="176"/>
        <v>0</v>
      </c>
      <c r="R163" s="459">
        <f t="shared" si="177"/>
        <v>0</v>
      </c>
      <c r="S163" s="455"/>
      <c r="T163" s="456"/>
      <c r="U163" s="456"/>
      <c r="V163" s="456"/>
      <c r="W163" s="456"/>
      <c r="X163" s="456"/>
      <c r="Y163" s="456"/>
      <c r="Z163" s="421">
        <f>IFERROR(E163/Levelisation!F671, 0)</f>
        <v>0</v>
      </c>
      <c r="AA163" s="471">
        <f>IFERROR(F163/Levelisation!G671, 0)</f>
        <v>0</v>
      </c>
      <c r="AB163" s="471">
        <f>IFERROR(G163/Levelisation!H671, 0)</f>
        <v>0</v>
      </c>
      <c r="AC163" s="5">
        <f>IFERROR(H163/Levelisation!I671, 0)</f>
        <v>0</v>
      </c>
      <c r="AD163" s="5">
        <f>IFERROR(I163/Levelisation!J671, 0)</f>
        <v>0</v>
      </c>
      <c r="AE163" s="5">
        <f>IFERROR(J163/Levelisation!K671, 0)</f>
        <v>0</v>
      </c>
      <c r="AF163" s="6">
        <f>IFERROR(K163/Levelisation!L671, 0)</f>
        <v>0</v>
      </c>
      <c r="AG163" s="33" t="str">
        <f t="shared" si="158"/>
        <v>1.06 &gt; Guyana</v>
      </c>
      <c r="AH163" s="84">
        <f t="shared" si="161"/>
        <v>149</v>
      </c>
      <c r="AI163" s="84">
        <f t="shared" si="162"/>
        <v>6</v>
      </c>
      <c r="AJ163" s="877" t="s">
        <v>1526</v>
      </c>
    </row>
    <row r="164" spans="1:36" x14ac:dyDescent="0.2">
      <c r="A164" s="492">
        <f>INDEX(Country!$F$31:$G$76, MATCH(AI164, Country!$O$31:$O$76, 0), 1)</f>
        <v>1.06</v>
      </c>
      <c r="B164" s="2" t="str">
        <f>INDEX(Country!$F$31:$G$76, MATCH(AI164, Country!$O$31:$O$76, 0), 2)</f>
        <v>Clean energy electricity generation</v>
      </c>
      <c r="C164" s="436" t="str">
        <f>INDEX(Country!$K$31:$K$76, MATCH(AI164, Country!$O$31:$O$76, 0), 1)</f>
        <v>GWh</v>
      </c>
      <c r="D164" s="4" t="str">
        <f t="shared" si="114"/>
        <v>Haiti</v>
      </c>
      <c r="E164" s="5">
        <f>Levelisation!F646</f>
        <v>0</v>
      </c>
      <c r="F164" s="5">
        <f>Levelisation!G646</f>
        <v>0</v>
      </c>
      <c r="G164" s="5">
        <f>Levelisation!H646</f>
        <v>0</v>
      </c>
      <c r="H164" s="5">
        <f>Levelisation!I646</f>
        <v>0</v>
      </c>
      <c r="I164" s="5">
        <f>Levelisation!J646</f>
        <v>0</v>
      </c>
      <c r="J164" s="5">
        <f>Levelisation!K646</f>
        <v>0</v>
      </c>
      <c r="K164" s="5">
        <f>Levelisation!L646</f>
        <v>0</v>
      </c>
      <c r="L164" s="457">
        <f t="shared" si="171"/>
        <v>0</v>
      </c>
      <c r="M164" s="458">
        <f t="shared" si="172"/>
        <v>0</v>
      </c>
      <c r="N164" s="458">
        <f t="shared" si="173"/>
        <v>0</v>
      </c>
      <c r="O164" s="458">
        <f t="shared" si="174"/>
        <v>0</v>
      </c>
      <c r="P164" s="458">
        <f t="shared" si="175"/>
        <v>0</v>
      </c>
      <c r="Q164" s="458">
        <f t="shared" si="176"/>
        <v>0</v>
      </c>
      <c r="R164" s="459">
        <f t="shared" si="177"/>
        <v>0</v>
      </c>
      <c r="S164" s="455"/>
      <c r="T164" s="456"/>
      <c r="U164" s="456"/>
      <c r="V164" s="456"/>
      <c r="W164" s="456"/>
      <c r="X164" s="456"/>
      <c r="Y164" s="456"/>
      <c r="Z164" s="421">
        <f>IFERROR(E164/Levelisation!F672, 0)</f>
        <v>0</v>
      </c>
      <c r="AA164" s="471">
        <f>IFERROR(F164/Levelisation!G672, 0)</f>
        <v>0</v>
      </c>
      <c r="AB164" s="471">
        <f>IFERROR(G164/Levelisation!H672, 0)</f>
        <v>0</v>
      </c>
      <c r="AC164" s="5">
        <f>IFERROR(H164/Levelisation!I672, 0)</f>
        <v>0</v>
      </c>
      <c r="AD164" s="5">
        <f>IFERROR(I164/Levelisation!J672, 0)</f>
        <v>0</v>
      </c>
      <c r="AE164" s="5">
        <f>IFERROR(J164/Levelisation!K672, 0)</f>
        <v>0</v>
      </c>
      <c r="AF164" s="6">
        <f>IFERROR(K164/Levelisation!L672, 0)</f>
        <v>0</v>
      </c>
      <c r="AG164" s="33" t="str">
        <f t="shared" si="158"/>
        <v>1.06 &gt; Haiti</v>
      </c>
      <c r="AH164" s="84">
        <f t="shared" si="161"/>
        <v>150</v>
      </c>
      <c r="AI164" s="84">
        <f t="shared" si="162"/>
        <v>6</v>
      </c>
      <c r="AJ164" s="877" t="s">
        <v>1526</v>
      </c>
    </row>
    <row r="165" spans="1:36" x14ac:dyDescent="0.2">
      <c r="A165" s="492">
        <f>INDEX(Country!$F$31:$G$76, MATCH(AI165, Country!$O$31:$O$76, 0), 1)</f>
        <v>1.06</v>
      </c>
      <c r="B165" s="2" t="str">
        <f>INDEX(Country!$F$31:$G$76, MATCH(AI165, Country!$O$31:$O$76, 0), 2)</f>
        <v>Clean energy electricity generation</v>
      </c>
      <c r="C165" s="436" t="str">
        <f>INDEX(Country!$K$31:$K$76, MATCH(AI165, Country!$O$31:$O$76, 0), 1)</f>
        <v>GWh</v>
      </c>
      <c r="D165" s="4" t="str">
        <f t="shared" si="114"/>
        <v>Honduras</v>
      </c>
      <c r="E165" s="5">
        <f>Levelisation!F647</f>
        <v>544.9</v>
      </c>
      <c r="F165" s="5">
        <f>Levelisation!G647</f>
        <v>571.29999999999995</v>
      </c>
      <c r="G165" s="5">
        <f>Levelisation!H647</f>
        <v>702.59999999999991</v>
      </c>
      <c r="H165" s="5">
        <f>Levelisation!I647</f>
        <v>672.40000000000009</v>
      </c>
      <c r="I165" s="5">
        <f>Levelisation!J647</f>
        <v>829.1</v>
      </c>
      <c r="J165" s="5">
        <f>Levelisation!K647</f>
        <v>960.70864118300005</v>
      </c>
      <c r="K165" s="5">
        <f>Levelisation!L647</f>
        <v>1196.1045449400001</v>
      </c>
      <c r="L165" s="457">
        <f t="shared" si="171"/>
        <v>10.486278057561728</v>
      </c>
      <c r="M165" s="458">
        <f t="shared" si="172"/>
        <v>10.979365146200275</v>
      </c>
      <c r="N165" s="458">
        <f t="shared" si="173"/>
        <v>11.391702721918977</v>
      </c>
      <c r="O165" s="458">
        <f t="shared" si="174"/>
        <v>14.045771093750735</v>
      </c>
      <c r="P165" s="458">
        <f t="shared" si="175"/>
        <v>12.812476499684859</v>
      </c>
      <c r="Q165" s="458">
        <f t="shared" si="176"/>
        <v>13.774989335806811</v>
      </c>
      <c r="R165" s="459">
        <f t="shared" si="177"/>
        <v>16.959876236705252</v>
      </c>
      <c r="S165" s="455"/>
      <c r="T165" s="456"/>
      <c r="U165" s="456"/>
      <c r="V165" s="456"/>
      <c r="W165" s="456"/>
      <c r="X165" s="456"/>
      <c r="Y165" s="456"/>
      <c r="Z165" s="421">
        <f>IFERROR(E165/Levelisation!F673, 0)</f>
        <v>8.966005199591931E-2</v>
      </c>
      <c r="AA165" s="471">
        <f>IFERROR(F165/Levelisation!G673, 0)</f>
        <v>9.1238661045100283E-2</v>
      </c>
      <c r="AB165" s="471">
        <f>IFERROR(G165/Levelisation!H673, 0)</f>
        <v>0.1082505199907557</v>
      </c>
      <c r="AC165" s="5">
        <f>IFERROR(H165/Levelisation!I673, 0)</f>
        <v>0.10348436345727655</v>
      </c>
      <c r="AD165" s="5">
        <f>IFERROR(I165/Levelisation!J673, 0)</f>
        <v>0.1233431023966438</v>
      </c>
      <c r="AE165" s="5">
        <f>IFERROR(J165/Levelisation!K673, 0)</f>
        <v>0.13479584043122703</v>
      </c>
      <c r="AF165" s="6">
        <f>IFERROR(K165/Levelisation!L673, 0)</f>
        <v>0.15969339337799257</v>
      </c>
      <c r="AG165" s="33" t="str">
        <f t="shared" si="158"/>
        <v>1.06 &gt; Honduras</v>
      </c>
      <c r="AH165" s="84">
        <f t="shared" si="161"/>
        <v>151</v>
      </c>
      <c r="AI165" s="84">
        <f t="shared" si="162"/>
        <v>6</v>
      </c>
      <c r="AJ165" s="877" t="s">
        <v>1526</v>
      </c>
    </row>
    <row r="166" spans="1:36" x14ac:dyDescent="0.2">
      <c r="A166" s="492">
        <f>INDEX(Country!$F$31:$G$76, MATCH(AI166, Country!$O$31:$O$76, 0), 1)</f>
        <v>1.06</v>
      </c>
      <c r="B166" s="2" t="str">
        <f>INDEX(Country!$F$31:$G$76, MATCH(AI166, Country!$O$31:$O$76, 0), 2)</f>
        <v>Clean energy electricity generation</v>
      </c>
      <c r="C166" s="436" t="str">
        <f>INDEX(Country!$K$31:$K$76, MATCH(AI166, Country!$O$31:$O$76, 0), 1)</f>
        <v>GWh</v>
      </c>
      <c r="D166" s="4" t="str">
        <f t="shared" si="114"/>
        <v>Jamaica</v>
      </c>
      <c r="E166" s="5">
        <f>Levelisation!F648</f>
        <v>225.04334499999999</v>
      </c>
      <c r="F166" s="5">
        <f>Levelisation!G648</f>
        <v>211.74699600000002</v>
      </c>
      <c r="G166" s="5">
        <f>Levelisation!H648</f>
        <v>207.41838200000001</v>
      </c>
      <c r="H166" s="5">
        <f>Levelisation!I648</f>
        <v>198.63785423000002</v>
      </c>
      <c r="I166" s="5">
        <f>Levelisation!J648</f>
        <v>204.87798500000002</v>
      </c>
      <c r="J166" s="5">
        <f>Levelisation!K648</f>
        <v>243.31353337532084</v>
      </c>
      <c r="K166" s="5">
        <f>Levelisation!L648</f>
        <v>258.153520469</v>
      </c>
      <c r="L166" s="457">
        <f t="shared" si="171"/>
        <v>6.5045400282057617</v>
      </c>
      <c r="M166" s="458">
        <f t="shared" si="172"/>
        <v>6.252252731587026</v>
      </c>
      <c r="N166" s="458">
        <f t="shared" si="173"/>
        <v>5.2937340434264852</v>
      </c>
      <c r="O166" s="458">
        <f t="shared" si="174"/>
        <v>6.3979413058816439</v>
      </c>
      <c r="P166" s="458">
        <f t="shared" si="175"/>
        <v>5.1438829297803066</v>
      </c>
      <c r="Q166" s="458">
        <f t="shared" si="176"/>
        <v>6.0104669285117467</v>
      </c>
      <c r="R166" s="459">
        <f t="shared" si="177"/>
        <v>6.6289058503491738</v>
      </c>
      <c r="S166" s="455"/>
      <c r="T166" s="456"/>
      <c r="U166" s="456"/>
      <c r="V166" s="456"/>
      <c r="W166" s="456"/>
      <c r="X166" s="456"/>
      <c r="Y166" s="456"/>
      <c r="Z166" s="421">
        <f>IFERROR(E166/Levelisation!F674, 0)</f>
        <v>5.5615290185626859E-2</v>
      </c>
      <c r="AA166" s="471">
        <f>IFERROR(F166/Levelisation!G674, 0)</f>
        <v>5.1956298032677303E-2</v>
      </c>
      <c r="AB166" s="471">
        <f>IFERROR(G166/Levelisation!H674, 0)</f>
        <v>5.0304109656150717E-2</v>
      </c>
      <c r="AC166" s="5">
        <f>IFERROR(H166/Levelisation!I674, 0)</f>
        <v>4.7137809598132727E-2</v>
      </c>
      <c r="AD166" s="5">
        <f>IFERROR(I166/Levelisation!J674, 0)</f>
        <v>4.9519113571825542E-2</v>
      </c>
      <c r="AE166" s="5">
        <f>IFERROR(J166/Levelisation!K674, 0)</f>
        <v>5.8815721831946048E-2</v>
      </c>
      <c r="AF166" s="6">
        <f>IFERROR(K166/Levelisation!L674, 0)</f>
        <v>6.2417464305219293E-2</v>
      </c>
      <c r="AG166" s="33" t="str">
        <f t="shared" si="158"/>
        <v>1.06 &gt; Jamaica</v>
      </c>
      <c r="AH166" s="84">
        <f t="shared" si="161"/>
        <v>152</v>
      </c>
      <c r="AI166" s="84">
        <f t="shared" si="162"/>
        <v>6</v>
      </c>
      <c r="AJ166" s="877" t="s">
        <v>1526</v>
      </c>
    </row>
    <row r="167" spans="1:36" x14ac:dyDescent="0.2">
      <c r="A167" s="492">
        <f>INDEX(Country!$F$31:$G$76, MATCH(AI167, Country!$O$31:$O$76, 0), 1)</f>
        <v>1.06</v>
      </c>
      <c r="B167" s="2" t="str">
        <f>INDEX(Country!$F$31:$G$76, MATCH(AI167, Country!$O$31:$O$76, 0), 2)</f>
        <v>Clean energy electricity generation</v>
      </c>
      <c r="C167" s="436" t="str">
        <f>INDEX(Country!$K$31:$K$76, MATCH(AI167, Country!$O$31:$O$76, 0), 1)</f>
        <v>GWh</v>
      </c>
      <c r="D167" s="4" t="str">
        <f t="shared" si="114"/>
        <v>Mexico</v>
      </c>
      <c r="E167" s="5">
        <f>Levelisation!F649</f>
        <v>7826.2246336445351</v>
      </c>
      <c r="F167" s="5">
        <f>Levelisation!G649</f>
        <v>8672.3859087410074</v>
      </c>
      <c r="G167" s="5">
        <f>Levelisation!H649</f>
        <v>8686.0063677765102</v>
      </c>
      <c r="H167" s="5">
        <f>Levelisation!I649</f>
        <v>9362.7847546894427</v>
      </c>
      <c r="I167" s="5">
        <f>Levelisation!J649</f>
        <v>9691.3100863693981</v>
      </c>
      <c r="J167" s="5">
        <f>Levelisation!K649</f>
        <v>9553.0145789046746</v>
      </c>
      <c r="K167" s="5">
        <f>Levelisation!L649</f>
        <v>12215.045636871557</v>
      </c>
      <c r="L167" s="457">
        <f t="shared" si="171"/>
        <v>3.2320563958923016</v>
      </c>
      <c r="M167" s="458">
        <f t="shared" si="172"/>
        <v>3.433174484778772</v>
      </c>
      <c r="N167" s="458">
        <f t="shared" si="173"/>
        <v>2.9709520266721321</v>
      </c>
      <c r="O167" s="458">
        <f t="shared" si="174"/>
        <v>4.0689685435334653</v>
      </c>
      <c r="P167" s="458">
        <f t="shared" si="175"/>
        <v>3.1386810820723756</v>
      </c>
      <c r="Q167" s="458">
        <f t="shared" si="176"/>
        <v>2.9087130916609341</v>
      </c>
      <c r="R167" s="459">
        <f t="shared" si="177"/>
        <v>3.7747836307924967</v>
      </c>
      <c r="S167" s="455"/>
      <c r="T167" s="456"/>
      <c r="U167" s="456"/>
      <c r="V167" s="456"/>
      <c r="W167" s="456"/>
      <c r="X167" s="456"/>
      <c r="Y167" s="456"/>
      <c r="Z167" s="421">
        <f>IFERROR(E167/Levelisation!F675, 0)</f>
        <v>2.7634814079765927E-2</v>
      </c>
      <c r="AA167" s="471">
        <f>IFERROR(F167/Levelisation!G675, 0)</f>
        <v>2.8529722707493911E-2</v>
      </c>
      <c r="AB167" s="471">
        <f>IFERROR(G167/Levelisation!H675, 0)</f>
        <v>2.8231697192732913E-2</v>
      </c>
      <c r="AC167" s="5">
        <f>IFERROR(H167/Levelisation!I675, 0)</f>
        <v>2.9978747115036456E-2</v>
      </c>
      <c r="AD167" s="5">
        <f>IFERROR(I167/Levelisation!J675, 0)</f>
        <v>3.0215443681475933E-2</v>
      </c>
      <c r="AE167" s="5">
        <f>IFERROR(J167/Levelisation!K675, 0)</f>
        <v>2.8463356029217842E-2</v>
      </c>
      <c r="AF167" s="6">
        <f>IFERROR(K167/Levelisation!L675, 0)</f>
        <v>3.5543184328452333E-2</v>
      </c>
      <c r="AG167" s="33" t="str">
        <f t="shared" si="158"/>
        <v>1.06 &gt; Mexico</v>
      </c>
      <c r="AH167" s="84">
        <f t="shared" si="161"/>
        <v>153</v>
      </c>
      <c r="AI167" s="84">
        <f t="shared" si="162"/>
        <v>6</v>
      </c>
      <c r="AJ167" s="877" t="s">
        <v>1526</v>
      </c>
    </row>
    <row r="168" spans="1:36" x14ac:dyDescent="0.2">
      <c r="A168" s="492">
        <f>INDEX(Country!$F$31:$G$76, MATCH(AI168, Country!$O$31:$O$76, 0), 1)</f>
        <v>1.06</v>
      </c>
      <c r="B168" s="2" t="str">
        <f>INDEX(Country!$F$31:$G$76, MATCH(AI168, Country!$O$31:$O$76, 0), 2)</f>
        <v>Clean energy electricity generation</v>
      </c>
      <c r="C168" s="436" t="str">
        <f>INDEX(Country!$K$31:$K$76, MATCH(AI168, Country!$O$31:$O$76, 0), 1)</f>
        <v>GWh</v>
      </c>
      <c r="D168" s="4" t="str">
        <f t="shared" si="114"/>
        <v>Nicaragua</v>
      </c>
      <c r="E168" s="5">
        <f>Levelisation!F650</f>
        <v>826.82999999999993</v>
      </c>
      <c r="F168" s="5">
        <f>Levelisation!G650</f>
        <v>798.42000000000007</v>
      </c>
      <c r="G168" s="5">
        <f>Levelisation!H650</f>
        <v>962.55</v>
      </c>
      <c r="H168" s="5">
        <f>Levelisation!I650</f>
        <v>959.22</v>
      </c>
      <c r="I168" s="5">
        <f>Levelisation!J650</f>
        <v>1126.3600000000001</v>
      </c>
      <c r="J168" s="5">
        <f>Levelisation!K650</f>
        <v>1089.04</v>
      </c>
      <c r="K168" s="5">
        <f>Levelisation!L650</f>
        <v>1446.16</v>
      </c>
      <c r="L168" s="457">
        <f t="shared" si="171"/>
        <v>30.822167743468128</v>
      </c>
      <c r="M168" s="458">
        <f t="shared" si="172"/>
        <v>29.938980624519008</v>
      </c>
      <c r="N168" s="458">
        <f t="shared" si="173"/>
        <v>30.138379598708681</v>
      </c>
      <c r="O168" s="458">
        <f t="shared" si="174"/>
        <v>37.692869573626574</v>
      </c>
      <c r="P168" s="458">
        <f t="shared" si="175"/>
        <v>31.976042704221534</v>
      </c>
      <c r="Q168" s="458">
        <f t="shared" si="176"/>
        <v>29.100002835340337</v>
      </c>
      <c r="R168" s="459">
        <f t="shared" si="177"/>
        <v>39.255448512386252</v>
      </c>
      <c r="S168" s="455"/>
      <c r="T168" s="456"/>
      <c r="U168" s="456"/>
      <c r="V168" s="456"/>
      <c r="W168" s="456"/>
      <c r="X168" s="456"/>
      <c r="Y168" s="456"/>
      <c r="Z168" s="421">
        <f>IFERROR(E168/Levelisation!F676, 0)</f>
        <v>0.26353651384568311</v>
      </c>
      <c r="AA168" s="471">
        <f>IFERROR(F168/Levelisation!G676, 0)</f>
        <v>0.24879330169483077</v>
      </c>
      <c r="AB168" s="471">
        <f>IFERROR(G168/Levelisation!H676, 0)</f>
        <v>0.28639224028920396</v>
      </c>
      <c r="AC168" s="5">
        <f>IFERROR(H168/Levelisation!I676, 0)</f>
        <v>0.27770797264668245</v>
      </c>
      <c r="AD168" s="5">
        <f>IFERROR(I168/Levelisation!J676, 0)</f>
        <v>0.30782685217828576</v>
      </c>
      <c r="AE168" s="5">
        <f>IFERROR(J168/Levelisation!K676, 0)</f>
        <v>0.28475951909047653</v>
      </c>
      <c r="AF168" s="6">
        <f>IFERROR(K168/Levelisation!L676, 0)</f>
        <v>0.369627448574817</v>
      </c>
      <c r="AG168" s="33" t="str">
        <f t="shared" si="158"/>
        <v>1.06 &gt; Nicaragua</v>
      </c>
      <c r="AH168" s="84">
        <f t="shared" si="161"/>
        <v>154</v>
      </c>
      <c r="AI168" s="84">
        <f t="shared" si="162"/>
        <v>6</v>
      </c>
      <c r="AJ168" s="877" t="s">
        <v>1526</v>
      </c>
    </row>
    <row r="169" spans="1:36" x14ac:dyDescent="0.2">
      <c r="A169" s="492">
        <f>INDEX(Country!$F$31:$G$76, MATCH(AI169, Country!$O$31:$O$76, 0), 1)</f>
        <v>1.06</v>
      </c>
      <c r="B169" s="2" t="str">
        <f>INDEX(Country!$F$31:$G$76, MATCH(AI169, Country!$O$31:$O$76, 0), 2)</f>
        <v>Clean energy electricity generation</v>
      </c>
      <c r="C169" s="436" t="str">
        <f>INDEX(Country!$K$31:$K$76, MATCH(AI169, Country!$O$31:$O$76, 0), 1)</f>
        <v>GWh</v>
      </c>
      <c r="D169" s="4" t="str">
        <f t="shared" si="114"/>
        <v>Panama</v>
      </c>
      <c r="E169" s="5">
        <f>Levelisation!F651</f>
        <v>552.6</v>
      </c>
      <c r="F169" s="5">
        <f>Levelisation!G651</f>
        <v>330.9</v>
      </c>
      <c r="G169" s="5">
        <f>Levelisation!H651</f>
        <v>402.1</v>
      </c>
      <c r="H169" s="5">
        <f>Levelisation!I651</f>
        <v>401.79999999999995</v>
      </c>
      <c r="I169" s="5">
        <f>Levelisation!J651</f>
        <v>794.6</v>
      </c>
      <c r="J169" s="5">
        <f>Levelisation!K651</f>
        <v>1085.5899999999999</v>
      </c>
      <c r="K169" s="5">
        <f>Levelisation!L651</f>
        <v>1085.5899999999999</v>
      </c>
      <c r="L169" s="457">
        <f t="shared" si="171"/>
        <v>10.790708119475736</v>
      </c>
      <c r="M169" s="458">
        <f t="shared" si="172"/>
        <v>6.1916989213665046</v>
      </c>
      <c r="N169" s="458">
        <f t="shared" si="173"/>
        <v>6.6024094453734499</v>
      </c>
      <c r="O169" s="458">
        <f t="shared" si="174"/>
        <v>7.9126674669332502</v>
      </c>
      <c r="P169" s="458">
        <f t="shared" si="175"/>
        <v>11.027844565995562</v>
      </c>
      <c r="Q169" s="458">
        <f t="shared" si="176"/>
        <v>14.379548406828651</v>
      </c>
      <c r="R169" s="459">
        <f t="shared" si="177"/>
        <v>14.943977186804956</v>
      </c>
      <c r="S169" s="455"/>
      <c r="T169" s="456"/>
      <c r="U169" s="456"/>
      <c r="V169" s="456"/>
      <c r="W169" s="456"/>
      <c r="X169" s="456"/>
      <c r="Y169" s="456"/>
      <c r="Z169" s="421">
        <f>IFERROR(E169/Levelisation!F677, 0)</f>
        <v>9.2262997963068083E-2</v>
      </c>
      <c r="AA169" s="471">
        <f>IFERROR(F169/Levelisation!G677, 0)</f>
        <v>5.1453095115921083E-2</v>
      </c>
      <c r="AB169" s="471">
        <f>IFERROR(G169/Levelisation!H677, 0)</f>
        <v>6.2739897019815888E-2</v>
      </c>
      <c r="AC169" s="5">
        <f>IFERROR(H169/Levelisation!I677, 0)</f>
        <v>5.8297785902904714E-2</v>
      </c>
      <c r="AD169" s="5">
        <f>IFERROR(I169/Levelisation!J677, 0)</f>
        <v>0.10616281415628886</v>
      </c>
      <c r="AE169" s="5">
        <f>IFERROR(J169/Levelisation!K677, 0)</f>
        <v>0.14071178316498142</v>
      </c>
      <c r="AF169" s="6">
        <f>IFERROR(K169/Levelisation!L677, 0)</f>
        <v>0.14071178316498142</v>
      </c>
      <c r="AG169" s="33" t="str">
        <f t="shared" si="158"/>
        <v>1.06 &gt; Panama</v>
      </c>
      <c r="AH169" s="84">
        <f t="shared" si="161"/>
        <v>155</v>
      </c>
      <c r="AI169" s="84">
        <f t="shared" si="162"/>
        <v>6</v>
      </c>
      <c r="AJ169" s="877" t="s">
        <v>1526</v>
      </c>
    </row>
    <row r="170" spans="1:36" x14ac:dyDescent="0.2">
      <c r="A170" s="492">
        <f>INDEX(Country!$F$31:$G$76, MATCH(AI170, Country!$O$31:$O$76, 0), 1)</f>
        <v>1.06</v>
      </c>
      <c r="B170" s="2" t="str">
        <f>INDEX(Country!$F$31:$G$76, MATCH(AI170, Country!$O$31:$O$76, 0), 2)</f>
        <v>Clean energy electricity generation</v>
      </c>
      <c r="C170" s="436" t="str">
        <f>INDEX(Country!$K$31:$K$76, MATCH(AI170, Country!$O$31:$O$76, 0), 1)</f>
        <v>GWh</v>
      </c>
      <c r="D170" s="4" t="str">
        <f t="shared" si="114"/>
        <v>Paraguay</v>
      </c>
      <c r="E170" s="5">
        <f>Levelisation!F652</f>
        <v>0</v>
      </c>
      <c r="F170" s="5">
        <f>Levelisation!G652</f>
        <v>0</v>
      </c>
      <c r="G170" s="5">
        <f>Levelisation!H652</f>
        <v>0</v>
      </c>
      <c r="H170" s="5">
        <f>Levelisation!I652</f>
        <v>0</v>
      </c>
      <c r="I170" s="5">
        <f>Levelisation!J652</f>
        <v>0</v>
      </c>
      <c r="J170" s="5">
        <f>Levelisation!K652</f>
        <v>0</v>
      </c>
      <c r="K170" s="5">
        <f>Levelisation!L652</f>
        <v>0</v>
      </c>
      <c r="L170" s="457">
        <f t="shared" si="171"/>
        <v>0</v>
      </c>
      <c r="M170" s="458">
        <f t="shared" si="172"/>
        <v>0</v>
      </c>
      <c r="N170" s="458">
        <f t="shared" si="173"/>
        <v>0</v>
      </c>
      <c r="O170" s="458">
        <f t="shared" si="174"/>
        <v>0</v>
      </c>
      <c r="P170" s="458">
        <f t="shared" si="175"/>
        <v>0</v>
      </c>
      <c r="Q170" s="458">
        <f t="shared" si="176"/>
        <v>0</v>
      </c>
      <c r="R170" s="459">
        <f t="shared" si="177"/>
        <v>0</v>
      </c>
      <c r="S170" s="455"/>
      <c r="T170" s="456"/>
      <c r="U170" s="456"/>
      <c r="V170" s="456"/>
      <c r="W170" s="456"/>
      <c r="X170" s="456"/>
      <c r="Y170" s="456"/>
      <c r="Z170" s="421">
        <f>IFERROR(E170/Levelisation!F678, 0)</f>
        <v>0</v>
      </c>
      <c r="AA170" s="471">
        <f>IFERROR(F170/Levelisation!G678, 0)</f>
        <v>0</v>
      </c>
      <c r="AB170" s="471">
        <f>IFERROR(G170/Levelisation!H678, 0)</f>
        <v>0</v>
      </c>
      <c r="AC170" s="5">
        <f>IFERROR(H170/Levelisation!I678, 0)</f>
        <v>0</v>
      </c>
      <c r="AD170" s="5">
        <f>IFERROR(I170/Levelisation!J678, 0)</f>
        <v>0</v>
      </c>
      <c r="AE170" s="5">
        <f>IFERROR(J170/Levelisation!K678, 0)</f>
        <v>0</v>
      </c>
      <c r="AF170" s="6">
        <f>IFERROR(K170/Levelisation!L678, 0)</f>
        <v>0</v>
      </c>
      <c r="AG170" s="33" t="str">
        <f t="shared" si="158"/>
        <v>1.06 &gt; Paraguay</v>
      </c>
      <c r="AH170" s="84">
        <f t="shared" si="161"/>
        <v>156</v>
      </c>
      <c r="AI170" s="84">
        <f t="shared" si="162"/>
        <v>6</v>
      </c>
      <c r="AJ170" s="877" t="s">
        <v>1526</v>
      </c>
    </row>
    <row r="171" spans="1:36" x14ac:dyDescent="0.2">
      <c r="A171" s="492">
        <f>INDEX(Country!$F$31:$G$76, MATCH(AI171, Country!$O$31:$O$76, 0), 1)</f>
        <v>1.06</v>
      </c>
      <c r="B171" s="2" t="str">
        <f>INDEX(Country!$F$31:$G$76, MATCH(AI171, Country!$O$31:$O$76, 0), 2)</f>
        <v>Clean energy electricity generation</v>
      </c>
      <c r="C171" s="436" t="str">
        <f>INDEX(Country!$K$31:$K$76, MATCH(AI171, Country!$O$31:$O$76, 0), 1)</f>
        <v>GWh</v>
      </c>
      <c r="D171" s="4" t="str">
        <f t="shared" ref="D171:D234" si="178">D144</f>
        <v>Peru</v>
      </c>
      <c r="E171" s="5">
        <f>Levelisation!F653</f>
        <v>1984.7314429999994</v>
      </c>
      <c r="F171" s="5">
        <f>Levelisation!G653</f>
        <v>2538.275838</v>
      </c>
      <c r="G171" s="5">
        <f>Levelisation!H653</f>
        <v>2586.2980940000002</v>
      </c>
      <c r="H171" s="5">
        <f>Levelisation!I653</f>
        <v>3014.1270979999995</v>
      </c>
      <c r="I171" s="5">
        <f>Levelisation!J653</f>
        <v>3200.8246159999999</v>
      </c>
      <c r="J171" s="5">
        <f>Levelisation!K653</f>
        <v>3761.2482976647011</v>
      </c>
      <c r="K171" s="5">
        <f>Levelisation!L653</f>
        <v>4119.0274758163796</v>
      </c>
      <c r="L171" s="457">
        <f t="shared" si="171"/>
        <v>8.168037315444888</v>
      </c>
      <c r="M171" s="458">
        <f t="shared" si="172"/>
        <v>10.360050856966705</v>
      </c>
      <c r="N171" s="458">
        <f t="shared" si="173"/>
        <v>8.5096252170041975</v>
      </c>
      <c r="O171" s="458">
        <f t="shared" si="174"/>
        <v>12.463479674776107</v>
      </c>
      <c r="P171" s="458">
        <f t="shared" si="175"/>
        <v>9.379633232201197</v>
      </c>
      <c r="Q171" s="458">
        <f t="shared" si="176"/>
        <v>8.5731675186438654</v>
      </c>
      <c r="R171" s="459">
        <f t="shared" si="177"/>
        <v>9.7457470450553387</v>
      </c>
      <c r="S171" s="455"/>
      <c r="T171" s="456"/>
      <c r="U171" s="456"/>
      <c r="V171" s="456"/>
      <c r="W171" s="456"/>
      <c r="X171" s="456"/>
      <c r="Y171" s="456"/>
      <c r="Z171" s="421">
        <f>IFERROR(E171/Levelisation!F679, 0)</f>
        <v>6.9838568688277106E-2</v>
      </c>
      <c r="AA171" s="471">
        <f>IFERROR(F171/Levelisation!G679, 0)</f>
        <v>8.6092151591835211E-2</v>
      </c>
      <c r="AB171" s="471">
        <f>IFERROR(G171/Levelisation!H679, 0)</f>
        <v>8.0863359688513436E-2</v>
      </c>
      <c r="AC171" s="5">
        <f>IFERROR(H171/Levelisation!I679, 0)</f>
        <v>9.1826589796893246E-2</v>
      </c>
      <c r="AD171" s="5">
        <f>IFERROR(I171/Levelisation!J679, 0)</f>
        <v>9.0295819253273235E-2</v>
      </c>
      <c r="AE171" s="5">
        <f>IFERROR(J171/Levelisation!K679, 0)</f>
        <v>8.3893155389191523E-2</v>
      </c>
      <c r="AF171" s="6">
        <f>IFERROR(K171/Levelisation!L679, 0)</f>
        <v>9.1765493739875026E-2</v>
      </c>
      <c r="AG171" s="33" t="str">
        <f t="shared" si="158"/>
        <v>1.06 &gt; Peru</v>
      </c>
      <c r="AH171" s="84">
        <f t="shared" si="161"/>
        <v>157</v>
      </c>
      <c r="AI171" s="84">
        <f t="shared" si="162"/>
        <v>6</v>
      </c>
      <c r="AJ171" s="877" t="s">
        <v>1526</v>
      </c>
    </row>
    <row r="172" spans="1:36" x14ac:dyDescent="0.2">
      <c r="A172" s="492">
        <f>INDEX(Country!$F$31:$G$76, MATCH(AI172, Country!$O$31:$O$76, 0), 1)</f>
        <v>1.06</v>
      </c>
      <c r="B172" s="2" t="str">
        <f>INDEX(Country!$F$31:$G$76, MATCH(AI172, Country!$O$31:$O$76, 0), 2)</f>
        <v>Clean energy electricity generation</v>
      </c>
      <c r="C172" s="436" t="str">
        <f>INDEX(Country!$K$31:$K$76, MATCH(AI172, Country!$O$31:$O$76, 0), 1)</f>
        <v>GWh</v>
      </c>
      <c r="D172" s="4" t="str">
        <f t="shared" si="178"/>
        <v>Suriname</v>
      </c>
      <c r="E172" s="5">
        <f>Levelisation!F654</f>
        <v>0</v>
      </c>
      <c r="F172" s="5">
        <f>Levelisation!G654</f>
        <v>0</v>
      </c>
      <c r="G172" s="5">
        <f>Levelisation!H654</f>
        <v>0</v>
      </c>
      <c r="H172" s="5">
        <f>Levelisation!I654</f>
        <v>0</v>
      </c>
      <c r="I172" s="5">
        <f>Levelisation!J654</f>
        <v>0</v>
      </c>
      <c r="J172" s="5">
        <f>Levelisation!K654</f>
        <v>0</v>
      </c>
      <c r="K172" s="5">
        <f>Levelisation!L654</f>
        <v>0</v>
      </c>
      <c r="L172" s="457">
        <f t="shared" si="171"/>
        <v>0</v>
      </c>
      <c r="M172" s="458">
        <f t="shared" si="172"/>
        <v>0</v>
      </c>
      <c r="N172" s="458">
        <f t="shared" si="173"/>
        <v>0</v>
      </c>
      <c r="O172" s="458">
        <f t="shared" si="174"/>
        <v>0</v>
      </c>
      <c r="P172" s="458">
        <f t="shared" si="175"/>
        <v>0</v>
      </c>
      <c r="Q172" s="458">
        <f t="shared" si="176"/>
        <v>0</v>
      </c>
      <c r="R172" s="459">
        <f t="shared" si="177"/>
        <v>0</v>
      </c>
      <c r="S172" s="455"/>
      <c r="T172" s="456"/>
      <c r="U172" s="456"/>
      <c r="V172" s="456"/>
      <c r="W172" s="456"/>
      <c r="X172" s="456"/>
      <c r="Y172" s="456"/>
      <c r="Z172" s="421">
        <f>IFERROR(E172/Levelisation!F680, 0)</f>
        <v>0</v>
      </c>
      <c r="AA172" s="471">
        <f>IFERROR(F172/Levelisation!G680, 0)</f>
        <v>0</v>
      </c>
      <c r="AB172" s="471">
        <f>IFERROR(G172/Levelisation!H680, 0)</f>
        <v>0</v>
      </c>
      <c r="AC172" s="5">
        <f>IFERROR(H172/Levelisation!I680, 0)</f>
        <v>0</v>
      </c>
      <c r="AD172" s="5">
        <f>IFERROR(I172/Levelisation!J680, 0)</f>
        <v>0</v>
      </c>
      <c r="AE172" s="5">
        <f>IFERROR(J172/Levelisation!K680, 0)</f>
        <v>0</v>
      </c>
      <c r="AF172" s="6">
        <f>IFERROR(K172/Levelisation!L680, 0)</f>
        <v>0</v>
      </c>
      <c r="AG172" s="33" t="str">
        <f t="shared" si="158"/>
        <v>1.06 &gt; Suriname</v>
      </c>
      <c r="AH172" s="84">
        <f t="shared" si="161"/>
        <v>158</v>
      </c>
      <c r="AI172" s="84">
        <f t="shared" si="162"/>
        <v>6</v>
      </c>
      <c r="AJ172" s="877" t="s">
        <v>1526</v>
      </c>
    </row>
    <row r="173" spans="1:36" x14ac:dyDescent="0.2">
      <c r="A173" s="492">
        <f>INDEX(Country!$F$31:$G$76, MATCH(AI173, Country!$O$31:$O$76, 0), 1)</f>
        <v>1.06</v>
      </c>
      <c r="B173" s="2" t="str">
        <f>INDEX(Country!$F$31:$G$76, MATCH(AI173, Country!$O$31:$O$76, 0), 2)</f>
        <v>Clean energy electricity generation</v>
      </c>
      <c r="C173" s="436" t="str">
        <f>INDEX(Country!$K$31:$K$76, MATCH(AI173, Country!$O$31:$O$76, 0), 1)</f>
        <v>GWh</v>
      </c>
      <c r="D173" s="4" t="str">
        <f t="shared" si="178"/>
        <v>Trinidad &amp; Tobago</v>
      </c>
      <c r="E173" s="5">
        <f>Levelisation!F655</f>
        <v>0</v>
      </c>
      <c r="F173" s="5">
        <f>Levelisation!G655</f>
        <v>0</v>
      </c>
      <c r="G173" s="5">
        <f>Levelisation!H655</f>
        <v>0</v>
      </c>
      <c r="H173" s="5">
        <f>Levelisation!I655</f>
        <v>0</v>
      </c>
      <c r="I173" s="5">
        <f>Levelisation!J655</f>
        <v>0</v>
      </c>
      <c r="J173" s="5">
        <f>Levelisation!K655</f>
        <v>0</v>
      </c>
      <c r="K173" s="5">
        <f>Levelisation!L655</f>
        <v>0</v>
      </c>
      <c r="L173" s="457">
        <f t="shared" si="171"/>
        <v>0</v>
      </c>
      <c r="M173" s="458">
        <f t="shared" si="172"/>
        <v>0</v>
      </c>
      <c r="N173" s="458">
        <f t="shared" si="173"/>
        <v>0</v>
      </c>
      <c r="O173" s="458">
        <f t="shared" si="174"/>
        <v>0</v>
      </c>
      <c r="P173" s="458">
        <f t="shared" si="175"/>
        <v>0</v>
      </c>
      <c r="Q173" s="458">
        <f t="shared" si="176"/>
        <v>0</v>
      </c>
      <c r="R173" s="459">
        <f t="shared" si="177"/>
        <v>0</v>
      </c>
      <c r="S173" s="455"/>
      <c r="T173" s="456"/>
      <c r="U173" s="456"/>
      <c r="V173" s="456"/>
      <c r="W173" s="456"/>
      <c r="X173" s="456"/>
      <c r="Y173" s="456"/>
      <c r="Z173" s="421">
        <f>IFERROR(E173/Levelisation!F681, 0)</f>
        <v>0</v>
      </c>
      <c r="AA173" s="471">
        <f>IFERROR(F173/Levelisation!G681, 0)</f>
        <v>0</v>
      </c>
      <c r="AB173" s="471">
        <f>IFERROR(G173/Levelisation!H681, 0)</f>
        <v>0</v>
      </c>
      <c r="AC173" s="5">
        <f>IFERROR(H173/Levelisation!I681, 0)</f>
        <v>0</v>
      </c>
      <c r="AD173" s="5">
        <f>IFERROR(I173/Levelisation!J681, 0)</f>
        <v>0</v>
      </c>
      <c r="AE173" s="5">
        <f>IFERROR(J173/Levelisation!K681, 0)</f>
        <v>0</v>
      </c>
      <c r="AF173" s="6">
        <f>IFERROR(K173/Levelisation!L681, 0)</f>
        <v>0</v>
      </c>
      <c r="AG173" s="33" t="str">
        <f t="shared" si="158"/>
        <v>1.06 &gt; Trinidad &amp; Tobago</v>
      </c>
      <c r="AH173" s="84">
        <f t="shared" si="161"/>
        <v>159</v>
      </c>
      <c r="AI173" s="84">
        <f t="shared" si="162"/>
        <v>6</v>
      </c>
      <c r="AJ173" s="877" t="s">
        <v>1526</v>
      </c>
    </row>
    <row r="174" spans="1:36" x14ac:dyDescent="0.2">
      <c r="A174" s="492">
        <f>INDEX(Country!$F$31:$G$76, MATCH(AI174, Country!$O$31:$O$76, 0), 1)</f>
        <v>1.06</v>
      </c>
      <c r="B174" s="2" t="str">
        <f>INDEX(Country!$F$31:$G$76, MATCH(AI174, Country!$O$31:$O$76, 0), 2)</f>
        <v>Clean energy electricity generation</v>
      </c>
      <c r="C174" s="436" t="str">
        <f>INDEX(Country!$K$31:$K$76, MATCH(AI174, Country!$O$31:$O$76, 0), 1)</f>
        <v>GWh</v>
      </c>
      <c r="D174" s="4" t="str">
        <f t="shared" si="178"/>
        <v>Uruguay</v>
      </c>
      <c r="E174" s="5">
        <f>Levelisation!F656</f>
        <v>0</v>
      </c>
      <c r="F174" s="5">
        <f>Levelisation!G656</f>
        <v>23.189</v>
      </c>
      <c r="G174" s="5">
        <f>Levelisation!H656</f>
        <v>136.904</v>
      </c>
      <c r="H174" s="5">
        <f>Levelisation!I656</f>
        <v>231.17907290000002</v>
      </c>
      <c r="I174" s="5">
        <f>Levelisation!J656</f>
        <v>352.48428000000001</v>
      </c>
      <c r="J174" s="5">
        <f>Levelisation!K656</f>
        <v>478.96314999999998</v>
      </c>
      <c r="K174" s="5">
        <f>Levelisation!L656</f>
        <v>616.32772</v>
      </c>
      <c r="L174" s="457">
        <f t="shared" si="171"/>
        <v>0</v>
      </c>
      <c r="M174" s="458">
        <f t="shared" si="172"/>
        <v>0.29985176607694131</v>
      </c>
      <c r="N174" s="458">
        <f t="shared" si="173"/>
        <v>1.7968765716619555</v>
      </c>
      <c r="O174" s="458">
        <f t="shared" si="174"/>
        <v>3.9104931346886014</v>
      </c>
      <c r="P174" s="458">
        <f t="shared" si="175"/>
        <v>3.6038034833425558</v>
      </c>
      <c r="Q174" s="458">
        <f t="shared" si="176"/>
        <v>5.139051604576494</v>
      </c>
      <c r="R174" s="459">
        <f t="shared" si="177"/>
        <v>6.7298263001531557</v>
      </c>
      <c r="S174" s="455"/>
      <c r="T174" s="456"/>
      <c r="U174" s="456"/>
      <c r="V174" s="456"/>
      <c r="W174" s="456"/>
      <c r="X174" s="456"/>
      <c r="Y174" s="456"/>
      <c r="Z174" s="421">
        <f>IFERROR(E174/Levelisation!F682, 0)</f>
        <v>0</v>
      </c>
      <c r="AA174" s="471">
        <f>IFERROR(F174/Levelisation!G682, 0)</f>
        <v>2.4917719089010168E-3</v>
      </c>
      <c r="AB174" s="471">
        <f>IFERROR(G174/Levelisation!H682, 0)</f>
        <v>1.7074956043871083E-2</v>
      </c>
      <c r="AC174" s="5">
        <f>IFERROR(H174/Levelisation!I682, 0)</f>
        <v>2.8811155339655822E-2</v>
      </c>
      <c r="AD174" s="5">
        <f>IFERROR(I174/Levelisation!J682, 0)</f>
        <v>3.4693082330666959E-2</v>
      </c>
      <c r="AE174" s="5">
        <f>IFERROR(J174/Levelisation!K682, 0)</f>
        <v>5.0288444017714436E-2</v>
      </c>
      <c r="AF174" s="6">
        <f>IFERROR(K174/Levelisation!L682, 0)</f>
        <v>6.3367726492601986E-2</v>
      </c>
      <c r="AG174" s="33" t="str">
        <f t="shared" si="158"/>
        <v>1.06 &gt; Uruguay</v>
      </c>
      <c r="AH174" s="84">
        <f t="shared" si="161"/>
        <v>160</v>
      </c>
      <c r="AI174" s="84">
        <f t="shared" si="162"/>
        <v>6</v>
      </c>
      <c r="AJ174" s="877" t="s">
        <v>1526</v>
      </c>
    </row>
    <row r="175" spans="1:36" x14ac:dyDescent="0.2">
      <c r="A175" s="491">
        <f>INDEX(Country!$F$31:$G$76, MATCH(AI175, Country!$O$31:$O$76, 0), 1)</f>
        <v>1.06</v>
      </c>
      <c r="B175" s="386" t="str">
        <f>INDEX(Country!$F$31:$G$76, MATCH(AI175, Country!$O$31:$O$76, 0), 2)</f>
        <v>Clean energy electricity generation</v>
      </c>
      <c r="C175" s="437" t="str">
        <f>INDEX(Country!$K$31:$K$76, MATCH(AI175, Country!$O$31:$O$76, 0), 1)</f>
        <v>GWh</v>
      </c>
      <c r="D175" s="86" t="str">
        <f t="shared" si="178"/>
        <v>Venezuela</v>
      </c>
      <c r="E175" s="364">
        <f>Levelisation!F657</f>
        <v>0</v>
      </c>
      <c r="F175" s="364">
        <f>Levelisation!G657</f>
        <v>0</v>
      </c>
      <c r="G175" s="364">
        <f>Levelisation!H657</f>
        <v>0</v>
      </c>
      <c r="H175" s="364">
        <f>Levelisation!I657</f>
        <v>115.32539999999999</v>
      </c>
      <c r="I175" s="364">
        <f>Levelisation!J657</f>
        <v>115.32539999999999</v>
      </c>
      <c r="J175" s="364">
        <f>Levelisation!K657</f>
        <v>115.32539999999999</v>
      </c>
      <c r="K175" s="364">
        <f>Levelisation!L657</f>
        <v>115.32539999999999</v>
      </c>
      <c r="L175" s="460">
        <f t="shared" si="171"/>
        <v>0</v>
      </c>
      <c r="M175" s="461">
        <f t="shared" si="172"/>
        <v>0</v>
      </c>
      <c r="N175" s="461">
        <f t="shared" si="173"/>
        <v>0</v>
      </c>
      <c r="O175" s="461">
        <f t="shared" si="174"/>
        <v>0.12538297913055813</v>
      </c>
      <c r="P175" s="461">
        <f t="shared" si="175"/>
        <v>0.10267427662553029</v>
      </c>
      <c r="Q175" s="461">
        <f t="shared" si="176"/>
        <v>9.5938488402826247E-2</v>
      </c>
      <c r="R175" s="462">
        <f t="shared" si="177"/>
        <v>9.597970118324671E-2</v>
      </c>
      <c r="S175" s="455"/>
      <c r="T175" s="456"/>
      <c r="U175" s="456"/>
      <c r="V175" s="456"/>
      <c r="W175" s="456"/>
      <c r="X175" s="456"/>
      <c r="Y175" s="456"/>
      <c r="Z175" s="422">
        <f>IFERROR(E175/Levelisation!F683, 0)</f>
        <v>0</v>
      </c>
      <c r="AA175" s="470">
        <f>IFERROR(F175/Levelisation!G683, 0)</f>
        <v>0</v>
      </c>
      <c r="AB175" s="470">
        <f>IFERROR(G175/Levelisation!H683, 0)</f>
        <v>0</v>
      </c>
      <c r="AC175" s="364">
        <f>IFERROR(H175/Levelisation!I683, 0)</f>
        <v>9.2377824592882135E-4</v>
      </c>
      <c r="AD175" s="364">
        <f>IFERROR(I175/Levelisation!J683, 0)</f>
        <v>9.8842435462305868E-4</v>
      </c>
      <c r="AE175" s="364">
        <f>IFERROR(J175/Levelisation!K683, 0)</f>
        <v>9.3881083017209089E-4</v>
      </c>
      <c r="AF175" s="390">
        <f>IFERROR(K175/Levelisation!L683, 0)</f>
        <v>9.0374033179477925E-4</v>
      </c>
      <c r="AG175" s="90" t="str">
        <f t="shared" si="158"/>
        <v>1.06 &gt; Venezuela</v>
      </c>
      <c r="AH175" s="392">
        <f t="shared" si="161"/>
        <v>161</v>
      </c>
      <c r="AI175" s="392">
        <f t="shared" si="162"/>
        <v>6</v>
      </c>
      <c r="AJ175" s="878" t="s">
        <v>1526</v>
      </c>
    </row>
    <row r="176" spans="1:36" x14ac:dyDescent="0.2">
      <c r="A176" s="490">
        <f>INDEX(Country!$F$31:$G$76, MATCH(AI176, Country!$O$31:$O$76, 0), 1)</f>
        <v>1.06</v>
      </c>
      <c r="B176" s="387" t="str">
        <f>INDEX(Country!$F$31:$G$76, MATCH(AI176, Country!$O$31:$O$76, 0), 2)</f>
        <v>Clean energy electricity generation</v>
      </c>
      <c r="C176" s="438" t="str">
        <f>INDEX(Country!$K$31:$K$76, MATCH(AI176, Country!$O$31:$O$76, 0), 1)</f>
        <v>GWh</v>
      </c>
      <c r="D176" s="32" t="str">
        <f t="shared" si="178"/>
        <v>Benchmark</v>
      </c>
      <c r="E176" s="365">
        <f>IFERROR(MAX(E150:E175), 0)</f>
        <v>26251.739999999998</v>
      </c>
      <c r="F176" s="365">
        <f t="shared" ref="F176" si="179">IFERROR(MAX(F150:F175), 0)</f>
        <v>30696.16</v>
      </c>
      <c r="G176" s="365">
        <f t="shared" ref="G176" si="180">IFERROR(MAX(G150:G175), 0)</f>
        <v>36102.720000000001</v>
      </c>
      <c r="H176" s="365">
        <f t="shared" ref="H176" si="181">IFERROR(MAX(H150:H175), 0)</f>
        <v>39584.879999999997</v>
      </c>
      <c r="I176" s="365">
        <f t="shared" ref="I176" si="182">IFERROR(MAX(I150:I175), 0)</f>
        <v>52952.94</v>
      </c>
      <c r="J176" s="365">
        <f t="shared" ref="J176:K176" si="183">IFERROR(MAX(J150:J175), 0)</f>
        <v>57399.82</v>
      </c>
      <c r="K176" s="593">
        <f t="shared" si="183"/>
        <v>57399.82</v>
      </c>
      <c r="L176" s="585">
        <f t="shared" ref="L176:M176" si="184">MAX(Z150:Z175)</f>
        <v>0.85502264486744961</v>
      </c>
      <c r="M176" s="463">
        <f t="shared" si="184"/>
        <v>0.83100124488232407</v>
      </c>
      <c r="N176" s="463">
        <f t="shared" ref="N176" si="185">MAX(AB150:AB175)</f>
        <v>0.95025759215493721</v>
      </c>
      <c r="O176" s="463">
        <f t="shared" ref="O176" si="186">MAX(AC150:AC175)</f>
        <v>0.73676527095987598</v>
      </c>
      <c r="P176" s="463">
        <f t="shared" ref="P176" si="187">MAX(AD150:AD175)</f>
        <v>0.96267963808306367</v>
      </c>
      <c r="Q176" s="463">
        <f t="shared" ref="Q176" si="188">MAX(AE150:AE175)</f>
        <v>0.97855495307599039</v>
      </c>
      <c r="R176" s="586">
        <f t="shared" ref="R176" si="189">MAX(AF150:AF175)</f>
        <v>0.94159527551491007</v>
      </c>
      <c r="S176" s="393"/>
      <c r="T176" s="394"/>
      <c r="U176" s="376"/>
      <c r="V176" s="376"/>
      <c r="W176" s="376"/>
      <c r="X176" s="376"/>
      <c r="Y176" s="376"/>
      <c r="Z176" s="393"/>
      <c r="AA176" s="394"/>
      <c r="AB176" s="376"/>
      <c r="AC176" s="376"/>
      <c r="AD176" s="376"/>
      <c r="AE176" s="376"/>
      <c r="AF176" s="401"/>
      <c r="AG176" s="34" t="str">
        <f t="shared" si="158"/>
        <v>1.06 &gt; Benchmark</v>
      </c>
      <c r="AH176" s="85">
        <f t="shared" si="161"/>
        <v>162</v>
      </c>
      <c r="AI176" s="85">
        <f t="shared" si="162"/>
        <v>6</v>
      </c>
      <c r="AJ176" s="871" t="s">
        <v>1526</v>
      </c>
    </row>
    <row r="177" spans="1:36" x14ac:dyDescent="0.2">
      <c r="A177" s="587">
        <f>INDEX(Country!$F$31:$G$76, MATCH(AI177, Country!$O$31:$O$76, 0), 1)</f>
        <v>1.07</v>
      </c>
      <c r="B177" s="588" t="str">
        <f>INDEX(Country!$F$31:$G$76, MATCH(AI177, Country!$O$31:$O$76, 0), 2)</f>
        <v>Growth rate of electricity generation</v>
      </c>
      <c r="C177" s="589" t="str">
        <f>INDEX(Country!$K$31:$K$76, MATCH(AI177, Country!$O$31:$O$76, 0), 1)</f>
        <v>%</v>
      </c>
      <c r="D177" s="590" t="str">
        <f t="shared" si="178"/>
        <v>Argentina</v>
      </c>
      <c r="E177" s="634"/>
      <c r="F177" s="594">
        <f>IF(E150&lt;&gt;0, F150/E150-1, 0)</f>
        <v>-1.7358045653096288E-2</v>
      </c>
      <c r="G177" s="594">
        <f t="shared" ref="G177:K192" si="190">IF(F150&lt;&gt;0, G150/F150-1, 0)</f>
        <v>-5.5415700736103801E-2</v>
      </c>
      <c r="H177" s="594">
        <f t="shared" si="190"/>
        <v>-0.1180189935896081</v>
      </c>
      <c r="I177" s="594">
        <f t="shared" si="190"/>
        <v>-9.0445258646786986E-2</v>
      </c>
      <c r="J177" s="594">
        <f t="shared" si="190"/>
        <v>-0.12328066707277185</v>
      </c>
      <c r="K177" s="594">
        <f t="shared" si="190"/>
        <v>0</v>
      </c>
      <c r="L177" s="595">
        <f t="shared" ref="L177:L203" si="191">IFERROR(dbl_BenchmarkMax*E177/ SUMIFS(E$15:E$1256, $D$15:$D$1256, "Benchmark", $B$15:$B$1256,$B177), 0)</f>
        <v>0</v>
      </c>
      <c r="M177" s="596">
        <f t="shared" ref="M177:M203" si="192">IFERROR(dbl_BenchmarkMax*F177/ SUMIFS(F$15:F$1256, $D$15:$D$1256, "Benchmark", $B$15:$B$1256,$B177), 0)</f>
        <v>-5.9220719233338235</v>
      </c>
      <c r="N177" s="596">
        <f t="shared" ref="N177:N203" si="193">IFERROR(dbl_BenchmarkMax*G177/ SUMIFS(G$15:G$1256, $D$15:$D$1256, "Benchmark", $B$15:$B$1256,$B177), 0)</f>
        <v>-1.1300485286633346</v>
      </c>
      <c r="O177" s="596">
        <f t="shared" ref="O177:O203" si="194">IFERROR(dbl_BenchmarkMax*H177/ SUMIFS(H$15:H$1256, $D$15:$D$1256, "Benchmark", $B$15:$B$1256,$B177), 0)</f>
        <v>-17.138435220867066</v>
      </c>
      <c r="P177" s="596">
        <f t="shared" ref="P177:P203" si="195">IFERROR(dbl_BenchmarkMax*I177/ SUMIFS(I$15:I$1256, $D$15:$D$1256, "Benchmark", $B$15:$B$1256,$B177), 0)</f>
        <v>-9.2517578727797858</v>
      </c>
      <c r="Q177" s="596">
        <f t="shared" ref="Q177:Q203" si="196">IFERROR(dbl_BenchmarkMax*J177/ SUMIFS(J$15:J$1256, $D$15:$D$1256, "Benchmark", $B$15:$B$1256,$B177), 0)</f>
        <v>-33.663980912067281</v>
      </c>
      <c r="R177" s="597">
        <f t="shared" ref="R177:R203" si="197">IFERROR(dbl_BenchmarkMax*K177/ SUMIFS(K$15:K$1256, $D$15:$D$1256, "Benchmark", $B$15:$B$1256,$B177), 0)</f>
        <v>0</v>
      </c>
      <c r="S177" s="455"/>
      <c r="T177" s="456"/>
      <c r="U177" s="456"/>
      <c r="V177" s="456"/>
      <c r="W177" s="456"/>
      <c r="X177" s="456"/>
      <c r="Y177" s="456"/>
      <c r="Z177" s="455"/>
      <c r="AA177" s="456"/>
      <c r="AB177" s="456"/>
      <c r="AC177" s="456"/>
      <c r="AD177" s="456"/>
      <c r="AE177" s="456"/>
      <c r="AF177" s="456"/>
      <c r="AG177" s="396" t="str">
        <f t="shared" si="158"/>
        <v>1.07 &gt; Argentina</v>
      </c>
      <c r="AH177" s="397">
        <f t="shared" si="161"/>
        <v>163</v>
      </c>
      <c r="AI177" s="397">
        <f t="shared" si="162"/>
        <v>7</v>
      </c>
      <c r="AJ177" s="879" t="s">
        <v>1526</v>
      </c>
    </row>
    <row r="178" spans="1:36" x14ac:dyDescent="0.2">
      <c r="A178" s="492">
        <f>INDEX(Country!$F$31:$G$76, MATCH(AI178, Country!$O$31:$O$76, 0), 1)</f>
        <v>1.07</v>
      </c>
      <c r="B178" s="2" t="str">
        <f>INDEX(Country!$F$31:$G$76, MATCH(AI178, Country!$O$31:$O$76, 0), 2)</f>
        <v>Growth rate of electricity generation</v>
      </c>
      <c r="C178" s="436" t="str">
        <f>INDEX(Country!$K$31:$K$76, MATCH(AI178, Country!$O$31:$O$76, 0), 1)</f>
        <v>%</v>
      </c>
      <c r="D178" s="4" t="str">
        <f t="shared" si="178"/>
        <v>Bahamas</v>
      </c>
      <c r="E178" s="634"/>
      <c r="F178" s="486">
        <f t="shared" ref="F178" si="198">IF(E151&lt;&gt;0, F151/E151-1, 0)</f>
        <v>0</v>
      </c>
      <c r="G178" s="486">
        <f t="shared" si="190"/>
        <v>0</v>
      </c>
      <c r="H178" s="486">
        <f t="shared" si="190"/>
        <v>0</v>
      </c>
      <c r="I178" s="486">
        <f t="shared" si="190"/>
        <v>0</v>
      </c>
      <c r="J178" s="486">
        <f t="shared" si="190"/>
        <v>0</v>
      </c>
      <c r="K178" s="486">
        <f t="shared" si="190"/>
        <v>0</v>
      </c>
      <c r="L178" s="483">
        <f t="shared" si="191"/>
        <v>0</v>
      </c>
      <c r="M178" s="482">
        <f t="shared" si="192"/>
        <v>0</v>
      </c>
      <c r="N178" s="482">
        <f t="shared" si="193"/>
        <v>0</v>
      </c>
      <c r="O178" s="482">
        <f t="shared" si="194"/>
        <v>0</v>
      </c>
      <c r="P178" s="482">
        <f t="shared" si="195"/>
        <v>0</v>
      </c>
      <c r="Q178" s="482">
        <f t="shared" si="196"/>
        <v>0</v>
      </c>
      <c r="R178" s="481">
        <f t="shared" si="197"/>
        <v>0</v>
      </c>
      <c r="S178" s="455"/>
      <c r="T178" s="456"/>
      <c r="U178" s="456"/>
      <c r="V178" s="456"/>
      <c r="W178" s="456"/>
      <c r="X178" s="456"/>
      <c r="Y178" s="456"/>
      <c r="Z178" s="455"/>
      <c r="AA178" s="456"/>
      <c r="AB178" s="456"/>
      <c r="AC178" s="456"/>
      <c r="AD178" s="456"/>
      <c r="AE178" s="456"/>
      <c r="AF178" s="456"/>
      <c r="AG178" s="33" t="str">
        <f t="shared" si="158"/>
        <v>1.07 &gt; Bahamas</v>
      </c>
      <c r="AH178" s="84">
        <f t="shared" si="161"/>
        <v>164</v>
      </c>
      <c r="AI178" s="84">
        <f t="shared" si="162"/>
        <v>7</v>
      </c>
      <c r="AJ178" s="877" t="s">
        <v>1526</v>
      </c>
    </row>
    <row r="179" spans="1:36" x14ac:dyDescent="0.2">
      <c r="A179" s="492">
        <f>INDEX(Country!$F$31:$G$76, MATCH(AI179, Country!$O$31:$O$76, 0), 1)</f>
        <v>1.07</v>
      </c>
      <c r="B179" s="2" t="str">
        <f>INDEX(Country!$F$31:$G$76, MATCH(AI179, Country!$O$31:$O$76, 0), 2)</f>
        <v>Growth rate of electricity generation</v>
      </c>
      <c r="C179" s="436" t="str">
        <f>INDEX(Country!$K$31:$K$76, MATCH(AI179, Country!$O$31:$O$76, 0), 1)</f>
        <v>%</v>
      </c>
      <c r="D179" s="4" t="str">
        <f t="shared" si="178"/>
        <v>Barbados</v>
      </c>
      <c r="E179" s="634"/>
      <c r="F179" s="486">
        <f t="shared" ref="F179" si="199">IF(E152&lt;&gt;0, F152/E152-1, 0)</f>
        <v>0</v>
      </c>
      <c r="G179" s="486">
        <f t="shared" si="190"/>
        <v>0</v>
      </c>
      <c r="H179" s="486">
        <f t="shared" si="190"/>
        <v>0</v>
      </c>
      <c r="I179" s="486">
        <f t="shared" si="190"/>
        <v>0</v>
      </c>
      <c r="J179" s="486">
        <f t="shared" si="190"/>
        <v>0</v>
      </c>
      <c r="K179" s="486">
        <f t="shared" si="190"/>
        <v>0</v>
      </c>
      <c r="L179" s="483">
        <f t="shared" si="191"/>
        <v>0</v>
      </c>
      <c r="M179" s="482">
        <f t="shared" si="192"/>
        <v>0</v>
      </c>
      <c r="N179" s="482">
        <f t="shared" si="193"/>
        <v>0</v>
      </c>
      <c r="O179" s="482">
        <f t="shared" si="194"/>
        <v>0</v>
      </c>
      <c r="P179" s="482">
        <f t="shared" si="195"/>
        <v>0</v>
      </c>
      <c r="Q179" s="482">
        <f t="shared" si="196"/>
        <v>0</v>
      </c>
      <c r="R179" s="481">
        <f t="shared" si="197"/>
        <v>0</v>
      </c>
      <c r="S179" s="455"/>
      <c r="T179" s="456"/>
      <c r="U179" s="456"/>
      <c r="V179" s="456"/>
      <c r="W179" s="456"/>
      <c r="X179" s="456"/>
      <c r="Y179" s="456"/>
      <c r="Z179" s="455"/>
      <c r="AA179" s="456"/>
      <c r="AB179" s="456"/>
      <c r="AC179" s="456"/>
      <c r="AD179" s="456"/>
      <c r="AE179" s="456"/>
      <c r="AF179" s="456"/>
      <c r="AG179" s="33" t="str">
        <f t="shared" si="158"/>
        <v>1.07 &gt; Barbados</v>
      </c>
      <c r="AH179" s="84">
        <f t="shared" si="161"/>
        <v>165</v>
      </c>
      <c r="AI179" s="84">
        <f t="shared" si="162"/>
        <v>7</v>
      </c>
      <c r="AJ179" s="877" t="s">
        <v>1526</v>
      </c>
    </row>
    <row r="180" spans="1:36" x14ac:dyDescent="0.2">
      <c r="A180" s="492">
        <f>INDEX(Country!$F$31:$G$76, MATCH(AI180, Country!$O$31:$O$76, 0), 1)</f>
        <v>1.07</v>
      </c>
      <c r="B180" s="2" t="str">
        <f>INDEX(Country!$F$31:$G$76, MATCH(AI180, Country!$O$31:$O$76, 0), 2)</f>
        <v>Growth rate of electricity generation</v>
      </c>
      <c r="C180" s="436" t="str">
        <f>INDEX(Country!$K$31:$K$76, MATCH(AI180, Country!$O$31:$O$76, 0), 1)</f>
        <v>%</v>
      </c>
      <c r="D180" s="4" t="str">
        <f t="shared" si="178"/>
        <v>Belize</v>
      </c>
      <c r="E180" s="634"/>
      <c r="F180" s="486">
        <f t="shared" ref="F180:F181" si="200">IF(E153&lt;&gt;0, F153/E153-1, 0)</f>
        <v>-1.8548643870596182E-3</v>
      </c>
      <c r="G180" s="486">
        <f t="shared" si="190"/>
        <v>0.15267090723190013</v>
      </c>
      <c r="H180" s="486">
        <f t="shared" si="190"/>
        <v>-7.5544284151284113E-2</v>
      </c>
      <c r="I180" s="486">
        <f t="shared" si="190"/>
        <v>0.64687852003279422</v>
      </c>
      <c r="J180" s="486">
        <f t="shared" si="190"/>
        <v>1.2830348531620794E-2</v>
      </c>
      <c r="K180" s="486">
        <f t="shared" si="190"/>
        <v>-0.13309245957308524</v>
      </c>
      <c r="L180" s="483">
        <f t="shared" si="191"/>
        <v>0</v>
      </c>
      <c r="M180" s="482">
        <f t="shared" si="192"/>
        <v>-0.63282702026066817</v>
      </c>
      <c r="N180" s="482">
        <f t="shared" si="193"/>
        <v>3.1132969861500523</v>
      </c>
      <c r="O180" s="482">
        <f t="shared" si="194"/>
        <v>-10.970359777305882</v>
      </c>
      <c r="P180" s="482">
        <f t="shared" si="195"/>
        <v>66.170007471786306</v>
      </c>
      <c r="Q180" s="482">
        <f t="shared" si="196"/>
        <v>3.5035550854757518</v>
      </c>
      <c r="R180" s="481">
        <f t="shared" si="197"/>
        <v>-40.586640953593388</v>
      </c>
      <c r="S180" s="455"/>
      <c r="T180" s="456"/>
      <c r="U180" s="456"/>
      <c r="V180" s="456"/>
      <c r="W180" s="456"/>
      <c r="X180" s="456"/>
      <c r="Y180" s="456"/>
      <c r="Z180" s="455"/>
      <c r="AA180" s="456"/>
      <c r="AB180" s="456"/>
      <c r="AC180" s="456"/>
      <c r="AD180" s="456"/>
      <c r="AE180" s="456"/>
      <c r="AF180" s="456"/>
      <c r="AG180" s="33" t="str">
        <f t="shared" si="158"/>
        <v>1.07 &gt; Belize</v>
      </c>
      <c r="AH180" s="84">
        <f t="shared" si="161"/>
        <v>166</v>
      </c>
      <c r="AI180" s="84">
        <f t="shared" si="162"/>
        <v>7</v>
      </c>
      <c r="AJ180" s="877" t="s">
        <v>1526</v>
      </c>
    </row>
    <row r="181" spans="1:36" x14ac:dyDescent="0.2">
      <c r="A181" s="492">
        <f>INDEX(Country!$F$31:$G$76, MATCH(AI181, Country!$O$31:$O$76, 0), 1)</f>
        <v>1.07</v>
      </c>
      <c r="B181" s="2" t="str">
        <f>INDEX(Country!$F$31:$G$76, MATCH(AI181, Country!$O$31:$O$76, 0), 2)</f>
        <v>Growth rate of electricity generation</v>
      </c>
      <c r="C181" s="436" t="str">
        <f>INDEX(Country!$K$31:$K$76, MATCH(AI181, Country!$O$31:$O$76, 0), 1)</f>
        <v>%</v>
      </c>
      <c r="D181" s="4" t="str">
        <f t="shared" si="178"/>
        <v>Bolivia</v>
      </c>
      <c r="E181" s="634"/>
      <c r="F181" s="486">
        <f t="shared" si="200"/>
        <v>9.417548764570749E-2</v>
      </c>
      <c r="G181" s="486">
        <f t="shared" si="190"/>
        <v>-3.3391914323802063E-2</v>
      </c>
      <c r="H181" s="486">
        <f t="shared" si="190"/>
        <v>3.9098174180071998E-2</v>
      </c>
      <c r="I181" s="486">
        <f t="shared" si="190"/>
        <v>2.171374228288192E-2</v>
      </c>
      <c r="J181" s="486">
        <f t="shared" si="190"/>
        <v>2.9645129332137365E-2</v>
      </c>
      <c r="K181" s="486">
        <f t="shared" si="190"/>
        <v>0</v>
      </c>
      <c r="L181" s="483">
        <f t="shared" si="191"/>
        <v>0</v>
      </c>
      <c r="M181" s="482">
        <f t="shared" si="192"/>
        <v>32.130000254575435</v>
      </c>
      <c r="N181" s="482">
        <f t="shared" si="193"/>
        <v>-0.68093488216562992</v>
      </c>
      <c r="O181" s="482">
        <f t="shared" si="194"/>
        <v>5.6777430908235083</v>
      </c>
      <c r="P181" s="482">
        <f t="shared" si="195"/>
        <v>2.2211256744556906</v>
      </c>
      <c r="Q181" s="482">
        <f t="shared" si="196"/>
        <v>8.0951303368900529</v>
      </c>
      <c r="R181" s="481">
        <f t="shared" si="197"/>
        <v>0</v>
      </c>
      <c r="S181" s="455"/>
      <c r="T181" s="456"/>
      <c r="U181" s="456"/>
      <c r="V181" s="456"/>
      <c r="W181" s="456"/>
      <c r="X181" s="456"/>
      <c r="Y181" s="456"/>
      <c r="Z181" s="455"/>
      <c r="AA181" s="456"/>
      <c r="AB181" s="456"/>
      <c r="AC181" s="456"/>
      <c r="AD181" s="456"/>
      <c r="AE181" s="456"/>
      <c r="AF181" s="456"/>
      <c r="AG181" s="33" t="str">
        <f t="shared" si="158"/>
        <v>1.07 &gt; Bolivia</v>
      </c>
      <c r="AH181" s="84">
        <f t="shared" si="161"/>
        <v>167</v>
      </c>
      <c r="AI181" s="84">
        <f t="shared" si="162"/>
        <v>7</v>
      </c>
      <c r="AJ181" s="877" t="s">
        <v>1526</v>
      </c>
    </row>
    <row r="182" spans="1:36" x14ac:dyDescent="0.2">
      <c r="A182" s="492">
        <f>INDEX(Country!$F$31:$G$76, MATCH(AI182, Country!$O$31:$O$76, 0), 1)</f>
        <v>1.07</v>
      </c>
      <c r="B182" s="2" t="str">
        <f>INDEX(Country!$F$31:$G$76, MATCH(AI182, Country!$O$31:$O$76, 0), 2)</f>
        <v>Growth rate of electricity generation</v>
      </c>
      <c r="C182" s="436" t="str">
        <f>INDEX(Country!$K$31:$K$76, MATCH(AI182, Country!$O$31:$O$76, 0), 1)</f>
        <v>%</v>
      </c>
      <c r="D182" s="4" t="str">
        <f t="shared" si="178"/>
        <v>Brazil</v>
      </c>
      <c r="E182" s="634"/>
      <c r="F182" s="486">
        <f t="shared" ref="F182" si="201">IF(E155&lt;&gt;0, F155/E155-1, 0)</f>
        <v>0.16930001592275423</v>
      </c>
      <c r="G182" s="486">
        <f t="shared" si="190"/>
        <v>0.17613147703165488</v>
      </c>
      <c r="H182" s="486">
        <f t="shared" si="190"/>
        <v>9.6451458505065535E-2</v>
      </c>
      <c r="I182" s="486">
        <f t="shared" si="190"/>
        <v>0.33770621510031118</v>
      </c>
      <c r="J182" s="486">
        <f t="shared" si="190"/>
        <v>8.3977962318994903E-2</v>
      </c>
      <c r="K182" s="486">
        <f t="shared" si="190"/>
        <v>0</v>
      </c>
      <c r="L182" s="483">
        <f t="shared" si="191"/>
        <v>0</v>
      </c>
      <c r="M182" s="482">
        <f t="shared" si="192"/>
        <v>57.760354532612347</v>
      </c>
      <c r="N182" s="482">
        <f t="shared" si="193"/>
        <v>3.5917098191857231</v>
      </c>
      <c r="O182" s="482">
        <f t="shared" si="194"/>
        <v>14.006449498250655</v>
      </c>
      <c r="P182" s="482">
        <f t="shared" si="195"/>
        <v>34.544388296157074</v>
      </c>
      <c r="Q182" s="482">
        <f t="shared" si="196"/>
        <v>22.931677672316368</v>
      </c>
      <c r="R182" s="481">
        <f t="shared" si="197"/>
        <v>0</v>
      </c>
      <c r="S182" s="455"/>
      <c r="T182" s="456"/>
      <c r="U182" s="456"/>
      <c r="V182" s="456"/>
      <c r="W182" s="456"/>
      <c r="X182" s="456"/>
      <c r="Y182" s="456"/>
      <c r="Z182" s="455"/>
      <c r="AA182" s="456"/>
      <c r="AB182" s="456"/>
      <c r="AC182" s="456"/>
      <c r="AD182" s="456"/>
      <c r="AE182" s="456"/>
      <c r="AF182" s="456"/>
      <c r="AG182" s="33" t="str">
        <f t="shared" si="158"/>
        <v>1.07 &gt; Brazil</v>
      </c>
      <c r="AH182" s="84">
        <f t="shared" si="161"/>
        <v>168</v>
      </c>
      <c r="AI182" s="84">
        <f t="shared" si="162"/>
        <v>7</v>
      </c>
      <c r="AJ182" s="877" t="s">
        <v>1526</v>
      </c>
    </row>
    <row r="183" spans="1:36" x14ac:dyDescent="0.2">
      <c r="A183" s="492">
        <f>INDEX(Country!$F$31:$G$76, MATCH(AI183, Country!$O$31:$O$76, 0), 1)</f>
        <v>1.07</v>
      </c>
      <c r="B183" s="2" t="str">
        <f>INDEX(Country!$F$31:$G$76, MATCH(AI183, Country!$O$31:$O$76, 0), 2)</f>
        <v>Growth rate of electricity generation</v>
      </c>
      <c r="C183" s="436" t="str">
        <f>INDEX(Country!$K$31:$K$76, MATCH(AI183, Country!$O$31:$O$76, 0), 1)</f>
        <v>%</v>
      </c>
      <c r="D183" s="4" t="str">
        <f t="shared" si="178"/>
        <v>Chile</v>
      </c>
      <c r="E183" s="634"/>
      <c r="F183" s="486">
        <f t="shared" ref="F183" si="202">IF(E156&lt;&gt;0, F156/E156-1, 0)</f>
        <v>-2.0087018950046054E-2</v>
      </c>
      <c r="G183" s="486">
        <f t="shared" si="190"/>
        <v>0.22598862597259228</v>
      </c>
      <c r="H183" s="486">
        <f t="shared" si="190"/>
        <v>6.2510392114743851E-2</v>
      </c>
      <c r="I183" s="486">
        <f t="shared" si="190"/>
        <v>-1.8472221536557809E-2</v>
      </c>
      <c r="J183" s="486">
        <f t="shared" si="190"/>
        <v>9.3129348762950315E-3</v>
      </c>
      <c r="K183" s="486">
        <f t="shared" si="190"/>
        <v>0.27946926812450856</v>
      </c>
      <c r="L183" s="483">
        <f t="shared" si="191"/>
        <v>0</v>
      </c>
      <c r="M183" s="482">
        <f t="shared" si="192"/>
        <v>-6.8531200646037576</v>
      </c>
      <c r="N183" s="482">
        <f t="shared" si="193"/>
        <v>4.6084072001745087</v>
      </c>
      <c r="O183" s="482">
        <f t="shared" si="194"/>
        <v>9.0776092330944156</v>
      </c>
      <c r="P183" s="482">
        <f t="shared" si="195"/>
        <v>-1.8895464901702967</v>
      </c>
      <c r="Q183" s="482">
        <f t="shared" si="196"/>
        <v>2.5430626663129443</v>
      </c>
      <c r="R183" s="481">
        <f t="shared" si="197"/>
        <v>85.224353650961774</v>
      </c>
      <c r="S183" s="455"/>
      <c r="T183" s="456"/>
      <c r="U183" s="456"/>
      <c r="V183" s="456"/>
      <c r="W183" s="456"/>
      <c r="X183" s="456"/>
      <c r="Y183" s="456"/>
      <c r="Z183" s="455"/>
      <c r="AA183" s="456"/>
      <c r="AB183" s="456"/>
      <c r="AC183" s="456"/>
      <c r="AD183" s="456"/>
      <c r="AE183" s="456"/>
      <c r="AF183" s="456"/>
      <c r="AG183" s="33" t="str">
        <f t="shared" si="158"/>
        <v>1.07 &gt; Chile</v>
      </c>
      <c r="AH183" s="84">
        <f t="shared" si="161"/>
        <v>169</v>
      </c>
      <c r="AI183" s="84">
        <f t="shared" si="162"/>
        <v>7</v>
      </c>
      <c r="AJ183" s="877" t="s">
        <v>1526</v>
      </c>
    </row>
    <row r="184" spans="1:36" x14ac:dyDescent="0.2">
      <c r="A184" s="492">
        <f>INDEX(Country!$F$31:$G$76, MATCH(AI184, Country!$O$31:$O$76, 0), 1)</f>
        <v>1.07</v>
      </c>
      <c r="B184" s="2" t="str">
        <f>INDEX(Country!$F$31:$G$76, MATCH(AI184, Country!$O$31:$O$76, 0), 2)</f>
        <v>Growth rate of electricity generation</v>
      </c>
      <c r="C184" s="436" t="str">
        <f>INDEX(Country!$K$31:$K$76, MATCH(AI184, Country!$O$31:$O$76, 0), 1)</f>
        <v>%</v>
      </c>
      <c r="D184" s="4" t="str">
        <f t="shared" si="178"/>
        <v>Colombia</v>
      </c>
      <c r="E184" s="634"/>
      <c r="F184" s="486">
        <f t="shared" ref="F184" si="203">IF(E157&lt;&gt;0, F157/E157-1, 0)</f>
        <v>3.5205729329604862E-2</v>
      </c>
      <c r="G184" s="486">
        <f t="shared" si="190"/>
        <v>2.4696891223041639E-4</v>
      </c>
      <c r="H184" s="486">
        <f t="shared" si="190"/>
        <v>3.2772008226050087E-2</v>
      </c>
      <c r="I184" s="486">
        <f t="shared" si="190"/>
        <v>0.14468779006507537</v>
      </c>
      <c r="J184" s="486">
        <f t="shared" si="190"/>
        <v>0.26062397125862113</v>
      </c>
      <c r="K184" s="486">
        <f t="shared" si="190"/>
        <v>-4.5666771669260586E-2</v>
      </c>
      <c r="L184" s="483">
        <f t="shared" si="191"/>
        <v>0</v>
      </c>
      <c r="M184" s="482">
        <f t="shared" si="192"/>
        <v>12.011194426496566</v>
      </c>
      <c r="N184" s="482">
        <f t="shared" si="193"/>
        <v>5.0362415738566821E-3</v>
      </c>
      <c r="O184" s="482">
        <f t="shared" si="194"/>
        <v>4.7590724421271275</v>
      </c>
      <c r="P184" s="482">
        <f t="shared" si="195"/>
        <v>14.800293800444823</v>
      </c>
      <c r="Q184" s="482">
        <f t="shared" si="196"/>
        <v>71.168015245231956</v>
      </c>
      <c r="R184" s="481">
        <f t="shared" si="197"/>
        <v>-13.926114756578052</v>
      </c>
      <c r="S184" s="455"/>
      <c r="T184" s="456"/>
      <c r="U184" s="456"/>
      <c r="V184" s="456"/>
      <c r="W184" s="456"/>
      <c r="X184" s="456"/>
      <c r="Y184" s="456"/>
      <c r="Z184" s="455"/>
      <c r="AA184" s="456"/>
      <c r="AB184" s="456"/>
      <c r="AC184" s="456"/>
      <c r="AD184" s="456"/>
      <c r="AE184" s="456"/>
      <c r="AF184" s="456"/>
      <c r="AG184" s="33" t="str">
        <f t="shared" si="158"/>
        <v>1.07 &gt; Colombia</v>
      </c>
      <c r="AH184" s="84">
        <f t="shared" si="161"/>
        <v>170</v>
      </c>
      <c r="AI184" s="84">
        <f t="shared" si="162"/>
        <v>7</v>
      </c>
      <c r="AJ184" s="877" t="s">
        <v>1526</v>
      </c>
    </row>
    <row r="185" spans="1:36" x14ac:dyDescent="0.2">
      <c r="A185" s="492">
        <f>INDEX(Country!$F$31:$G$76, MATCH(AI185, Country!$O$31:$O$76, 0), 1)</f>
        <v>1.07</v>
      </c>
      <c r="B185" s="2" t="str">
        <f>INDEX(Country!$F$31:$G$76, MATCH(AI185, Country!$O$31:$O$76, 0), 2)</f>
        <v>Growth rate of electricity generation</v>
      </c>
      <c r="C185" s="436" t="str">
        <f>INDEX(Country!$K$31:$K$76, MATCH(AI185, Country!$O$31:$O$76, 0), 1)</f>
        <v>%</v>
      </c>
      <c r="D185" s="4" t="str">
        <f t="shared" si="178"/>
        <v>Costa Rica</v>
      </c>
      <c r="E185" s="634"/>
      <c r="F185" s="486">
        <f t="shared" ref="F185" si="204">IF(E158&lt;&gt;0, F158/E158-1, 0)</f>
        <v>7.5873001987485145E-2</v>
      </c>
      <c r="G185" s="486">
        <f t="shared" si="190"/>
        <v>2.8377123180170383E-2</v>
      </c>
      <c r="H185" s="486">
        <f t="shared" si="190"/>
        <v>2.1272359210787295E-2</v>
      </c>
      <c r="I185" s="486">
        <f t="shared" si="190"/>
        <v>4.6040337526476627E-2</v>
      </c>
      <c r="J185" s="486">
        <f t="shared" si="190"/>
        <v>-1.3401414971052628E-3</v>
      </c>
      <c r="K185" s="486">
        <f t="shared" si="190"/>
        <v>6.5836437678135074E-2</v>
      </c>
      <c r="L185" s="483">
        <f t="shared" si="191"/>
        <v>0</v>
      </c>
      <c r="M185" s="482">
        <f t="shared" si="192"/>
        <v>25.885712239095739</v>
      </c>
      <c r="N185" s="482">
        <f t="shared" si="193"/>
        <v>0.57867221512111067</v>
      </c>
      <c r="O185" s="482">
        <f t="shared" si="194"/>
        <v>3.0891209901081109</v>
      </c>
      <c r="P185" s="482">
        <f t="shared" si="195"/>
        <v>4.7095233243732952</v>
      </c>
      <c r="Q185" s="482">
        <f t="shared" si="196"/>
        <v>-0.36594949434683066</v>
      </c>
      <c r="R185" s="481">
        <f t="shared" si="197"/>
        <v>20.076868864526265</v>
      </c>
      <c r="S185" s="455"/>
      <c r="T185" s="456"/>
      <c r="U185" s="456"/>
      <c r="V185" s="456"/>
      <c r="W185" s="456"/>
      <c r="X185" s="456"/>
      <c r="Y185" s="456"/>
      <c r="Z185" s="455"/>
      <c r="AA185" s="456"/>
      <c r="AB185" s="456"/>
      <c r="AC185" s="456"/>
      <c r="AD185" s="456"/>
      <c r="AE185" s="456"/>
      <c r="AF185" s="456"/>
      <c r="AG185" s="33" t="str">
        <f t="shared" si="158"/>
        <v>1.07 &gt; Costa Rica</v>
      </c>
      <c r="AH185" s="84">
        <f t="shared" si="161"/>
        <v>171</v>
      </c>
      <c r="AI185" s="84">
        <f t="shared" si="162"/>
        <v>7</v>
      </c>
      <c r="AJ185" s="877" t="s">
        <v>1526</v>
      </c>
    </row>
    <row r="186" spans="1:36" x14ac:dyDescent="0.2">
      <c r="A186" s="492">
        <f>INDEX(Country!$F$31:$G$76, MATCH(AI186, Country!$O$31:$O$76, 0), 1)</f>
        <v>1.07</v>
      </c>
      <c r="B186" s="2" t="str">
        <f>INDEX(Country!$F$31:$G$76, MATCH(AI186, Country!$O$31:$O$76, 0), 2)</f>
        <v>Growth rate of electricity generation</v>
      </c>
      <c r="C186" s="436" t="str">
        <f>INDEX(Country!$K$31:$K$76, MATCH(AI186, Country!$O$31:$O$76, 0), 1)</f>
        <v>%</v>
      </c>
      <c r="D186" s="4" t="str">
        <f t="shared" si="178"/>
        <v>Dominican Republic</v>
      </c>
      <c r="E186" s="634"/>
      <c r="F186" s="486">
        <f t="shared" ref="F186" si="205">IF(E159&lt;&gt;0, F159/E159-1, 0)</f>
        <v>0</v>
      </c>
      <c r="G186" s="486">
        <f t="shared" si="190"/>
        <v>0.10465666887653668</v>
      </c>
      <c r="H186" s="486">
        <f t="shared" si="190"/>
        <v>5.9790617976547056E-2</v>
      </c>
      <c r="I186" s="486">
        <f t="shared" si="190"/>
        <v>0.15558692742188995</v>
      </c>
      <c r="J186" s="486">
        <f t="shared" si="190"/>
        <v>-8.7534223960883395E-2</v>
      </c>
      <c r="K186" s="486">
        <f t="shared" si="190"/>
        <v>0.12389465007360179</v>
      </c>
      <c r="L186" s="483">
        <f t="shared" si="191"/>
        <v>0</v>
      </c>
      <c r="M186" s="482">
        <f t="shared" si="192"/>
        <v>0</v>
      </c>
      <c r="N186" s="482">
        <f t="shared" si="193"/>
        <v>2.1341806222380595</v>
      </c>
      <c r="O186" s="482">
        <f t="shared" si="194"/>
        <v>8.6826501551940947</v>
      </c>
      <c r="P186" s="482">
        <f t="shared" si="195"/>
        <v>15.915180101353199</v>
      </c>
      <c r="Q186" s="482">
        <f t="shared" si="196"/>
        <v>-23.902778225821503</v>
      </c>
      <c r="R186" s="481">
        <f t="shared" si="197"/>
        <v>37.781762353314086</v>
      </c>
      <c r="S186" s="455"/>
      <c r="T186" s="456"/>
      <c r="U186" s="456"/>
      <c r="V186" s="456"/>
      <c r="W186" s="456"/>
      <c r="X186" s="456"/>
      <c r="Y186" s="456"/>
      <c r="Z186" s="455"/>
      <c r="AA186" s="456"/>
      <c r="AB186" s="456"/>
      <c r="AC186" s="456"/>
      <c r="AD186" s="456"/>
      <c r="AE186" s="456"/>
      <c r="AF186" s="456"/>
      <c r="AG186" s="33" t="str">
        <f t="shared" si="158"/>
        <v>1.07 &gt; Dominican Republic</v>
      </c>
      <c r="AH186" s="84">
        <f t="shared" si="161"/>
        <v>172</v>
      </c>
      <c r="AI186" s="84">
        <f t="shared" si="162"/>
        <v>7</v>
      </c>
      <c r="AJ186" s="877" t="s">
        <v>1526</v>
      </c>
    </row>
    <row r="187" spans="1:36" x14ac:dyDescent="0.2">
      <c r="A187" s="492">
        <f>INDEX(Country!$F$31:$G$76, MATCH(AI187, Country!$O$31:$O$76, 0), 1)</f>
        <v>1.07</v>
      </c>
      <c r="B187" s="2" t="str">
        <f>INDEX(Country!$F$31:$G$76, MATCH(AI187, Country!$O$31:$O$76, 0), 2)</f>
        <v>Growth rate of electricity generation</v>
      </c>
      <c r="C187" s="436" t="str">
        <f>INDEX(Country!$K$31:$K$76, MATCH(AI187, Country!$O$31:$O$76, 0), 1)</f>
        <v>%</v>
      </c>
      <c r="D187" s="4" t="str">
        <f t="shared" si="178"/>
        <v>Ecuador</v>
      </c>
      <c r="E187" s="634"/>
      <c r="F187" s="486">
        <f t="shared" ref="F187" si="206">IF(E160&lt;&gt;0, F160/E160-1, 0)</f>
        <v>0.29310764674611711</v>
      </c>
      <c r="G187" s="486">
        <f t="shared" si="190"/>
        <v>0.12914660252810273</v>
      </c>
      <c r="H187" s="486">
        <f t="shared" si="190"/>
        <v>1.7655162124738721E-2</v>
      </c>
      <c r="I187" s="486">
        <f t="shared" si="190"/>
        <v>-0.15484816637304943</v>
      </c>
      <c r="J187" s="486">
        <f t="shared" si="190"/>
        <v>0.29900728836752966</v>
      </c>
      <c r="K187" s="486">
        <f t="shared" si="190"/>
        <v>-4.1877585422198327E-2</v>
      </c>
      <c r="L187" s="483">
        <f t="shared" si="191"/>
        <v>0</v>
      </c>
      <c r="M187" s="482">
        <f t="shared" si="192"/>
        <v>100</v>
      </c>
      <c r="N187" s="482">
        <f t="shared" si="193"/>
        <v>2.6335844576565748</v>
      </c>
      <c r="O187" s="482">
        <f t="shared" si="194"/>
        <v>2.5638403038829467</v>
      </c>
      <c r="P187" s="482">
        <f t="shared" si="195"/>
        <v>-15.83961131585826</v>
      </c>
      <c r="Q187" s="482">
        <f t="shared" si="196"/>
        <v>81.64926332067742</v>
      </c>
      <c r="R187" s="481">
        <f t="shared" si="197"/>
        <v>-12.770599694273871</v>
      </c>
      <c r="S187" s="455"/>
      <c r="T187" s="456"/>
      <c r="U187" s="456"/>
      <c r="V187" s="456"/>
      <c r="W187" s="456"/>
      <c r="X187" s="456"/>
      <c r="Y187" s="456"/>
      <c r="Z187" s="455"/>
      <c r="AA187" s="456"/>
      <c r="AB187" s="456"/>
      <c r="AC187" s="456"/>
      <c r="AD187" s="456"/>
      <c r="AE187" s="456"/>
      <c r="AF187" s="456"/>
      <c r="AG187" s="33" t="str">
        <f t="shared" si="158"/>
        <v>1.07 &gt; Ecuador</v>
      </c>
      <c r="AH187" s="84">
        <f t="shared" si="161"/>
        <v>173</v>
      </c>
      <c r="AI187" s="84">
        <f t="shared" si="162"/>
        <v>7</v>
      </c>
      <c r="AJ187" s="877" t="s">
        <v>1526</v>
      </c>
    </row>
    <row r="188" spans="1:36" x14ac:dyDescent="0.2">
      <c r="A188" s="492">
        <f>INDEX(Country!$F$31:$G$76, MATCH(AI188, Country!$O$31:$O$76, 0), 1)</f>
        <v>1.07</v>
      </c>
      <c r="B188" s="2" t="str">
        <f>INDEX(Country!$F$31:$G$76, MATCH(AI188, Country!$O$31:$O$76, 0), 2)</f>
        <v>Growth rate of electricity generation</v>
      </c>
      <c r="C188" s="436" t="str">
        <f>INDEX(Country!$K$31:$K$76, MATCH(AI188, Country!$O$31:$O$76, 0), 1)</f>
        <v>%</v>
      </c>
      <c r="D188" s="4" t="str">
        <f t="shared" si="178"/>
        <v>El Salvador</v>
      </c>
      <c r="E188" s="634"/>
      <c r="F188" s="486">
        <f t="shared" ref="F188" si="207">IF(E161&lt;&gt;0, F161/E161-1, 0)</f>
        <v>0.19272257251153513</v>
      </c>
      <c r="G188" s="486">
        <f t="shared" si="190"/>
        <v>0.10576256872134793</v>
      </c>
      <c r="H188" s="486">
        <f t="shared" si="190"/>
        <v>-2.4774574226118173E-2</v>
      </c>
      <c r="I188" s="486">
        <f t="shared" si="190"/>
        <v>4.2738734423472646E-2</v>
      </c>
      <c r="J188" s="486">
        <f t="shared" si="190"/>
        <v>-9.1229563996093055E-2</v>
      </c>
      <c r="K188" s="486">
        <f t="shared" si="190"/>
        <v>0</v>
      </c>
      <c r="L188" s="483">
        <f t="shared" si="191"/>
        <v>0</v>
      </c>
      <c r="M188" s="482">
        <f t="shared" si="192"/>
        <v>65.751465255516464</v>
      </c>
      <c r="N188" s="482">
        <f t="shared" si="193"/>
        <v>2.1567323625549282</v>
      </c>
      <c r="O188" s="482">
        <f t="shared" si="194"/>
        <v>-3.5977042557688459</v>
      </c>
      <c r="P188" s="482">
        <f t="shared" si="195"/>
        <v>4.3717982411790492</v>
      </c>
      <c r="Q188" s="482">
        <f t="shared" si="196"/>
        <v>-24.911856610638026</v>
      </c>
      <c r="R188" s="481">
        <f t="shared" si="197"/>
        <v>0</v>
      </c>
      <c r="S188" s="455"/>
      <c r="T188" s="456"/>
      <c r="U188" s="456"/>
      <c r="V188" s="456"/>
      <c r="W188" s="456"/>
      <c r="X188" s="456"/>
      <c r="Y188" s="456"/>
      <c r="Z188" s="455"/>
      <c r="AA188" s="456"/>
      <c r="AB188" s="456"/>
      <c r="AC188" s="456"/>
      <c r="AD188" s="456"/>
      <c r="AE188" s="456"/>
      <c r="AF188" s="456"/>
      <c r="AG188" s="33" t="str">
        <f t="shared" si="158"/>
        <v>1.07 &gt; El Salvador</v>
      </c>
      <c r="AH188" s="84">
        <f t="shared" si="161"/>
        <v>174</v>
      </c>
      <c r="AI188" s="84">
        <f t="shared" si="162"/>
        <v>7</v>
      </c>
      <c r="AJ188" s="877" t="s">
        <v>1526</v>
      </c>
    </row>
    <row r="189" spans="1:36" x14ac:dyDescent="0.2">
      <c r="A189" s="492">
        <f>INDEX(Country!$F$31:$G$76, MATCH(AI189, Country!$O$31:$O$76, 0), 1)</f>
        <v>1.07</v>
      </c>
      <c r="B189" s="2" t="str">
        <f>INDEX(Country!$F$31:$G$76, MATCH(AI189, Country!$O$31:$O$76, 0), 2)</f>
        <v>Growth rate of electricity generation</v>
      </c>
      <c r="C189" s="436" t="str">
        <f>INDEX(Country!$K$31:$K$76, MATCH(AI189, Country!$O$31:$O$76, 0), 1)</f>
        <v>%</v>
      </c>
      <c r="D189" s="4" t="str">
        <f t="shared" si="178"/>
        <v>Guatemala</v>
      </c>
      <c r="E189" s="634"/>
      <c r="F189" s="486">
        <f t="shared" ref="F189" si="208">IF(E162&lt;&gt;0, F162/E162-1, 0)</f>
        <v>8.1095846922854875E-2</v>
      </c>
      <c r="G189" s="486">
        <f t="shared" si="190"/>
        <v>0.14263552299958393</v>
      </c>
      <c r="H189" s="486">
        <f t="shared" si="190"/>
        <v>-3.5503419964357796E-2</v>
      </c>
      <c r="I189" s="486">
        <f t="shared" si="190"/>
        <v>1.4798182863013709E-2</v>
      </c>
      <c r="J189" s="486">
        <f t="shared" si="190"/>
        <v>1.6119335125121204E-2</v>
      </c>
      <c r="K189" s="486">
        <f t="shared" si="190"/>
        <v>0.144976181480859</v>
      </c>
      <c r="L189" s="483">
        <f t="shared" si="191"/>
        <v>0</v>
      </c>
      <c r="M189" s="482">
        <f t="shared" si="192"/>
        <v>27.667598516492532</v>
      </c>
      <c r="N189" s="482">
        <f t="shared" si="193"/>
        <v>2.9086533375872592</v>
      </c>
      <c r="O189" s="482">
        <f t="shared" si="194"/>
        <v>-5.1557215044067481</v>
      </c>
      <c r="P189" s="482">
        <f t="shared" si="195"/>
        <v>1.5137245097655057</v>
      </c>
      <c r="Q189" s="482">
        <f t="shared" si="196"/>
        <v>4.4016714287162158</v>
      </c>
      <c r="R189" s="481">
        <f t="shared" si="197"/>
        <v>44.21059046816606</v>
      </c>
      <c r="S189" s="455"/>
      <c r="T189" s="456"/>
      <c r="U189" s="456"/>
      <c r="V189" s="456"/>
      <c r="W189" s="456"/>
      <c r="X189" s="456"/>
      <c r="Y189" s="456"/>
      <c r="Z189" s="455"/>
      <c r="AA189" s="456"/>
      <c r="AB189" s="456"/>
      <c r="AC189" s="456"/>
      <c r="AD189" s="456"/>
      <c r="AE189" s="456"/>
      <c r="AF189" s="456"/>
      <c r="AG189" s="33" t="str">
        <f t="shared" si="158"/>
        <v>1.07 &gt; Guatemala</v>
      </c>
      <c r="AH189" s="84">
        <f t="shared" si="161"/>
        <v>175</v>
      </c>
      <c r="AI189" s="84">
        <f t="shared" si="162"/>
        <v>7</v>
      </c>
      <c r="AJ189" s="877" t="s">
        <v>1526</v>
      </c>
    </row>
    <row r="190" spans="1:36" x14ac:dyDescent="0.2">
      <c r="A190" s="492">
        <f>INDEX(Country!$F$31:$G$76, MATCH(AI190, Country!$O$31:$O$76, 0), 1)</f>
        <v>1.07</v>
      </c>
      <c r="B190" s="2" t="str">
        <f>INDEX(Country!$F$31:$G$76, MATCH(AI190, Country!$O$31:$O$76, 0), 2)</f>
        <v>Growth rate of electricity generation</v>
      </c>
      <c r="C190" s="436" t="str">
        <f>INDEX(Country!$K$31:$K$76, MATCH(AI190, Country!$O$31:$O$76, 0), 1)</f>
        <v>%</v>
      </c>
      <c r="D190" s="4" t="str">
        <f t="shared" si="178"/>
        <v>Guyana</v>
      </c>
      <c r="E190" s="634"/>
      <c r="F190" s="486">
        <f t="shared" ref="F190" si="209">IF(E163&lt;&gt;0, F163/E163-1, 0)</f>
        <v>0</v>
      </c>
      <c r="G190" s="486">
        <f t="shared" si="190"/>
        <v>0</v>
      </c>
      <c r="H190" s="486">
        <f t="shared" si="190"/>
        <v>0</v>
      </c>
      <c r="I190" s="486">
        <f t="shared" si="190"/>
        <v>0</v>
      </c>
      <c r="J190" s="486">
        <f t="shared" si="190"/>
        <v>0</v>
      </c>
      <c r="K190" s="486">
        <f t="shared" si="190"/>
        <v>0</v>
      </c>
      <c r="L190" s="483">
        <f t="shared" si="191"/>
        <v>0</v>
      </c>
      <c r="M190" s="482">
        <f t="shared" si="192"/>
        <v>0</v>
      </c>
      <c r="N190" s="482">
        <f t="shared" si="193"/>
        <v>0</v>
      </c>
      <c r="O190" s="482">
        <f t="shared" si="194"/>
        <v>0</v>
      </c>
      <c r="P190" s="482">
        <f t="shared" si="195"/>
        <v>0</v>
      </c>
      <c r="Q190" s="482">
        <f t="shared" si="196"/>
        <v>0</v>
      </c>
      <c r="R190" s="481">
        <f t="shared" si="197"/>
        <v>0</v>
      </c>
      <c r="S190" s="455"/>
      <c r="T190" s="456"/>
      <c r="U190" s="456"/>
      <c r="V190" s="456"/>
      <c r="W190" s="456"/>
      <c r="X190" s="456"/>
      <c r="Y190" s="456"/>
      <c r="Z190" s="455"/>
      <c r="AA190" s="456"/>
      <c r="AB190" s="456"/>
      <c r="AC190" s="456"/>
      <c r="AD190" s="456"/>
      <c r="AE190" s="456"/>
      <c r="AF190" s="456"/>
      <c r="AG190" s="33" t="str">
        <f t="shared" si="158"/>
        <v>1.07 &gt; Guyana</v>
      </c>
      <c r="AH190" s="84">
        <f t="shared" si="161"/>
        <v>176</v>
      </c>
      <c r="AI190" s="84">
        <f t="shared" si="162"/>
        <v>7</v>
      </c>
      <c r="AJ190" s="877" t="s">
        <v>1526</v>
      </c>
    </row>
    <row r="191" spans="1:36" x14ac:dyDescent="0.2">
      <c r="A191" s="492">
        <f>INDEX(Country!$F$31:$G$76, MATCH(AI191, Country!$O$31:$O$76, 0), 1)</f>
        <v>1.07</v>
      </c>
      <c r="B191" s="2" t="str">
        <f>INDEX(Country!$F$31:$G$76, MATCH(AI191, Country!$O$31:$O$76, 0), 2)</f>
        <v>Growth rate of electricity generation</v>
      </c>
      <c r="C191" s="436" t="str">
        <f>INDEX(Country!$K$31:$K$76, MATCH(AI191, Country!$O$31:$O$76, 0), 1)</f>
        <v>%</v>
      </c>
      <c r="D191" s="4" t="str">
        <f t="shared" si="178"/>
        <v>Haiti</v>
      </c>
      <c r="E191" s="634"/>
      <c r="F191" s="486">
        <f t="shared" ref="F191" si="210">IF(E164&lt;&gt;0, F164/E164-1, 0)</f>
        <v>0</v>
      </c>
      <c r="G191" s="486">
        <f t="shared" si="190"/>
        <v>0</v>
      </c>
      <c r="H191" s="486">
        <f t="shared" si="190"/>
        <v>0</v>
      </c>
      <c r="I191" s="486">
        <f t="shared" si="190"/>
        <v>0</v>
      </c>
      <c r="J191" s="486">
        <f t="shared" si="190"/>
        <v>0</v>
      </c>
      <c r="K191" s="486">
        <f t="shared" si="190"/>
        <v>0</v>
      </c>
      <c r="L191" s="483">
        <f t="shared" si="191"/>
        <v>0</v>
      </c>
      <c r="M191" s="482">
        <f t="shared" si="192"/>
        <v>0</v>
      </c>
      <c r="N191" s="482">
        <f t="shared" si="193"/>
        <v>0</v>
      </c>
      <c r="O191" s="482">
        <f t="shared" si="194"/>
        <v>0</v>
      </c>
      <c r="P191" s="482">
        <f t="shared" si="195"/>
        <v>0</v>
      </c>
      <c r="Q191" s="482">
        <f t="shared" si="196"/>
        <v>0</v>
      </c>
      <c r="R191" s="481">
        <f t="shared" si="197"/>
        <v>0</v>
      </c>
      <c r="S191" s="455"/>
      <c r="T191" s="456"/>
      <c r="U191" s="456"/>
      <c r="V191" s="456"/>
      <c r="W191" s="456"/>
      <c r="X191" s="456"/>
      <c r="Y191" s="456"/>
      <c r="Z191" s="455"/>
      <c r="AA191" s="456"/>
      <c r="AB191" s="456"/>
      <c r="AC191" s="456"/>
      <c r="AD191" s="456"/>
      <c r="AE191" s="456"/>
      <c r="AF191" s="456"/>
      <c r="AG191" s="33" t="str">
        <f t="shared" si="158"/>
        <v>1.07 &gt; Haiti</v>
      </c>
      <c r="AH191" s="84">
        <f t="shared" si="161"/>
        <v>177</v>
      </c>
      <c r="AI191" s="84">
        <f t="shared" si="162"/>
        <v>7</v>
      </c>
      <c r="AJ191" s="877" t="s">
        <v>1526</v>
      </c>
    </row>
    <row r="192" spans="1:36" x14ac:dyDescent="0.2">
      <c r="A192" s="492">
        <f>INDEX(Country!$F$31:$G$76, MATCH(AI192, Country!$O$31:$O$76, 0), 1)</f>
        <v>1.07</v>
      </c>
      <c r="B192" s="2" t="str">
        <f>INDEX(Country!$F$31:$G$76, MATCH(AI192, Country!$O$31:$O$76, 0), 2)</f>
        <v>Growth rate of electricity generation</v>
      </c>
      <c r="C192" s="436" t="str">
        <f>INDEX(Country!$K$31:$K$76, MATCH(AI192, Country!$O$31:$O$76, 0), 1)</f>
        <v>%</v>
      </c>
      <c r="D192" s="4" t="str">
        <f t="shared" si="178"/>
        <v>Honduras</v>
      </c>
      <c r="E192" s="634"/>
      <c r="F192" s="486">
        <f t="shared" ref="F192" si="211">IF(E165&lt;&gt;0, F165/E165-1, 0)</f>
        <v>4.8449256744356628E-2</v>
      </c>
      <c r="G192" s="486">
        <f t="shared" si="190"/>
        <v>0.2298267110099772</v>
      </c>
      <c r="H192" s="486">
        <f t="shared" si="190"/>
        <v>-4.2983205237688282E-2</v>
      </c>
      <c r="I192" s="486">
        <f t="shared" si="190"/>
        <v>0.23304580606781666</v>
      </c>
      <c r="J192" s="486">
        <f t="shared" si="190"/>
        <v>0.15873675212037153</v>
      </c>
      <c r="K192" s="486">
        <f t="shared" si="190"/>
        <v>0.24502319815416418</v>
      </c>
      <c r="L192" s="483">
        <f t="shared" si="191"/>
        <v>0</v>
      </c>
      <c r="M192" s="482">
        <f t="shared" si="192"/>
        <v>16.529509646782511</v>
      </c>
      <c r="N192" s="482">
        <f t="shared" si="193"/>
        <v>4.6866742308493698</v>
      </c>
      <c r="O192" s="482">
        <f t="shared" si="194"/>
        <v>-6.2419179840915033</v>
      </c>
      <c r="P192" s="482">
        <f t="shared" si="195"/>
        <v>23.838545030053133</v>
      </c>
      <c r="Q192" s="482">
        <f t="shared" si="196"/>
        <v>43.345896159609367</v>
      </c>
      <c r="R192" s="481">
        <f t="shared" si="197"/>
        <v>74.719999920981977</v>
      </c>
      <c r="S192" s="455"/>
      <c r="T192" s="456"/>
      <c r="U192" s="456"/>
      <c r="V192" s="456"/>
      <c r="W192" s="456"/>
      <c r="X192" s="456"/>
      <c r="Y192" s="456"/>
      <c r="Z192" s="455"/>
      <c r="AA192" s="456"/>
      <c r="AB192" s="456"/>
      <c r="AC192" s="456"/>
      <c r="AD192" s="456"/>
      <c r="AE192" s="456"/>
      <c r="AF192" s="456"/>
      <c r="AG192" s="33" t="str">
        <f t="shared" si="158"/>
        <v>1.07 &gt; Honduras</v>
      </c>
      <c r="AH192" s="84">
        <f t="shared" si="161"/>
        <v>178</v>
      </c>
      <c r="AI192" s="84">
        <f t="shared" si="162"/>
        <v>7</v>
      </c>
      <c r="AJ192" s="877" t="s">
        <v>1526</v>
      </c>
    </row>
    <row r="193" spans="1:36" x14ac:dyDescent="0.2">
      <c r="A193" s="492">
        <f>INDEX(Country!$F$31:$G$76, MATCH(AI193, Country!$O$31:$O$76, 0), 1)</f>
        <v>1.07</v>
      </c>
      <c r="B193" s="2" t="str">
        <f>INDEX(Country!$F$31:$G$76, MATCH(AI193, Country!$O$31:$O$76, 0), 2)</f>
        <v>Growth rate of electricity generation</v>
      </c>
      <c r="C193" s="436" t="str">
        <f>INDEX(Country!$K$31:$K$76, MATCH(AI193, Country!$O$31:$O$76, 0), 1)</f>
        <v>%</v>
      </c>
      <c r="D193" s="4" t="str">
        <f t="shared" si="178"/>
        <v>Jamaica</v>
      </c>
      <c r="E193" s="634"/>
      <c r="F193" s="486">
        <f t="shared" ref="F193" si="212">IF(E166&lt;&gt;0, F166/E166-1, 0)</f>
        <v>-5.9083502335960936E-2</v>
      </c>
      <c r="G193" s="486">
        <f t="shared" ref="G193:G202" si="213">IF(F166&lt;&gt;0, G166/F166-1, 0)</f>
        <v>-2.0442386819031988E-2</v>
      </c>
      <c r="H193" s="486">
        <f t="shared" ref="H193:H202" si="214">IF(G166&lt;&gt;0, H166/G166-1, 0)</f>
        <v>-4.2332447516633231E-2</v>
      </c>
      <c r="I193" s="486">
        <f t="shared" ref="I193:I202" si="215">IF(H166&lt;&gt;0, I166/H166-1, 0)</f>
        <v>3.1414610242288754E-2</v>
      </c>
      <c r="J193" s="486">
        <f t="shared" ref="J193:J202" si="216">IF(I166&lt;&gt;0, J166/I166-1, 0)</f>
        <v>0.18760213975806539</v>
      </c>
      <c r="K193" s="486">
        <f t="shared" ref="K193:K202" si="217">IF(J166&lt;&gt;0, K166/J166-1, 0)</f>
        <v>6.0991211166161907E-2</v>
      </c>
      <c r="L193" s="483">
        <f t="shared" si="191"/>
        <v>0</v>
      </c>
      <c r="M193" s="482">
        <f t="shared" si="192"/>
        <v>-20.157612055456767</v>
      </c>
      <c r="N193" s="482">
        <f t="shared" si="193"/>
        <v>-0.41686541612499034</v>
      </c>
      <c r="O193" s="482">
        <f t="shared" si="194"/>
        <v>-6.1474165084598456</v>
      </c>
      <c r="P193" s="482">
        <f t="shared" si="195"/>
        <v>3.2134395100182327</v>
      </c>
      <c r="Q193" s="482">
        <f t="shared" si="196"/>
        <v>51.228104145076763</v>
      </c>
      <c r="R193" s="481">
        <f t="shared" si="197"/>
        <v>18.599313566419394</v>
      </c>
      <c r="S193" s="455"/>
      <c r="T193" s="456"/>
      <c r="U193" s="456"/>
      <c r="V193" s="456"/>
      <c r="W193" s="456"/>
      <c r="X193" s="456"/>
      <c r="Y193" s="456"/>
      <c r="Z193" s="455"/>
      <c r="AA193" s="456"/>
      <c r="AB193" s="456"/>
      <c r="AC193" s="456"/>
      <c r="AD193" s="456"/>
      <c r="AE193" s="456"/>
      <c r="AF193" s="456"/>
      <c r="AG193" s="33" t="str">
        <f t="shared" si="158"/>
        <v>1.07 &gt; Jamaica</v>
      </c>
      <c r="AH193" s="84">
        <f t="shared" si="161"/>
        <v>179</v>
      </c>
      <c r="AI193" s="84">
        <f t="shared" si="162"/>
        <v>7</v>
      </c>
      <c r="AJ193" s="877" t="s">
        <v>1526</v>
      </c>
    </row>
    <row r="194" spans="1:36" x14ac:dyDescent="0.2">
      <c r="A194" s="492">
        <f>INDEX(Country!$F$31:$G$76, MATCH(AI194, Country!$O$31:$O$76, 0), 1)</f>
        <v>1.07</v>
      </c>
      <c r="B194" s="2" t="str">
        <f>INDEX(Country!$F$31:$G$76, MATCH(AI194, Country!$O$31:$O$76, 0), 2)</f>
        <v>Growth rate of electricity generation</v>
      </c>
      <c r="C194" s="436" t="str">
        <f>INDEX(Country!$K$31:$K$76, MATCH(AI194, Country!$O$31:$O$76, 0), 1)</f>
        <v>%</v>
      </c>
      <c r="D194" s="4" t="str">
        <f t="shared" si="178"/>
        <v>Mexico</v>
      </c>
      <c r="E194" s="634"/>
      <c r="F194" s="486">
        <f t="shared" ref="F194" si="218">IF(E167&lt;&gt;0, F167/E167-1, 0)</f>
        <v>0.10811870534087009</v>
      </c>
      <c r="G194" s="486">
        <f t="shared" si="213"/>
        <v>1.5705549982243383E-3</v>
      </c>
      <c r="H194" s="486">
        <f t="shared" si="214"/>
        <v>7.7915944135576121E-2</v>
      </c>
      <c r="I194" s="486">
        <f t="shared" si="215"/>
        <v>3.5088420837124268E-2</v>
      </c>
      <c r="J194" s="486">
        <f t="shared" si="216"/>
        <v>-1.4270052885753115E-2</v>
      </c>
      <c r="K194" s="486">
        <f t="shared" si="217"/>
        <v>0.2786587454650471</v>
      </c>
      <c r="L194" s="483">
        <f t="shared" si="191"/>
        <v>0</v>
      </c>
      <c r="M194" s="482">
        <f t="shared" si="192"/>
        <v>36.887029915845204</v>
      </c>
      <c r="N194" s="482">
        <f t="shared" si="193"/>
        <v>3.2027085128456388E-2</v>
      </c>
      <c r="O194" s="482">
        <f t="shared" si="194"/>
        <v>11.314766552608956</v>
      </c>
      <c r="P194" s="482">
        <f t="shared" si="195"/>
        <v>3.5892381599685659</v>
      </c>
      <c r="Q194" s="482">
        <f t="shared" si="196"/>
        <v>-3.896691990453085</v>
      </c>
      <c r="R194" s="481">
        <f t="shared" si="197"/>
        <v>84.977184184939176</v>
      </c>
      <c r="S194" s="455"/>
      <c r="T194" s="456"/>
      <c r="U194" s="456"/>
      <c r="V194" s="456"/>
      <c r="W194" s="456"/>
      <c r="X194" s="456"/>
      <c r="Y194" s="456"/>
      <c r="Z194" s="455"/>
      <c r="AA194" s="456"/>
      <c r="AB194" s="456"/>
      <c r="AC194" s="456"/>
      <c r="AD194" s="456"/>
      <c r="AE194" s="456"/>
      <c r="AF194" s="456"/>
      <c r="AG194" s="33" t="str">
        <f t="shared" si="158"/>
        <v>1.07 &gt; Mexico</v>
      </c>
      <c r="AH194" s="84">
        <f t="shared" si="161"/>
        <v>180</v>
      </c>
      <c r="AI194" s="84">
        <f t="shared" si="162"/>
        <v>7</v>
      </c>
      <c r="AJ194" s="877" t="s">
        <v>1526</v>
      </c>
    </row>
    <row r="195" spans="1:36" x14ac:dyDescent="0.2">
      <c r="A195" s="492">
        <f>INDEX(Country!$F$31:$G$76, MATCH(AI195, Country!$O$31:$O$76, 0), 1)</f>
        <v>1.07</v>
      </c>
      <c r="B195" s="2" t="str">
        <f>INDEX(Country!$F$31:$G$76, MATCH(AI195, Country!$O$31:$O$76, 0), 2)</f>
        <v>Growth rate of electricity generation</v>
      </c>
      <c r="C195" s="436" t="str">
        <f>INDEX(Country!$K$31:$K$76, MATCH(AI195, Country!$O$31:$O$76, 0), 1)</f>
        <v>%</v>
      </c>
      <c r="D195" s="4" t="str">
        <f t="shared" si="178"/>
        <v>Nicaragua</v>
      </c>
      <c r="E195" s="634"/>
      <c r="F195" s="486">
        <f t="shared" ref="F195" si="219">IF(E168&lt;&gt;0, F168/E168-1, 0)</f>
        <v>-3.4360146583940931E-2</v>
      </c>
      <c r="G195" s="486">
        <f t="shared" si="213"/>
        <v>0.20556849778312158</v>
      </c>
      <c r="H195" s="486">
        <f t="shared" si="214"/>
        <v>-3.4595605423094478E-3</v>
      </c>
      <c r="I195" s="486">
        <f t="shared" si="215"/>
        <v>0.17424574133149862</v>
      </c>
      <c r="J195" s="486">
        <f t="shared" si="216"/>
        <v>-3.3133278880642214E-2</v>
      </c>
      <c r="K195" s="486">
        <f t="shared" si="217"/>
        <v>0.3279218394182033</v>
      </c>
      <c r="L195" s="483">
        <f t="shared" si="191"/>
        <v>0</v>
      </c>
      <c r="M195" s="482">
        <f t="shared" si="192"/>
        <v>-11.722705622109844</v>
      </c>
      <c r="N195" s="482">
        <f t="shared" si="193"/>
        <v>4.1919956866664965</v>
      </c>
      <c r="O195" s="482">
        <f t="shared" si="194"/>
        <v>-0.50238908538073646</v>
      </c>
      <c r="P195" s="482">
        <f t="shared" si="195"/>
        <v>17.823813357178238</v>
      </c>
      <c r="Q195" s="482">
        <f t="shared" si="196"/>
        <v>-9.0476316706960098</v>
      </c>
      <c r="R195" s="481">
        <f t="shared" si="197"/>
        <v>99.999999999999986</v>
      </c>
      <c r="S195" s="455"/>
      <c r="T195" s="456"/>
      <c r="U195" s="456"/>
      <c r="V195" s="456"/>
      <c r="W195" s="456"/>
      <c r="X195" s="456"/>
      <c r="Y195" s="456"/>
      <c r="Z195" s="455"/>
      <c r="AA195" s="456"/>
      <c r="AB195" s="456"/>
      <c r="AC195" s="456"/>
      <c r="AD195" s="456"/>
      <c r="AE195" s="456"/>
      <c r="AF195" s="456"/>
      <c r="AG195" s="33" t="str">
        <f t="shared" si="158"/>
        <v>1.07 &gt; Nicaragua</v>
      </c>
      <c r="AH195" s="84">
        <f t="shared" si="161"/>
        <v>181</v>
      </c>
      <c r="AI195" s="84">
        <f t="shared" si="162"/>
        <v>7</v>
      </c>
      <c r="AJ195" s="877" t="s">
        <v>1526</v>
      </c>
    </row>
    <row r="196" spans="1:36" x14ac:dyDescent="0.2">
      <c r="A196" s="492">
        <f>INDEX(Country!$F$31:$G$76, MATCH(AI196, Country!$O$31:$O$76, 0), 1)</f>
        <v>1.07</v>
      </c>
      <c r="B196" s="2" t="str">
        <f>INDEX(Country!$F$31:$G$76, MATCH(AI196, Country!$O$31:$O$76, 0), 2)</f>
        <v>Growth rate of electricity generation</v>
      </c>
      <c r="C196" s="436" t="str">
        <f>INDEX(Country!$K$31:$K$76, MATCH(AI196, Country!$O$31:$O$76, 0), 1)</f>
        <v>%</v>
      </c>
      <c r="D196" s="4" t="str">
        <f t="shared" si="178"/>
        <v>Panama</v>
      </c>
      <c r="E196" s="634"/>
      <c r="F196" s="486">
        <f t="shared" ref="F196" si="220">IF(E169&lt;&gt;0, F169/E169-1, 0)</f>
        <v>-0.40119435396308367</v>
      </c>
      <c r="G196" s="486">
        <f t="shared" si="213"/>
        <v>0.21517074644907841</v>
      </c>
      <c r="H196" s="486">
        <f t="shared" si="214"/>
        <v>-7.4608306391465984E-4</v>
      </c>
      <c r="I196" s="486">
        <f t="shared" si="215"/>
        <v>0.97760079641612774</v>
      </c>
      <c r="J196" s="486">
        <f t="shared" si="216"/>
        <v>0.36620941354140424</v>
      </c>
      <c r="K196" s="486">
        <f t="shared" si="217"/>
        <v>0</v>
      </c>
      <c r="L196" s="483">
        <f t="shared" si="191"/>
        <v>0</v>
      </c>
      <c r="M196" s="482">
        <f t="shared" si="192"/>
        <v>-136.87611306524141</v>
      </c>
      <c r="N196" s="482">
        <f t="shared" si="193"/>
        <v>4.3878067444116242</v>
      </c>
      <c r="O196" s="482">
        <f t="shared" si="194"/>
        <v>-0.10834439331647822</v>
      </c>
      <c r="P196" s="482">
        <f t="shared" si="195"/>
        <v>100</v>
      </c>
      <c r="Q196" s="482">
        <f t="shared" si="196"/>
        <v>100.00000000000001</v>
      </c>
      <c r="R196" s="481">
        <f t="shared" si="197"/>
        <v>0</v>
      </c>
      <c r="S196" s="455"/>
      <c r="T196" s="456"/>
      <c r="U196" s="456"/>
      <c r="V196" s="456"/>
      <c r="W196" s="456"/>
      <c r="X196" s="456"/>
      <c r="Y196" s="456"/>
      <c r="Z196" s="455"/>
      <c r="AA196" s="456"/>
      <c r="AB196" s="456"/>
      <c r="AC196" s="456"/>
      <c r="AD196" s="456"/>
      <c r="AE196" s="456"/>
      <c r="AF196" s="456"/>
      <c r="AG196" s="33" t="str">
        <f t="shared" si="158"/>
        <v>1.07 &gt; Panama</v>
      </c>
      <c r="AH196" s="84">
        <f t="shared" si="161"/>
        <v>182</v>
      </c>
      <c r="AI196" s="84">
        <f t="shared" si="162"/>
        <v>7</v>
      </c>
      <c r="AJ196" s="877" t="s">
        <v>1526</v>
      </c>
    </row>
    <row r="197" spans="1:36" x14ac:dyDescent="0.2">
      <c r="A197" s="492">
        <f>INDEX(Country!$F$31:$G$76, MATCH(AI197, Country!$O$31:$O$76, 0), 1)</f>
        <v>1.07</v>
      </c>
      <c r="B197" s="2" t="str">
        <f>INDEX(Country!$F$31:$G$76, MATCH(AI197, Country!$O$31:$O$76, 0), 2)</f>
        <v>Growth rate of electricity generation</v>
      </c>
      <c r="C197" s="436" t="str">
        <f>INDEX(Country!$K$31:$K$76, MATCH(AI197, Country!$O$31:$O$76, 0), 1)</f>
        <v>%</v>
      </c>
      <c r="D197" s="4" t="str">
        <f t="shared" si="178"/>
        <v>Paraguay</v>
      </c>
      <c r="E197" s="634"/>
      <c r="F197" s="486">
        <f t="shared" ref="F197" si="221">IF(E170&lt;&gt;0, F170/E170-1, 0)</f>
        <v>0</v>
      </c>
      <c r="G197" s="486">
        <f t="shared" si="213"/>
        <v>0</v>
      </c>
      <c r="H197" s="486">
        <f t="shared" si="214"/>
        <v>0</v>
      </c>
      <c r="I197" s="486">
        <f t="shared" si="215"/>
        <v>0</v>
      </c>
      <c r="J197" s="486">
        <f t="shared" si="216"/>
        <v>0</v>
      </c>
      <c r="K197" s="486">
        <f t="shared" si="217"/>
        <v>0</v>
      </c>
      <c r="L197" s="483">
        <f t="shared" si="191"/>
        <v>0</v>
      </c>
      <c r="M197" s="482">
        <f t="shared" si="192"/>
        <v>0</v>
      </c>
      <c r="N197" s="482">
        <f t="shared" si="193"/>
        <v>0</v>
      </c>
      <c r="O197" s="482">
        <f t="shared" si="194"/>
        <v>0</v>
      </c>
      <c r="P197" s="482">
        <f t="shared" si="195"/>
        <v>0</v>
      </c>
      <c r="Q197" s="482">
        <f t="shared" si="196"/>
        <v>0</v>
      </c>
      <c r="R197" s="481">
        <f t="shared" si="197"/>
        <v>0</v>
      </c>
      <c r="S197" s="455"/>
      <c r="T197" s="456"/>
      <c r="U197" s="456"/>
      <c r="V197" s="456"/>
      <c r="W197" s="456"/>
      <c r="X197" s="456"/>
      <c r="Y197" s="456"/>
      <c r="Z197" s="455"/>
      <c r="AA197" s="456"/>
      <c r="AB197" s="456"/>
      <c r="AC197" s="456"/>
      <c r="AD197" s="456"/>
      <c r="AE197" s="456"/>
      <c r="AF197" s="456"/>
      <c r="AG197" s="33" t="str">
        <f t="shared" si="158"/>
        <v>1.07 &gt; Paraguay</v>
      </c>
      <c r="AH197" s="84">
        <f t="shared" si="161"/>
        <v>183</v>
      </c>
      <c r="AI197" s="84">
        <f t="shared" si="162"/>
        <v>7</v>
      </c>
      <c r="AJ197" s="877" t="s">
        <v>1526</v>
      </c>
    </row>
    <row r="198" spans="1:36" x14ac:dyDescent="0.2">
      <c r="A198" s="492">
        <f>INDEX(Country!$F$31:$G$76, MATCH(AI198, Country!$O$31:$O$76, 0), 1)</f>
        <v>1.07</v>
      </c>
      <c r="B198" s="2" t="str">
        <f>INDEX(Country!$F$31:$G$76, MATCH(AI198, Country!$O$31:$O$76, 0), 2)</f>
        <v>Growth rate of electricity generation</v>
      </c>
      <c r="C198" s="436" t="str">
        <f>INDEX(Country!$K$31:$K$76, MATCH(AI198, Country!$O$31:$O$76, 0), 1)</f>
        <v>%</v>
      </c>
      <c r="D198" s="4" t="str">
        <f t="shared" si="178"/>
        <v>Peru</v>
      </c>
      <c r="E198" s="634"/>
      <c r="F198" s="486">
        <f t="shared" ref="F198" si="222">IF(E171&lt;&gt;0, F171/E171-1, 0)</f>
        <v>0.27890140852673584</v>
      </c>
      <c r="G198" s="486">
        <f t="shared" si="213"/>
        <v>1.8919242456264529E-2</v>
      </c>
      <c r="H198" s="486">
        <f t="shared" si="214"/>
        <v>0.16542138162361386</v>
      </c>
      <c r="I198" s="486">
        <f t="shared" si="215"/>
        <v>6.1940824633401226E-2</v>
      </c>
      <c r="J198" s="486">
        <f t="shared" si="216"/>
        <v>0.17508728184084332</v>
      </c>
      <c r="K198" s="486">
        <f t="shared" si="217"/>
        <v>9.5122456651909326E-2</v>
      </c>
      <c r="L198" s="483">
        <f t="shared" si="191"/>
        <v>0</v>
      </c>
      <c r="M198" s="482">
        <f t="shared" si="192"/>
        <v>95.153235209968301</v>
      </c>
      <c r="N198" s="482">
        <f t="shared" si="193"/>
        <v>0.38580513856423354</v>
      </c>
      <c r="O198" s="482">
        <f t="shared" si="194"/>
        <v>24.022096332740389</v>
      </c>
      <c r="P198" s="482">
        <f t="shared" si="195"/>
        <v>6.3360039047099299</v>
      </c>
      <c r="Q198" s="482">
        <f t="shared" si="196"/>
        <v>47.810699388547441</v>
      </c>
      <c r="R198" s="481">
        <f t="shared" si="197"/>
        <v>29.007661344140704</v>
      </c>
      <c r="S198" s="455"/>
      <c r="T198" s="456"/>
      <c r="U198" s="456"/>
      <c r="V198" s="456"/>
      <c r="W198" s="456"/>
      <c r="X198" s="456"/>
      <c r="Y198" s="456"/>
      <c r="Z198" s="455"/>
      <c r="AA198" s="456"/>
      <c r="AB198" s="456"/>
      <c r="AC198" s="456"/>
      <c r="AD198" s="456"/>
      <c r="AE198" s="456"/>
      <c r="AF198" s="456"/>
      <c r="AG198" s="33" t="str">
        <f t="shared" si="158"/>
        <v>1.07 &gt; Peru</v>
      </c>
      <c r="AH198" s="84">
        <f t="shared" si="161"/>
        <v>184</v>
      </c>
      <c r="AI198" s="84">
        <f t="shared" si="162"/>
        <v>7</v>
      </c>
      <c r="AJ198" s="877" t="s">
        <v>1526</v>
      </c>
    </row>
    <row r="199" spans="1:36" x14ac:dyDescent="0.2">
      <c r="A199" s="492">
        <f>INDEX(Country!$F$31:$G$76, MATCH(AI199, Country!$O$31:$O$76, 0), 1)</f>
        <v>1.07</v>
      </c>
      <c r="B199" s="2" t="str">
        <f>INDEX(Country!$F$31:$G$76, MATCH(AI199, Country!$O$31:$O$76, 0), 2)</f>
        <v>Growth rate of electricity generation</v>
      </c>
      <c r="C199" s="436" t="str">
        <f>INDEX(Country!$K$31:$K$76, MATCH(AI199, Country!$O$31:$O$76, 0), 1)</f>
        <v>%</v>
      </c>
      <c r="D199" s="4" t="str">
        <f t="shared" si="178"/>
        <v>Suriname</v>
      </c>
      <c r="E199" s="634"/>
      <c r="F199" s="486">
        <f t="shared" ref="F199" si="223">IF(E172&lt;&gt;0, F172/E172-1, 0)</f>
        <v>0</v>
      </c>
      <c r="G199" s="486">
        <f t="shared" si="213"/>
        <v>0</v>
      </c>
      <c r="H199" s="486">
        <f t="shared" si="214"/>
        <v>0</v>
      </c>
      <c r="I199" s="486">
        <f t="shared" si="215"/>
        <v>0</v>
      </c>
      <c r="J199" s="486">
        <f t="shared" si="216"/>
        <v>0</v>
      </c>
      <c r="K199" s="486">
        <f t="shared" si="217"/>
        <v>0</v>
      </c>
      <c r="L199" s="483">
        <f t="shared" si="191"/>
        <v>0</v>
      </c>
      <c r="M199" s="482">
        <f t="shared" si="192"/>
        <v>0</v>
      </c>
      <c r="N199" s="482">
        <f t="shared" si="193"/>
        <v>0</v>
      </c>
      <c r="O199" s="482">
        <f t="shared" si="194"/>
        <v>0</v>
      </c>
      <c r="P199" s="482">
        <f t="shared" si="195"/>
        <v>0</v>
      </c>
      <c r="Q199" s="482">
        <f t="shared" si="196"/>
        <v>0</v>
      </c>
      <c r="R199" s="481">
        <f t="shared" si="197"/>
        <v>0</v>
      </c>
      <c r="S199" s="455"/>
      <c r="T199" s="456"/>
      <c r="U199" s="456"/>
      <c r="V199" s="456"/>
      <c r="W199" s="456"/>
      <c r="X199" s="456"/>
      <c r="Y199" s="456"/>
      <c r="Z199" s="455"/>
      <c r="AA199" s="456"/>
      <c r="AB199" s="456"/>
      <c r="AC199" s="456"/>
      <c r="AD199" s="456"/>
      <c r="AE199" s="456"/>
      <c r="AF199" s="456"/>
      <c r="AG199" s="33" t="str">
        <f t="shared" si="158"/>
        <v>1.07 &gt; Suriname</v>
      </c>
      <c r="AH199" s="84">
        <f t="shared" si="161"/>
        <v>185</v>
      </c>
      <c r="AI199" s="84">
        <f t="shared" si="162"/>
        <v>7</v>
      </c>
      <c r="AJ199" s="877" t="s">
        <v>1526</v>
      </c>
    </row>
    <row r="200" spans="1:36" x14ac:dyDescent="0.2">
      <c r="A200" s="492">
        <f>INDEX(Country!$F$31:$G$76, MATCH(AI200, Country!$O$31:$O$76, 0), 1)</f>
        <v>1.07</v>
      </c>
      <c r="B200" s="2" t="str">
        <f>INDEX(Country!$F$31:$G$76, MATCH(AI200, Country!$O$31:$O$76, 0), 2)</f>
        <v>Growth rate of electricity generation</v>
      </c>
      <c r="C200" s="436" t="str">
        <f>INDEX(Country!$K$31:$K$76, MATCH(AI200, Country!$O$31:$O$76, 0), 1)</f>
        <v>%</v>
      </c>
      <c r="D200" s="4" t="str">
        <f t="shared" si="178"/>
        <v>Trinidad &amp; Tobago</v>
      </c>
      <c r="E200" s="634"/>
      <c r="F200" s="486">
        <f t="shared" ref="F200" si="224">IF(E173&lt;&gt;0, F173/E173-1, 0)</f>
        <v>0</v>
      </c>
      <c r="G200" s="486">
        <f t="shared" si="213"/>
        <v>0</v>
      </c>
      <c r="H200" s="486">
        <f t="shared" si="214"/>
        <v>0</v>
      </c>
      <c r="I200" s="486">
        <f t="shared" si="215"/>
        <v>0</v>
      </c>
      <c r="J200" s="486">
        <f t="shared" si="216"/>
        <v>0</v>
      </c>
      <c r="K200" s="486">
        <f t="shared" si="217"/>
        <v>0</v>
      </c>
      <c r="L200" s="483">
        <f t="shared" si="191"/>
        <v>0</v>
      </c>
      <c r="M200" s="482">
        <f t="shared" si="192"/>
        <v>0</v>
      </c>
      <c r="N200" s="482">
        <f t="shared" si="193"/>
        <v>0</v>
      </c>
      <c r="O200" s="482">
        <f t="shared" si="194"/>
        <v>0</v>
      </c>
      <c r="P200" s="482">
        <f t="shared" si="195"/>
        <v>0</v>
      </c>
      <c r="Q200" s="482">
        <f t="shared" si="196"/>
        <v>0</v>
      </c>
      <c r="R200" s="481">
        <f t="shared" si="197"/>
        <v>0</v>
      </c>
      <c r="S200" s="455"/>
      <c r="T200" s="456"/>
      <c r="U200" s="456"/>
      <c r="V200" s="456"/>
      <c r="W200" s="456"/>
      <c r="X200" s="456"/>
      <c r="Y200" s="456"/>
      <c r="Z200" s="455"/>
      <c r="AA200" s="456"/>
      <c r="AB200" s="456"/>
      <c r="AC200" s="456"/>
      <c r="AD200" s="456"/>
      <c r="AE200" s="456"/>
      <c r="AF200" s="456"/>
      <c r="AG200" s="33" t="str">
        <f t="shared" si="158"/>
        <v>1.07 &gt; Trinidad &amp; Tobago</v>
      </c>
      <c r="AH200" s="84">
        <f t="shared" si="161"/>
        <v>186</v>
      </c>
      <c r="AI200" s="84">
        <f t="shared" si="162"/>
        <v>7</v>
      </c>
      <c r="AJ200" s="877" t="s">
        <v>1526</v>
      </c>
    </row>
    <row r="201" spans="1:36" x14ac:dyDescent="0.2">
      <c r="A201" s="492">
        <f>INDEX(Country!$F$31:$G$76, MATCH(AI201, Country!$O$31:$O$76, 0), 1)</f>
        <v>1.07</v>
      </c>
      <c r="B201" s="2" t="str">
        <f>INDEX(Country!$F$31:$G$76, MATCH(AI201, Country!$O$31:$O$76, 0), 2)</f>
        <v>Growth rate of electricity generation</v>
      </c>
      <c r="C201" s="436" t="str">
        <f>INDEX(Country!$K$31:$K$76, MATCH(AI201, Country!$O$31:$O$76, 0), 1)</f>
        <v>%</v>
      </c>
      <c r="D201" s="4" t="str">
        <f t="shared" si="178"/>
        <v>Uruguay</v>
      </c>
      <c r="E201" s="634"/>
      <c r="F201" s="486">
        <f t="shared" ref="F201" si="225">IF(E174&lt;&gt;0, F174/E174-1, 0)</f>
        <v>0</v>
      </c>
      <c r="G201" s="486">
        <f t="shared" si="213"/>
        <v>4.9038337142610722</v>
      </c>
      <c r="H201" s="486">
        <f t="shared" si="214"/>
        <v>0.68862175612107768</v>
      </c>
      <c r="I201" s="486">
        <f t="shared" si="215"/>
        <v>0.52472399676277082</v>
      </c>
      <c r="J201" s="486">
        <f t="shared" si="216"/>
        <v>0.35882130686792602</v>
      </c>
      <c r="K201" s="486">
        <f t="shared" si="217"/>
        <v>0.28679569607808042</v>
      </c>
      <c r="L201" s="483">
        <f t="shared" si="191"/>
        <v>0</v>
      </c>
      <c r="M201" s="482">
        <f t="shared" si="192"/>
        <v>0</v>
      </c>
      <c r="N201" s="482">
        <f t="shared" si="193"/>
        <v>100</v>
      </c>
      <c r="O201" s="482">
        <f t="shared" si="194"/>
        <v>99.999999999999986</v>
      </c>
      <c r="P201" s="482">
        <f t="shared" si="195"/>
        <v>53.674669526293592</v>
      </c>
      <c r="Q201" s="482">
        <f t="shared" si="196"/>
        <v>97.98254594221595</v>
      </c>
      <c r="R201" s="481">
        <f t="shared" si="197"/>
        <v>87.458553107323198</v>
      </c>
      <c r="S201" s="455"/>
      <c r="T201" s="456"/>
      <c r="U201" s="456"/>
      <c r="V201" s="456"/>
      <c r="W201" s="456"/>
      <c r="X201" s="456"/>
      <c r="Y201" s="456"/>
      <c r="Z201" s="455"/>
      <c r="AA201" s="456"/>
      <c r="AB201" s="456"/>
      <c r="AC201" s="456"/>
      <c r="AD201" s="456"/>
      <c r="AE201" s="456"/>
      <c r="AF201" s="456"/>
      <c r="AG201" s="33" t="str">
        <f t="shared" si="158"/>
        <v>1.07 &gt; Uruguay</v>
      </c>
      <c r="AH201" s="84">
        <f t="shared" si="161"/>
        <v>187</v>
      </c>
      <c r="AI201" s="84">
        <f t="shared" si="162"/>
        <v>7</v>
      </c>
      <c r="AJ201" s="877" t="s">
        <v>1526</v>
      </c>
    </row>
    <row r="202" spans="1:36" x14ac:dyDescent="0.2">
      <c r="A202" s="491">
        <f>INDEX(Country!$F$31:$G$76, MATCH(AI202, Country!$O$31:$O$76, 0), 1)</f>
        <v>1.07</v>
      </c>
      <c r="B202" s="386" t="str">
        <f>INDEX(Country!$F$31:$G$76, MATCH(AI202, Country!$O$31:$O$76, 0), 2)</f>
        <v>Growth rate of electricity generation</v>
      </c>
      <c r="C202" s="437" t="str">
        <f>INDEX(Country!$K$31:$K$76, MATCH(AI202, Country!$O$31:$O$76, 0), 1)</f>
        <v>%</v>
      </c>
      <c r="D202" s="86" t="str">
        <f t="shared" si="178"/>
        <v>Venezuela</v>
      </c>
      <c r="E202" s="634"/>
      <c r="F202" s="484">
        <f t="shared" ref="F202" si="226">IF(E175&lt;&gt;0, F175/E175-1, 0)</f>
        <v>0</v>
      </c>
      <c r="G202" s="484">
        <f t="shared" si="213"/>
        <v>0</v>
      </c>
      <c r="H202" s="484">
        <f t="shared" si="214"/>
        <v>0</v>
      </c>
      <c r="I202" s="484">
        <f t="shared" si="215"/>
        <v>0</v>
      </c>
      <c r="J202" s="484">
        <f t="shared" si="216"/>
        <v>0</v>
      </c>
      <c r="K202" s="484">
        <f t="shared" si="217"/>
        <v>0</v>
      </c>
      <c r="L202" s="480">
        <f t="shared" si="191"/>
        <v>0</v>
      </c>
      <c r="M202" s="479">
        <f t="shared" si="192"/>
        <v>0</v>
      </c>
      <c r="N202" s="479">
        <f t="shared" si="193"/>
        <v>0</v>
      </c>
      <c r="O202" s="479">
        <f t="shared" si="194"/>
        <v>0</v>
      </c>
      <c r="P202" s="479">
        <f t="shared" si="195"/>
        <v>0</v>
      </c>
      <c r="Q202" s="479">
        <f t="shared" si="196"/>
        <v>0</v>
      </c>
      <c r="R202" s="478">
        <f t="shared" si="197"/>
        <v>0</v>
      </c>
      <c r="S202" s="455"/>
      <c r="T202" s="456"/>
      <c r="U202" s="456"/>
      <c r="V202" s="456"/>
      <c r="W202" s="456"/>
      <c r="X202" s="456"/>
      <c r="Y202" s="456"/>
      <c r="Z202" s="455"/>
      <c r="AA202" s="456"/>
      <c r="AB202" s="456"/>
      <c r="AC202" s="456"/>
      <c r="AD202" s="456"/>
      <c r="AE202" s="456"/>
      <c r="AF202" s="456"/>
      <c r="AG202" s="90" t="str">
        <f t="shared" si="158"/>
        <v>1.07 &gt; Venezuela</v>
      </c>
      <c r="AH202" s="392">
        <f t="shared" si="161"/>
        <v>188</v>
      </c>
      <c r="AI202" s="392">
        <f t="shared" si="162"/>
        <v>7</v>
      </c>
      <c r="AJ202" s="878" t="s">
        <v>1526</v>
      </c>
    </row>
    <row r="203" spans="1:36" x14ac:dyDescent="0.2">
      <c r="A203" s="490">
        <f>INDEX(Country!$F$31:$G$76, MATCH(AI203, Country!$O$31:$O$76, 0), 1)</f>
        <v>1.07</v>
      </c>
      <c r="B203" s="387" t="str">
        <f>INDEX(Country!$F$31:$G$76, MATCH(AI203, Country!$O$31:$O$76, 0), 2)</f>
        <v>Growth rate of electricity generation</v>
      </c>
      <c r="C203" s="438" t="str">
        <f>INDEX(Country!$K$31:$K$76, MATCH(AI203, Country!$O$31:$O$76, 0), 1)</f>
        <v>%</v>
      </c>
      <c r="D203" s="32" t="str">
        <f t="shared" si="178"/>
        <v>Benchmark</v>
      </c>
      <c r="E203" s="366">
        <f>IFERROR(MAX(E177:E202), 0)</f>
        <v>0</v>
      </c>
      <c r="F203" s="366">
        <f t="shared" ref="F203:K203" si="227">IFERROR(MAX(F177:F202), 0)</f>
        <v>0.29310764674611711</v>
      </c>
      <c r="G203" s="366">
        <f t="shared" si="227"/>
        <v>4.9038337142610722</v>
      </c>
      <c r="H203" s="366">
        <f t="shared" si="227"/>
        <v>0.68862175612107768</v>
      </c>
      <c r="I203" s="366">
        <f t="shared" si="227"/>
        <v>0.97760079641612774</v>
      </c>
      <c r="J203" s="366">
        <f t="shared" si="227"/>
        <v>0.36620941354140424</v>
      </c>
      <c r="K203" s="366">
        <f t="shared" si="227"/>
        <v>0.3279218394182033</v>
      </c>
      <c r="L203" s="599">
        <f t="shared" si="191"/>
        <v>0</v>
      </c>
      <c r="M203" s="476">
        <f t="shared" si="192"/>
        <v>100</v>
      </c>
      <c r="N203" s="476">
        <f t="shared" si="193"/>
        <v>100</v>
      </c>
      <c r="O203" s="476">
        <f t="shared" si="194"/>
        <v>99.999999999999986</v>
      </c>
      <c r="P203" s="476">
        <f t="shared" si="195"/>
        <v>100</v>
      </c>
      <c r="Q203" s="476">
        <f t="shared" si="196"/>
        <v>100.00000000000001</v>
      </c>
      <c r="R203" s="600">
        <f t="shared" si="197"/>
        <v>99.999999999999986</v>
      </c>
      <c r="S203" s="393"/>
      <c r="T203" s="394"/>
      <c r="U203" s="376"/>
      <c r="V203" s="376"/>
      <c r="W203" s="376"/>
      <c r="X203" s="376"/>
      <c r="Y203" s="376"/>
      <c r="Z203" s="393" t="s">
        <v>1242</v>
      </c>
      <c r="AA203" s="394"/>
      <c r="AB203" s="376"/>
      <c r="AC203" s="376"/>
      <c r="AD203" s="376"/>
      <c r="AE203" s="376"/>
      <c r="AF203" s="401"/>
      <c r="AG203" s="34" t="str">
        <f t="shared" si="158"/>
        <v>1.07 &gt; Benchmark</v>
      </c>
      <c r="AH203" s="85">
        <f t="shared" si="161"/>
        <v>189</v>
      </c>
      <c r="AI203" s="85">
        <f t="shared" si="162"/>
        <v>7</v>
      </c>
      <c r="AJ203" s="871" t="s">
        <v>1526</v>
      </c>
    </row>
    <row r="204" spans="1:36" x14ac:dyDescent="0.2">
      <c r="A204" s="587">
        <f>INDEX(Country!$F$31:$G$76, MATCH(AI204, Country!$O$31:$O$76, 0), 1)</f>
        <v>1.08</v>
      </c>
      <c r="B204" s="588" t="str">
        <f>INDEX(Country!$F$31:$G$76, MATCH(AI204, Country!$O$31:$O$76, 0), 2)</f>
        <v>Biofuels production</v>
      </c>
      <c r="C204" s="589" t="str">
        <f>INDEX(Country!$K$31:$K$76, MATCH(AI204, Country!$O$31:$O$76, 0), 1)</f>
        <v>Billion Litres</v>
      </c>
      <c r="D204" s="590" t="str">
        <f t="shared" si="178"/>
        <v>Argentina</v>
      </c>
      <c r="E204" s="603">
        <v>0</v>
      </c>
      <c r="F204" s="603">
        <v>0.55686199999999997</v>
      </c>
      <c r="G204" s="603">
        <v>0.93629249999999997</v>
      </c>
      <c r="H204" s="603">
        <v>1.465622</v>
      </c>
      <c r="I204" s="603">
        <v>2.1961469999999998</v>
      </c>
      <c r="J204" s="603">
        <v>2.9348355000000002</v>
      </c>
      <c r="K204" s="604">
        <v>3.2078509999999998</v>
      </c>
      <c r="L204" s="580">
        <f t="shared" ref="L204:L229" si="228">IFERROR(dbl_BenchmarkMax*Z204/L$230, 0)</f>
        <v>0</v>
      </c>
      <c r="M204" s="581">
        <f t="shared" ref="M204:M229" si="229">IFERROR(dbl_BenchmarkMax*AA204/M$230, 0)</f>
        <v>11.94880646727727</v>
      </c>
      <c r="N204" s="581">
        <f t="shared" ref="N204:N229" si="230">IFERROR(dbl_BenchmarkMax*AB204/N$230, 0)</f>
        <v>15.893051611145252</v>
      </c>
      <c r="O204" s="581">
        <f t="shared" ref="O204:O229" si="231">IFERROR(dbl_BenchmarkMax*AC204/O$230, 0)</f>
        <v>26.144868258845285</v>
      </c>
      <c r="P204" s="581">
        <f t="shared" ref="P204:P229" si="232">IFERROR(dbl_BenchmarkMax*AD204/P$230, 0)</f>
        <v>35.589772002931042</v>
      </c>
      <c r="Q204" s="581">
        <f t="shared" ref="Q204:Q229" si="233">IFERROR(dbl_BenchmarkMax*AE204/Q$230, 0)</f>
        <v>56.208780297595915</v>
      </c>
      <c r="R204" s="582">
        <f t="shared" ref="R204:R229" si="234">IFERROR(dbl_BenchmarkMax*AF204/R$230, 0)</f>
        <v>61.363020684976007</v>
      </c>
      <c r="S204" s="455"/>
      <c r="T204" s="456"/>
      <c r="U204" s="456"/>
      <c r="V204" s="456"/>
      <c r="W204" s="456"/>
      <c r="X204" s="456"/>
      <c r="Y204" s="456"/>
      <c r="Z204" s="421">
        <f>IFERROR(E204/Levelisation!F1441, 0)</f>
        <v>0</v>
      </c>
      <c r="AA204" s="471">
        <f>IFERROR(F204/Levelisation!G1441, 0)</f>
        <v>1.4356553573270084E-2</v>
      </c>
      <c r="AB204" s="471">
        <f>IFERROR(G204/Levelisation!H1441, 0)</f>
        <v>2.3869181155356141E-2</v>
      </c>
      <c r="AC204" s="5">
        <f>IFERROR(H204/Levelisation!I1441, 0)</f>
        <v>3.6946280470896674E-2</v>
      </c>
      <c r="AD204" s="5">
        <f>IFERROR(I204/Levelisation!J1441, 0)</f>
        <v>5.4743550115910963E-2</v>
      </c>
      <c r="AE204" s="5">
        <f>IFERROR(J204/Levelisation!J1441, 0)</f>
        <v>7.3156903557095504E-2</v>
      </c>
      <c r="AF204" s="6">
        <f>IFERROR(K204/Levelisation!L1441, 0)</f>
        <v>7.8186872379838152E-2</v>
      </c>
      <c r="AG204" s="396" t="str">
        <f t="shared" si="158"/>
        <v>1.08 &gt; Argentina</v>
      </c>
      <c r="AH204" s="397">
        <f t="shared" si="161"/>
        <v>190</v>
      </c>
      <c r="AI204" s="397">
        <f t="shared" si="162"/>
        <v>8</v>
      </c>
      <c r="AJ204" s="879" t="s">
        <v>1526</v>
      </c>
    </row>
    <row r="205" spans="1:36" x14ac:dyDescent="0.2">
      <c r="A205" s="492">
        <f>INDEX(Country!$F$31:$G$76, MATCH(AI205, Country!$O$31:$O$76, 0), 1)</f>
        <v>1.08</v>
      </c>
      <c r="B205" s="2" t="str">
        <f>INDEX(Country!$F$31:$G$76, MATCH(AI205, Country!$O$31:$O$76, 0), 2)</f>
        <v>Biofuels production</v>
      </c>
      <c r="C205" s="436" t="str">
        <f>INDEX(Country!$K$31:$K$76, MATCH(AI205, Country!$O$31:$O$76, 0), 1)</f>
        <v>Billion Litres</v>
      </c>
      <c r="D205" s="4" t="str">
        <f t="shared" si="178"/>
        <v>Bahamas</v>
      </c>
      <c r="E205" s="101">
        <v>0</v>
      </c>
      <c r="F205" s="101">
        <v>0</v>
      </c>
      <c r="G205" s="101">
        <v>0</v>
      </c>
      <c r="H205" s="101">
        <v>0</v>
      </c>
      <c r="I205" s="101">
        <v>0</v>
      </c>
      <c r="J205" s="101">
        <v>0</v>
      </c>
      <c r="K205" s="102">
        <v>0</v>
      </c>
      <c r="L205" s="457">
        <f t="shared" si="228"/>
        <v>0</v>
      </c>
      <c r="M205" s="458">
        <f t="shared" si="229"/>
        <v>0</v>
      </c>
      <c r="N205" s="458">
        <f t="shared" si="230"/>
        <v>0</v>
      </c>
      <c r="O205" s="458">
        <f t="shared" si="231"/>
        <v>0</v>
      </c>
      <c r="P205" s="458">
        <f t="shared" si="232"/>
        <v>0</v>
      </c>
      <c r="Q205" s="458">
        <f t="shared" si="233"/>
        <v>0</v>
      </c>
      <c r="R205" s="459">
        <f t="shared" si="234"/>
        <v>0</v>
      </c>
      <c r="S205" s="455"/>
      <c r="T205" s="456"/>
      <c r="U205" s="456"/>
      <c r="V205" s="456"/>
      <c r="W205" s="456"/>
      <c r="X205" s="456"/>
      <c r="Y205" s="456"/>
      <c r="Z205" s="421">
        <f>IFERROR(E205/Levelisation!F1442, 0)</f>
        <v>0</v>
      </c>
      <c r="AA205" s="471">
        <f>IFERROR(F205/Levelisation!G1442, 0)</f>
        <v>0</v>
      </c>
      <c r="AB205" s="471">
        <f>IFERROR(G205/Levelisation!H1442, 0)</f>
        <v>0</v>
      </c>
      <c r="AC205" s="5">
        <f>IFERROR(H205/Levelisation!I1442, 0)</f>
        <v>0</v>
      </c>
      <c r="AD205" s="5">
        <f>IFERROR(I205/Levelisation!J1442, 0)</f>
        <v>0</v>
      </c>
      <c r="AE205" s="5">
        <f>IFERROR(J205/Levelisation!J1442, 0)</f>
        <v>0</v>
      </c>
      <c r="AF205" s="6">
        <f>IFERROR(K205/Levelisation!L1442, 0)</f>
        <v>0</v>
      </c>
      <c r="AG205" s="33" t="str">
        <f t="shared" si="158"/>
        <v>1.08 &gt; Bahamas</v>
      </c>
      <c r="AH205" s="84">
        <f t="shared" si="161"/>
        <v>191</v>
      </c>
      <c r="AI205" s="84">
        <f t="shared" si="162"/>
        <v>8</v>
      </c>
      <c r="AJ205" s="877" t="s">
        <v>1526</v>
      </c>
    </row>
    <row r="206" spans="1:36" x14ac:dyDescent="0.2">
      <c r="A206" s="492">
        <f>INDEX(Country!$F$31:$G$76, MATCH(AI206, Country!$O$31:$O$76, 0), 1)</f>
        <v>1.08</v>
      </c>
      <c r="B206" s="2" t="str">
        <f>INDEX(Country!$F$31:$G$76, MATCH(AI206, Country!$O$31:$O$76, 0), 2)</f>
        <v>Biofuels production</v>
      </c>
      <c r="C206" s="436" t="str">
        <f>INDEX(Country!$K$31:$K$76, MATCH(AI206, Country!$O$31:$O$76, 0), 1)</f>
        <v>Billion Litres</v>
      </c>
      <c r="D206" s="4" t="str">
        <f t="shared" si="178"/>
        <v>Barbados</v>
      </c>
      <c r="E206" s="101">
        <v>0</v>
      </c>
      <c r="F206" s="101">
        <v>0</v>
      </c>
      <c r="G206" s="101">
        <v>0</v>
      </c>
      <c r="H206" s="101">
        <v>0</v>
      </c>
      <c r="I206" s="101">
        <v>0</v>
      </c>
      <c r="J206" s="101">
        <v>0</v>
      </c>
      <c r="K206" s="102">
        <v>0</v>
      </c>
      <c r="L206" s="457">
        <f t="shared" si="228"/>
        <v>0</v>
      </c>
      <c r="M206" s="458">
        <f t="shared" si="229"/>
        <v>0</v>
      </c>
      <c r="N206" s="458">
        <f t="shared" si="230"/>
        <v>0</v>
      </c>
      <c r="O206" s="458">
        <f t="shared" si="231"/>
        <v>0</v>
      </c>
      <c r="P206" s="458">
        <f t="shared" si="232"/>
        <v>0</v>
      </c>
      <c r="Q206" s="458">
        <f t="shared" si="233"/>
        <v>0</v>
      </c>
      <c r="R206" s="459">
        <f t="shared" si="234"/>
        <v>0</v>
      </c>
      <c r="S206" s="455"/>
      <c r="T206" s="456"/>
      <c r="U206" s="456"/>
      <c r="V206" s="456"/>
      <c r="W206" s="456"/>
      <c r="X206" s="456"/>
      <c r="Y206" s="456"/>
      <c r="Z206" s="421">
        <f>IFERROR(E206/Levelisation!F1443, 0)</f>
        <v>0</v>
      </c>
      <c r="AA206" s="471">
        <f>IFERROR(F206/Levelisation!G1443, 0)</f>
        <v>0</v>
      </c>
      <c r="AB206" s="471">
        <f>IFERROR(G206/Levelisation!H1443, 0)</f>
        <v>0</v>
      </c>
      <c r="AC206" s="5">
        <f>IFERROR(H206/Levelisation!I1443, 0)</f>
        <v>0</v>
      </c>
      <c r="AD206" s="5">
        <f>IFERROR(I206/Levelisation!J1443, 0)</f>
        <v>0</v>
      </c>
      <c r="AE206" s="5">
        <f>IFERROR(J206/Levelisation!J1443, 0)</f>
        <v>0</v>
      </c>
      <c r="AF206" s="6">
        <f>IFERROR(K206/Levelisation!L1443, 0)</f>
        <v>0</v>
      </c>
      <c r="AG206" s="33" t="str">
        <f t="shared" si="158"/>
        <v>1.08 &gt; Barbados</v>
      </c>
      <c r="AH206" s="84">
        <f t="shared" si="161"/>
        <v>192</v>
      </c>
      <c r="AI206" s="84">
        <f t="shared" si="162"/>
        <v>8</v>
      </c>
      <c r="AJ206" s="877" t="s">
        <v>1526</v>
      </c>
    </row>
    <row r="207" spans="1:36" x14ac:dyDescent="0.2">
      <c r="A207" s="492">
        <f>INDEX(Country!$F$31:$G$76, MATCH(AI207, Country!$O$31:$O$76, 0), 1)</f>
        <v>1.08</v>
      </c>
      <c r="B207" s="2" t="str">
        <f>INDEX(Country!$F$31:$G$76, MATCH(AI207, Country!$O$31:$O$76, 0), 2)</f>
        <v>Biofuels production</v>
      </c>
      <c r="C207" s="436" t="str">
        <f>INDEX(Country!$K$31:$K$76, MATCH(AI207, Country!$O$31:$O$76, 0), 1)</f>
        <v>Billion Litres</v>
      </c>
      <c r="D207" s="4" t="str">
        <f t="shared" si="178"/>
        <v>Belize</v>
      </c>
      <c r="E207" s="101">
        <v>0</v>
      </c>
      <c r="F207" s="101">
        <v>0</v>
      </c>
      <c r="G207" s="101">
        <v>0</v>
      </c>
      <c r="H207" s="101">
        <v>0</v>
      </c>
      <c r="I207" s="101">
        <v>0</v>
      </c>
      <c r="J207" s="101">
        <v>0</v>
      </c>
      <c r="K207" s="102">
        <v>0</v>
      </c>
      <c r="L207" s="457">
        <f t="shared" si="228"/>
        <v>0</v>
      </c>
      <c r="M207" s="458">
        <f t="shared" si="229"/>
        <v>0</v>
      </c>
      <c r="N207" s="458">
        <f t="shared" si="230"/>
        <v>0</v>
      </c>
      <c r="O207" s="458">
        <f t="shared" si="231"/>
        <v>0</v>
      </c>
      <c r="P207" s="458">
        <f t="shared" si="232"/>
        <v>0</v>
      </c>
      <c r="Q207" s="458">
        <f t="shared" si="233"/>
        <v>0</v>
      </c>
      <c r="R207" s="459">
        <f t="shared" si="234"/>
        <v>0</v>
      </c>
      <c r="S207" s="455"/>
      <c r="T207" s="456"/>
      <c r="U207" s="456"/>
      <c r="V207" s="456"/>
      <c r="W207" s="456"/>
      <c r="X207" s="456"/>
      <c r="Y207" s="456"/>
      <c r="Z207" s="421">
        <f>IFERROR(E207/Levelisation!F1444, 0)</f>
        <v>0</v>
      </c>
      <c r="AA207" s="471">
        <f>IFERROR(F207/Levelisation!G1444, 0)</f>
        <v>0</v>
      </c>
      <c r="AB207" s="471">
        <f>IFERROR(G207/Levelisation!H1444, 0)</f>
        <v>0</v>
      </c>
      <c r="AC207" s="5">
        <f>IFERROR(H207/Levelisation!I1444, 0)</f>
        <v>0</v>
      </c>
      <c r="AD207" s="5">
        <f>IFERROR(I207/Levelisation!J1444, 0)</f>
        <v>0</v>
      </c>
      <c r="AE207" s="5">
        <f>IFERROR(J207/Levelisation!J1444, 0)</f>
        <v>0</v>
      </c>
      <c r="AF207" s="6">
        <f>IFERROR(K207/Levelisation!L1444, 0)</f>
        <v>0</v>
      </c>
      <c r="AG207" s="33" t="str">
        <f t="shared" ref="AG207:AG270" si="235">A207&amp;" &gt; " &amp;D207</f>
        <v>1.08 &gt; Belize</v>
      </c>
      <c r="AH207" s="84">
        <f t="shared" si="161"/>
        <v>193</v>
      </c>
      <c r="AI207" s="84">
        <f t="shared" si="162"/>
        <v>8</v>
      </c>
      <c r="AJ207" s="877" t="s">
        <v>1526</v>
      </c>
    </row>
    <row r="208" spans="1:36" x14ac:dyDescent="0.2">
      <c r="A208" s="492">
        <f>INDEX(Country!$F$31:$G$76, MATCH(AI208, Country!$O$31:$O$76, 0), 1)</f>
        <v>1.08</v>
      </c>
      <c r="B208" s="2" t="str">
        <f>INDEX(Country!$F$31:$G$76, MATCH(AI208, Country!$O$31:$O$76, 0), 2)</f>
        <v>Biofuels production</v>
      </c>
      <c r="C208" s="436" t="str">
        <f>INDEX(Country!$K$31:$K$76, MATCH(AI208, Country!$O$31:$O$76, 0), 1)</f>
        <v>Billion Litres</v>
      </c>
      <c r="D208" s="4" t="str">
        <f t="shared" si="178"/>
        <v>Bolivia</v>
      </c>
      <c r="E208" s="101">
        <v>0</v>
      </c>
      <c r="F208" s="101">
        <v>0</v>
      </c>
      <c r="G208" s="101">
        <v>0</v>
      </c>
      <c r="H208" s="101">
        <v>0</v>
      </c>
      <c r="I208" s="101">
        <v>0</v>
      </c>
      <c r="J208" s="101">
        <v>0</v>
      </c>
      <c r="K208" s="102">
        <v>0</v>
      </c>
      <c r="L208" s="457">
        <f t="shared" si="228"/>
        <v>0</v>
      </c>
      <c r="M208" s="458">
        <f t="shared" si="229"/>
        <v>0</v>
      </c>
      <c r="N208" s="458">
        <f t="shared" si="230"/>
        <v>0</v>
      </c>
      <c r="O208" s="458">
        <f t="shared" si="231"/>
        <v>0</v>
      </c>
      <c r="P208" s="458">
        <f t="shared" si="232"/>
        <v>0</v>
      </c>
      <c r="Q208" s="458">
        <f t="shared" si="233"/>
        <v>0</v>
      </c>
      <c r="R208" s="459">
        <f t="shared" si="234"/>
        <v>0</v>
      </c>
      <c r="S208" s="455"/>
      <c r="T208" s="456"/>
      <c r="U208" s="456"/>
      <c r="V208" s="456"/>
      <c r="W208" s="456"/>
      <c r="X208" s="456"/>
      <c r="Y208" s="456"/>
      <c r="Z208" s="421">
        <f>IFERROR(E208/Levelisation!F1445, 0)</f>
        <v>0</v>
      </c>
      <c r="AA208" s="471">
        <f>IFERROR(F208/Levelisation!G1445, 0)</f>
        <v>0</v>
      </c>
      <c r="AB208" s="471">
        <f>IFERROR(G208/Levelisation!H1445, 0)</f>
        <v>0</v>
      </c>
      <c r="AC208" s="5">
        <f>IFERROR(H208/Levelisation!I1445, 0)</f>
        <v>0</v>
      </c>
      <c r="AD208" s="5">
        <f>IFERROR(I208/Levelisation!J1445, 0)</f>
        <v>0</v>
      </c>
      <c r="AE208" s="5">
        <f>IFERROR(J208/Levelisation!J1445, 0)</f>
        <v>0</v>
      </c>
      <c r="AF208" s="6">
        <f>IFERROR(K208/Levelisation!L1445, 0)</f>
        <v>0</v>
      </c>
      <c r="AG208" s="33" t="str">
        <f t="shared" si="235"/>
        <v>1.08 &gt; Bolivia</v>
      </c>
      <c r="AH208" s="84">
        <f t="shared" si="161"/>
        <v>194</v>
      </c>
      <c r="AI208" s="84">
        <f t="shared" si="162"/>
        <v>8</v>
      </c>
      <c r="AJ208" s="877" t="s">
        <v>1526</v>
      </c>
    </row>
    <row r="209" spans="1:36" x14ac:dyDescent="0.2">
      <c r="A209" s="492">
        <f>INDEX(Country!$F$31:$G$76, MATCH(AI209, Country!$O$31:$O$76, 0), 1)</f>
        <v>1.08</v>
      </c>
      <c r="B209" s="2" t="str">
        <f>INDEX(Country!$F$31:$G$76, MATCH(AI209, Country!$O$31:$O$76, 0), 2)</f>
        <v>Biofuels production</v>
      </c>
      <c r="C209" s="436" t="str">
        <f>INDEX(Country!$K$31:$K$76, MATCH(AI209, Country!$O$31:$O$76, 0), 1)</f>
        <v>Billion Litres</v>
      </c>
      <c r="D209" s="4" t="str">
        <f t="shared" si="178"/>
        <v>Brazil</v>
      </c>
      <c r="E209" s="101">
        <v>12.169001980999999</v>
      </c>
      <c r="F209" s="101">
        <v>22.80432914</v>
      </c>
      <c r="G209" s="101">
        <v>28.767128415000002</v>
      </c>
      <c r="H209" s="101">
        <v>27.308448417000001</v>
      </c>
      <c r="I209" s="101">
        <v>29.986398518000001</v>
      </c>
      <c r="J209" s="101">
        <v>25.372759918</v>
      </c>
      <c r="K209" s="102">
        <v>25.274548121999999</v>
      </c>
      <c r="L209" s="457">
        <f t="shared" si="228"/>
        <v>100</v>
      </c>
      <c r="M209" s="458">
        <f t="shared" si="229"/>
        <v>100</v>
      </c>
      <c r="N209" s="458">
        <f t="shared" si="230"/>
        <v>100</v>
      </c>
      <c r="O209" s="458">
        <f t="shared" si="231"/>
        <v>100</v>
      </c>
      <c r="P209" s="458">
        <f t="shared" si="232"/>
        <v>100</v>
      </c>
      <c r="Q209" s="458">
        <f t="shared" si="233"/>
        <v>100</v>
      </c>
      <c r="R209" s="459">
        <f t="shared" si="234"/>
        <v>100</v>
      </c>
      <c r="S209" s="455"/>
      <c r="T209" s="456"/>
      <c r="U209" s="456"/>
      <c r="V209" s="456"/>
      <c r="W209" s="456"/>
      <c r="X209" s="456"/>
      <c r="Y209" s="456"/>
      <c r="Z209" s="421">
        <f>IFERROR(E209/Levelisation!F1446, 0)</f>
        <v>6.4743197847391437E-2</v>
      </c>
      <c r="AA209" s="471">
        <f>IFERROR(F209/Levelisation!G1446, 0)</f>
        <v>0.12015052392543651</v>
      </c>
      <c r="AB209" s="471">
        <f>IFERROR(G209/Levelisation!H1446, 0)</f>
        <v>0.15018626843580815</v>
      </c>
      <c r="AC209" s="5">
        <f>IFERROR(H209/Levelisation!I1446, 0)</f>
        <v>0.14131369913633846</v>
      </c>
      <c r="AD209" s="5">
        <f>IFERROR(I209/Levelisation!J1446, 0)</f>
        <v>0.1538182096569837</v>
      </c>
      <c r="AE209" s="5">
        <f>IFERROR(J209/Levelisation!J1446, 0)</f>
        <v>0.13015209219941831</v>
      </c>
      <c r="AF209" s="6">
        <f>IFERROR(K209/Levelisation!L1446, 0)</f>
        <v>0.12741692228815141</v>
      </c>
      <c r="AG209" s="33" t="str">
        <f t="shared" si="235"/>
        <v>1.08 &gt; Brazil</v>
      </c>
      <c r="AH209" s="84">
        <f t="shared" ref="AH209:AH272" si="236">AH208+1</f>
        <v>195</v>
      </c>
      <c r="AI209" s="84">
        <f t="shared" ref="AI209:AI272" si="237">ROUNDUP(AH209/COUNTA($D$15:$D$41),0)</f>
        <v>8</v>
      </c>
      <c r="AJ209" s="877" t="s">
        <v>1526</v>
      </c>
    </row>
    <row r="210" spans="1:36" x14ac:dyDescent="0.2">
      <c r="A210" s="492">
        <f>INDEX(Country!$F$31:$G$76, MATCH(AI210, Country!$O$31:$O$76, 0), 1)</f>
        <v>1.08</v>
      </c>
      <c r="B210" s="2" t="str">
        <f>INDEX(Country!$F$31:$G$76, MATCH(AI210, Country!$O$31:$O$76, 0), 2)</f>
        <v>Biofuels production</v>
      </c>
      <c r="C210" s="436" t="str">
        <f>INDEX(Country!$K$31:$K$76, MATCH(AI210, Country!$O$31:$O$76, 0), 1)</f>
        <v>Billion Litres</v>
      </c>
      <c r="D210" s="4" t="str">
        <f t="shared" si="178"/>
        <v>Chile</v>
      </c>
      <c r="E210" s="101">
        <v>0</v>
      </c>
      <c r="F210" s="101">
        <v>0</v>
      </c>
      <c r="G210" s="101">
        <v>0</v>
      </c>
      <c r="H210" s="101">
        <v>0</v>
      </c>
      <c r="I210" s="101">
        <v>0</v>
      </c>
      <c r="J210" s="101">
        <v>0</v>
      </c>
      <c r="K210" s="102">
        <v>0</v>
      </c>
      <c r="L210" s="457">
        <f t="shared" si="228"/>
        <v>0</v>
      </c>
      <c r="M210" s="458">
        <f t="shared" si="229"/>
        <v>0</v>
      </c>
      <c r="N210" s="458">
        <f t="shared" si="230"/>
        <v>0</v>
      </c>
      <c r="O210" s="458">
        <f t="shared" si="231"/>
        <v>0</v>
      </c>
      <c r="P210" s="458">
        <f t="shared" si="232"/>
        <v>0</v>
      </c>
      <c r="Q210" s="458">
        <f t="shared" si="233"/>
        <v>0</v>
      </c>
      <c r="R210" s="459">
        <f t="shared" si="234"/>
        <v>0</v>
      </c>
      <c r="S210" s="455"/>
      <c r="T210" s="456"/>
      <c r="U210" s="456"/>
      <c r="V210" s="456"/>
      <c r="W210" s="456"/>
      <c r="X210" s="456"/>
      <c r="Y210" s="456"/>
      <c r="Z210" s="421">
        <f>IFERROR(E210/Levelisation!F1447, 0)</f>
        <v>0</v>
      </c>
      <c r="AA210" s="471">
        <f>IFERROR(F210/Levelisation!G1447, 0)</f>
        <v>0</v>
      </c>
      <c r="AB210" s="471">
        <f>IFERROR(G210/Levelisation!H1447, 0)</f>
        <v>0</v>
      </c>
      <c r="AC210" s="5">
        <f>IFERROR(H210/Levelisation!I1447, 0)</f>
        <v>0</v>
      </c>
      <c r="AD210" s="5">
        <f>IFERROR(I210/Levelisation!J1447, 0)</f>
        <v>0</v>
      </c>
      <c r="AE210" s="5">
        <f>IFERROR(J210/Levelisation!J1447, 0)</f>
        <v>0</v>
      </c>
      <c r="AF210" s="6">
        <f>IFERROR(K210/Levelisation!L1447, 0)</f>
        <v>0</v>
      </c>
      <c r="AG210" s="33" t="str">
        <f t="shared" si="235"/>
        <v>1.08 &gt; Chile</v>
      </c>
      <c r="AH210" s="84">
        <f t="shared" si="236"/>
        <v>196</v>
      </c>
      <c r="AI210" s="84">
        <f t="shared" si="237"/>
        <v>8</v>
      </c>
      <c r="AJ210" s="877" t="s">
        <v>1526</v>
      </c>
    </row>
    <row r="211" spans="1:36" x14ac:dyDescent="0.2">
      <c r="A211" s="492">
        <f>INDEX(Country!$F$31:$G$76, MATCH(AI211, Country!$O$31:$O$76, 0), 1)</f>
        <v>1.08</v>
      </c>
      <c r="B211" s="2" t="str">
        <f>INDEX(Country!$F$31:$G$76, MATCH(AI211, Country!$O$31:$O$76, 0), 2)</f>
        <v>Biofuels production</v>
      </c>
      <c r="C211" s="436" t="str">
        <f>INDEX(Country!$K$31:$K$76, MATCH(AI211, Country!$O$31:$O$76, 0), 1)</f>
        <v>Billion Litres</v>
      </c>
      <c r="D211" s="4" t="str">
        <f t="shared" si="178"/>
        <v>Colombia</v>
      </c>
      <c r="E211" s="101">
        <v>0</v>
      </c>
      <c r="F211" s="101">
        <v>0</v>
      </c>
      <c r="G211" s="101">
        <v>0.32580500000000001</v>
      </c>
      <c r="H211" s="101">
        <v>0.50142039999999999</v>
      </c>
      <c r="I211" s="101">
        <v>0.66878097600000008</v>
      </c>
      <c r="J211" s="101">
        <v>0.77970000000000006</v>
      </c>
      <c r="K211" s="102">
        <v>0.87485000000000002</v>
      </c>
      <c r="L211" s="457">
        <f t="shared" si="228"/>
        <v>0</v>
      </c>
      <c r="M211" s="458">
        <f t="shared" si="229"/>
        <v>0</v>
      </c>
      <c r="N211" s="458">
        <f t="shared" si="230"/>
        <v>4.8804037574825463</v>
      </c>
      <c r="O211" s="458">
        <f t="shared" si="231"/>
        <v>7.8889207617523418</v>
      </c>
      <c r="P211" s="458">
        <f t="shared" si="232"/>
        <v>9.5532300895350009</v>
      </c>
      <c r="Q211" s="458">
        <f t="shared" si="233"/>
        <v>13.162865985643975</v>
      </c>
      <c r="R211" s="459">
        <f t="shared" si="234"/>
        <v>14.734629107164839</v>
      </c>
      <c r="S211" s="455"/>
      <c r="T211" s="456"/>
      <c r="U211" s="456"/>
      <c r="V211" s="456"/>
      <c r="W211" s="456"/>
      <c r="X211" s="456"/>
      <c r="Y211" s="456"/>
      <c r="Z211" s="421">
        <f>IFERROR(E211/Levelisation!F1448, 0)</f>
        <v>0</v>
      </c>
      <c r="AA211" s="471">
        <f>IFERROR(F211/Levelisation!G1448, 0)</f>
        <v>0</v>
      </c>
      <c r="AB211" s="471">
        <f>IFERROR(G211/Levelisation!H1448, 0)</f>
        <v>7.3296962879640043E-3</v>
      </c>
      <c r="AC211" s="5">
        <f>IFERROR(H211/Levelisation!I1448, 0)</f>
        <v>1.1148125750366845E-2</v>
      </c>
      <c r="AD211" s="5">
        <f>IFERROR(I211/Levelisation!J1448, 0)</f>
        <v>1.4694607488135E-2</v>
      </c>
      <c r="AE211" s="5">
        <f>IFERROR(J211/Levelisation!J1448, 0)</f>
        <v>1.7131745473721219E-2</v>
      </c>
      <c r="AF211" s="6">
        <f>IFERROR(K211/Levelisation!L1448, 0)</f>
        <v>1.8774410918923561E-2</v>
      </c>
      <c r="AG211" s="33" t="str">
        <f t="shared" si="235"/>
        <v>1.08 &gt; Colombia</v>
      </c>
      <c r="AH211" s="84">
        <f t="shared" si="236"/>
        <v>197</v>
      </c>
      <c r="AI211" s="84">
        <f t="shared" si="237"/>
        <v>8</v>
      </c>
      <c r="AJ211" s="877" t="s">
        <v>1526</v>
      </c>
    </row>
    <row r="212" spans="1:36" x14ac:dyDescent="0.2">
      <c r="A212" s="492">
        <f>INDEX(Country!$F$31:$G$76, MATCH(AI212, Country!$O$31:$O$76, 0), 1)</f>
        <v>1.08</v>
      </c>
      <c r="B212" s="2" t="str">
        <f>INDEX(Country!$F$31:$G$76, MATCH(AI212, Country!$O$31:$O$76, 0), 2)</f>
        <v>Biofuels production</v>
      </c>
      <c r="C212" s="436" t="str">
        <f>INDEX(Country!$K$31:$K$76, MATCH(AI212, Country!$O$31:$O$76, 0), 1)</f>
        <v>Billion Litres</v>
      </c>
      <c r="D212" s="4" t="str">
        <f t="shared" si="178"/>
        <v>Costa Rica</v>
      </c>
      <c r="E212" s="101">
        <v>3.1E-2</v>
      </c>
      <c r="F212" s="101">
        <v>3.1E-2</v>
      </c>
      <c r="G212" s="101">
        <v>3.1E-2</v>
      </c>
      <c r="H212" s="101">
        <v>3.1E-2</v>
      </c>
      <c r="I212" s="101">
        <v>3.1E-2</v>
      </c>
      <c r="J212" s="101">
        <v>3.1E-2</v>
      </c>
      <c r="K212" s="102">
        <v>3.1E-2</v>
      </c>
      <c r="L212" s="457">
        <f t="shared" si="228"/>
        <v>10.997124011897371</v>
      </c>
      <c r="M212" s="458">
        <f t="shared" si="229"/>
        <v>5.8071054407585203</v>
      </c>
      <c r="N212" s="458">
        <f t="shared" si="230"/>
        <v>4.5535042675578934</v>
      </c>
      <c r="O212" s="458">
        <f t="shared" si="231"/>
        <v>4.7482705151487057</v>
      </c>
      <c r="P212" s="458">
        <f t="shared" si="232"/>
        <v>4.4177248257535746</v>
      </c>
      <c r="Q212" s="458">
        <f t="shared" si="233"/>
        <v>5.2210188247566425</v>
      </c>
      <c r="R212" s="459">
        <f t="shared" si="234"/>
        <v>5.2142259746409474</v>
      </c>
      <c r="S212" s="455"/>
      <c r="T212" s="456"/>
      <c r="U212" s="456"/>
      <c r="V212" s="456"/>
      <c r="W212" s="456"/>
      <c r="X212" s="456"/>
      <c r="Y212" s="456"/>
      <c r="Z212" s="421">
        <f>IFERROR(E212/Levelisation!F1449, 0)</f>
        <v>7.1198897565457053E-3</v>
      </c>
      <c r="AA212" s="471">
        <f>IFERROR(F212/Levelisation!G1449, 0)</f>
        <v>6.9772676119738922E-3</v>
      </c>
      <c r="AB212" s="471">
        <f>IFERROR(G212/Levelisation!H1449, 0)</f>
        <v>6.8387381425104778E-3</v>
      </c>
      <c r="AC212" s="5">
        <f>IFERROR(H212/Levelisation!I1449, 0)</f>
        <v>6.7099567099567102E-3</v>
      </c>
      <c r="AD212" s="5">
        <f>IFERROR(I212/Levelisation!J1449, 0)</f>
        <v>6.7952652345462513E-3</v>
      </c>
      <c r="AE212" s="5">
        <f>IFERROR(J212/Levelisation!J1449, 0)</f>
        <v>6.7952652345462513E-3</v>
      </c>
      <c r="AF212" s="6">
        <f>IFERROR(K212/Levelisation!L1449, 0)</f>
        <v>6.6438062580368622E-3</v>
      </c>
      <c r="AG212" s="33" t="str">
        <f t="shared" si="235"/>
        <v>1.08 &gt; Costa Rica</v>
      </c>
      <c r="AH212" s="84">
        <f t="shared" si="236"/>
        <v>198</v>
      </c>
      <c r="AI212" s="84">
        <f t="shared" si="237"/>
        <v>8</v>
      </c>
      <c r="AJ212" s="877" t="s">
        <v>1526</v>
      </c>
    </row>
    <row r="213" spans="1:36" x14ac:dyDescent="0.2">
      <c r="A213" s="492">
        <f>INDEX(Country!$F$31:$G$76, MATCH(AI213, Country!$O$31:$O$76, 0), 1)</f>
        <v>1.08</v>
      </c>
      <c r="B213" s="2" t="str">
        <f>INDEX(Country!$F$31:$G$76, MATCH(AI213, Country!$O$31:$O$76, 0), 2)</f>
        <v>Biofuels production</v>
      </c>
      <c r="C213" s="436" t="str">
        <f>INDEX(Country!$K$31:$K$76, MATCH(AI213, Country!$O$31:$O$76, 0), 1)</f>
        <v>Billion Litres</v>
      </c>
      <c r="D213" s="4" t="str">
        <f t="shared" si="178"/>
        <v>Dominican Republic</v>
      </c>
      <c r="E213" s="101">
        <v>0</v>
      </c>
      <c r="F213" s="101">
        <v>0</v>
      </c>
      <c r="G213" s="101">
        <v>0</v>
      </c>
      <c r="H213" s="101">
        <v>0</v>
      </c>
      <c r="I213" s="101">
        <v>0</v>
      </c>
      <c r="J213" s="101">
        <v>0</v>
      </c>
      <c r="K213" s="102">
        <v>0</v>
      </c>
      <c r="L213" s="457">
        <f t="shared" si="228"/>
        <v>0</v>
      </c>
      <c r="M213" s="458">
        <f t="shared" si="229"/>
        <v>0</v>
      </c>
      <c r="N213" s="458">
        <f t="shared" si="230"/>
        <v>0</v>
      </c>
      <c r="O213" s="458">
        <f t="shared" si="231"/>
        <v>0</v>
      </c>
      <c r="P213" s="458">
        <f t="shared" si="232"/>
        <v>0</v>
      </c>
      <c r="Q213" s="458">
        <f t="shared" si="233"/>
        <v>0</v>
      </c>
      <c r="R213" s="459">
        <f t="shared" si="234"/>
        <v>0</v>
      </c>
      <c r="S213" s="455"/>
      <c r="T213" s="456"/>
      <c r="U213" s="456"/>
      <c r="V213" s="456"/>
      <c r="W213" s="456"/>
      <c r="X213" s="456"/>
      <c r="Y213" s="456"/>
      <c r="Z213" s="421">
        <f>IFERROR(E213/Levelisation!F1450, 0)</f>
        <v>0</v>
      </c>
      <c r="AA213" s="471">
        <f>IFERROR(F213/Levelisation!G1450, 0)</f>
        <v>0</v>
      </c>
      <c r="AB213" s="471">
        <f>IFERROR(G213/Levelisation!H1450, 0)</f>
        <v>0</v>
      </c>
      <c r="AC213" s="5">
        <f>IFERROR(H213/Levelisation!I1450, 0)</f>
        <v>0</v>
      </c>
      <c r="AD213" s="5">
        <f>IFERROR(I213/Levelisation!J1450, 0)</f>
        <v>0</v>
      </c>
      <c r="AE213" s="5">
        <f>IFERROR(J213/Levelisation!J1450, 0)</f>
        <v>0</v>
      </c>
      <c r="AF213" s="6">
        <f>IFERROR(K213/Levelisation!L1450, 0)</f>
        <v>0</v>
      </c>
      <c r="AG213" s="33" t="str">
        <f t="shared" si="235"/>
        <v>1.08 &gt; Dominican Republic</v>
      </c>
      <c r="AH213" s="84">
        <f t="shared" si="236"/>
        <v>199</v>
      </c>
      <c r="AI213" s="84">
        <f t="shared" si="237"/>
        <v>8</v>
      </c>
      <c r="AJ213" s="877" t="s">
        <v>1526</v>
      </c>
    </row>
    <row r="214" spans="1:36" x14ac:dyDescent="0.2">
      <c r="A214" s="492">
        <f>INDEX(Country!$F$31:$G$76, MATCH(AI214, Country!$O$31:$O$76, 0), 1)</f>
        <v>1.08</v>
      </c>
      <c r="B214" s="2" t="str">
        <f>INDEX(Country!$F$31:$G$76, MATCH(AI214, Country!$O$31:$O$76, 0), 2)</f>
        <v>Biofuels production</v>
      </c>
      <c r="C214" s="436" t="str">
        <f>INDEX(Country!$K$31:$K$76, MATCH(AI214, Country!$O$31:$O$76, 0), 1)</f>
        <v>Billion Litres</v>
      </c>
      <c r="D214" s="4" t="str">
        <f t="shared" si="178"/>
        <v>Ecuador</v>
      </c>
      <c r="E214" s="101">
        <v>0</v>
      </c>
      <c r="F214" s="101">
        <v>0</v>
      </c>
      <c r="G214" s="101">
        <v>0</v>
      </c>
      <c r="H214" s="101">
        <v>0</v>
      </c>
      <c r="I214" s="101">
        <v>0</v>
      </c>
      <c r="J214" s="101">
        <v>0</v>
      </c>
      <c r="K214" s="102">
        <v>0</v>
      </c>
      <c r="L214" s="457">
        <f t="shared" si="228"/>
        <v>0</v>
      </c>
      <c r="M214" s="458">
        <f t="shared" si="229"/>
        <v>0</v>
      </c>
      <c r="N214" s="458">
        <f t="shared" si="230"/>
        <v>0</v>
      </c>
      <c r="O214" s="458">
        <f t="shared" si="231"/>
        <v>0</v>
      </c>
      <c r="P214" s="458">
        <f t="shared" si="232"/>
        <v>0</v>
      </c>
      <c r="Q214" s="458">
        <f t="shared" si="233"/>
        <v>0</v>
      </c>
      <c r="R214" s="459">
        <f t="shared" si="234"/>
        <v>0</v>
      </c>
      <c r="S214" s="455"/>
      <c r="T214" s="456"/>
      <c r="U214" s="456"/>
      <c r="V214" s="456"/>
      <c r="W214" s="456"/>
      <c r="X214" s="456"/>
      <c r="Y214" s="456"/>
      <c r="Z214" s="421">
        <f>IFERROR(E214/Levelisation!F1451, 0)</f>
        <v>0</v>
      </c>
      <c r="AA214" s="471">
        <f>IFERROR(F214/Levelisation!G1451, 0)</f>
        <v>0</v>
      </c>
      <c r="AB214" s="471">
        <f>IFERROR(G214/Levelisation!H1451, 0)</f>
        <v>0</v>
      </c>
      <c r="AC214" s="5">
        <f>IFERROR(H214/Levelisation!I1451, 0)</f>
        <v>0</v>
      </c>
      <c r="AD214" s="5">
        <f>IFERROR(I214/Levelisation!J1451, 0)</f>
        <v>0</v>
      </c>
      <c r="AE214" s="5">
        <f>IFERROR(J214/Levelisation!J1451, 0)</f>
        <v>0</v>
      </c>
      <c r="AF214" s="6">
        <f>IFERROR(K214/Levelisation!L1451, 0)</f>
        <v>0</v>
      </c>
      <c r="AG214" s="33" t="str">
        <f t="shared" si="235"/>
        <v>1.08 &gt; Ecuador</v>
      </c>
      <c r="AH214" s="84">
        <f t="shared" si="236"/>
        <v>200</v>
      </c>
      <c r="AI214" s="84">
        <f t="shared" si="237"/>
        <v>8</v>
      </c>
      <c r="AJ214" s="877" t="s">
        <v>1526</v>
      </c>
    </row>
    <row r="215" spans="1:36" x14ac:dyDescent="0.2">
      <c r="A215" s="492">
        <f>INDEX(Country!$F$31:$G$76, MATCH(AI215, Country!$O$31:$O$76, 0), 1)</f>
        <v>1.08</v>
      </c>
      <c r="B215" s="2" t="str">
        <f>INDEX(Country!$F$31:$G$76, MATCH(AI215, Country!$O$31:$O$76, 0), 2)</f>
        <v>Biofuels production</v>
      </c>
      <c r="C215" s="436" t="str">
        <f>INDEX(Country!$K$31:$K$76, MATCH(AI215, Country!$O$31:$O$76, 0), 1)</f>
        <v>Billion Litres</v>
      </c>
      <c r="D215" s="4" t="str">
        <f t="shared" si="178"/>
        <v>El Salvador</v>
      </c>
      <c r="E215" s="101">
        <v>0</v>
      </c>
      <c r="F215" s="101">
        <v>0</v>
      </c>
      <c r="G215" s="101">
        <v>0</v>
      </c>
      <c r="H215" s="101">
        <v>0</v>
      </c>
      <c r="I215" s="101">
        <v>0</v>
      </c>
      <c r="J215" s="101">
        <v>0</v>
      </c>
      <c r="K215" s="102">
        <v>0</v>
      </c>
      <c r="L215" s="457">
        <f t="shared" si="228"/>
        <v>0</v>
      </c>
      <c r="M215" s="458">
        <f t="shared" si="229"/>
        <v>0</v>
      </c>
      <c r="N215" s="458">
        <f t="shared" si="230"/>
        <v>0</v>
      </c>
      <c r="O215" s="458">
        <f t="shared" si="231"/>
        <v>0</v>
      </c>
      <c r="P215" s="458">
        <f t="shared" si="232"/>
        <v>0</v>
      </c>
      <c r="Q215" s="458">
        <f t="shared" si="233"/>
        <v>0</v>
      </c>
      <c r="R215" s="459">
        <f t="shared" si="234"/>
        <v>0</v>
      </c>
      <c r="S215" s="455"/>
      <c r="T215" s="456"/>
      <c r="U215" s="456"/>
      <c r="V215" s="456"/>
      <c r="W215" s="456"/>
      <c r="X215" s="456"/>
      <c r="Y215" s="456"/>
      <c r="Z215" s="421">
        <f>IFERROR(E215/Levelisation!F1452, 0)</f>
        <v>0</v>
      </c>
      <c r="AA215" s="471">
        <f>IFERROR(F215/Levelisation!G1452, 0)</f>
        <v>0</v>
      </c>
      <c r="AB215" s="471">
        <f>IFERROR(G215/Levelisation!H1452, 0)</f>
        <v>0</v>
      </c>
      <c r="AC215" s="5">
        <f>IFERROR(H215/Levelisation!I1452, 0)</f>
        <v>0</v>
      </c>
      <c r="AD215" s="5">
        <f>IFERROR(I215/Levelisation!J1452, 0)</f>
        <v>0</v>
      </c>
      <c r="AE215" s="5">
        <f>IFERROR(J215/Levelisation!J1452, 0)</f>
        <v>0</v>
      </c>
      <c r="AF215" s="6">
        <f>IFERROR(K215/Levelisation!L1452, 0)</f>
        <v>0</v>
      </c>
      <c r="AG215" s="33" t="str">
        <f t="shared" si="235"/>
        <v>1.08 &gt; El Salvador</v>
      </c>
      <c r="AH215" s="84">
        <f t="shared" si="236"/>
        <v>201</v>
      </c>
      <c r="AI215" s="84">
        <f t="shared" si="237"/>
        <v>8</v>
      </c>
      <c r="AJ215" s="877" t="s">
        <v>1526</v>
      </c>
    </row>
    <row r="216" spans="1:36" x14ac:dyDescent="0.2">
      <c r="A216" s="492">
        <f>INDEX(Country!$F$31:$G$76, MATCH(AI216, Country!$O$31:$O$76, 0), 1)</f>
        <v>1.08</v>
      </c>
      <c r="B216" s="2" t="str">
        <f>INDEX(Country!$F$31:$G$76, MATCH(AI216, Country!$O$31:$O$76, 0), 2)</f>
        <v>Biofuels production</v>
      </c>
      <c r="C216" s="436" t="str">
        <f>INDEX(Country!$K$31:$K$76, MATCH(AI216, Country!$O$31:$O$76, 0), 1)</f>
        <v>Billion Litres</v>
      </c>
      <c r="D216" s="4" t="str">
        <f t="shared" si="178"/>
        <v>Guatemala</v>
      </c>
      <c r="E216" s="101">
        <v>0</v>
      </c>
      <c r="F216" s="101">
        <v>0.11</v>
      </c>
      <c r="G216" s="101">
        <v>0.185</v>
      </c>
      <c r="H216" s="101">
        <v>0.17</v>
      </c>
      <c r="I216" s="101">
        <v>0.14499999999999999</v>
      </c>
      <c r="J216" s="101">
        <v>0.1137</v>
      </c>
      <c r="K216" s="102">
        <v>0.13120000000000001</v>
      </c>
      <c r="L216" s="457">
        <f t="shared" si="228"/>
        <v>0</v>
      </c>
      <c r="M216" s="458">
        <f t="shared" si="229"/>
        <v>6.8557606083036902</v>
      </c>
      <c r="N216" s="458">
        <f t="shared" si="230"/>
        <v>9.0004653832628296</v>
      </c>
      <c r="O216" s="458">
        <f t="shared" si="231"/>
        <v>8.5762979291039958</v>
      </c>
      <c r="P216" s="458">
        <f t="shared" si="232"/>
        <v>6.5568006134074635</v>
      </c>
      <c r="Q216" s="458">
        <f t="shared" si="233"/>
        <v>6.076325609205508</v>
      </c>
      <c r="R216" s="459">
        <f t="shared" si="234"/>
        <v>6.8168854273310826</v>
      </c>
      <c r="S216" s="455"/>
      <c r="T216" s="456"/>
      <c r="U216" s="456"/>
      <c r="V216" s="456"/>
      <c r="W216" s="456"/>
      <c r="X216" s="456"/>
      <c r="Y216" s="456"/>
      <c r="Z216" s="421">
        <f>IFERROR(E216/Levelisation!F1453, 0)</f>
        <v>0</v>
      </c>
      <c r="AA216" s="471">
        <f>IFERROR(F216/Levelisation!G1453, 0)</f>
        <v>8.2372322899505763E-3</v>
      </c>
      <c r="AB216" s="471">
        <f>IFERROR(G216/Levelisation!H1453, 0)</f>
        <v>1.3517463100979102E-2</v>
      </c>
      <c r="AC216" s="5">
        <f>IFERROR(H216/Levelisation!I1453, 0)</f>
        <v>1.2119483852570044E-2</v>
      </c>
      <c r="AD216" s="5">
        <f>IFERROR(I216/Levelisation!J1453, 0)</f>
        <v>1.0085553314321484E-2</v>
      </c>
      <c r="AE216" s="5">
        <f>IFERROR(J216/Levelisation!J1453, 0)</f>
        <v>7.9084649092300199E-3</v>
      </c>
      <c r="AF216" s="6">
        <f>IFERROR(K216/Levelisation!L1453, 0)</f>
        <v>8.6858656074147635E-3</v>
      </c>
      <c r="AG216" s="33" t="str">
        <f t="shared" si="235"/>
        <v>1.08 &gt; Guatemala</v>
      </c>
      <c r="AH216" s="84">
        <f t="shared" si="236"/>
        <v>202</v>
      </c>
      <c r="AI216" s="84">
        <f t="shared" si="237"/>
        <v>8</v>
      </c>
      <c r="AJ216" s="877" t="s">
        <v>1526</v>
      </c>
    </row>
    <row r="217" spans="1:36" x14ac:dyDescent="0.2">
      <c r="A217" s="492">
        <f>INDEX(Country!$F$31:$G$76, MATCH(AI217, Country!$O$31:$O$76, 0), 1)</f>
        <v>1.08</v>
      </c>
      <c r="B217" s="2" t="str">
        <f>INDEX(Country!$F$31:$G$76, MATCH(AI217, Country!$O$31:$O$76, 0), 2)</f>
        <v>Biofuels production</v>
      </c>
      <c r="C217" s="436" t="str">
        <f>INDEX(Country!$K$31:$K$76, MATCH(AI217, Country!$O$31:$O$76, 0), 1)</f>
        <v>Billion Litres</v>
      </c>
      <c r="D217" s="4" t="str">
        <f t="shared" si="178"/>
        <v>Guyana</v>
      </c>
      <c r="E217" s="101">
        <v>0</v>
      </c>
      <c r="F217" s="101">
        <v>0</v>
      </c>
      <c r="G217" s="101">
        <v>0</v>
      </c>
      <c r="H217" s="101">
        <v>0</v>
      </c>
      <c r="I217" s="101">
        <v>0</v>
      </c>
      <c r="J217" s="101">
        <v>0</v>
      </c>
      <c r="K217" s="102">
        <v>0</v>
      </c>
      <c r="L217" s="457">
        <f t="shared" si="228"/>
        <v>0</v>
      </c>
      <c r="M217" s="458">
        <f t="shared" si="229"/>
        <v>0</v>
      </c>
      <c r="N217" s="458">
        <f t="shared" si="230"/>
        <v>0</v>
      </c>
      <c r="O217" s="458">
        <f t="shared" si="231"/>
        <v>0</v>
      </c>
      <c r="P217" s="458">
        <f t="shared" si="232"/>
        <v>0</v>
      </c>
      <c r="Q217" s="458">
        <f t="shared" si="233"/>
        <v>0</v>
      </c>
      <c r="R217" s="459">
        <f t="shared" si="234"/>
        <v>0</v>
      </c>
      <c r="S217" s="455"/>
      <c r="T217" s="456"/>
      <c r="U217" s="456"/>
      <c r="V217" s="456"/>
      <c r="W217" s="456"/>
      <c r="X217" s="456"/>
      <c r="Y217" s="456"/>
      <c r="Z217" s="421">
        <f>IFERROR(E217/Levelisation!F1454, 0)</f>
        <v>0</v>
      </c>
      <c r="AA217" s="471">
        <f>IFERROR(F217/Levelisation!G1454, 0)</f>
        <v>0</v>
      </c>
      <c r="AB217" s="471">
        <f>IFERROR(G217/Levelisation!H1454, 0)</f>
        <v>0</v>
      </c>
      <c r="AC217" s="5">
        <f>IFERROR(H217/Levelisation!I1454, 0)</f>
        <v>0</v>
      </c>
      <c r="AD217" s="5">
        <f>IFERROR(I217/Levelisation!J1454, 0)</f>
        <v>0</v>
      </c>
      <c r="AE217" s="5">
        <f>IFERROR(J217/Levelisation!J1454, 0)</f>
        <v>0</v>
      </c>
      <c r="AF217" s="6">
        <f>IFERROR(K217/Levelisation!L1454, 0)</f>
        <v>0</v>
      </c>
      <c r="AG217" s="33" t="str">
        <f t="shared" si="235"/>
        <v>1.08 &gt; Guyana</v>
      </c>
      <c r="AH217" s="84">
        <f t="shared" si="236"/>
        <v>203</v>
      </c>
      <c r="AI217" s="84">
        <f t="shared" si="237"/>
        <v>8</v>
      </c>
      <c r="AJ217" s="877" t="s">
        <v>1526</v>
      </c>
    </row>
    <row r="218" spans="1:36" x14ac:dyDescent="0.2">
      <c r="A218" s="492">
        <f>INDEX(Country!$F$31:$G$76, MATCH(AI218, Country!$O$31:$O$76, 0), 1)</f>
        <v>1.08</v>
      </c>
      <c r="B218" s="2" t="str">
        <f>INDEX(Country!$F$31:$G$76, MATCH(AI218, Country!$O$31:$O$76, 0), 2)</f>
        <v>Biofuels production</v>
      </c>
      <c r="C218" s="436" t="str">
        <f>INDEX(Country!$K$31:$K$76, MATCH(AI218, Country!$O$31:$O$76, 0), 1)</f>
        <v>Billion Litres</v>
      </c>
      <c r="D218" s="4" t="str">
        <f t="shared" si="178"/>
        <v>Haiti</v>
      </c>
      <c r="E218" s="101">
        <v>0</v>
      </c>
      <c r="F218" s="101">
        <v>0</v>
      </c>
      <c r="G218" s="101">
        <v>0</v>
      </c>
      <c r="H218" s="101">
        <v>0</v>
      </c>
      <c r="I218" s="101">
        <v>0</v>
      </c>
      <c r="J218" s="101">
        <v>0</v>
      </c>
      <c r="K218" s="102">
        <v>0</v>
      </c>
      <c r="L218" s="457">
        <f t="shared" si="228"/>
        <v>0</v>
      </c>
      <c r="M218" s="458">
        <f t="shared" si="229"/>
        <v>0</v>
      </c>
      <c r="N218" s="458">
        <f t="shared" si="230"/>
        <v>0</v>
      </c>
      <c r="O218" s="458">
        <f t="shared" si="231"/>
        <v>0</v>
      </c>
      <c r="P218" s="458">
        <f t="shared" si="232"/>
        <v>0</v>
      </c>
      <c r="Q218" s="458">
        <f t="shared" si="233"/>
        <v>0</v>
      </c>
      <c r="R218" s="459">
        <f t="shared" si="234"/>
        <v>0</v>
      </c>
      <c r="S218" s="455"/>
      <c r="T218" s="456"/>
      <c r="U218" s="456"/>
      <c r="V218" s="456"/>
      <c r="W218" s="456"/>
      <c r="X218" s="456"/>
      <c r="Y218" s="456"/>
      <c r="Z218" s="421">
        <f>IFERROR(E218/Levelisation!F1455, 0)</f>
        <v>0</v>
      </c>
      <c r="AA218" s="471">
        <f>IFERROR(F218/Levelisation!G1455, 0)</f>
        <v>0</v>
      </c>
      <c r="AB218" s="471">
        <f>IFERROR(G218/Levelisation!H1455, 0)</f>
        <v>0</v>
      </c>
      <c r="AC218" s="5">
        <f>IFERROR(H218/Levelisation!I1455, 0)</f>
        <v>0</v>
      </c>
      <c r="AD218" s="5">
        <f>IFERROR(I218/Levelisation!J1455, 0)</f>
        <v>0</v>
      </c>
      <c r="AE218" s="5">
        <f>IFERROR(J218/Levelisation!J1455, 0)</f>
        <v>0</v>
      </c>
      <c r="AF218" s="6">
        <f>IFERROR(K218/Levelisation!L1455, 0)</f>
        <v>0</v>
      </c>
      <c r="AG218" s="33" t="str">
        <f t="shared" si="235"/>
        <v>1.08 &gt; Haiti</v>
      </c>
      <c r="AH218" s="84">
        <f t="shared" si="236"/>
        <v>204</v>
      </c>
      <c r="AI218" s="84">
        <f t="shared" si="237"/>
        <v>8</v>
      </c>
      <c r="AJ218" s="877" t="s">
        <v>1526</v>
      </c>
    </row>
    <row r="219" spans="1:36" x14ac:dyDescent="0.2">
      <c r="A219" s="492">
        <f>INDEX(Country!$F$31:$G$76, MATCH(AI219, Country!$O$31:$O$76, 0), 1)</f>
        <v>1.08</v>
      </c>
      <c r="B219" s="2" t="str">
        <f>INDEX(Country!$F$31:$G$76, MATCH(AI219, Country!$O$31:$O$76, 0), 2)</f>
        <v>Biofuels production</v>
      </c>
      <c r="C219" s="436" t="str">
        <f>INDEX(Country!$K$31:$K$76, MATCH(AI219, Country!$O$31:$O$76, 0), 1)</f>
        <v>Billion Litres</v>
      </c>
      <c r="D219" s="4" t="str">
        <f t="shared" si="178"/>
        <v>Honduras</v>
      </c>
      <c r="E219" s="101">
        <v>0</v>
      </c>
      <c r="F219" s="101">
        <v>0</v>
      </c>
      <c r="G219" s="101">
        <v>0</v>
      </c>
      <c r="H219" s="101">
        <v>0</v>
      </c>
      <c r="I219" s="101">
        <v>0</v>
      </c>
      <c r="J219" s="101">
        <v>0</v>
      </c>
      <c r="K219" s="102">
        <v>0</v>
      </c>
      <c r="L219" s="457">
        <f t="shared" si="228"/>
        <v>0</v>
      </c>
      <c r="M219" s="458">
        <f t="shared" si="229"/>
        <v>0</v>
      </c>
      <c r="N219" s="458">
        <f t="shared" si="230"/>
        <v>0</v>
      </c>
      <c r="O219" s="458">
        <f t="shared" si="231"/>
        <v>0</v>
      </c>
      <c r="P219" s="458">
        <f t="shared" si="232"/>
        <v>0</v>
      </c>
      <c r="Q219" s="458">
        <f t="shared" si="233"/>
        <v>0</v>
      </c>
      <c r="R219" s="459">
        <f t="shared" si="234"/>
        <v>0</v>
      </c>
      <c r="S219" s="455"/>
      <c r="T219" s="456"/>
      <c r="U219" s="456"/>
      <c r="V219" s="456"/>
      <c r="W219" s="456"/>
      <c r="X219" s="456"/>
      <c r="Y219" s="456"/>
      <c r="Z219" s="421">
        <f>IFERROR(E219/Levelisation!F1456, 0)</f>
        <v>0</v>
      </c>
      <c r="AA219" s="471">
        <f>IFERROR(F219/Levelisation!G1456, 0)</f>
        <v>0</v>
      </c>
      <c r="AB219" s="471">
        <f>IFERROR(G219/Levelisation!H1456, 0)</f>
        <v>0</v>
      </c>
      <c r="AC219" s="5">
        <f>IFERROR(H219/Levelisation!I1456, 0)</f>
        <v>0</v>
      </c>
      <c r="AD219" s="5">
        <f>IFERROR(I219/Levelisation!J1456, 0)</f>
        <v>0</v>
      </c>
      <c r="AE219" s="5">
        <f>IFERROR(J219/Levelisation!J1456, 0)</f>
        <v>0</v>
      </c>
      <c r="AF219" s="6">
        <f>IFERROR(K219/Levelisation!L1456, 0)</f>
        <v>0</v>
      </c>
      <c r="AG219" s="33" t="str">
        <f t="shared" si="235"/>
        <v>1.08 &gt; Honduras</v>
      </c>
      <c r="AH219" s="84">
        <f t="shared" si="236"/>
        <v>205</v>
      </c>
      <c r="AI219" s="84">
        <f t="shared" si="237"/>
        <v>8</v>
      </c>
      <c r="AJ219" s="877" t="s">
        <v>1526</v>
      </c>
    </row>
    <row r="220" spans="1:36" x14ac:dyDescent="0.2">
      <c r="A220" s="492">
        <f>INDEX(Country!$F$31:$G$76, MATCH(AI220, Country!$O$31:$O$76, 0), 1)</f>
        <v>1.08</v>
      </c>
      <c r="B220" s="2" t="str">
        <f>INDEX(Country!$F$31:$G$76, MATCH(AI220, Country!$O$31:$O$76, 0), 2)</f>
        <v>Biofuels production</v>
      </c>
      <c r="C220" s="436" t="str">
        <f>INDEX(Country!$K$31:$K$76, MATCH(AI220, Country!$O$31:$O$76, 0), 1)</f>
        <v>Billion Litres</v>
      </c>
      <c r="D220" s="4" t="str">
        <f t="shared" si="178"/>
        <v>Jamaica</v>
      </c>
      <c r="E220" s="101">
        <v>0</v>
      </c>
      <c r="F220" s="101">
        <v>0</v>
      </c>
      <c r="G220" s="101">
        <v>0</v>
      </c>
      <c r="H220" s="101">
        <v>0</v>
      </c>
      <c r="I220" s="101">
        <v>0</v>
      </c>
      <c r="J220" s="101">
        <v>0</v>
      </c>
      <c r="K220" s="102">
        <v>0</v>
      </c>
      <c r="L220" s="457">
        <f t="shared" si="228"/>
        <v>0</v>
      </c>
      <c r="M220" s="458">
        <f t="shared" si="229"/>
        <v>0</v>
      </c>
      <c r="N220" s="458">
        <f t="shared" si="230"/>
        <v>0</v>
      </c>
      <c r="O220" s="458">
        <f t="shared" si="231"/>
        <v>0</v>
      </c>
      <c r="P220" s="458">
        <f t="shared" si="232"/>
        <v>0</v>
      </c>
      <c r="Q220" s="458">
        <f t="shared" si="233"/>
        <v>0</v>
      </c>
      <c r="R220" s="459">
        <f t="shared" si="234"/>
        <v>0</v>
      </c>
      <c r="S220" s="455"/>
      <c r="T220" s="456"/>
      <c r="U220" s="456"/>
      <c r="V220" s="456"/>
      <c r="W220" s="456"/>
      <c r="X220" s="456"/>
      <c r="Y220" s="456"/>
      <c r="Z220" s="421">
        <f>IFERROR(E220/Levelisation!F1457, 0)</f>
        <v>0</v>
      </c>
      <c r="AA220" s="471">
        <f>IFERROR(F220/Levelisation!G1457, 0)</f>
        <v>0</v>
      </c>
      <c r="AB220" s="471">
        <f>IFERROR(G220/Levelisation!H1457, 0)</f>
        <v>0</v>
      </c>
      <c r="AC220" s="5">
        <f>IFERROR(H220/Levelisation!I1457, 0)</f>
        <v>0</v>
      </c>
      <c r="AD220" s="5">
        <f>IFERROR(I220/Levelisation!J1457, 0)</f>
        <v>0</v>
      </c>
      <c r="AE220" s="5">
        <f>IFERROR(J220/Levelisation!J1457, 0)</f>
        <v>0</v>
      </c>
      <c r="AF220" s="6">
        <f>IFERROR(K220/Levelisation!L1457, 0)</f>
        <v>0</v>
      </c>
      <c r="AG220" s="33" t="str">
        <f t="shared" si="235"/>
        <v>1.08 &gt; Jamaica</v>
      </c>
      <c r="AH220" s="84">
        <f t="shared" si="236"/>
        <v>206</v>
      </c>
      <c r="AI220" s="84">
        <f t="shared" si="237"/>
        <v>8</v>
      </c>
      <c r="AJ220" s="877" t="s">
        <v>1526</v>
      </c>
    </row>
    <row r="221" spans="1:36" x14ac:dyDescent="0.2">
      <c r="A221" s="492">
        <f>INDEX(Country!$F$31:$G$76, MATCH(AI221, Country!$O$31:$O$76, 0), 1)</f>
        <v>1.08</v>
      </c>
      <c r="B221" s="2" t="str">
        <f>INDEX(Country!$F$31:$G$76, MATCH(AI221, Country!$O$31:$O$76, 0), 2)</f>
        <v>Biofuels production</v>
      </c>
      <c r="C221" s="436" t="str">
        <f>INDEX(Country!$K$31:$K$76, MATCH(AI221, Country!$O$31:$O$76, 0), 1)</f>
        <v>Billion Litres</v>
      </c>
      <c r="D221" s="4" t="str">
        <f t="shared" si="178"/>
        <v>Mexico</v>
      </c>
      <c r="E221" s="101">
        <v>0</v>
      </c>
      <c r="F221" s="101">
        <v>0</v>
      </c>
      <c r="G221" s="101">
        <v>0</v>
      </c>
      <c r="H221" s="101">
        <v>0</v>
      </c>
      <c r="I221" s="101">
        <v>0</v>
      </c>
      <c r="J221" s="101">
        <v>0</v>
      </c>
      <c r="K221" s="102">
        <v>0</v>
      </c>
      <c r="L221" s="457">
        <f t="shared" si="228"/>
        <v>0</v>
      </c>
      <c r="M221" s="458">
        <f t="shared" si="229"/>
        <v>0</v>
      </c>
      <c r="N221" s="458">
        <f t="shared" si="230"/>
        <v>0</v>
      </c>
      <c r="O221" s="458">
        <f t="shared" si="231"/>
        <v>0</v>
      </c>
      <c r="P221" s="458">
        <f t="shared" si="232"/>
        <v>0</v>
      </c>
      <c r="Q221" s="458">
        <f t="shared" si="233"/>
        <v>0</v>
      </c>
      <c r="R221" s="459">
        <f t="shared" si="234"/>
        <v>0</v>
      </c>
      <c r="S221" s="455"/>
      <c r="T221" s="456"/>
      <c r="U221" s="456"/>
      <c r="V221" s="456"/>
      <c r="W221" s="456"/>
      <c r="X221" s="456"/>
      <c r="Y221" s="456"/>
      <c r="Z221" s="421">
        <f>IFERROR(E221/Levelisation!F1458, 0)</f>
        <v>0</v>
      </c>
      <c r="AA221" s="471">
        <f>IFERROR(F221/Levelisation!G1458, 0)</f>
        <v>0</v>
      </c>
      <c r="AB221" s="471">
        <f>IFERROR(G221/Levelisation!H1458, 0)</f>
        <v>0</v>
      </c>
      <c r="AC221" s="5">
        <f>IFERROR(H221/Levelisation!I1458, 0)</f>
        <v>0</v>
      </c>
      <c r="AD221" s="5">
        <f>IFERROR(I221/Levelisation!J1458, 0)</f>
        <v>0</v>
      </c>
      <c r="AE221" s="5">
        <f>IFERROR(J221/Levelisation!J1458, 0)</f>
        <v>0</v>
      </c>
      <c r="AF221" s="6">
        <f>IFERROR(K221/Levelisation!L1458, 0)</f>
        <v>0</v>
      </c>
      <c r="AG221" s="33" t="str">
        <f t="shared" si="235"/>
        <v>1.08 &gt; Mexico</v>
      </c>
      <c r="AH221" s="84">
        <f t="shared" si="236"/>
        <v>207</v>
      </c>
      <c r="AI221" s="84">
        <f t="shared" si="237"/>
        <v>8</v>
      </c>
      <c r="AJ221" s="877" t="s">
        <v>1526</v>
      </c>
    </row>
    <row r="222" spans="1:36" x14ac:dyDescent="0.2">
      <c r="A222" s="492">
        <f>INDEX(Country!$F$31:$G$76, MATCH(AI222, Country!$O$31:$O$76, 0), 1)</f>
        <v>1.08</v>
      </c>
      <c r="B222" s="2" t="str">
        <f>INDEX(Country!$F$31:$G$76, MATCH(AI222, Country!$O$31:$O$76, 0), 2)</f>
        <v>Biofuels production</v>
      </c>
      <c r="C222" s="436" t="str">
        <f>INDEX(Country!$K$31:$K$76, MATCH(AI222, Country!$O$31:$O$76, 0), 1)</f>
        <v>Billion Litres</v>
      </c>
      <c r="D222" s="4" t="str">
        <f t="shared" si="178"/>
        <v>Nicaragua</v>
      </c>
      <c r="E222" s="101">
        <v>0</v>
      </c>
      <c r="F222" s="101">
        <v>0.03</v>
      </c>
      <c r="G222" s="101">
        <v>0.03</v>
      </c>
      <c r="H222" s="101">
        <v>0.03</v>
      </c>
      <c r="I222" s="101">
        <v>0.03</v>
      </c>
      <c r="J222" s="101">
        <v>0.03</v>
      </c>
      <c r="K222" s="102">
        <v>0.03</v>
      </c>
      <c r="L222" s="457">
        <f t="shared" si="228"/>
        <v>0</v>
      </c>
      <c r="M222" s="458">
        <f t="shared" si="229"/>
        <v>4.4578968283238778</v>
      </c>
      <c r="N222" s="458">
        <f t="shared" si="230"/>
        <v>3.5198581517419241</v>
      </c>
      <c r="O222" s="458">
        <f t="shared" si="231"/>
        <v>3.6933479998631258</v>
      </c>
      <c r="P222" s="458">
        <f t="shared" si="232"/>
        <v>3.3528524272717575</v>
      </c>
      <c r="Q222" s="458">
        <f t="shared" si="233"/>
        <v>3.9625160755527129</v>
      </c>
      <c r="R222" s="459">
        <f t="shared" si="234"/>
        <v>3.9365914208447177</v>
      </c>
      <c r="S222" s="455"/>
      <c r="T222" s="456"/>
      <c r="U222" s="456"/>
      <c r="V222" s="456"/>
      <c r="W222" s="456"/>
      <c r="X222" s="456"/>
      <c r="Y222" s="456"/>
      <c r="Z222" s="421">
        <f>IFERROR(E222/Levelisation!F1459, 0)</f>
        <v>0</v>
      </c>
      <c r="AA222" s="471">
        <f>IFERROR(F222/Levelisation!G1459, 0)</f>
        <v>5.3561863952865559E-3</v>
      </c>
      <c r="AB222" s="471">
        <f>IFERROR(G222/Levelisation!H1459, 0)</f>
        <v>5.2863436123348016E-3</v>
      </c>
      <c r="AC222" s="5">
        <f>IFERROR(H222/Levelisation!I1459, 0)</f>
        <v>5.2192066805845511E-3</v>
      </c>
      <c r="AD222" s="5">
        <f>IFERROR(I222/Levelisation!J1459, 0)</f>
        <v>5.1572975760701386E-3</v>
      </c>
      <c r="AE222" s="5">
        <f>IFERROR(J222/Levelisation!J1459, 0)</f>
        <v>5.1572975760701386E-3</v>
      </c>
      <c r="AF222" s="6">
        <f>IFERROR(K222/Levelisation!L1459, 0)</f>
        <v>5.0158836314997488E-3</v>
      </c>
      <c r="AG222" s="33" t="str">
        <f t="shared" si="235"/>
        <v>1.08 &gt; Nicaragua</v>
      </c>
      <c r="AH222" s="84">
        <f t="shared" si="236"/>
        <v>208</v>
      </c>
      <c r="AI222" s="84">
        <f t="shared" si="237"/>
        <v>8</v>
      </c>
      <c r="AJ222" s="877" t="s">
        <v>1526</v>
      </c>
    </row>
    <row r="223" spans="1:36" x14ac:dyDescent="0.2">
      <c r="A223" s="492">
        <f>INDEX(Country!$F$31:$G$76, MATCH(AI223, Country!$O$31:$O$76, 0), 1)</f>
        <v>1.08</v>
      </c>
      <c r="B223" s="2" t="str">
        <f>INDEX(Country!$F$31:$G$76, MATCH(AI223, Country!$O$31:$O$76, 0), 2)</f>
        <v>Biofuels production</v>
      </c>
      <c r="C223" s="436" t="str">
        <f>INDEX(Country!$K$31:$K$76, MATCH(AI223, Country!$O$31:$O$76, 0), 1)</f>
        <v>Billion Litres</v>
      </c>
      <c r="D223" s="4" t="str">
        <f t="shared" si="178"/>
        <v>Panama</v>
      </c>
      <c r="E223" s="101">
        <v>0</v>
      </c>
      <c r="F223" s="101">
        <v>0</v>
      </c>
      <c r="G223" s="101">
        <v>0</v>
      </c>
      <c r="H223" s="101">
        <v>0</v>
      </c>
      <c r="I223" s="101">
        <v>0</v>
      </c>
      <c r="J223" s="101">
        <v>0</v>
      </c>
      <c r="K223" s="102">
        <v>0</v>
      </c>
      <c r="L223" s="457">
        <f t="shared" si="228"/>
        <v>0</v>
      </c>
      <c r="M223" s="458">
        <f t="shared" si="229"/>
        <v>0</v>
      </c>
      <c r="N223" s="458">
        <f t="shared" si="230"/>
        <v>0</v>
      </c>
      <c r="O223" s="458">
        <f t="shared" si="231"/>
        <v>0</v>
      </c>
      <c r="P223" s="458">
        <f t="shared" si="232"/>
        <v>0</v>
      </c>
      <c r="Q223" s="458">
        <f t="shared" si="233"/>
        <v>0</v>
      </c>
      <c r="R223" s="459">
        <f t="shared" si="234"/>
        <v>0</v>
      </c>
      <c r="S223" s="455"/>
      <c r="T223" s="456"/>
      <c r="U223" s="456"/>
      <c r="V223" s="456"/>
      <c r="W223" s="456"/>
      <c r="X223" s="456"/>
      <c r="Y223" s="456"/>
      <c r="Z223" s="421">
        <f>IFERROR(E223/Levelisation!F1460, 0)</f>
        <v>0</v>
      </c>
      <c r="AA223" s="471">
        <f>IFERROR(F223/Levelisation!G1460, 0)</f>
        <v>0</v>
      </c>
      <c r="AB223" s="471">
        <f>IFERROR(G223/Levelisation!H1460, 0)</f>
        <v>0</v>
      </c>
      <c r="AC223" s="5">
        <f>IFERROR(H223/Levelisation!I1460, 0)</f>
        <v>0</v>
      </c>
      <c r="AD223" s="5">
        <f>IFERROR(I223/Levelisation!J1460, 0)</f>
        <v>0</v>
      </c>
      <c r="AE223" s="5">
        <f>IFERROR(J223/Levelisation!J1460, 0)</f>
        <v>0</v>
      </c>
      <c r="AF223" s="6">
        <f>IFERROR(K223/Levelisation!L1460, 0)</f>
        <v>0</v>
      </c>
      <c r="AG223" s="33" t="str">
        <f t="shared" si="235"/>
        <v>1.08 &gt; Panama</v>
      </c>
      <c r="AH223" s="84">
        <f t="shared" si="236"/>
        <v>209</v>
      </c>
      <c r="AI223" s="84">
        <f t="shared" si="237"/>
        <v>8</v>
      </c>
      <c r="AJ223" s="877" t="s">
        <v>1526</v>
      </c>
    </row>
    <row r="224" spans="1:36" x14ac:dyDescent="0.2">
      <c r="A224" s="492">
        <f>INDEX(Country!$F$31:$G$76, MATCH(AI224, Country!$O$31:$O$76, 0), 1)</f>
        <v>1.08</v>
      </c>
      <c r="B224" s="2" t="str">
        <f>INDEX(Country!$F$31:$G$76, MATCH(AI224, Country!$O$31:$O$76, 0), 2)</f>
        <v>Biofuels production</v>
      </c>
      <c r="C224" s="436" t="str">
        <f>INDEX(Country!$K$31:$K$76, MATCH(AI224, Country!$O$31:$O$76, 0), 1)</f>
        <v>Billion Litres</v>
      </c>
      <c r="D224" s="4" t="str">
        <f t="shared" si="178"/>
        <v>Paraguay</v>
      </c>
      <c r="E224" s="101">
        <v>3.1E-2</v>
      </c>
      <c r="F224" s="101">
        <v>5.16E-2</v>
      </c>
      <c r="G224" s="101">
        <v>5.5641000000000003E-2</v>
      </c>
      <c r="H224" s="101">
        <v>0.1025716</v>
      </c>
      <c r="I224" s="101">
        <v>0.13847709999999999</v>
      </c>
      <c r="J224" s="101">
        <v>0.146976</v>
      </c>
      <c r="K224" s="102">
        <v>0.20974000000000001</v>
      </c>
      <c r="L224" s="457">
        <f t="shared" si="228"/>
        <v>8.0949244205919104</v>
      </c>
      <c r="M224" s="458">
        <f t="shared" si="229"/>
        <v>7.118536355537926</v>
      </c>
      <c r="N224" s="458">
        <f t="shared" si="230"/>
        <v>6.020148551698548</v>
      </c>
      <c r="O224" s="458">
        <f t="shared" si="231"/>
        <v>11.563538120989152</v>
      </c>
      <c r="P224" s="458">
        <f t="shared" si="232"/>
        <v>14.06224104312493</v>
      </c>
      <c r="Q224" s="458">
        <f t="shared" si="233"/>
        <v>17.639229067712034</v>
      </c>
      <c r="R224" s="459">
        <f t="shared" si="234"/>
        <v>24.712388303259146</v>
      </c>
      <c r="S224" s="455"/>
      <c r="T224" s="456"/>
      <c r="U224" s="456"/>
      <c r="V224" s="456"/>
      <c r="W224" s="456"/>
      <c r="X224" s="456"/>
      <c r="Y224" s="456"/>
      <c r="Z224" s="421">
        <f>IFERROR(E224/Levelisation!F1461, 0)</f>
        <v>5.2409129332206253E-3</v>
      </c>
      <c r="AA224" s="471">
        <f>IFERROR(F224/Levelisation!G1461, 0)</f>
        <v>8.5529587270014914E-3</v>
      </c>
      <c r="AB224" s="471">
        <f>IFERROR(G224/Levelisation!H1461, 0)</f>
        <v>9.0414364640883978E-3</v>
      </c>
      <c r="AC224" s="5">
        <f>IFERROR(H224/Levelisation!I1461, 0)</f>
        <v>1.6340863469810417E-2</v>
      </c>
      <c r="AD224" s="5">
        <f>IFERROR(I224/Levelisation!J1461, 0)</f>
        <v>2.1630287410184315E-2</v>
      </c>
      <c r="AE224" s="5">
        <f>IFERROR(J224/Levelisation!J1461, 0)</f>
        <v>2.2957825679475161E-2</v>
      </c>
      <c r="AF224" s="6">
        <f>IFERROR(K224/Levelisation!L1461, 0)</f>
        <v>3.1487764599909929E-2</v>
      </c>
      <c r="AG224" s="33" t="str">
        <f t="shared" si="235"/>
        <v>1.08 &gt; Paraguay</v>
      </c>
      <c r="AH224" s="84">
        <f t="shared" si="236"/>
        <v>210</v>
      </c>
      <c r="AI224" s="84">
        <f t="shared" si="237"/>
        <v>8</v>
      </c>
      <c r="AJ224" s="877" t="s">
        <v>1526</v>
      </c>
    </row>
    <row r="225" spans="1:36" x14ac:dyDescent="0.2">
      <c r="A225" s="492">
        <f>INDEX(Country!$F$31:$G$76, MATCH(AI225, Country!$O$31:$O$76, 0), 1)</f>
        <v>1.08</v>
      </c>
      <c r="B225" s="2" t="str">
        <f>INDEX(Country!$F$31:$G$76, MATCH(AI225, Country!$O$31:$O$76, 0), 2)</f>
        <v>Biofuels production</v>
      </c>
      <c r="C225" s="436" t="str">
        <f>INDEX(Country!$K$31:$K$76, MATCH(AI225, Country!$O$31:$O$76, 0), 1)</f>
        <v>Billion Litres</v>
      </c>
      <c r="D225" s="4" t="str">
        <f t="shared" si="178"/>
        <v>Peru</v>
      </c>
      <c r="E225" s="101">
        <v>2.7300000000000001E-2</v>
      </c>
      <c r="F225" s="101">
        <v>4.8300000000000003E-2</v>
      </c>
      <c r="G225" s="101">
        <v>0.39899999999999997</v>
      </c>
      <c r="H225" s="101">
        <v>0.41774999999999995</v>
      </c>
      <c r="I225" s="101">
        <v>0.43374000000000001</v>
      </c>
      <c r="J225" s="101">
        <v>0.55845</v>
      </c>
      <c r="K225" s="102">
        <v>0.59150000000000003</v>
      </c>
      <c r="L225" s="457">
        <f t="shared" si="228"/>
        <v>1.525564105288002</v>
      </c>
      <c r="M225" s="458">
        <f t="shared" si="229"/>
        <v>1.424456079446571</v>
      </c>
      <c r="N225" s="458">
        <f t="shared" si="230"/>
        <v>9.2706875684161307</v>
      </c>
      <c r="O225" s="458">
        <f t="shared" si="231"/>
        <v>10.158375929426631</v>
      </c>
      <c r="P225" s="458">
        <f t="shared" si="232"/>
        <v>9.5418996504115086</v>
      </c>
      <c r="Q225" s="458">
        <f t="shared" si="233"/>
        <v>14.519319543648106</v>
      </c>
      <c r="R225" s="459">
        <f t="shared" si="234"/>
        <v>15.233446621048257</v>
      </c>
      <c r="S225" s="455"/>
      <c r="T225" s="456"/>
      <c r="U225" s="456"/>
      <c r="V225" s="456"/>
      <c r="W225" s="456"/>
      <c r="X225" s="456"/>
      <c r="Y225" s="456"/>
      <c r="Z225" s="421">
        <f>IFERROR(E225/Levelisation!F1462, 0)</f>
        <v>9.8769898697539807E-4</v>
      </c>
      <c r="AA225" s="471">
        <f>IFERROR(F225/Levelisation!G1462, 0)</f>
        <v>1.7114914425427875E-3</v>
      </c>
      <c r="AB225" s="471">
        <f>IFERROR(G225/Levelisation!H1462, 0)</f>
        <v>1.3923299717346545E-2</v>
      </c>
      <c r="AC225" s="5">
        <f>IFERROR(H225/Levelisation!I1462, 0)</f>
        <v>1.4355176798048175E-2</v>
      </c>
      <c r="AD225" s="5">
        <f>IFERROR(I225/Levelisation!J1462, 0)</f>
        <v>1.4677179209528967E-2</v>
      </c>
      <c r="AE225" s="5">
        <f>IFERROR(J225/Levelisation!J1462, 0)</f>
        <v>1.8897198159177044E-2</v>
      </c>
      <c r="AF225" s="6">
        <f>IFERROR(K225/Levelisation!L1462, 0)</f>
        <v>1.9409988842948086E-2</v>
      </c>
      <c r="AG225" s="33" t="str">
        <f t="shared" si="235"/>
        <v>1.08 &gt; Peru</v>
      </c>
      <c r="AH225" s="84">
        <f t="shared" si="236"/>
        <v>211</v>
      </c>
      <c r="AI225" s="84">
        <f t="shared" si="237"/>
        <v>8</v>
      </c>
      <c r="AJ225" s="877" t="s">
        <v>1526</v>
      </c>
    </row>
    <row r="226" spans="1:36" x14ac:dyDescent="0.2">
      <c r="A226" s="492">
        <f>INDEX(Country!$F$31:$G$76, MATCH(AI226, Country!$O$31:$O$76, 0), 1)</f>
        <v>1.08</v>
      </c>
      <c r="B226" s="2" t="str">
        <f>INDEX(Country!$F$31:$G$76, MATCH(AI226, Country!$O$31:$O$76, 0), 2)</f>
        <v>Biofuels production</v>
      </c>
      <c r="C226" s="436" t="str">
        <f>INDEX(Country!$K$31:$K$76, MATCH(AI226, Country!$O$31:$O$76, 0), 1)</f>
        <v>Billion Litres</v>
      </c>
      <c r="D226" s="4" t="str">
        <f t="shared" si="178"/>
        <v>Suriname</v>
      </c>
      <c r="E226" s="101">
        <v>0</v>
      </c>
      <c r="F226" s="101">
        <v>0</v>
      </c>
      <c r="G226" s="101">
        <v>0</v>
      </c>
      <c r="H226" s="101">
        <v>0</v>
      </c>
      <c r="I226" s="101">
        <v>0</v>
      </c>
      <c r="J226" s="101">
        <v>0</v>
      </c>
      <c r="K226" s="102">
        <v>0</v>
      </c>
      <c r="L226" s="457">
        <f t="shared" si="228"/>
        <v>0</v>
      </c>
      <c r="M226" s="458">
        <f t="shared" si="229"/>
        <v>0</v>
      </c>
      <c r="N226" s="458">
        <f t="shared" si="230"/>
        <v>0</v>
      </c>
      <c r="O226" s="458">
        <f t="shared" si="231"/>
        <v>0</v>
      </c>
      <c r="P226" s="458">
        <f t="shared" si="232"/>
        <v>0</v>
      </c>
      <c r="Q226" s="458">
        <f t="shared" si="233"/>
        <v>0</v>
      </c>
      <c r="R226" s="459">
        <f t="shared" si="234"/>
        <v>0</v>
      </c>
      <c r="S226" s="455"/>
      <c r="T226" s="456"/>
      <c r="U226" s="456"/>
      <c r="V226" s="456"/>
      <c r="W226" s="456"/>
      <c r="X226" s="456"/>
      <c r="Y226" s="456"/>
      <c r="Z226" s="421">
        <f>IFERROR(E226/Levelisation!F1463, 0)</f>
        <v>0</v>
      </c>
      <c r="AA226" s="471">
        <f>IFERROR(F226/Levelisation!G1463, 0)</f>
        <v>0</v>
      </c>
      <c r="AB226" s="471">
        <f>IFERROR(G226/Levelisation!H1463, 0)</f>
        <v>0</v>
      </c>
      <c r="AC226" s="5">
        <f>IFERROR(H226/Levelisation!I1463, 0)</f>
        <v>0</v>
      </c>
      <c r="AD226" s="5">
        <f>IFERROR(I226/Levelisation!J1463, 0)</f>
        <v>0</v>
      </c>
      <c r="AE226" s="5">
        <f>IFERROR(J226/Levelisation!J1463, 0)</f>
        <v>0</v>
      </c>
      <c r="AF226" s="6">
        <f>IFERROR(K226/Levelisation!L1463, 0)</f>
        <v>0</v>
      </c>
      <c r="AG226" s="33" t="str">
        <f t="shared" si="235"/>
        <v>1.08 &gt; Suriname</v>
      </c>
      <c r="AH226" s="84">
        <f t="shared" si="236"/>
        <v>212</v>
      </c>
      <c r="AI226" s="84">
        <f t="shared" si="237"/>
        <v>8</v>
      </c>
      <c r="AJ226" s="877" t="s">
        <v>1526</v>
      </c>
    </row>
    <row r="227" spans="1:36" x14ac:dyDescent="0.2">
      <c r="A227" s="492">
        <f>INDEX(Country!$F$31:$G$76, MATCH(AI227, Country!$O$31:$O$76, 0), 1)</f>
        <v>1.08</v>
      </c>
      <c r="B227" s="2" t="str">
        <f>INDEX(Country!$F$31:$G$76, MATCH(AI227, Country!$O$31:$O$76, 0), 2)</f>
        <v>Biofuels production</v>
      </c>
      <c r="C227" s="436" t="str">
        <f>INDEX(Country!$K$31:$K$76, MATCH(AI227, Country!$O$31:$O$76, 0), 1)</f>
        <v>Billion Litres</v>
      </c>
      <c r="D227" s="4" t="str">
        <f t="shared" si="178"/>
        <v>Trinidad &amp; Tobago</v>
      </c>
      <c r="E227" s="101">
        <v>0</v>
      </c>
      <c r="F227" s="101">
        <v>0</v>
      </c>
      <c r="G227" s="101">
        <v>0</v>
      </c>
      <c r="H227" s="101">
        <v>0</v>
      </c>
      <c r="I227" s="101">
        <v>0</v>
      </c>
      <c r="J227" s="101">
        <v>0</v>
      </c>
      <c r="K227" s="102">
        <v>0</v>
      </c>
      <c r="L227" s="457">
        <f t="shared" si="228"/>
        <v>0</v>
      </c>
      <c r="M227" s="458">
        <f t="shared" si="229"/>
        <v>0</v>
      </c>
      <c r="N227" s="458">
        <f t="shared" si="230"/>
        <v>0</v>
      </c>
      <c r="O227" s="458">
        <f t="shared" si="231"/>
        <v>0</v>
      </c>
      <c r="P227" s="458">
        <f t="shared" si="232"/>
        <v>0</v>
      </c>
      <c r="Q227" s="458">
        <f t="shared" si="233"/>
        <v>0</v>
      </c>
      <c r="R227" s="459">
        <f t="shared" si="234"/>
        <v>0</v>
      </c>
      <c r="S227" s="455"/>
      <c r="T227" s="456"/>
      <c r="U227" s="456"/>
      <c r="V227" s="456"/>
      <c r="W227" s="456"/>
      <c r="X227" s="456"/>
      <c r="Y227" s="456"/>
      <c r="Z227" s="421">
        <f>IFERROR(E227/Levelisation!F1464, 0)</f>
        <v>0</v>
      </c>
      <c r="AA227" s="471">
        <f>IFERROR(F227/Levelisation!G1464, 0)</f>
        <v>0</v>
      </c>
      <c r="AB227" s="471">
        <f>IFERROR(G227/Levelisation!H1464, 0)</f>
        <v>0</v>
      </c>
      <c r="AC227" s="5">
        <f>IFERROR(H227/Levelisation!I1464, 0)</f>
        <v>0</v>
      </c>
      <c r="AD227" s="5">
        <f>IFERROR(I227/Levelisation!J1464, 0)</f>
        <v>0</v>
      </c>
      <c r="AE227" s="5">
        <f>IFERROR(J227/Levelisation!J1464, 0)</f>
        <v>0</v>
      </c>
      <c r="AF227" s="6">
        <f>IFERROR(K227/Levelisation!L1464, 0)</f>
        <v>0</v>
      </c>
      <c r="AG227" s="33" t="str">
        <f t="shared" si="235"/>
        <v>1.08 &gt; Trinidad &amp; Tobago</v>
      </c>
      <c r="AH227" s="84">
        <f t="shared" si="236"/>
        <v>213</v>
      </c>
      <c r="AI227" s="84">
        <f t="shared" si="237"/>
        <v>8</v>
      </c>
      <c r="AJ227" s="877" t="s">
        <v>1526</v>
      </c>
    </row>
    <row r="228" spans="1:36" x14ac:dyDescent="0.2">
      <c r="A228" s="492">
        <f>INDEX(Country!$F$31:$G$76, MATCH(AI228, Country!$O$31:$O$76, 0), 1)</f>
        <v>1.08</v>
      </c>
      <c r="B228" s="2" t="str">
        <f>INDEX(Country!$F$31:$G$76, MATCH(AI228, Country!$O$31:$O$76, 0), 2)</f>
        <v>Biofuels production</v>
      </c>
      <c r="C228" s="436" t="str">
        <f>INDEX(Country!$K$31:$K$76, MATCH(AI228, Country!$O$31:$O$76, 0), 1)</f>
        <v>Billion Litres</v>
      </c>
      <c r="D228" s="4" t="str">
        <f t="shared" si="178"/>
        <v>Uruguay</v>
      </c>
      <c r="E228" s="101">
        <v>0</v>
      </c>
      <c r="F228" s="101">
        <v>0</v>
      </c>
      <c r="G228" s="101">
        <v>0</v>
      </c>
      <c r="H228" s="101">
        <v>0</v>
      </c>
      <c r="I228" s="101">
        <v>0</v>
      </c>
      <c r="J228" s="101">
        <v>0</v>
      </c>
      <c r="K228" s="102">
        <v>0</v>
      </c>
      <c r="L228" s="457">
        <f t="shared" si="228"/>
        <v>0</v>
      </c>
      <c r="M228" s="458">
        <f t="shared" si="229"/>
        <v>0</v>
      </c>
      <c r="N228" s="458">
        <f t="shared" si="230"/>
        <v>0</v>
      </c>
      <c r="O228" s="458">
        <f t="shared" si="231"/>
        <v>0</v>
      </c>
      <c r="P228" s="458">
        <f t="shared" si="232"/>
        <v>0</v>
      </c>
      <c r="Q228" s="458">
        <f t="shared" si="233"/>
        <v>0</v>
      </c>
      <c r="R228" s="459">
        <f t="shared" si="234"/>
        <v>0</v>
      </c>
      <c r="S228" s="455"/>
      <c r="T228" s="456"/>
      <c r="U228" s="456"/>
      <c r="V228" s="456"/>
      <c r="W228" s="456"/>
      <c r="X228" s="456"/>
      <c r="Y228" s="456"/>
      <c r="Z228" s="421">
        <f>IFERROR(E228/Levelisation!F1465, 0)</f>
        <v>0</v>
      </c>
      <c r="AA228" s="471">
        <f>IFERROR(F228/Levelisation!G1465, 0)</f>
        <v>0</v>
      </c>
      <c r="AB228" s="471">
        <f>IFERROR(G228/Levelisation!H1465, 0)</f>
        <v>0</v>
      </c>
      <c r="AC228" s="5">
        <f>IFERROR(H228/Levelisation!I1465, 0)</f>
        <v>0</v>
      </c>
      <c r="AD228" s="5">
        <f>IFERROR(I228/Levelisation!J1465, 0)</f>
        <v>0</v>
      </c>
      <c r="AE228" s="5">
        <f>IFERROR(J228/Levelisation!J1465, 0)</f>
        <v>0</v>
      </c>
      <c r="AF228" s="6">
        <f>IFERROR(K228/Levelisation!L1465, 0)</f>
        <v>0</v>
      </c>
      <c r="AG228" s="33" t="str">
        <f t="shared" si="235"/>
        <v>1.08 &gt; Uruguay</v>
      </c>
      <c r="AH228" s="84">
        <f t="shared" si="236"/>
        <v>214</v>
      </c>
      <c r="AI228" s="84">
        <f t="shared" si="237"/>
        <v>8</v>
      </c>
      <c r="AJ228" s="877" t="s">
        <v>1526</v>
      </c>
    </row>
    <row r="229" spans="1:36" x14ac:dyDescent="0.2">
      <c r="A229" s="491">
        <f>INDEX(Country!$F$31:$G$76, MATCH(AI229, Country!$O$31:$O$76, 0), 1)</f>
        <v>1.08</v>
      </c>
      <c r="B229" s="386" t="str">
        <f>INDEX(Country!$F$31:$G$76, MATCH(AI229, Country!$O$31:$O$76, 0), 2)</f>
        <v>Biofuels production</v>
      </c>
      <c r="C229" s="437" t="str">
        <f>INDEX(Country!$K$31:$K$76, MATCH(AI229, Country!$O$31:$O$76, 0), 1)</f>
        <v>Billion Litres</v>
      </c>
      <c r="D229" s="86" t="str">
        <f t="shared" si="178"/>
        <v>Venezuela</v>
      </c>
      <c r="E229" s="369">
        <v>0</v>
      </c>
      <c r="F229" s="369">
        <v>0</v>
      </c>
      <c r="G229" s="369">
        <v>0</v>
      </c>
      <c r="H229" s="369">
        <v>0</v>
      </c>
      <c r="I229" s="369">
        <v>0</v>
      </c>
      <c r="J229" s="369">
        <v>0</v>
      </c>
      <c r="K229" s="391">
        <v>0</v>
      </c>
      <c r="L229" s="460">
        <f t="shared" si="228"/>
        <v>0</v>
      </c>
      <c r="M229" s="461">
        <f t="shared" si="229"/>
        <v>0</v>
      </c>
      <c r="N229" s="461">
        <f t="shared" si="230"/>
        <v>0</v>
      </c>
      <c r="O229" s="461">
        <f t="shared" si="231"/>
        <v>0</v>
      </c>
      <c r="P229" s="461">
        <f t="shared" si="232"/>
        <v>0</v>
      </c>
      <c r="Q229" s="461">
        <f t="shared" si="233"/>
        <v>0</v>
      </c>
      <c r="R229" s="462">
        <f t="shared" si="234"/>
        <v>0</v>
      </c>
      <c r="S229" s="455"/>
      <c r="T229" s="456"/>
      <c r="U229" s="456"/>
      <c r="V229" s="456"/>
      <c r="W229" s="456"/>
      <c r="X229" s="456"/>
      <c r="Y229" s="456"/>
      <c r="Z229" s="422">
        <f>IFERROR(E229/Levelisation!F1466, 0)</f>
        <v>0</v>
      </c>
      <c r="AA229" s="470">
        <f>IFERROR(F229/Levelisation!G1466, 0)</f>
        <v>0</v>
      </c>
      <c r="AB229" s="470">
        <f>IFERROR(G229/Levelisation!H1466, 0)</f>
        <v>0</v>
      </c>
      <c r="AC229" s="364">
        <f>IFERROR(H229/Levelisation!I1466, 0)</f>
        <v>0</v>
      </c>
      <c r="AD229" s="364">
        <f>IFERROR(I229/Levelisation!J1466, 0)</f>
        <v>0</v>
      </c>
      <c r="AE229" s="364">
        <f>IFERROR(J229/Levelisation!J1466, 0)</f>
        <v>0</v>
      </c>
      <c r="AF229" s="390">
        <f>IFERROR(K229/Levelisation!L1466, 0)</f>
        <v>0</v>
      </c>
      <c r="AG229" s="90" t="str">
        <f t="shared" si="235"/>
        <v>1.08 &gt; Venezuela</v>
      </c>
      <c r="AH229" s="392">
        <f t="shared" si="236"/>
        <v>215</v>
      </c>
      <c r="AI229" s="392">
        <f t="shared" si="237"/>
        <v>8</v>
      </c>
      <c r="AJ229" s="878" t="s">
        <v>1526</v>
      </c>
    </row>
    <row r="230" spans="1:36" x14ac:dyDescent="0.2">
      <c r="A230" s="490">
        <f>INDEX(Country!$F$31:$G$76, MATCH(AI230, Country!$O$31:$O$76, 0), 1)</f>
        <v>1.08</v>
      </c>
      <c r="B230" s="387" t="str">
        <f>INDEX(Country!$F$31:$G$76, MATCH(AI230, Country!$O$31:$O$76, 0), 2)</f>
        <v>Biofuels production</v>
      </c>
      <c r="C230" s="438" t="str">
        <f>INDEX(Country!$K$31:$K$76, MATCH(AI230, Country!$O$31:$O$76, 0), 1)</f>
        <v>Billion Litres</v>
      </c>
      <c r="D230" s="32" t="str">
        <f t="shared" si="178"/>
        <v>Benchmark</v>
      </c>
      <c r="E230" s="365">
        <f>IFERROR(MAX(E204:E229), 0)</f>
        <v>12.169001980999999</v>
      </c>
      <c r="F230" s="365">
        <f t="shared" ref="F230:K230" si="238">IFERROR(MAX(F204:F229), 0)</f>
        <v>22.80432914</v>
      </c>
      <c r="G230" s="365">
        <f t="shared" si="238"/>
        <v>28.767128415000002</v>
      </c>
      <c r="H230" s="365">
        <f t="shared" si="238"/>
        <v>27.308448417000001</v>
      </c>
      <c r="I230" s="365">
        <f t="shared" si="238"/>
        <v>29.986398518000001</v>
      </c>
      <c r="J230" s="365">
        <f t="shared" si="238"/>
        <v>25.372759918</v>
      </c>
      <c r="K230" s="365">
        <f t="shared" si="238"/>
        <v>25.274548121999999</v>
      </c>
      <c r="L230" s="585">
        <f t="shared" ref="L230:M230" si="239">MAX(Z204:Z229)</f>
        <v>6.4743197847391437E-2</v>
      </c>
      <c r="M230" s="463">
        <f t="shared" si="239"/>
        <v>0.12015052392543651</v>
      </c>
      <c r="N230" s="463">
        <f t="shared" ref="N230" si="240">MAX(AB204:AB229)</f>
        <v>0.15018626843580815</v>
      </c>
      <c r="O230" s="463">
        <f t="shared" ref="O230" si="241">MAX(AC204:AC229)</f>
        <v>0.14131369913633846</v>
      </c>
      <c r="P230" s="463">
        <f t="shared" ref="P230" si="242">MAX(AD204:AD229)</f>
        <v>0.1538182096569837</v>
      </c>
      <c r="Q230" s="463">
        <f t="shared" ref="Q230" si="243">MAX(AE204:AE229)</f>
        <v>0.13015209219941831</v>
      </c>
      <c r="R230" s="586">
        <f t="shared" ref="R230" si="244">MAX(AF204:AF229)</f>
        <v>0.12741692228815141</v>
      </c>
      <c r="S230" s="393"/>
      <c r="T230" s="394"/>
      <c r="U230" s="376"/>
      <c r="V230" s="376"/>
      <c r="W230" s="376"/>
      <c r="X230" s="376"/>
      <c r="Y230" s="376"/>
      <c r="Z230" s="393"/>
      <c r="AA230" s="394"/>
      <c r="AB230" s="376"/>
      <c r="AC230" s="376"/>
      <c r="AD230" s="376"/>
      <c r="AE230" s="376"/>
      <c r="AF230" s="401"/>
      <c r="AG230" s="34" t="str">
        <f t="shared" si="235"/>
        <v>1.08 &gt; Benchmark</v>
      </c>
      <c r="AH230" s="85">
        <f t="shared" si="236"/>
        <v>216</v>
      </c>
      <c r="AI230" s="85">
        <f t="shared" si="237"/>
        <v>8</v>
      </c>
      <c r="AJ230" s="871" t="s">
        <v>1526</v>
      </c>
    </row>
    <row r="231" spans="1:36" x14ac:dyDescent="0.2">
      <c r="A231" s="587">
        <f>INDEX(Country!$F$31:$G$76, MATCH(AI231, Country!$O$31:$O$76, 0), 1)</f>
        <v>1.0900000000000001</v>
      </c>
      <c r="B231" s="588" t="str">
        <f>INDEX(Country!$F$31:$G$76, MATCH(AI231, Country!$O$31:$O$76, 0), 2)</f>
        <v>Growth rate biofuels production</v>
      </c>
      <c r="C231" s="589" t="str">
        <f>INDEX(Country!$K$31:$K$76, MATCH(AI231, Country!$O$31:$O$76, 0), 1)</f>
        <v>%</v>
      </c>
      <c r="D231" s="590" t="str">
        <f t="shared" si="178"/>
        <v>Argentina</v>
      </c>
      <c r="E231" s="580"/>
      <c r="F231" s="594">
        <f>IF(E204&lt;&gt;0, F204/E204-1, 0)</f>
        <v>0</v>
      </c>
      <c r="G231" s="594">
        <f t="shared" ref="G231:K246" si="245">IF(F204&lt;&gt;0, G204/F204-1, 0)</f>
        <v>0.68137258423092262</v>
      </c>
      <c r="H231" s="594">
        <f t="shared" si="245"/>
        <v>0.56534629936691805</v>
      </c>
      <c r="I231" s="594">
        <f t="shared" si="245"/>
        <v>0.49844025267087955</v>
      </c>
      <c r="J231" s="594">
        <f t="shared" si="245"/>
        <v>0.33635658268777102</v>
      </c>
      <c r="K231" s="594">
        <f t="shared" si="245"/>
        <v>9.3025827171573816E-2</v>
      </c>
      <c r="L231" s="595">
        <f t="shared" ref="L231:L262" si="246">IFERROR(dbl_BenchmarkMax*E231/ SUMIFS(E$15:E$1256, $D$15:$D$1256, "Benchmark", $B$15:$B$1256,$B231), 0)</f>
        <v>0</v>
      </c>
      <c r="M231" s="596">
        <f t="shared" ref="M231:M262" si="247">IFERROR(dbl_BenchmarkMax*F231/ SUMIFS(F$15:F$1256, $D$15:$D$1256, "Benchmark", $B$15:$B$1256,$B231), 0)</f>
        <v>0</v>
      </c>
      <c r="N231" s="596">
        <f t="shared" ref="N231:N294" si="248">IFERROR(dbl_BenchmarkMax*G231/ SUMIFS(G$15:G$1256, $D$15:$D$1256, "Benchmark", $B$15:$B$1256,$B231), 0)</f>
        <v>9.3841733157552234</v>
      </c>
      <c r="O231" s="596">
        <f t="shared" ref="O231:O294" si="249">IFERROR(dbl_BenchmarkMax*H231/ SUMIFS(H$15:H$1256, $D$15:$D$1256, "Benchmark", $B$15:$B$1256,$B231), 0)</f>
        <v>67.027554395372519</v>
      </c>
      <c r="P231" s="596">
        <f t="shared" ref="P231:P294" si="250">IFERROR(dbl_BenchmarkMax*I231/ SUMIFS(I$15:I$1256, $D$15:$D$1256, "Benchmark", $B$15:$B$1256,$B231), 0)</f>
        <v>100</v>
      </c>
      <c r="Q231" s="596">
        <f t="shared" ref="Q231:Q294" si="251">IFERROR(dbl_BenchmarkMax*J231/ SUMIFS(J$15:J$1256, $D$15:$D$1256, "Benchmark", $B$15:$B$1256,$B231), 0)</f>
        <v>99.999999999999986</v>
      </c>
      <c r="R231" s="597">
        <f t="shared" ref="R231:R294" si="252">IFERROR(dbl_BenchmarkMax*K231/ SUMIFS(K$15:K$1256, $D$15:$D$1256, "Benchmark", $B$15:$B$1256,$B231), 0)</f>
        <v>21.784086378129551</v>
      </c>
      <c r="S231" s="455"/>
      <c r="T231" s="456"/>
      <c r="U231" s="456"/>
      <c r="V231" s="456"/>
      <c r="W231" s="456"/>
      <c r="X231" s="456"/>
      <c r="Y231" s="456"/>
      <c r="Z231" s="455"/>
      <c r="AA231" s="456"/>
      <c r="AB231" s="456"/>
      <c r="AC231" s="456"/>
      <c r="AD231" s="456"/>
      <c r="AE231" s="456"/>
      <c r="AF231" s="456"/>
      <c r="AG231" s="396" t="str">
        <f t="shared" si="235"/>
        <v>1.09 &gt; Argentina</v>
      </c>
      <c r="AH231" s="397">
        <f t="shared" si="236"/>
        <v>217</v>
      </c>
      <c r="AI231" s="397">
        <f t="shared" si="237"/>
        <v>9</v>
      </c>
      <c r="AJ231" s="879" t="s">
        <v>1526</v>
      </c>
    </row>
    <row r="232" spans="1:36" x14ac:dyDescent="0.2">
      <c r="A232" s="492">
        <f>INDEX(Country!$F$31:$G$76, MATCH(AI232, Country!$O$31:$O$76, 0), 1)</f>
        <v>1.0900000000000001</v>
      </c>
      <c r="B232" s="2" t="str">
        <f>INDEX(Country!$F$31:$G$76, MATCH(AI232, Country!$O$31:$O$76, 0), 2)</f>
        <v>Growth rate biofuels production</v>
      </c>
      <c r="C232" s="436" t="str">
        <f>INDEX(Country!$K$31:$K$76, MATCH(AI232, Country!$O$31:$O$76, 0), 1)</f>
        <v>%</v>
      </c>
      <c r="D232" s="4" t="str">
        <f t="shared" si="178"/>
        <v>Bahamas</v>
      </c>
      <c r="E232" s="457"/>
      <c r="F232" s="486">
        <f t="shared" ref="F232" si="253">IF(E205&lt;&gt;0, F205/E205-1, 0)</f>
        <v>0</v>
      </c>
      <c r="G232" s="486">
        <f t="shared" si="245"/>
        <v>0</v>
      </c>
      <c r="H232" s="486">
        <f t="shared" si="245"/>
        <v>0</v>
      </c>
      <c r="I232" s="486">
        <f t="shared" si="245"/>
        <v>0</v>
      </c>
      <c r="J232" s="486">
        <f t="shared" si="245"/>
        <v>0</v>
      </c>
      <c r="K232" s="486">
        <f t="shared" si="245"/>
        <v>0</v>
      </c>
      <c r="L232" s="483">
        <f t="shared" si="246"/>
        <v>0</v>
      </c>
      <c r="M232" s="482">
        <f t="shared" si="247"/>
        <v>0</v>
      </c>
      <c r="N232" s="482">
        <f t="shared" si="248"/>
        <v>0</v>
      </c>
      <c r="O232" s="482">
        <f t="shared" si="249"/>
        <v>0</v>
      </c>
      <c r="P232" s="482">
        <f t="shared" si="250"/>
        <v>0</v>
      </c>
      <c r="Q232" s="482">
        <f t="shared" si="251"/>
        <v>0</v>
      </c>
      <c r="R232" s="481">
        <f t="shared" si="252"/>
        <v>0</v>
      </c>
      <c r="S232" s="455"/>
      <c r="T232" s="456"/>
      <c r="U232" s="456"/>
      <c r="V232" s="456"/>
      <c r="W232" s="456"/>
      <c r="X232" s="456"/>
      <c r="Y232" s="456"/>
      <c r="Z232" s="455"/>
      <c r="AA232" s="456"/>
      <c r="AB232" s="456"/>
      <c r="AC232" s="456"/>
      <c r="AD232" s="456"/>
      <c r="AE232" s="456"/>
      <c r="AF232" s="456"/>
      <c r="AG232" s="33" t="str">
        <f t="shared" si="235"/>
        <v>1.09 &gt; Bahamas</v>
      </c>
      <c r="AH232" s="84">
        <f t="shared" si="236"/>
        <v>218</v>
      </c>
      <c r="AI232" s="84">
        <f t="shared" si="237"/>
        <v>9</v>
      </c>
      <c r="AJ232" s="877" t="s">
        <v>1526</v>
      </c>
    </row>
    <row r="233" spans="1:36" x14ac:dyDescent="0.2">
      <c r="A233" s="492">
        <f>INDEX(Country!$F$31:$G$76, MATCH(AI233, Country!$O$31:$O$76, 0), 1)</f>
        <v>1.0900000000000001</v>
      </c>
      <c r="B233" s="2" t="str">
        <f>INDEX(Country!$F$31:$G$76, MATCH(AI233, Country!$O$31:$O$76, 0), 2)</f>
        <v>Growth rate biofuels production</v>
      </c>
      <c r="C233" s="436" t="str">
        <f>INDEX(Country!$K$31:$K$76, MATCH(AI233, Country!$O$31:$O$76, 0), 1)</f>
        <v>%</v>
      </c>
      <c r="D233" s="4" t="str">
        <f t="shared" si="178"/>
        <v>Barbados</v>
      </c>
      <c r="E233" s="457"/>
      <c r="F233" s="486">
        <f t="shared" ref="F233" si="254">IF(E206&lt;&gt;0, F206/E206-1, 0)</f>
        <v>0</v>
      </c>
      <c r="G233" s="486">
        <f t="shared" si="245"/>
        <v>0</v>
      </c>
      <c r="H233" s="486">
        <f t="shared" si="245"/>
        <v>0</v>
      </c>
      <c r="I233" s="486">
        <f t="shared" si="245"/>
        <v>0</v>
      </c>
      <c r="J233" s="486">
        <f t="shared" si="245"/>
        <v>0</v>
      </c>
      <c r="K233" s="486">
        <f t="shared" si="245"/>
        <v>0</v>
      </c>
      <c r="L233" s="483">
        <f t="shared" si="246"/>
        <v>0</v>
      </c>
      <c r="M233" s="482">
        <f t="shared" si="247"/>
        <v>0</v>
      </c>
      <c r="N233" s="482">
        <f t="shared" si="248"/>
        <v>0</v>
      </c>
      <c r="O233" s="482">
        <f t="shared" si="249"/>
        <v>0</v>
      </c>
      <c r="P233" s="482">
        <f t="shared" si="250"/>
        <v>0</v>
      </c>
      <c r="Q233" s="482">
        <f t="shared" si="251"/>
        <v>0</v>
      </c>
      <c r="R233" s="481">
        <f t="shared" si="252"/>
        <v>0</v>
      </c>
      <c r="S233" s="455"/>
      <c r="T233" s="456"/>
      <c r="U233" s="456"/>
      <c r="V233" s="456"/>
      <c r="W233" s="456"/>
      <c r="X233" s="456"/>
      <c r="Y233" s="456"/>
      <c r="Z233" s="455"/>
      <c r="AA233" s="456"/>
      <c r="AB233" s="456"/>
      <c r="AC233" s="456"/>
      <c r="AD233" s="456"/>
      <c r="AE233" s="456"/>
      <c r="AF233" s="456"/>
      <c r="AG233" s="33" t="str">
        <f t="shared" si="235"/>
        <v>1.09 &gt; Barbados</v>
      </c>
      <c r="AH233" s="84">
        <f t="shared" si="236"/>
        <v>219</v>
      </c>
      <c r="AI233" s="84">
        <f t="shared" si="237"/>
        <v>9</v>
      </c>
      <c r="AJ233" s="877" t="s">
        <v>1526</v>
      </c>
    </row>
    <row r="234" spans="1:36" x14ac:dyDescent="0.2">
      <c r="A234" s="492">
        <f>INDEX(Country!$F$31:$G$76, MATCH(AI234, Country!$O$31:$O$76, 0), 1)</f>
        <v>1.0900000000000001</v>
      </c>
      <c r="B234" s="2" t="str">
        <f>INDEX(Country!$F$31:$G$76, MATCH(AI234, Country!$O$31:$O$76, 0), 2)</f>
        <v>Growth rate biofuels production</v>
      </c>
      <c r="C234" s="436" t="str">
        <f>INDEX(Country!$K$31:$K$76, MATCH(AI234, Country!$O$31:$O$76, 0), 1)</f>
        <v>%</v>
      </c>
      <c r="D234" s="4" t="str">
        <f t="shared" si="178"/>
        <v>Belize</v>
      </c>
      <c r="E234" s="457"/>
      <c r="F234" s="486">
        <f t="shared" ref="F234" si="255">IF(E207&lt;&gt;0, F207/E207-1, 0)</f>
        <v>0</v>
      </c>
      <c r="G234" s="486">
        <f t="shared" si="245"/>
        <v>0</v>
      </c>
      <c r="H234" s="486">
        <f t="shared" si="245"/>
        <v>0</v>
      </c>
      <c r="I234" s="486">
        <f t="shared" si="245"/>
        <v>0</v>
      </c>
      <c r="J234" s="486">
        <f t="shared" si="245"/>
        <v>0</v>
      </c>
      <c r="K234" s="486">
        <f t="shared" si="245"/>
        <v>0</v>
      </c>
      <c r="L234" s="483">
        <f t="shared" si="246"/>
        <v>0</v>
      </c>
      <c r="M234" s="482">
        <f t="shared" si="247"/>
        <v>0</v>
      </c>
      <c r="N234" s="482">
        <f t="shared" si="248"/>
        <v>0</v>
      </c>
      <c r="O234" s="482">
        <f t="shared" si="249"/>
        <v>0</v>
      </c>
      <c r="P234" s="482">
        <f t="shared" si="250"/>
        <v>0</v>
      </c>
      <c r="Q234" s="482">
        <f t="shared" si="251"/>
        <v>0</v>
      </c>
      <c r="R234" s="481">
        <f t="shared" si="252"/>
        <v>0</v>
      </c>
      <c r="S234" s="455"/>
      <c r="T234" s="456"/>
      <c r="U234" s="456"/>
      <c r="V234" s="456"/>
      <c r="W234" s="456"/>
      <c r="X234" s="456"/>
      <c r="Y234" s="456"/>
      <c r="Z234" s="455"/>
      <c r="AA234" s="456"/>
      <c r="AB234" s="456"/>
      <c r="AC234" s="456"/>
      <c r="AD234" s="456"/>
      <c r="AE234" s="456"/>
      <c r="AF234" s="456"/>
      <c r="AG234" s="33" t="str">
        <f t="shared" si="235"/>
        <v>1.09 &gt; Belize</v>
      </c>
      <c r="AH234" s="84">
        <f t="shared" si="236"/>
        <v>220</v>
      </c>
      <c r="AI234" s="84">
        <f t="shared" si="237"/>
        <v>9</v>
      </c>
      <c r="AJ234" s="877" t="s">
        <v>1526</v>
      </c>
    </row>
    <row r="235" spans="1:36" x14ac:dyDescent="0.2">
      <c r="A235" s="492">
        <f>INDEX(Country!$F$31:$G$76, MATCH(AI235, Country!$O$31:$O$76, 0), 1)</f>
        <v>1.0900000000000001</v>
      </c>
      <c r="B235" s="2" t="str">
        <f>INDEX(Country!$F$31:$G$76, MATCH(AI235, Country!$O$31:$O$76, 0), 2)</f>
        <v>Growth rate biofuels production</v>
      </c>
      <c r="C235" s="436" t="str">
        <f>INDEX(Country!$K$31:$K$76, MATCH(AI235, Country!$O$31:$O$76, 0), 1)</f>
        <v>%</v>
      </c>
      <c r="D235" s="4" t="str">
        <f t="shared" ref="D235:D284" si="256">D208</f>
        <v>Bolivia</v>
      </c>
      <c r="E235" s="457"/>
      <c r="F235" s="486">
        <f t="shared" ref="F235" si="257">IF(E208&lt;&gt;0, F208/E208-1, 0)</f>
        <v>0</v>
      </c>
      <c r="G235" s="486">
        <f t="shared" si="245"/>
        <v>0</v>
      </c>
      <c r="H235" s="486">
        <f t="shared" si="245"/>
        <v>0</v>
      </c>
      <c r="I235" s="486">
        <f t="shared" si="245"/>
        <v>0</v>
      </c>
      <c r="J235" s="486">
        <f t="shared" si="245"/>
        <v>0</v>
      </c>
      <c r="K235" s="486">
        <f t="shared" si="245"/>
        <v>0</v>
      </c>
      <c r="L235" s="483">
        <f t="shared" si="246"/>
        <v>0</v>
      </c>
      <c r="M235" s="482">
        <f t="shared" si="247"/>
        <v>0</v>
      </c>
      <c r="N235" s="482">
        <f t="shared" si="248"/>
        <v>0</v>
      </c>
      <c r="O235" s="482">
        <f t="shared" si="249"/>
        <v>0</v>
      </c>
      <c r="P235" s="482">
        <f t="shared" si="250"/>
        <v>0</v>
      </c>
      <c r="Q235" s="482">
        <f t="shared" si="251"/>
        <v>0</v>
      </c>
      <c r="R235" s="481">
        <f t="shared" si="252"/>
        <v>0</v>
      </c>
      <c r="S235" s="455"/>
      <c r="T235" s="456"/>
      <c r="U235" s="456"/>
      <c r="V235" s="456"/>
      <c r="W235" s="456"/>
      <c r="X235" s="456"/>
      <c r="Y235" s="456"/>
      <c r="Z235" s="455"/>
      <c r="AA235" s="456"/>
      <c r="AB235" s="456"/>
      <c r="AC235" s="456"/>
      <c r="AD235" s="456"/>
      <c r="AE235" s="456"/>
      <c r="AF235" s="456"/>
      <c r="AG235" s="33" t="str">
        <f t="shared" si="235"/>
        <v>1.09 &gt; Bolivia</v>
      </c>
      <c r="AH235" s="84">
        <f t="shared" si="236"/>
        <v>221</v>
      </c>
      <c r="AI235" s="84">
        <f t="shared" si="237"/>
        <v>9</v>
      </c>
      <c r="AJ235" s="877" t="s">
        <v>1526</v>
      </c>
    </row>
    <row r="236" spans="1:36" x14ac:dyDescent="0.2">
      <c r="A236" s="492">
        <f>INDEX(Country!$F$31:$G$76, MATCH(AI236, Country!$O$31:$O$76, 0), 1)</f>
        <v>1.0900000000000001</v>
      </c>
      <c r="B236" s="2" t="str">
        <f>INDEX(Country!$F$31:$G$76, MATCH(AI236, Country!$O$31:$O$76, 0), 2)</f>
        <v>Growth rate biofuels production</v>
      </c>
      <c r="C236" s="436" t="str">
        <f>INDEX(Country!$K$31:$K$76, MATCH(AI236, Country!$O$31:$O$76, 0), 1)</f>
        <v>%</v>
      </c>
      <c r="D236" s="4" t="str">
        <f t="shared" si="256"/>
        <v>Brazil</v>
      </c>
      <c r="E236" s="457"/>
      <c r="F236" s="486">
        <f t="shared" ref="F236" si="258">IF(E209&lt;&gt;0, F209/E209-1, 0)</f>
        <v>0.87396872608003573</v>
      </c>
      <c r="G236" s="486">
        <f t="shared" si="245"/>
        <v>0.26147663622960682</v>
      </c>
      <c r="H236" s="486">
        <f t="shared" si="245"/>
        <v>-5.0706486130864703E-2</v>
      </c>
      <c r="I236" s="486">
        <f t="shared" si="245"/>
        <v>9.8063063126388794E-2</v>
      </c>
      <c r="J236" s="486">
        <f t="shared" si="245"/>
        <v>-0.15385770976232982</v>
      </c>
      <c r="K236" s="486">
        <f t="shared" si="245"/>
        <v>-3.8707573128584638E-3</v>
      </c>
      <c r="L236" s="483">
        <f t="shared" si="246"/>
        <v>0</v>
      </c>
      <c r="M236" s="482">
        <f t="shared" si="247"/>
        <v>100</v>
      </c>
      <c r="N236" s="482">
        <f t="shared" si="248"/>
        <v>3.6011752295095554</v>
      </c>
      <c r="O236" s="482">
        <f t="shared" si="249"/>
        <v>-6.0117697084789956</v>
      </c>
      <c r="P236" s="482">
        <f t="shared" si="250"/>
        <v>19.673985518007491</v>
      </c>
      <c r="Q236" s="482">
        <f t="shared" si="251"/>
        <v>-45.742440517405001</v>
      </c>
      <c r="R236" s="481">
        <f t="shared" si="252"/>
        <v>-0.90642474478153967</v>
      </c>
      <c r="S236" s="455"/>
      <c r="T236" s="456"/>
      <c r="U236" s="456"/>
      <c r="V236" s="456"/>
      <c r="W236" s="456"/>
      <c r="X236" s="456"/>
      <c r="Y236" s="456"/>
      <c r="Z236" s="455"/>
      <c r="AA236" s="456"/>
      <c r="AB236" s="456"/>
      <c r="AC236" s="456"/>
      <c r="AD236" s="456"/>
      <c r="AE236" s="456"/>
      <c r="AF236" s="456"/>
      <c r="AG236" s="33" t="str">
        <f t="shared" si="235"/>
        <v>1.09 &gt; Brazil</v>
      </c>
      <c r="AH236" s="84">
        <f t="shared" si="236"/>
        <v>222</v>
      </c>
      <c r="AI236" s="84">
        <f t="shared" si="237"/>
        <v>9</v>
      </c>
      <c r="AJ236" s="877" t="s">
        <v>1526</v>
      </c>
    </row>
    <row r="237" spans="1:36" x14ac:dyDescent="0.2">
      <c r="A237" s="492">
        <f>INDEX(Country!$F$31:$G$76, MATCH(AI237, Country!$O$31:$O$76, 0), 1)</f>
        <v>1.0900000000000001</v>
      </c>
      <c r="B237" s="2" t="str">
        <f>INDEX(Country!$F$31:$G$76, MATCH(AI237, Country!$O$31:$O$76, 0), 2)</f>
        <v>Growth rate biofuels production</v>
      </c>
      <c r="C237" s="436" t="str">
        <f>INDEX(Country!$K$31:$K$76, MATCH(AI237, Country!$O$31:$O$76, 0), 1)</f>
        <v>%</v>
      </c>
      <c r="D237" s="4" t="str">
        <f t="shared" si="256"/>
        <v>Chile</v>
      </c>
      <c r="E237" s="457"/>
      <c r="F237" s="486">
        <f t="shared" ref="F237" si="259">IF(E210&lt;&gt;0, F210/E210-1, 0)</f>
        <v>0</v>
      </c>
      <c r="G237" s="486">
        <f t="shared" si="245"/>
        <v>0</v>
      </c>
      <c r="H237" s="486">
        <f t="shared" si="245"/>
        <v>0</v>
      </c>
      <c r="I237" s="486">
        <f t="shared" si="245"/>
        <v>0</v>
      </c>
      <c r="J237" s="486">
        <f t="shared" si="245"/>
        <v>0</v>
      </c>
      <c r="K237" s="486">
        <f t="shared" si="245"/>
        <v>0</v>
      </c>
      <c r="L237" s="483">
        <f t="shared" si="246"/>
        <v>0</v>
      </c>
      <c r="M237" s="482">
        <f t="shared" si="247"/>
        <v>0</v>
      </c>
      <c r="N237" s="482">
        <f t="shared" si="248"/>
        <v>0</v>
      </c>
      <c r="O237" s="482">
        <f t="shared" si="249"/>
        <v>0</v>
      </c>
      <c r="P237" s="482">
        <f t="shared" si="250"/>
        <v>0</v>
      </c>
      <c r="Q237" s="482">
        <f t="shared" si="251"/>
        <v>0</v>
      </c>
      <c r="R237" s="481">
        <f t="shared" si="252"/>
        <v>0</v>
      </c>
      <c r="S237" s="455"/>
      <c r="T237" s="456"/>
      <c r="U237" s="456"/>
      <c r="V237" s="456"/>
      <c r="W237" s="456"/>
      <c r="X237" s="456"/>
      <c r="Y237" s="456"/>
      <c r="Z237" s="455"/>
      <c r="AA237" s="456"/>
      <c r="AB237" s="456"/>
      <c r="AC237" s="456"/>
      <c r="AD237" s="456"/>
      <c r="AE237" s="456"/>
      <c r="AF237" s="456"/>
      <c r="AG237" s="33" t="str">
        <f t="shared" si="235"/>
        <v>1.09 &gt; Chile</v>
      </c>
      <c r="AH237" s="84">
        <f t="shared" si="236"/>
        <v>223</v>
      </c>
      <c r="AI237" s="84">
        <f t="shared" si="237"/>
        <v>9</v>
      </c>
      <c r="AJ237" s="877" t="s">
        <v>1526</v>
      </c>
    </row>
    <row r="238" spans="1:36" x14ac:dyDescent="0.2">
      <c r="A238" s="492">
        <f>INDEX(Country!$F$31:$G$76, MATCH(AI238, Country!$O$31:$O$76, 0), 1)</f>
        <v>1.0900000000000001</v>
      </c>
      <c r="B238" s="2" t="str">
        <f>INDEX(Country!$F$31:$G$76, MATCH(AI238, Country!$O$31:$O$76, 0), 2)</f>
        <v>Growth rate biofuels production</v>
      </c>
      <c r="C238" s="436" t="str">
        <f>INDEX(Country!$K$31:$K$76, MATCH(AI238, Country!$O$31:$O$76, 0), 1)</f>
        <v>%</v>
      </c>
      <c r="D238" s="4" t="str">
        <f t="shared" si="256"/>
        <v>Colombia</v>
      </c>
      <c r="E238" s="457"/>
      <c r="F238" s="486">
        <f t="shared" ref="F238" si="260">IF(E211&lt;&gt;0, F211/E211-1, 0)</f>
        <v>0</v>
      </c>
      <c r="G238" s="486">
        <f t="shared" si="245"/>
        <v>0</v>
      </c>
      <c r="H238" s="486">
        <f t="shared" si="245"/>
        <v>0.53901996593054124</v>
      </c>
      <c r="I238" s="486">
        <f t="shared" si="245"/>
        <v>0.33377296974754134</v>
      </c>
      <c r="J238" s="486">
        <f t="shared" si="245"/>
        <v>0.16585254063805777</v>
      </c>
      <c r="K238" s="486">
        <f t="shared" si="245"/>
        <v>0.12203411568552003</v>
      </c>
      <c r="L238" s="483">
        <f t="shared" si="246"/>
        <v>0</v>
      </c>
      <c r="M238" s="482">
        <f t="shared" si="247"/>
        <v>0</v>
      </c>
      <c r="N238" s="482">
        <f t="shared" si="248"/>
        <v>0</v>
      </c>
      <c r="O238" s="482">
        <f t="shared" si="249"/>
        <v>63.906299779549478</v>
      </c>
      <c r="P238" s="482">
        <f t="shared" si="250"/>
        <v>66.963486186965696</v>
      </c>
      <c r="Q238" s="482">
        <f t="shared" si="251"/>
        <v>49.308546100913787</v>
      </c>
      <c r="R238" s="481">
        <f t="shared" si="252"/>
        <v>28.577028530678398</v>
      </c>
      <c r="S238" s="455"/>
      <c r="T238" s="456"/>
      <c r="U238" s="456"/>
      <c r="V238" s="456"/>
      <c r="W238" s="456"/>
      <c r="X238" s="456"/>
      <c r="Y238" s="456"/>
      <c r="Z238" s="455"/>
      <c r="AA238" s="456"/>
      <c r="AB238" s="456"/>
      <c r="AC238" s="456"/>
      <c r="AD238" s="456"/>
      <c r="AE238" s="456"/>
      <c r="AF238" s="456"/>
      <c r="AG238" s="33" t="str">
        <f t="shared" si="235"/>
        <v>1.09 &gt; Colombia</v>
      </c>
      <c r="AH238" s="84">
        <f t="shared" si="236"/>
        <v>224</v>
      </c>
      <c r="AI238" s="84">
        <f t="shared" si="237"/>
        <v>9</v>
      </c>
      <c r="AJ238" s="877" t="s">
        <v>1526</v>
      </c>
    </row>
    <row r="239" spans="1:36" x14ac:dyDescent="0.2">
      <c r="A239" s="492">
        <f>INDEX(Country!$F$31:$G$76, MATCH(AI239, Country!$O$31:$O$76, 0), 1)</f>
        <v>1.0900000000000001</v>
      </c>
      <c r="B239" s="2" t="str">
        <f>INDEX(Country!$F$31:$G$76, MATCH(AI239, Country!$O$31:$O$76, 0), 2)</f>
        <v>Growth rate biofuels production</v>
      </c>
      <c r="C239" s="436" t="str">
        <f>INDEX(Country!$K$31:$K$76, MATCH(AI239, Country!$O$31:$O$76, 0), 1)</f>
        <v>%</v>
      </c>
      <c r="D239" s="4" t="str">
        <f t="shared" si="256"/>
        <v>Costa Rica</v>
      </c>
      <c r="E239" s="457"/>
      <c r="F239" s="486">
        <f t="shared" ref="F239" si="261">IF(E212&lt;&gt;0, F212/E212-1, 0)</f>
        <v>0</v>
      </c>
      <c r="G239" s="486">
        <f t="shared" si="245"/>
        <v>0</v>
      </c>
      <c r="H239" s="486">
        <f t="shared" si="245"/>
        <v>0</v>
      </c>
      <c r="I239" s="486">
        <f t="shared" si="245"/>
        <v>0</v>
      </c>
      <c r="J239" s="486">
        <f t="shared" si="245"/>
        <v>0</v>
      </c>
      <c r="K239" s="486">
        <f t="shared" si="245"/>
        <v>0</v>
      </c>
      <c r="L239" s="483">
        <f t="shared" si="246"/>
        <v>0</v>
      </c>
      <c r="M239" s="482">
        <f t="shared" si="247"/>
        <v>0</v>
      </c>
      <c r="N239" s="482">
        <f t="shared" si="248"/>
        <v>0</v>
      </c>
      <c r="O239" s="482">
        <f t="shared" si="249"/>
        <v>0</v>
      </c>
      <c r="P239" s="482">
        <f t="shared" si="250"/>
        <v>0</v>
      </c>
      <c r="Q239" s="482">
        <f t="shared" si="251"/>
        <v>0</v>
      </c>
      <c r="R239" s="481">
        <f t="shared" si="252"/>
        <v>0</v>
      </c>
      <c r="S239" s="455"/>
      <c r="T239" s="456"/>
      <c r="U239" s="456"/>
      <c r="V239" s="456"/>
      <c r="W239" s="456"/>
      <c r="X239" s="456"/>
      <c r="Y239" s="456"/>
      <c r="Z239" s="455"/>
      <c r="AA239" s="456"/>
      <c r="AB239" s="456"/>
      <c r="AC239" s="456"/>
      <c r="AD239" s="456"/>
      <c r="AE239" s="456"/>
      <c r="AF239" s="456"/>
      <c r="AG239" s="33" t="str">
        <f t="shared" si="235"/>
        <v>1.09 &gt; Costa Rica</v>
      </c>
      <c r="AH239" s="84">
        <f t="shared" si="236"/>
        <v>225</v>
      </c>
      <c r="AI239" s="84">
        <f t="shared" si="237"/>
        <v>9</v>
      </c>
      <c r="AJ239" s="877" t="s">
        <v>1526</v>
      </c>
    </row>
    <row r="240" spans="1:36" x14ac:dyDescent="0.2">
      <c r="A240" s="492">
        <f>INDEX(Country!$F$31:$G$76, MATCH(AI240, Country!$O$31:$O$76, 0), 1)</f>
        <v>1.0900000000000001</v>
      </c>
      <c r="B240" s="2" t="str">
        <f>INDEX(Country!$F$31:$G$76, MATCH(AI240, Country!$O$31:$O$76, 0), 2)</f>
        <v>Growth rate biofuels production</v>
      </c>
      <c r="C240" s="436" t="str">
        <f>INDEX(Country!$K$31:$K$76, MATCH(AI240, Country!$O$31:$O$76, 0), 1)</f>
        <v>%</v>
      </c>
      <c r="D240" s="4" t="str">
        <f t="shared" si="256"/>
        <v>Dominican Republic</v>
      </c>
      <c r="E240" s="457"/>
      <c r="F240" s="486">
        <f t="shared" ref="F240" si="262">IF(E213&lt;&gt;0, F213/E213-1, 0)</f>
        <v>0</v>
      </c>
      <c r="G240" s="486">
        <f t="shared" si="245"/>
        <v>0</v>
      </c>
      <c r="H240" s="486">
        <f t="shared" si="245"/>
        <v>0</v>
      </c>
      <c r="I240" s="486">
        <f t="shared" si="245"/>
        <v>0</v>
      </c>
      <c r="J240" s="486">
        <f t="shared" si="245"/>
        <v>0</v>
      </c>
      <c r="K240" s="486">
        <f t="shared" si="245"/>
        <v>0</v>
      </c>
      <c r="L240" s="483">
        <f t="shared" si="246"/>
        <v>0</v>
      </c>
      <c r="M240" s="482">
        <f t="shared" si="247"/>
        <v>0</v>
      </c>
      <c r="N240" s="482">
        <f t="shared" si="248"/>
        <v>0</v>
      </c>
      <c r="O240" s="482">
        <f t="shared" si="249"/>
        <v>0</v>
      </c>
      <c r="P240" s="482">
        <f t="shared" si="250"/>
        <v>0</v>
      </c>
      <c r="Q240" s="482">
        <f t="shared" si="251"/>
        <v>0</v>
      </c>
      <c r="R240" s="481">
        <f t="shared" si="252"/>
        <v>0</v>
      </c>
      <c r="S240" s="455"/>
      <c r="T240" s="456"/>
      <c r="U240" s="456"/>
      <c r="V240" s="456"/>
      <c r="W240" s="456"/>
      <c r="X240" s="456"/>
      <c r="Y240" s="456"/>
      <c r="Z240" s="455"/>
      <c r="AA240" s="456"/>
      <c r="AB240" s="456"/>
      <c r="AC240" s="456"/>
      <c r="AD240" s="456"/>
      <c r="AE240" s="456"/>
      <c r="AF240" s="456"/>
      <c r="AG240" s="33" t="str">
        <f t="shared" si="235"/>
        <v>1.09 &gt; Dominican Republic</v>
      </c>
      <c r="AH240" s="84">
        <f t="shared" si="236"/>
        <v>226</v>
      </c>
      <c r="AI240" s="84">
        <f t="shared" si="237"/>
        <v>9</v>
      </c>
      <c r="AJ240" s="877" t="s">
        <v>1526</v>
      </c>
    </row>
    <row r="241" spans="1:36" x14ac:dyDescent="0.2">
      <c r="A241" s="492">
        <f>INDEX(Country!$F$31:$G$76, MATCH(AI241, Country!$O$31:$O$76, 0), 1)</f>
        <v>1.0900000000000001</v>
      </c>
      <c r="B241" s="2" t="str">
        <f>INDEX(Country!$F$31:$G$76, MATCH(AI241, Country!$O$31:$O$76, 0), 2)</f>
        <v>Growth rate biofuels production</v>
      </c>
      <c r="C241" s="436" t="str">
        <f>INDEX(Country!$K$31:$K$76, MATCH(AI241, Country!$O$31:$O$76, 0), 1)</f>
        <v>%</v>
      </c>
      <c r="D241" s="4" t="str">
        <f t="shared" si="256"/>
        <v>Ecuador</v>
      </c>
      <c r="E241" s="457"/>
      <c r="F241" s="486">
        <f t="shared" ref="F241" si="263">IF(E214&lt;&gt;0, F214/E214-1, 0)</f>
        <v>0</v>
      </c>
      <c r="G241" s="486">
        <f t="shared" si="245"/>
        <v>0</v>
      </c>
      <c r="H241" s="486">
        <f t="shared" si="245"/>
        <v>0</v>
      </c>
      <c r="I241" s="486">
        <f t="shared" si="245"/>
        <v>0</v>
      </c>
      <c r="J241" s="486">
        <f t="shared" si="245"/>
        <v>0</v>
      </c>
      <c r="K241" s="486">
        <f t="shared" si="245"/>
        <v>0</v>
      </c>
      <c r="L241" s="483">
        <f t="shared" si="246"/>
        <v>0</v>
      </c>
      <c r="M241" s="482">
        <f t="shared" si="247"/>
        <v>0</v>
      </c>
      <c r="N241" s="482">
        <f t="shared" si="248"/>
        <v>0</v>
      </c>
      <c r="O241" s="482">
        <f t="shared" si="249"/>
        <v>0</v>
      </c>
      <c r="P241" s="482">
        <f t="shared" si="250"/>
        <v>0</v>
      </c>
      <c r="Q241" s="482">
        <f t="shared" si="251"/>
        <v>0</v>
      </c>
      <c r="R241" s="481">
        <f t="shared" si="252"/>
        <v>0</v>
      </c>
      <c r="S241" s="455"/>
      <c r="T241" s="456"/>
      <c r="U241" s="456"/>
      <c r="V241" s="456"/>
      <c r="W241" s="456"/>
      <c r="X241" s="456"/>
      <c r="Y241" s="456"/>
      <c r="Z241" s="455"/>
      <c r="AA241" s="456"/>
      <c r="AB241" s="456"/>
      <c r="AC241" s="456"/>
      <c r="AD241" s="456"/>
      <c r="AE241" s="456"/>
      <c r="AF241" s="456"/>
      <c r="AG241" s="33" t="str">
        <f t="shared" si="235"/>
        <v>1.09 &gt; Ecuador</v>
      </c>
      <c r="AH241" s="84">
        <f t="shared" si="236"/>
        <v>227</v>
      </c>
      <c r="AI241" s="84">
        <f t="shared" si="237"/>
        <v>9</v>
      </c>
      <c r="AJ241" s="877" t="s">
        <v>1526</v>
      </c>
    </row>
    <row r="242" spans="1:36" x14ac:dyDescent="0.2">
      <c r="A242" s="492">
        <f>INDEX(Country!$F$31:$G$76, MATCH(AI242, Country!$O$31:$O$76, 0), 1)</f>
        <v>1.0900000000000001</v>
      </c>
      <c r="B242" s="2" t="str">
        <f>INDEX(Country!$F$31:$G$76, MATCH(AI242, Country!$O$31:$O$76, 0), 2)</f>
        <v>Growth rate biofuels production</v>
      </c>
      <c r="C242" s="436" t="str">
        <f>INDEX(Country!$K$31:$K$76, MATCH(AI242, Country!$O$31:$O$76, 0), 1)</f>
        <v>%</v>
      </c>
      <c r="D242" s="4" t="str">
        <f t="shared" si="256"/>
        <v>El Salvador</v>
      </c>
      <c r="E242" s="457"/>
      <c r="F242" s="486">
        <f t="shared" ref="F242" si="264">IF(E215&lt;&gt;0, F215/E215-1, 0)</f>
        <v>0</v>
      </c>
      <c r="G242" s="486">
        <f t="shared" si="245"/>
        <v>0</v>
      </c>
      <c r="H242" s="486">
        <f t="shared" si="245"/>
        <v>0</v>
      </c>
      <c r="I242" s="486">
        <f t="shared" si="245"/>
        <v>0</v>
      </c>
      <c r="J242" s="486">
        <f t="shared" si="245"/>
        <v>0</v>
      </c>
      <c r="K242" s="486">
        <f t="shared" si="245"/>
        <v>0</v>
      </c>
      <c r="L242" s="483">
        <f t="shared" si="246"/>
        <v>0</v>
      </c>
      <c r="M242" s="482">
        <f t="shared" si="247"/>
        <v>0</v>
      </c>
      <c r="N242" s="482">
        <f t="shared" si="248"/>
        <v>0</v>
      </c>
      <c r="O242" s="482">
        <f t="shared" si="249"/>
        <v>0</v>
      </c>
      <c r="P242" s="482">
        <f t="shared" si="250"/>
        <v>0</v>
      </c>
      <c r="Q242" s="482">
        <f t="shared" si="251"/>
        <v>0</v>
      </c>
      <c r="R242" s="481">
        <f t="shared" si="252"/>
        <v>0</v>
      </c>
      <c r="S242" s="455"/>
      <c r="T242" s="456"/>
      <c r="U242" s="456"/>
      <c r="V242" s="456"/>
      <c r="W242" s="456"/>
      <c r="X242" s="456"/>
      <c r="Y242" s="456"/>
      <c r="Z242" s="455"/>
      <c r="AA242" s="456"/>
      <c r="AB242" s="456"/>
      <c r="AC242" s="456"/>
      <c r="AD242" s="456"/>
      <c r="AE242" s="456"/>
      <c r="AF242" s="456"/>
      <c r="AG242" s="33" t="str">
        <f t="shared" si="235"/>
        <v>1.09 &gt; El Salvador</v>
      </c>
      <c r="AH242" s="84">
        <f t="shared" si="236"/>
        <v>228</v>
      </c>
      <c r="AI242" s="84">
        <f t="shared" si="237"/>
        <v>9</v>
      </c>
      <c r="AJ242" s="877" t="s">
        <v>1526</v>
      </c>
    </row>
    <row r="243" spans="1:36" x14ac:dyDescent="0.2">
      <c r="A243" s="492">
        <f>INDEX(Country!$F$31:$G$76, MATCH(AI243, Country!$O$31:$O$76, 0), 1)</f>
        <v>1.0900000000000001</v>
      </c>
      <c r="B243" s="2" t="str">
        <f>INDEX(Country!$F$31:$G$76, MATCH(AI243, Country!$O$31:$O$76, 0), 2)</f>
        <v>Growth rate biofuels production</v>
      </c>
      <c r="C243" s="436" t="str">
        <f>INDEX(Country!$K$31:$K$76, MATCH(AI243, Country!$O$31:$O$76, 0), 1)</f>
        <v>%</v>
      </c>
      <c r="D243" s="4" t="str">
        <f t="shared" si="256"/>
        <v>Guatemala</v>
      </c>
      <c r="E243" s="457"/>
      <c r="F243" s="486">
        <f t="shared" ref="F243" si="265">IF(E216&lt;&gt;0, F216/E216-1, 0)</f>
        <v>0</v>
      </c>
      <c r="G243" s="486">
        <f t="shared" si="245"/>
        <v>0.68181818181818188</v>
      </c>
      <c r="H243" s="486">
        <f t="shared" si="245"/>
        <v>-8.108108108108103E-2</v>
      </c>
      <c r="I243" s="486">
        <f t="shared" si="245"/>
        <v>-0.14705882352941191</v>
      </c>
      <c r="J243" s="486">
        <f t="shared" si="245"/>
        <v>-0.21586206896551718</v>
      </c>
      <c r="K243" s="486">
        <f t="shared" si="245"/>
        <v>0.15391380826737033</v>
      </c>
      <c r="L243" s="483">
        <f t="shared" si="246"/>
        <v>0</v>
      </c>
      <c r="M243" s="482">
        <f t="shared" si="247"/>
        <v>0</v>
      </c>
      <c r="N243" s="482">
        <f t="shared" si="248"/>
        <v>9.3903102885138825</v>
      </c>
      <c r="O243" s="482">
        <f t="shared" si="249"/>
        <v>-9.612986904988281</v>
      </c>
      <c r="P243" s="482">
        <f t="shared" si="250"/>
        <v>-29.503801657550913</v>
      </c>
      <c r="Q243" s="482">
        <f t="shared" si="251"/>
        <v>-64.176555499701635</v>
      </c>
      <c r="R243" s="481">
        <f t="shared" si="252"/>
        <v>36.042374424678194</v>
      </c>
      <c r="S243" s="455"/>
      <c r="T243" s="456"/>
      <c r="U243" s="456"/>
      <c r="V243" s="456"/>
      <c r="W243" s="456"/>
      <c r="X243" s="456"/>
      <c r="Y243" s="456"/>
      <c r="Z243" s="455"/>
      <c r="AA243" s="456"/>
      <c r="AB243" s="456"/>
      <c r="AC243" s="456"/>
      <c r="AD243" s="456"/>
      <c r="AE243" s="456"/>
      <c r="AF243" s="456"/>
      <c r="AG243" s="33" t="str">
        <f t="shared" si="235"/>
        <v>1.09 &gt; Guatemala</v>
      </c>
      <c r="AH243" s="84">
        <f t="shared" si="236"/>
        <v>229</v>
      </c>
      <c r="AI243" s="84">
        <f t="shared" si="237"/>
        <v>9</v>
      </c>
      <c r="AJ243" s="877" t="s">
        <v>1526</v>
      </c>
    </row>
    <row r="244" spans="1:36" x14ac:dyDescent="0.2">
      <c r="A244" s="492">
        <f>INDEX(Country!$F$31:$G$76, MATCH(AI244, Country!$O$31:$O$76, 0), 1)</f>
        <v>1.0900000000000001</v>
      </c>
      <c r="B244" s="2" t="str">
        <f>INDEX(Country!$F$31:$G$76, MATCH(AI244, Country!$O$31:$O$76, 0), 2)</f>
        <v>Growth rate biofuels production</v>
      </c>
      <c r="C244" s="436" t="str">
        <f>INDEX(Country!$K$31:$K$76, MATCH(AI244, Country!$O$31:$O$76, 0), 1)</f>
        <v>%</v>
      </c>
      <c r="D244" s="4" t="str">
        <f t="shared" si="256"/>
        <v>Guyana</v>
      </c>
      <c r="E244" s="457"/>
      <c r="F244" s="486">
        <f t="shared" ref="F244" si="266">IF(E217&lt;&gt;0, F217/E217-1, 0)</f>
        <v>0</v>
      </c>
      <c r="G244" s="486">
        <f t="shared" si="245"/>
        <v>0</v>
      </c>
      <c r="H244" s="486">
        <f t="shared" si="245"/>
        <v>0</v>
      </c>
      <c r="I244" s="486">
        <f t="shared" si="245"/>
        <v>0</v>
      </c>
      <c r="J244" s="486">
        <f t="shared" si="245"/>
        <v>0</v>
      </c>
      <c r="K244" s="486">
        <f t="shared" si="245"/>
        <v>0</v>
      </c>
      <c r="L244" s="483">
        <f t="shared" si="246"/>
        <v>0</v>
      </c>
      <c r="M244" s="482">
        <f t="shared" si="247"/>
        <v>0</v>
      </c>
      <c r="N244" s="482">
        <f t="shared" si="248"/>
        <v>0</v>
      </c>
      <c r="O244" s="482">
        <f t="shared" si="249"/>
        <v>0</v>
      </c>
      <c r="P244" s="482">
        <f t="shared" si="250"/>
        <v>0</v>
      </c>
      <c r="Q244" s="482">
        <f t="shared" si="251"/>
        <v>0</v>
      </c>
      <c r="R244" s="481">
        <f t="shared" si="252"/>
        <v>0</v>
      </c>
      <c r="S244" s="455"/>
      <c r="T244" s="456"/>
      <c r="U244" s="456"/>
      <c r="V244" s="456"/>
      <c r="W244" s="456"/>
      <c r="X244" s="456"/>
      <c r="Y244" s="456"/>
      <c r="Z244" s="455"/>
      <c r="AA244" s="456"/>
      <c r="AB244" s="456"/>
      <c r="AC244" s="456"/>
      <c r="AD244" s="456"/>
      <c r="AE244" s="456"/>
      <c r="AF244" s="456"/>
      <c r="AG244" s="33" t="str">
        <f t="shared" si="235"/>
        <v>1.09 &gt; Guyana</v>
      </c>
      <c r="AH244" s="84">
        <f t="shared" si="236"/>
        <v>230</v>
      </c>
      <c r="AI244" s="84">
        <f t="shared" si="237"/>
        <v>9</v>
      </c>
      <c r="AJ244" s="877" t="s">
        <v>1526</v>
      </c>
    </row>
    <row r="245" spans="1:36" x14ac:dyDescent="0.2">
      <c r="A245" s="492">
        <f>INDEX(Country!$F$31:$G$76, MATCH(AI245, Country!$O$31:$O$76, 0), 1)</f>
        <v>1.0900000000000001</v>
      </c>
      <c r="B245" s="2" t="str">
        <f>INDEX(Country!$F$31:$G$76, MATCH(AI245, Country!$O$31:$O$76, 0), 2)</f>
        <v>Growth rate biofuels production</v>
      </c>
      <c r="C245" s="436" t="str">
        <f>INDEX(Country!$K$31:$K$76, MATCH(AI245, Country!$O$31:$O$76, 0), 1)</f>
        <v>%</v>
      </c>
      <c r="D245" s="4" t="str">
        <f t="shared" si="256"/>
        <v>Haiti</v>
      </c>
      <c r="E245" s="457"/>
      <c r="F245" s="486">
        <f t="shared" ref="F245" si="267">IF(E218&lt;&gt;0, F218/E218-1, 0)</f>
        <v>0</v>
      </c>
      <c r="G245" s="486">
        <f t="shared" si="245"/>
        <v>0</v>
      </c>
      <c r="H245" s="486">
        <f t="shared" si="245"/>
        <v>0</v>
      </c>
      <c r="I245" s="486">
        <f t="shared" si="245"/>
        <v>0</v>
      </c>
      <c r="J245" s="486">
        <f t="shared" si="245"/>
        <v>0</v>
      </c>
      <c r="K245" s="486">
        <f t="shared" si="245"/>
        <v>0</v>
      </c>
      <c r="L245" s="483">
        <f t="shared" si="246"/>
        <v>0</v>
      </c>
      <c r="M245" s="482">
        <f t="shared" si="247"/>
        <v>0</v>
      </c>
      <c r="N245" s="482">
        <f t="shared" si="248"/>
        <v>0</v>
      </c>
      <c r="O245" s="482">
        <f t="shared" si="249"/>
        <v>0</v>
      </c>
      <c r="P245" s="482">
        <f t="shared" si="250"/>
        <v>0</v>
      </c>
      <c r="Q245" s="482">
        <f t="shared" si="251"/>
        <v>0</v>
      </c>
      <c r="R245" s="481">
        <f t="shared" si="252"/>
        <v>0</v>
      </c>
      <c r="S245" s="455"/>
      <c r="T245" s="456"/>
      <c r="U245" s="456"/>
      <c r="V245" s="456"/>
      <c r="W245" s="456"/>
      <c r="X245" s="456"/>
      <c r="Y245" s="456"/>
      <c r="Z245" s="455"/>
      <c r="AA245" s="456"/>
      <c r="AB245" s="456"/>
      <c r="AC245" s="456"/>
      <c r="AD245" s="456"/>
      <c r="AE245" s="456"/>
      <c r="AF245" s="456"/>
      <c r="AG245" s="33" t="str">
        <f t="shared" si="235"/>
        <v>1.09 &gt; Haiti</v>
      </c>
      <c r="AH245" s="84">
        <f t="shared" si="236"/>
        <v>231</v>
      </c>
      <c r="AI245" s="84">
        <f t="shared" si="237"/>
        <v>9</v>
      </c>
      <c r="AJ245" s="877" t="s">
        <v>1526</v>
      </c>
    </row>
    <row r="246" spans="1:36" x14ac:dyDescent="0.2">
      <c r="A246" s="492">
        <f>INDEX(Country!$F$31:$G$76, MATCH(AI246, Country!$O$31:$O$76, 0), 1)</f>
        <v>1.0900000000000001</v>
      </c>
      <c r="B246" s="2" t="str">
        <f>INDEX(Country!$F$31:$G$76, MATCH(AI246, Country!$O$31:$O$76, 0), 2)</f>
        <v>Growth rate biofuels production</v>
      </c>
      <c r="C246" s="436" t="str">
        <f>INDEX(Country!$K$31:$K$76, MATCH(AI246, Country!$O$31:$O$76, 0), 1)</f>
        <v>%</v>
      </c>
      <c r="D246" s="4" t="str">
        <f t="shared" si="256"/>
        <v>Honduras</v>
      </c>
      <c r="E246" s="457"/>
      <c r="F246" s="486">
        <f t="shared" ref="F246" si="268">IF(E219&lt;&gt;0, F219/E219-1, 0)</f>
        <v>0</v>
      </c>
      <c r="G246" s="486">
        <f t="shared" si="245"/>
        <v>0</v>
      </c>
      <c r="H246" s="486">
        <f t="shared" si="245"/>
        <v>0</v>
      </c>
      <c r="I246" s="486">
        <f t="shared" si="245"/>
        <v>0</v>
      </c>
      <c r="J246" s="486">
        <f t="shared" si="245"/>
        <v>0</v>
      </c>
      <c r="K246" s="486">
        <f t="shared" si="245"/>
        <v>0</v>
      </c>
      <c r="L246" s="483">
        <f t="shared" si="246"/>
        <v>0</v>
      </c>
      <c r="M246" s="482">
        <f t="shared" si="247"/>
        <v>0</v>
      </c>
      <c r="N246" s="482">
        <f t="shared" si="248"/>
        <v>0</v>
      </c>
      <c r="O246" s="482">
        <f t="shared" si="249"/>
        <v>0</v>
      </c>
      <c r="P246" s="482">
        <f t="shared" si="250"/>
        <v>0</v>
      </c>
      <c r="Q246" s="482">
        <f t="shared" si="251"/>
        <v>0</v>
      </c>
      <c r="R246" s="481">
        <f t="shared" si="252"/>
        <v>0</v>
      </c>
      <c r="S246" s="455"/>
      <c r="T246" s="456"/>
      <c r="U246" s="456"/>
      <c r="V246" s="456"/>
      <c r="W246" s="456"/>
      <c r="X246" s="456"/>
      <c r="Y246" s="456"/>
      <c r="Z246" s="455"/>
      <c r="AA246" s="456"/>
      <c r="AB246" s="456"/>
      <c r="AC246" s="456"/>
      <c r="AD246" s="456"/>
      <c r="AE246" s="456"/>
      <c r="AF246" s="456"/>
      <c r="AG246" s="33" t="str">
        <f t="shared" si="235"/>
        <v>1.09 &gt; Honduras</v>
      </c>
      <c r="AH246" s="84">
        <f t="shared" si="236"/>
        <v>232</v>
      </c>
      <c r="AI246" s="84">
        <f t="shared" si="237"/>
        <v>9</v>
      </c>
      <c r="AJ246" s="877" t="s">
        <v>1526</v>
      </c>
    </row>
    <row r="247" spans="1:36" x14ac:dyDescent="0.2">
      <c r="A247" s="492">
        <f>INDEX(Country!$F$31:$G$76, MATCH(AI247, Country!$O$31:$O$76, 0), 1)</f>
        <v>1.0900000000000001</v>
      </c>
      <c r="B247" s="2" t="str">
        <f>INDEX(Country!$F$31:$G$76, MATCH(AI247, Country!$O$31:$O$76, 0), 2)</f>
        <v>Growth rate biofuels production</v>
      </c>
      <c r="C247" s="436" t="str">
        <f>INDEX(Country!$K$31:$K$76, MATCH(AI247, Country!$O$31:$O$76, 0), 1)</f>
        <v>%</v>
      </c>
      <c r="D247" s="4" t="str">
        <f t="shared" si="256"/>
        <v>Jamaica</v>
      </c>
      <c r="E247" s="457"/>
      <c r="F247" s="486">
        <f t="shared" ref="F247" si="269">IF(E220&lt;&gt;0, F220/E220-1, 0)</f>
        <v>0</v>
      </c>
      <c r="G247" s="486">
        <f t="shared" ref="G247:G256" si="270">IF(F220&lt;&gt;0, G220/F220-1, 0)</f>
        <v>0</v>
      </c>
      <c r="H247" s="486">
        <f t="shared" ref="H247:H256" si="271">IF(G220&lt;&gt;0, H220/G220-1, 0)</f>
        <v>0</v>
      </c>
      <c r="I247" s="486">
        <f t="shared" ref="I247:I256" si="272">IF(H220&lt;&gt;0, I220/H220-1, 0)</f>
        <v>0</v>
      </c>
      <c r="J247" s="486">
        <f t="shared" ref="J247:J256" si="273">IF(I220&lt;&gt;0, J220/I220-1, 0)</f>
        <v>0</v>
      </c>
      <c r="K247" s="486">
        <f t="shared" ref="K247:K256" si="274">IF(J220&lt;&gt;0, K220/J220-1, 0)</f>
        <v>0</v>
      </c>
      <c r="L247" s="483">
        <f t="shared" si="246"/>
        <v>0</v>
      </c>
      <c r="M247" s="482">
        <f t="shared" si="247"/>
        <v>0</v>
      </c>
      <c r="N247" s="482">
        <f t="shared" si="248"/>
        <v>0</v>
      </c>
      <c r="O247" s="482">
        <f t="shared" si="249"/>
        <v>0</v>
      </c>
      <c r="P247" s="482">
        <f t="shared" si="250"/>
        <v>0</v>
      </c>
      <c r="Q247" s="482">
        <f t="shared" si="251"/>
        <v>0</v>
      </c>
      <c r="R247" s="481">
        <f t="shared" si="252"/>
        <v>0</v>
      </c>
      <c r="S247" s="455"/>
      <c r="T247" s="456"/>
      <c r="U247" s="456"/>
      <c r="V247" s="456"/>
      <c r="W247" s="456"/>
      <c r="X247" s="456"/>
      <c r="Y247" s="456"/>
      <c r="Z247" s="455"/>
      <c r="AA247" s="456"/>
      <c r="AB247" s="456"/>
      <c r="AC247" s="456"/>
      <c r="AD247" s="456"/>
      <c r="AE247" s="456"/>
      <c r="AF247" s="456"/>
      <c r="AG247" s="33" t="str">
        <f t="shared" si="235"/>
        <v>1.09 &gt; Jamaica</v>
      </c>
      <c r="AH247" s="84">
        <f t="shared" si="236"/>
        <v>233</v>
      </c>
      <c r="AI247" s="84">
        <f t="shared" si="237"/>
        <v>9</v>
      </c>
      <c r="AJ247" s="877" t="s">
        <v>1526</v>
      </c>
    </row>
    <row r="248" spans="1:36" x14ac:dyDescent="0.2">
      <c r="A248" s="492">
        <f>INDEX(Country!$F$31:$G$76, MATCH(AI248, Country!$O$31:$O$76, 0), 1)</f>
        <v>1.0900000000000001</v>
      </c>
      <c r="B248" s="2" t="str">
        <f>INDEX(Country!$F$31:$G$76, MATCH(AI248, Country!$O$31:$O$76, 0), 2)</f>
        <v>Growth rate biofuels production</v>
      </c>
      <c r="C248" s="436" t="str">
        <f>INDEX(Country!$K$31:$K$76, MATCH(AI248, Country!$O$31:$O$76, 0), 1)</f>
        <v>%</v>
      </c>
      <c r="D248" s="4" t="str">
        <f t="shared" si="256"/>
        <v>Mexico</v>
      </c>
      <c r="E248" s="457"/>
      <c r="F248" s="486">
        <f t="shared" ref="F248" si="275">IF(E221&lt;&gt;0, F221/E221-1, 0)</f>
        <v>0</v>
      </c>
      <c r="G248" s="486">
        <f t="shared" si="270"/>
        <v>0</v>
      </c>
      <c r="H248" s="486">
        <f t="shared" si="271"/>
        <v>0</v>
      </c>
      <c r="I248" s="486">
        <f t="shared" si="272"/>
        <v>0</v>
      </c>
      <c r="J248" s="486">
        <f t="shared" si="273"/>
        <v>0</v>
      </c>
      <c r="K248" s="486">
        <f t="shared" si="274"/>
        <v>0</v>
      </c>
      <c r="L248" s="483">
        <f t="shared" si="246"/>
        <v>0</v>
      </c>
      <c r="M248" s="482">
        <f t="shared" si="247"/>
        <v>0</v>
      </c>
      <c r="N248" s="482">
        <f t="shared" si="248"/>
        <v>0</v>
      </c>
      <c r="O248" s="482">
        <f t="shared" si="249"/>
        <v>0</v>
      </c>
      <c r="P248" s="482">
        <f t="shared" si="250"/>
        <v>0</v>
      </c>
      <c r="Q248" s="482">
        <f t="shared" si="251"/>
        <v>0</v>
      </c>
      <c r="R248" s="481">
        <f t="shared" si="252"/>
        <v>0</v>
      </c>
      <c r="S248" s="455"/>
      <c r="T248" s="456"/>
      <c r="U248" s="456"/>
      <c r="V248" s="456"/>
      <c r="W248" s="456"/>
      <c r="X248" s="456"/>
      <c r="Y248" s="456"/>
      <c r="Z248" s="455"/>
      <c r="AA248" s="456"/>
      <c r="AB248" s="456"/>
      <c r="AC248" s="456"/>
      <c r="AD248" s="456"/>
      <c r="AE248" s="456"/>
      <c r="AF248" s="456"/>
      <c r="AG248" s="33" t="str">
        <f t="shared" si="235"/>
        <v>1.09 &gt; Mexico</v>
      </c>
      <c r="AH248" s="84">
        <f t="shared" si="236"/>
        <v>234</v>
      </c>
      <c r="AI248" s="84">
        <f t="shared" si="237"/>
        <v>9</v>
      </c>
      <c r="AJ248" s="877" t="s">
        <v>1526</v>
      </c>
    </row>
    <row r="249" spans="1:36" x14ac:dyDescent="0.2">
      <c r="A249" s="492">
        <f>INDEX(Country!$F$31:$G$76, MATCH(AI249, Country!$O$31:$O$76, 0), 1)</f>
        <v>1.0900000000000001</v>
      </c>
      <c r="B249" s="2" t="str">
        <f>INDEX(Country!$F$31:$G$76, MATCH(AI249, Country!$O$31:$O$76, 0), 2)</f>
        <v>Growth rate biofuels production</v>
      </c>
      <c r="C249" s="436" t="str">
        <f>INDEX(Country!$K$31:$K$76, MATCH(AI249, Country!$O$31:$O$76, 0), 1)</f>
        <v>%</v>
      </c>
      <c r="D249" s="4" t="str">
        <f t="shared" si="256"/>
        <v>Nicaragua</v>
      </c>
      <c r="E249" s="457"/>
      <c r="F249" s="486">
        <f t="shared" ref="F249" si="276">IF(E222&lt;&gt;0, F222/E222-1, 0)</f>
        <v>0</v>
      </c>
      <c r="G249" s="486">
        <f t="shared" si="270"/>
        <v>0</v>
      </c>
      <c r="H249" s="486">
        <f t="shared" si="271"/>
        <v>0</v>
      </c>
      <c r="I249" s="486">
        <f t="shared" si="272"/>
        <v>0</v>
      </c>
      <c r="J249" s="486">
        <f t="shared" si="273"/>
        <v>0</v>
      </c>
      <c r="K249" s="486">
        <f t="shared" si="274"/>
        <v>0</v>
      </c>
      <c r="L249" s="483">
        <f t="shared" si="246"/>
        <v>0</v>
      </c>
      <c r="M249" s="482">
        <f t="shared" si="247"/>
        <v>0</v>
      </c>
      <c r="N249" s="482">
        <f t="shared" si="248"/>
        <v>0</v>
      </c>
      <c r="O249" s="482">
        <f t="shared" si="249"/>
        <v>0</v>
      </c>
      <c r="P249" s="482">
        <f t="shared" si="250"/>
        <v>0</v>
      </c>
      <c r="Q249" s="482">
        <f t="shared" si="251"/>
        <v>0</v>
      </c>
      <c r="R249" s="481">
        <f t="shared" si="252"/>
        <v>0</v>
      </c>
      <c r="S249" s="455"/>
      <c r="T249" s="456"/>
      <c r="U249" s="456"/>
      <c r="V249" s="456"/>
      <c r="W249" s="456"/>
      <c r="X249" s="456"/>
      <c r="Y249" s="456"/>
      <c r="Z249" s="455"/>
      <c r="AA249" s="456"/>
      <c r="AB249" s="456"/>
      <c r="AC249" s="456"/>
      <c r="AD249" s="456"/>
      <c r="AE249" s="456"/>
      <c r="AF249" s="456"/>
      <c r="AG249" s="33" t="str">
        <f t="shared" si="235"/>
        <v>1.09 &gt; Nicaragua</v>
      </c>
      <c r="AH249" s="84">
        <f t="shared" si="236"/>
        <v>235</v>
      </c>
      <c r="AI249" s="84">
        <f t="shared" si="237"/>
        <v>9</v>
      </c>
      <c r="AJ249" s="877" t="s">
        <v>1526</v>
      </c>
    </row>
    <row r="250" spans="1:36" x14ac:dyDescent="0.2">
      <c r="A250" s="492">
        <f>INDEX(Country!$F$31:$G$76, MATCH(AI250, Country!$O$31:$O$76, 0), 1)</f>
        <v>1.0900000000000001</v>
      </c>
      <c r="B250" s="2" t="str">
        <f>INDEX(Country!$F$31:$G$76, MATCH(AI250, Country!$O$31:$O$76, 0), 2)</f>
        <v>Growth rate biofuels production</v>
      </c>
      <c r="C250" s="436" t="str">
        <f>INDEX(Country!$K$31:$K$76, MATCH(AI250, Country!$O$31:$O$76, 0), 1)</f>
        <v>%</v>
      </c>
      <c r="D250" s="4" t="str">
        <f t="shared" si="256"/>
        <v>Panama</v>
      </c>
      <c r="E250" s="457"/>
      <c r="F250" s="486">
        <f t="shared" ref="F250" si="277">IF(E223&lt;&gt;0, F223/E223-1, 0)</f>
        <v>0</v>
      </c>
      <c r="G250" s="486">
        <f t="shared" si="270"/>
        <v>0</v>
      </c>
      <c r="H250" s="486">
        <f t="shared" si="271"/>
        <v>0</v>
      </c>
      <c r="I250" s="486">
        <f t="shared" si="272"/>
        <v>0</v>
      </c>
      <c r="J250" s="486">
        <f t="shared" si="273"/>
        <v>0</v>
      </c>
      <c r="K250" s="486">
        <f t="shared" si="274"/>
        <v>0</v>
      </c>
      <c r="L250" s="483">
        <f t="shared" si="246"/>
        <v>0</v>
      </c>
      <c r="M250" s="482">
        <f t="shared" si="247"/>
        <v>0</v>
      </c>
      <c r="N250" s="482">
        <f t="shared" si="248"/>
        <v>0</v>
      </c>
      <c r="O250" s="482">
        <f t="shared" si="249"/>
        <v>0</v>
      </c>
      <c r="P250" s="482">
        <f t="shared" si="250"/>
        <v>0</v>
      </c>
      <c r="Q250" s="482">
        <f t="shared" si="251"/>
        <v>0</v>
      </c>
      <c r="R250" s="481">
        <f t="shared" si="252"/>
        <v>0</v>
      </c>
      <c r="S250" s="455"/>
      <c r="T250" s="456"/>
      <c r="U250" s="456"/>
      <c r="V250" s="456"/>
      <c r="W250" s="456"/>
      <c r="X250" s="456"/>
      <c r="Y250" s="456"/>
      <c r="Z250" s="455"/>
      <c r="AA250" s="456"/>
      <c r="AB250" s="456"/>
      <c r="AC250" s="456"/>
      <c r="AD250" s="456"/>
      <c r="AE250" s="456"/>
      <c r="AF250" s="456"/>
      <c r="AG250" s="33" t="str">
        <f t="shared" si="235"/>
        <v>1.09 &gt; Panama</v>
      </c>
      <c r="AH250" s="84">
        <f t="shared" si="236"/>
        <v>236</v>
      </c>
      <c r="AI250" s="84">
        <f t="shared" si="237"/>
        <v>9</v>
      </c>
      <c r="AJ250" s="877" t="s">
        <v>1526</v>
      </c>
    </row>
    <row r="251" spans="1:36" x14ac:dyDescent="0.2">
      <c r="A251" s="492">
        <f>INDEX(Country!$F$31:$G$76, MATCH(AI251, Country!$O$31:$O$76, 0), 1)</f>
        <v>1.0900000000000001</v>
      </c>
      <c r="B251" s="2" t="str">
        <f>INDEX(Country!$F$31:$G$76, MATCH(AI251, Country!$O$31:$O$76, 0), 2)</f>
        <v>Growth rate biofuels production</v>
      </c>
      <c r="C251" s="436" t="str">
        <f>INDEX(Country!$K$31:$K$76, MATCH(AI251, Country!$O$31:$O$76, 0), 1)</f>
        <v>%</v>
      </c>
      <c r="D251" s="4" t="str">
        <f t="shared" si="256"/>
        <v>Paraguay</v>
      </c>
      <c r="E251" s="457"/>
      <c r="F251" s="486">
        <f t="shared" ref="F251" si="278">IF(E224&lt;&gt;0, F224/E224-1, 0)</f>
        <v>0.6645161290322581</v>
      </c>
      <c r="G251" s="486">
        <f t="shared" si="270"/>
        <v>7.8313953488372112E-2</v>
      </c>
      <c r="H251" s="486">
        <f t="shared" si="271"/>
        <v>0.84345356841178254</v>
      </c>
      <c r="I251" s="486">
        <f t="shared" si="272"/>
        <v>0.35005303612305938</v>
      </c>
      <c r="J251" s="486">
        <f t="shared" si="273"/>
        <v>6.1374046683531081E-2</v>
      </c>
      <c r="K251" s="486">
        <f t="shared" si="274"/>
        <v>0.42703570650990641</v>
      </c>
      <c r="L251" s="483">
        <f t="shared" si="246"/>
        <v>0</v>
      </c>
      <c r="M251" s="482">
        <f t="shared" si="247"/>
        <v>76.034314409941885</v>
      </c>
      <c r="N251" s="482">
        <f t="shared" si="248"/>
        <v>1.0785754073248854</v>
      </c>
      <c r="O251" s="482">
        <f t="shared" si="249"/>
        <v>100</v>
      </c>
      <c r="P251" s="482">
        <f t="shared" si="250"/>
        <v>70.229688362308011</v>
      </c>
      <c r="Q251" s="482">
        <f t="shared" si="251"/>
        <v>18.246720844022438</v>
      </c>
      <c r="R251" s="481">
        <f t="shared" si="252"/>
        <v>100</v>
      </c>
      <c r="S251" s="455"/>
      <c r="T251" s="456"/>
      <c r="U251" s="456"/>
      <c r="V251" s="456"/>
      <c r="W251" s="456"/>
      <c r="X251" s="456"/>
      <c r="Y251" s="456"/>
      <c r="Z251" s="455"/>
      <c r="AA251" s="456"/>
      <c r="AB251" s="456"/>
      <c r="AC251" s="456"/>
      <c r="AD251" s="456"/>
      <c r="AE251" s="456"/>
      <c r="AF251" s="456"/>
      <c r="AG251" s="33" t="str">
        <f t="shared" si="235"/>
        <v>1.09 &gt; Paraguay</v>
      </c>
      <c r="AH251" s="84">
        <f t="shared" si="236"/>
        <v>237</v>
      </c>
      <c r="AI251" s="84">
        <f t="shared" si="237"/>
        <v>9</v>
      </c>
      <c r="AJ251" s="877" t="s">
        <v>1526</v>
      </c>
    </row>
    <row r="252" spans="1:36" x14ac:dyDescent="0.2">
      <c r="A252" s="492">
        <f>INDEX(Country!$F$31:$G$76, MATCH(AI252, Country!$O$31:$O$76, 0), 1)</f>
        <v>1.0900000000000001</v>
      </c>
      <c r="B252" s="2" t="str">
        <f>INDEX(Country!$F$31:$G$76, MATCH(AI252, Country!$O$31:$O$76, 0), 2)</f>
        <v>Growth rate biofuels production</v>
      </c>
      <c r="C252" s="436" t="str">
        <f>INDEX(Country!$K$31:$K$76, MATCH(AI252, Country!$O$31:$O$76, 0), 1)</f>
        <v>%</v>
      </c>
      <c r="D252" s="4" t="str">
        <f t="shared" si="256"/>
        <v>Peru</v>
      </c>
      <c r="E252" s="457"/>
      <c r="F252" s="486">
        <f t="shared" ref="F252" si="279">IF(E225&lt;&gt;0, F225/E225-1, 0)</f>
        <v>0.76923076923076916</v>
      </c>
      <c r="G252" s="486">
        <f t="shared" si="270"/>
        <v>7.2608695652173907</v>
      </c>
      <c r="H252" s="486">
        <f t="shared" si="271"/>
        <v>4.6992481203007586E-2</v>
      </c>
      <c r="I252" s="486">
        <f t="shared" si="272"/>
        <v>3.8276481149012609E-2</v>
      </c>
      <c r="J252" s="486">
        <f t="shared" si="273"/>
        <v>0.28752247890441285</v>
      </c>
      <c r="K252" s="486">
        <f t="shared" si="274"/>
        <v>5.9181663532993145E-2</v>
      </c>
      <c r="L252" s="483">
        <f t="shared" si="246"/>
        <v>0</v>
      </c>
      <c r="M252" s="482">
        <f t="shared" si="247"/>
        <v>88.015823252733313</v>
      </c>
      <c r="N252" s="482">
        <f t="shared" si="248"/>
        <v>99.999999999999986</v>
      </c>
      <c r="O252" s="482">
        <f t="shared" si="249"/>
        <v>5.5714366460615157</v>
      </c>
      <c r="P252" s="482">
        <f t="shared" si="250"/>
        <v>7.6792516141922826</v>
      </c>
      <c r="Q252" s="482">
        <f t="shared" si="251"/>
        <v>85.481448469617348</v>
      </c>
      <c r="R252" s="481">
        <f t="shared" si="252"/>
        <v>13.858715472922695</v>
      </c>
      <c r="S252" s="455"/>
      <c r="T252" s="456"/>
      <c r="U252" s="456"/>
      <c r="V252" s="456"/>
      <c r="W252" s="456"/>
      <c r="X252" s="456"/>
      <c r="Y252" s="456"/>
      <c r="Z252" s="455"/>
      <c r="AA252" s="456"/>
      <c r="AB252" s="456"/>
      <c r="AC252" s="456"/>
      <c r="AD252" s="456"/>
      <c r="AE252" s="456"/>
      <c r="AF252" s="456"/>
      <c r="AG252" s="33" t="str">
        <f t="shared" si="235"/>
        <v>1.09 &gt; Peru</v>
      </c>
      <c r="AH252" s="84">
        <f t="shared" si="236"/>
        <v>238</v>
      </c>
      <c r="AI252" s="84">
        <f t="shared" si="237"/>
        <v>9</v>
      </c>
      <c r="AJ252" s="877" t="s">
        <v>1526</v>
      </c>
    </row>
    <row r="253" spans="1:36" x14ac:dyDescent="0.2">
      <c r="A253" s="492">
        <f>INDEX(Country!$F$31:$G$76, MATCH(AI253, Country!$O$31:$O$76, 0), 1)</f>
        <v>1.0900000000000001</v>
      </c>
      <c r="B253" s="2" t="str">
        <f>INDEX(Country!$F$31:$G$76, MATCH(AI253, Country!$O$31:$O$76, 0), 2)</f>
        <v>Growth rate biofuels production</v>
      </c>
      <c r="C253" s="436" t="str">
        <f>INDEX(Country!$K$31:$K$76, MATCH(AI253, Country!$O$31:$O$76, 0), 1)</f>
        <v>%</v>
      </c>
      <c r="D253" s="4" t="str">
        <f t="shared" si="256"/>
        <v>Suriname</v>
      </c>
      <c r="E253" s="457"/>
      <c r="F253" s="486">
        <f t="shared" ref="F253" si="280">IF(E226&lt;&gt;0, F226/E226-1, 0)</f>
        <v>0</v>
      </c>
      <c r="G253" s="486">
        <f t="shared" si="270"/>
        <v>0</v>
      </c>
      <c r="H253" s="486">
        <f t="shared" si="271"/>
        <v>0</v>
      </c>
      <c r="I253" s="486">
        <f t="shared" si="272"/>
        <v>0</v>
      </c>
      <c r="J253" s="486">
        <f t="shared" si="273"/>
        <v>0</v>
      </c>
      <c r="K253" s="486">
        <f t="shared" si="274"/>
        <v>0</v>
      </c>
      <c r="L253" s="483">
        <f t="shared" si="246"/>
        <v>0</v>
      </c>
      <c r="M253" s="482">
        <f t="shared" si="247"/>
        <v>0</v>
      </c>
      <c r="N253" s="482">
        <f t="shared" si="248"/>
        <v>0</v>
      </c>
      <c r="O253" s="482">
        <f t="shared" si="249"/>
        <v>0</v>
      </c>
      <c r="P253" s="482">
        <f t="shared" si="250"/>
        <v>0</v>
      </c>
      <c r="Q253" s="482">
        <f t="shared" si="251"/>
        <v>0</v>
      </c>
      <c r="R253" s="481">
        <f t="shared" si="252"/>
        <v>0</v>
      </c>
      <c r="S253" s="455"/>
      <c r="T253" s="456"/>
      <c r="U253" s="456"/>
      <c r="V253" s="456"/>
      <c r="W253" s="456"/>
      <c r="X253" s="456"/>
      <c r="Y253" s="456"/>
      <c r="Z253" s="455"/>
      <c r="AA253" s="456"/>
      <c r="AB253" s="456"/>
      <c r="AC253" s="456"/>
      <c r="AD253" s="456"/>
      <c r="AE253" s="456"/>
      <c r="AF253" s="456"/>
      <c r="AG253" s="33" t="str">
        <f t="shared" si="235"/>
        <v>1.09 &gt; Suriname</v>
      </c>
      <c r="AH253" s="84">
        <f t="shared" si="236"/>
        <v>239</v>
      </c>
      <c r="AI253" s="84">
        <f t="shared" si="237"/>
        <v>9</v>
      </c>
      <c r="AJ253" s="877" t="s">
        <v>1526</v>
      </c>
    </row>
    <row r="254" spans="1:36" x14ac:dyDescent="0.2">
      <c r="A254" s="492">
        <f>INDEX(Country!$F$31:$G$76, MATCH(AI254, Country!$O$31:$O$76, 0), 1)</f>
        <v>1.0900000000000001</v>
      </c>
      <c r="B254" s="2" t="str">
        <f>INDEX(Country!$F$31:$G$76, MATCH(AI254, Country!$O$31:$O$76, 0), 2)</f>
        <v>Growth rate biofuels production</v>
      </c>
      <c r="C254" s="436" t="str">
        <f>INDEX(Country!$K$31:$K$76, MATCH(AI254, Country!$O$31:$O$76, 0), 1)</f>
        <v>%</v>
      </c>
      <c r="D254" s="4" t="str">
        <f t="shared" si="256"/>
        <v>Trinidad &amp; Tobago</v>
      </c>
      <c r="E254" s="457"/>
      <c r="F254" s="486">
        <f t="shared" ref="F254" si="281">IF(E227&lt;&gt;0, F227/E227-1, 0)</f>
        <v>0</v>
      </c>
      <c r="G254" s="486">
        <f t="shared" si="270"/>
        <v>0</v>
      </c>
      <c r="H254" s="486">
        <f t="shared" si="271"/>
        <v>0</v>
      </c>
      <c r="I254" s="486">
        <f t="shared" si="272"/>
        <v>0</v>
      </c>
      <c r="J254" s="486">
        <f t="shared" si="273"/>
        <v>0</v>
      </c>
      <c r="K254" s="486">
        <f t="shared" si="274"/>
        <v>0</v>
      </c>
      <c r="L254" s="483">
        <f t="shared" si="246"/>
        <v>0</v>
      </c>
      <c r="M254" s="482">
        <f t="shared" si="247"/>
        <v>0</v>
      </c>
      <c r="N254" s="482">
        <f t="shared" si="248"/>
        <v>0</v>
      </c>
      <c r="O254" s="482">
        <f t="shared" si="249"/>
        <v>0</v>
      </c>
      <c r="P254" s="482">
        <f t="shared" si="250"/>
        <v>0</v>
      </c>
      <c r="Q254" s="482">
        <f t="shared" si="251"/>
        <v>0</v>
      </c>
      <c r="R254" s="481">
        <f t="shared" si="252"/>
        <v>0</v>
      </c>
      <c r="S254" s="455"/>
      <c r="T254" s="456"/>
      <c r="U254" s="456"/>
      <c r="V254" s="456"/>
      <c r="W254" s="456"/>
      <c r="X254" s="456"/>
      <c r="Y254" s="456"/>
      <c r="Z254" s="455"/>
      <c r="AA254" s="456"/>
      <c r="AB254" s="456"/>
      <c r="AC254" s="456"/>
      <c r="AD254" s="456"/>
      <c r="AE254" s="456"/>
      <c r="AF254" s="456"/>
      <c r="AG254" s="33" t="str">
        <f t="shared" si="235"/>
        <v>1.09 &gt; Trinidad &amp; Tobago</v>
      </c>
      <c r="AH254" s="84">
        <f t="shared" si="236"/>
        <v>240</v>
      </c>
      <c r="AI254" s="84">
        <f t="shared" si="237"/>
        <v>9</v>
      </c>
      <c r="AJ254" s="877" t="s">
        <v>1526</v>
      </c>
    </row>
    <row r="255" spans="1:36" x14ac:dyDescent="0.2">
      <c r="A255" s="492">
        <f>INDEX(Country!$F$31:$G$76, MATCH(AI255, Country!$O$31:$O$76, 0), 1)</f>
        <v>1.0900000000000001</v>
      </c>
      <c r="B255" s="2" t="str">
        <f>INDEX(Country!$F$31:$G$76, MATCH(AI255, Country!$O$31:$O$76, 0), 2)</f>
        <v>Growth rate biofuels production</v>
      </c>
      <c r="C255" s="436" t="str">
        <f>INDEX(Country!$K$31:$K$76, MATCH(AI255, Country!$O$31:$O$76, 0), 1)</f>
        <v>%</v>
      </c>
      <c r="D255" s="4" t="str">
        <f t="shared" si="256"/>
        <v>Uruguay</v>
      </c>
      <c r="E255" s="457"/>
      <c r="F255" s="486">
        <f t="shared" ref="F255" si="282">IF(E228&lt;&gt;0, F228/E228-1, 0)</f>
        <v>0</v>
      </c>
      <c r="G255" s="486">
        <f t="shared" si="270"/>
        <v>0</v>
      </c>
      <c r="H255" s="486">
        <f t="shared" si="271"/>
        <v>0</v>
      </c>
      <c r="I255" s="486">
        <f t="shared" si="272"/>
        <v>0</v>
      </c>
      <c r="J255" s="486">
        <f t="shared" si="273"/>
        <v>0</v>
      </c>
      <c r="K255" s="486">
        <f t="shared" si="274"/>
        <v>0</v>
      </c>
      <c r="L255" s="483">
        <f t="shared" si="246"/>
        <v>0</v>
      </c>
      <c r="M255" s="482">
        <f t="shared" si="247"/>
        <v>0</v>
      </c>
      <c r="N255" s="482">
        <f t="shared" si="248"/>
        <v>0</v>
      </c>
      <c r="O255" s="482">
        <f t="shared" si="249"/>
        <v>0</v>
      </c>
      <c r="P255" s="482">
        <f t="shared" si="250"/>
        <v>0</v>
      </c>
      <c r="Q255" s="482">
        <f t="shared" si="251"/>
        <v>0</v>
      </c>
      <c r="R255" s="481">
        <f t="shared" si="252"/>
        <v>0</v>
      </c>
      <c r="S255" s="455"/>
      <c r="T255" s="456"/>
      <c r="U255" s="456"/>
      <c r="V255" s="456"/>
      <c r="W255" s="456"/>
      <c r="X255" s="456"/>
      <c r="Y255" s="456"/>
      <c r="Z255" s="455"/>
      <c r="AA255" s="456"/>
      <c r="AB255" s="456"/>
      <c r="AC255" s="456"/>
      <c r="AD255" s="456"/>
      <c r="AE255" s="456"/>
      <c r="AF255" s="456"/>
      <c r="AG255" s="33" t="str">
        <f t="shared" si="235"/>
        <v>1.09 &gt; Uruguay</v>
      </c>
      <c r="AH255" s="84">
        <f t="shared" si="236"/>
        <v>241</v>
      </c>
      <c r="AI255" s="84">
        <f t="shared" si="237"/>
        <v>9</v>
      </c>
      <c r="AJ255" s="877" t="s">
        <v>1526</v>
      </c>
    </row>
    <row r="256" spans="1:36" x14ac:dyDescent="0.2">
      <c r="A256" s="491">
        <f>INDEX(Country!$F$31:$G$76, MATCH(AI256, Country!$O$31:$O$76, 0), 1)</f>
        <v>1.0900000000000001</v>
      </c>
      <c r="B256" s="386" t="str">
        <f>INDEX(Country!$F$31:$G$76, MATCH(AI256, Country!$O$31:$O$76, 0), 2)</f>
        <v>Growth rate biofuels production</v>
      </c>
      <c r="C256" s="437" t="str">
        <f>INDEX(Country!$K$31:$K$76, MATCH(AI256, Country!$O$31:$O$76, 0), 1)</f>
        <v>%</v>
      </c>
      <c r="D256" s="86" t="str">
        <f t="shared" si="256"/>
        <v>Venezuela</v>
      </c>
      <c r="E256" s="460"/>
      <c r="F256" s="484">
        <f t="shared" ref="F256" si="283">IF(E229&lt;&gt;0, F229/E229-1, 0)</f>
        <v>0</v>
      </c>
      <c r="G256" s="484">
        <f t="shared" si="270"/>
        <v>0</v>
      </c>
      <c r="H256" s="484">
        <f t="shared" si="271"/>
        <v>0</v>
      </c>
      <c r="I256" s="484">
        <f t="shared" si="272"/>
        <v>0</v>
      </c>
      <c r="J256" s="484">
        <f t="shared" si="273"/>
        <v>0</v>
      </c>
      <c r="K256" s="484">
        <f t="shared" si="274"/>
        <v>0</v>
      </c>
      <c r="L256" s="480">
        <f t="shared" si="246"/>
        <v>0</v>
      </c>
      <c r="M256" s="479">
        <f t="shared" si="247"/>
        <v>0</v>
      </c>
      <c r="N256" s="479">
        <f t="shared" si="248"/>
        <v>0</v>
      </c>
      <c r="O256" s="479">
        <f t="shared" si="249"/>
        <v>0</v>
      </c>
      <c r="P256" s="479">
        <f t="shared" si="250"/>
        <v>0</v>
      </c>
      <c r="Q256" s="479">
        <f t="shared" si="251"/>
        <v>0</v>
      </c>
      <c r="R256" s="478">
        <f t="shared" si="252"/>
        <v>0</v>
      </c>
      <c r="S256" s="455"/>
      <c r="T256" s="456"/>
      <c r="U256" s="456"/>
      <c r="V256" s="456"/>
      <c r="W256" s="456"/>
      <c r="X256" s="456"/>
      <c r="Y256" s="456"/>
      <c r="Z256" s="455"/>
      <c r="AA256" s="456"/>
      <c r="AB256" s="456"/>
      <c r="AC256" s="456"/>
      <c r="AD256" s="456"/>
      <c r="AE256" s="456"/>
      <c r="AF256" s="456"/>
      <c r="AG256" s="90" t="str">
        <f t="shared" si="235"/>
        <v>1.09 &gt; Venezuela</v>
      </c>
      <c r="AH256" s="392">
        <f t="shared" si="236"/>
        <v>242</v>
      </c>
      <c r="AI256" s="392">
        <f t="shared" si="237"/>
        <v>9</v>
      </c>
      <c r="AJ256" s="878" t="s">
        <v>1526</v>
      </c>
    </row>
    <row r="257" spans="1:36" x14ac:dyDescent="0.2">
      <c r="A257" s="490">
        <f>INDEX(Country!$F$31:$G$76, MATCH(AI257, Country!$O$31:$O$76, 0), 1)</f>
        <v>1.0900000000000001</v>
      </c>
      <c r="B257" s="387" t="str">
        <f>INDEX(Country!$F$31:$G$76, MATCH(AI257, Country!$O$31:$O$76, 0), 2)</f>
        <v>Growth rate biofuels production</v>
      </c>
      <c r="C257" s="438" t="str">
        <f>INDEX(Country!$K$31:$K$76, MATCH(AI257, Country!$O$31:$O$76, 0), 1)</f>
        <v>%</v>
      </c>
      <c r="D257" s="32" t="str">
        <f t="shared" si="256"/>
        <v>Benchmark</v>
      </c>
      <c r="E257" s="477">
        <f>IFERROR(MAX(E231:E256), 0)</f>
        <v>0</v>
      </c>
      <c r="F257" s="477">
        <f t="shared" ref="F257:K257" si="284">IFERROR(MAX(F231:F256), 0)</f>
        <v>0.87396872608003573</v>
      </c>
      <c r="G257" s="477">
        <f t="shared" si="284"/>
        <v>7.2608695652173907</v>
      </c>
      <c r="H257" s="477">
        <f t="shared" si="284"/>
        <v>0.84345356841178254</v>
      </c>
      <c r="I257" s="477">
        <f t="shared" si="284"/>
        <v>0.49844025267087955</v>
      </c>
      <c r="J257" s="477">
        <f t="shared" si="284"/>
        <v>0.33635658268777102</v>
      </c>
      <c r="K257" s="477">
        <f t="shared" si="284"/>
        <v>0.42703570650990641</v>
      </c>
      <c r="L257" s="599">
        <f t="shared" si="246"/>
        <v>0</v>
      </c>
      <c r="M257" s="476">
        <f t="shared" si="247"/>
        <v>100</v>
      </c>
      <c r="N257" s="476">
        <f t="shared" si="248"/>
        <v>99.999999999999986</v>
      </c>
      <c r="O257" s="476">
        <f t="shared" si="249"/>
        <v>100</v>
      </c>
      <c r="P257" s="476">
        <f t="shared" si="250"/>
        <v>100</v>
      </c>
      <c r="Q257" s="476">
        <f t="shared" si="251"/>
        <v>99.999999999999986</v>
      </c>
      <c r="R257" s="600">
        <f t="shared" si="252"/>
        <v>100</v>
      </c>
      <c r="S257" s="393"/>
      <c r="T257" s="394"/>
      <c r="U257" s="376"/>
      <c r="V257" s="376"/>
      <c r="W257" s="376"/>
      <c r="X257" s="376"/>
      <c r="Y257" s="376"/>
      <c r="Z257" s="393"/>
      <c r="AA257" s="394"/>
      <c r="AB257" s="376"/>
      <c r="AC257" s="376"/>
      <c r="AD257" s="376"/>
      <c r="AE257" s="376"/>
      <c r="AF257" s="401"/>
      <c r="AG257" s="34" t="str">
        <f t="shared" si="235"/>
        <v>1.09 &gt; Benchmark</v>
      </c>
      <c r="AH257" s="85">
        <f t="shared" si="236"/>
        <v>243</v>
      </c>
      <c r="AI257" s="85">
        <f t="shared" si="237"/>
        <v>9</v>
      </c>
      <c r="AJ257" s="871" t="s">
        <v>1526</v>
      </c>
    </row>
    <row r="258" spans="1:36" x14ac:dyDescent="0.2">
      <c r="A258" s="587">
        <f>INDEX(Country!$F$31:$G$76, MATCH(AI258, Country!$O$31:$O$76, 0), 1)</f>
        <v>1.1000000000000001</v>
      </c>
      <c r="B258" s="588" t="str">
        <f>INDEX(Country!$F$31:$G$76, MATCH(AI258, Country!$O$31:$O$76, 0), 2)</f>
        <v>Average electricity spot prices</v>
      </c>
      <c r="C258" s="589" t="str">
        <f>INDEX(Country!$K$31:$K$76, MATCH(AI258, Country!$O$31:$O$76, 0), 1)</f>
        <v>USD/MWh</v>
      </c>
      <c r="D258" s="590" t="str">
        <f t="shared" si="256"/>
        <v>Argentina</v>
      </c>
      <c r="E258" s="605">
        <v>30.090249999999997</v>
      </c>
      <c r="F258" s="605">
        <v>42.147300000000001</v>
      </c>
      <c r="G258" s="605">
        <v>52.555599999999998</v>
      </c>
      <c r="H258" s="605">
        <v>48.025680000000001</v>
      </c>
      <c r="I258" s="605">
        <v>65.535910000000001</v>
      </c>
      <c r="J258" s="605">
        <v>77.228640000000013</v>
      </c>
      <c r="K258" s="606">
        <v>77.228640000000013</v>
      </c>
      <c r="L258" s="580">
        <f t="shared" si="246"/>
        <v>14.397937700368436</v>
      </c>
      <c r="M258" s="581">
        <f t="shared" si="247"/>
        <v>29.912883347445067</v>
      </c>
      <c r="N258" s="581">
        <f t="shared" si="248"/>
        <v>22.928905909157006</v>
      </c>
      <c r="O258" s="581">
        <f t="shared" si="249"/>
        <v>31.421622073517817</v>
      </c>
      <c r="P258" s="581">
        <f t="shared" si="250"/>
        <v>36.46736676146903</v>
      </c>
      <c r="Q258" s="581">
        <f t="shared" si="251"/>
        <v>35.692355409831023</v>
      </c>
      <c r="R258" s="582">
        <f t="shared" si="252"/>
        <v>34.713921622978212</v>
      </c>
      <c r="S258" s="455"/>
      <c r="T258" s="456"/>
      <c r="U258" s="456"/>
      <c r="V258" s="456"/>
      <c r="W258" s="456"/>
      <c r="X258" s="456"/>
      <c r="Y258" s="456"/>
      <c r="Z258" s="455"/>
      <c r="AA258" s="456"/>
      <c r="AB258" s="456"/>
      <c r="AC258" s="456"/>
      <c r="AD258" s="456"/>
      <c r="AE258" s="456"/>
      <c r="AF258" s="456"/>
      <c r="AG258" s="396" t="str">
        <f t="shared" si="235"/>
        <v>1.1 &gt; Argentina</v>
      </c>
      <c r="AH258" s="397">
        <f t="shared" si="236"/>
        <v>244</v>
      </c>
      <c r="AI258" s="397">
        <f t="shared" si="237"/>
        <v>10</v>
      </c>
      <c r="AJ258" s="879" t="s">
        <v>1526</v>
      </c>
    </row>
    <row r="259" spans="1:36" x14ac:dyDescent="0.2">
      <c r="A259" s="492">
        <f>INDEX(Country!$F$31:$G$76, MATCH(AI259, Country!$O$31:$O$76, 0), 1)</f>
        <v>1.1000000000000001</v>
      </c>
      <c r="B259" s="2" t="str">
        <f>INDEX(Country!$F$31:$G$76, MATCH(AI259, Country!$O$31:$O$76, 0), 2)</f>
        <v>Average electricity spot prices</v>
      </c>
      <c r="C259" s="436" t="str">
        <f>INDEX(Country!$K$31:$K$76, MATCH(AI259, Country!$O$31:$O$76, 0), 1)</f>
        <v>USD/MWh</v>
      </c>
      <c r="D259" s="4" t="str">
        <f t="shared" si="256"/>
        <v>Bahamas</v>
      </c>
      <c r="E259" s="43">
        <v>0</v>
      </c>
      <c r="F259" s="43">
        <v>0</v>
      </c>
      <c r="G259" s="43">
        <v>0</v>
      </c>
      <c r="H259" s="43">
        <v>0</v>
      </c>
      <c r="I259" s="43">
        <v>0</v>
      </c>
      <c r="J259" s="43">
        <v>0</v>
      </c>
      <c r="K259" s="44">
        <v>0</v>
      </c>
      <c r="L259" s="457">
        <f t="shared" si="246"/>
        <v>0</v>
      </c>
      <c r="M259" s="458">
        <f t="shared" si="247"/>
        <v>0</v>
      </c>
      <c r="N259" s="458">
        <f t="shared" si="248"/>
        <v>0</v>
      </c>
      <c r="O259" s="458">
        <f t="shared" si="249"/>
        <v>0</v>
      </c>
      <c r="P259" s="458">
        <f t="shared" si="250"/>
        <v>0</v>
      </c>
      <c r="Q259" s="458">
        <f t="shared" si="251"/>
        <v>0</v>
      </c>
      <c r="R259" s="459">
        <f t="shared" si="252"/>
        <v>0</v>
      </c>
      <c r="S259" s="455"/>
      <c r="T259" s="456"/>
      <c r="U259" s="456"/>
      <c r="V259" s="456"/>
      <c r="W259" s="456"/>
      <c r="X259" s="456"/>
      <c r="Y259" s="456"/>
      <c r="Z259" s="455"/>
      <c r="AA259" s="456"/>
      <c r="AB259" s="456"/>
      <c r="AC259" s="456"/>
      <c r="AD259" s="456"/>
      <c r="AE259" s="456"/>
      <c r="AF259" s="456"/>
      <c r="AG259" s="33" t="str">
        <f t="shared" si="235"/>
        <v>1.1 &gt; Bahamas</v>
      </c>
      <c r="AH259" s="84">
        <f t="shared" si="236"/>
        <v>245</v>
      </c>
      <c r="AI259" s="84">
        <f t="shared" si="237"/>
        <v>10</v>
      </c>
      <c r="AJ259" s="877" t="s">
        <v>1526</v>
      </c>
    </row>
    <row r="260" spans="1:36" x14ac:dyDescent="0.2">
      <c r="A260" s="492">
        <f>INDEX(Country!$F$31:$G$76, MATCH(AI260, Country!$O$31:$O$76, 0), 1)</f>
        <v>1.1000000000000001</v>
      </c>
      <c r="B260" s="2" t="str">
        <f>INDEX(Country!$F$31:$G$76, MATCH(AI260, Country!$O$31:$O$76, 0), 2)</f>
        <v>Average electricity spot prices</v>
      </c>
      <c r="C260" s="436" t="str">
        <f>INDEX(Country!$K$31:$K$76, MATCH(AI260, Country!$O$31:$O$76, 0), 1)</f>
        <v>USD/MWh</v>
      </c>
      <c r="D260" s="4" t="str">
        <f t="shared" si="256"/>
        <v>Barbados</v>
      </c>
      <c r="E260" s="43">
        <v>0</v>
      </c>
      <c r="F260" s="43">
        <v>0</v>
      </c>
      <c r="G260" s="43">
        <v>0</v>
      </c>
      <c r="H260" s="43">
        <v>0</v>
      </c>
      <c r="I260" s="43">
        <v>0</v>
      </c>
      <c r="J260" s="43">
        <v>0</v>
      </c>
      <c r="K260" s="44">
        <v>0</v>
      </c>
      <c r="L260" s="457">
        <f t="shared" si="246"/>
        <v>0</v>
      </c>
      <c r="M260" s="458">
        <f t="shared" si="247"/>
        <v>0</v>
      </c>
      <c r="N260" s="458">
        <f t="shared" si="248"/>
        <v>0</v>
      </c>
      <c r="O260" s="458">
        <f t="shared" si="249"/>
        <v>0</v>
      </c>
      <c r="P260" s="458">
        <f t="shared" si="250"/>
        <v>0</v>
      </c>
      <c r="Q260" s="458">
        <f t="shared" si="251"/>
        <v>0</v>
      </c>
      <c r="R260" s="459">
        <f t="shared" si="252"/>
        <v>0</v>
      </c>
      <c r="S260" s="455"/>
      <c r="T260" s="456"/>
      <c r="U260" s="456"/>
      <c r="V260" s="456"/>
      <c r="W260" s="456"/>
      <c r="X260" s="456"/>
      <c r="Y260" s="456"/>
      <c r="Z260" s="455"/>
      <c r="AA260" s="456"/>
      <c r="AB260" s="456"/>
      <c r="AC260" s="456"/>
      <c r="AD260" s="456"/>
      <c r="AE260" s="456"/>
      <c r="AF260" s="456"/>
      <c r="AG260" s="33" t="str">
        <f t="shared" si="235"/>
        <v>1.1 &gt; Barbados</v>
      </c>
      <c r="AH260" s="84">
        <f t="shared" si="236"/>
        <v>246</v>
      </c>
      <c r="AI260" s="84">
        <f t="shared" si="237"/>
        <v>10</v>
      </c>
      <c r="AJ260" s="877" t="s">
        <v>1526</v>
      </c>
    </row>
    <row r="261" spans="1:36" x14ac:dyDescent="0.2">
      <c r="A261" s="492">
        <f>INDEX(Country!$F$31:$G$76, MATCH(AI261, Country!$O$31:$O$76, 0), 1)</f>
        <v>1.1000000000000001</v>
      </c>
      <c r="B261" s="2" t="str">
        <f>INDEX(Country!$F$31:$G$76, MATCH(AI261, Country!$O$31:$O$76, 0), 2)</f>
        <v>Average electricity spot prices</v>
      </c>
      <c r="C261" s="436" t="str">
        <f>INDEX(Country!$K$31:$K$76, MATCH(AI261, Country!$O$31:$O$76, 0), 1)</f>
        <v>USD/MWh</v>
      </c>
      <c r="D261" s="4" t="str">
        <f t="shared" si="256"/>
        <v>Belize</v>
      </c>
      <c r="E261" s="43">
        <v>0</v>
      </c>
      <c r="F261" s="43">
        <v>0</v>
      </c>
      <c r="G261" s="43">
        <v>0</v>
      </c>
      <c r="H261" s="43">
        <v>0</v>
      </c>
      <c r="I261" s="43">
        <v>0</v>
      </c>
      <c r="J261" s="43">
        <v>0</v>
      </c>
      <c r="K261" s="44">
        <v>0</v>
      </c>
      <c r="L261" s="457">
        <f t="shared" si="246"/>
        <v>0</v>
      </c>
      <c r="M261" s="458">
        <f t="shared" si="247"/>
        <v>0</v>
      </c>
      <c r="N261" s="458">
        <f t="shared" si="248"/>
        <v>0</v>
      </c>
      <c r="O261" s="458">
        <f t="shared" si="249"/>
        <v>0</v>
      </c>
      <c r="P261" s="458">
        <f t="shared" si="250"/>
        <v>0</v>
      </c>
      <c r="Q261" s="458">
        <f t="shared" si="251"/>
        <v>0</v>
      </c>
      <c r="R261" s="459">
        <f t="shared" si="252"/>
        <v>0</v>
      </c>
      <c r="S261" s="455"/>
      <c r="T261" s="456"/>
      <c r="U261" s="456"/>
      <c r="V261" s="456"/>
      <c r="W261" s="456"/>
      <c r="X261" s="456"/>
      <c r="Y261" s="456"/>
      <c r="Z261" s="455"/>
      <c r="AA261" s="456"/>
      <c r="AB261" s="456"/>
      <c r="AC261" s="456"/>
      <c r="AD261" s="456"/>
      <c r="AE261" s="456"/>
      <c r="AF261" s="456"/>
      <c r="AG261" s="33" t="str">
        <f t="shared" si="235"/>
        <v>1.1 &gt; Belize</v>
      </c>
      <c r="AH261" s="84">
        <f t="shared" si="236"/>
        <v>247</v>
      </c>
      <c r="AI261" s="84">
        <f t="shared" si="237"/>
        <v>10</v>
      </c>
      <c r="AJ261" s="877" t="s">
        <v>1526</v>
      </c>
    </row>
    <row r="262" spans="1:36" x14ac:dyDescent="0.2">
      <c r="A262" s="492">
        <f>INDEX(Country!$F$31:$G$76, MATCH(AI262, Country!$O$31:$O$76, 0), 1)</f>
        <v>1.1000000000000001</v>
      </c>
      <c r="B262" s="2" t="str">
        <f>INDEX(Country!$F$31:$G$76, MATCH(AI262, Country!$O$31:$O$76, 0), 2)</f>
        <v>Average electricity spot prices</v>
      </c>
      <c r="C262" s="436" t="str">
        <f>INDEX(Country!$K$31:$K$76, MATCH(AI262, Country!$O$31:$O$76, 0), 1)</f>
        <v>USD/MWh</v>
      </c>
      <c r="D262" s="4" t="str">
        <f t="shared" si="256"/>
        <v>Bolivia</v>
      </c>
      <c r="E262" s="43">
        <v>17.84</v>
      </c>
      <c r="F262" s="43">
        <v>18.170000000000002</v>
      </c>
      <c r="G262" s="43">
        <v>18.829999999999998</v>
      </c>
      <c r="H262" s="43">
        <v>21.17</v>
      </c>
      <c r="I262" s="43">
        <v>21.11</v>
      </c>
      <c r="J262" s="43">
        <v>21.9</v>
      </c>
      <c r="K262" s="44">
        <v>21.9</v>
      </c>
      <c r="L262" s="457">
        <f t="shared" si="246"/>
        <v>8.5362936025647151</v>
      </c>
      <c r="M262" s="458">
        <f t="shared" si="247"/>
        <v>12.895656196792602</v>
      </c>
      <c r="N262" s="458">
        <f t="shared" si="248"/>
        <v>8.2151340346114665</v>
      </c>
      <c r="O262" s="458">
        <f t="shared" si="249"/>
        <v>13.850834372285247</v>
      </c>
      <c r="P262" s="458">
        <f t="shared" si="250"/>
        <v>11.746630394460245</v>
      </c>
      <c r="Q262" s="458">
        <f t="shared" si="251"/>
        <v>10.121408113302257</v>
      </c>
      <c r="R262" s="459">
        <f t="shared" si="252"/>
        <v>9.8439501659387343</v>
      </c>
      <c r="S262" s="455"/>
      <c r="T262" s="456"/>
      <c r="U262" s="456"/>
      <c r="V262" s="456"/>
      <c r="W262" s="456"/>
      <c r="X262" s="456"/>
      <c r="Y262" s="456"/>
      <c r="Z262" s="455"/>
      <c r="AA262" s="456"/>
      <c r="AB262" s="456"/>
      <c r="AC262" s="456"/>
      <c r="AD262" s="456"/>
      <c r="AE262" s="456"/>
      <c r="AF262" s="456"/>
      <c r="AG262" s="33" t="str">
        <f t="shared" si="235"/>
        <v>1.1 &gt; Bolivia</v>
      </c>
      <c r="AH262" s="84">
        <f t="shared" si="236"/>
        <v>248</v>
      </c>
      <c r="AI262" s="84">
        <f t="shared" si="237"/>
        <v>10</v>
      </c>
      <c r="AJ262" s="877" t="s">
        <v>1526</v>
      </c>
    </row>
    <row r="263" spans="1:36" x14ac:dyDescent="0.2">
      <c r="A263" s="492">
        <f>INDEX(Country!$F$31:$G$76, MATCH(AI263, Country!$O$31:$O$76, 0), 1)</f>
        <v>1.1000000000000001</v>
      </c>
      <c r="B263" s="2" t="str">
        <f>INDEX(Country!$F$31:$G$76, MATCH(AI263, Country!$O$31:$O$76, 0), 2)</f>
        <v>Average electricity spot prices</v>
      </c>
      <c r="C263" s="436" t="str">
        <f>INDEX(Country!$K$31:$K$76, MATCH(AI263, Country!$O$31:$O$76, 0), 1)</f>
        <v>USD/MWh</v>
      </c>
      <c r="D263" s="4" t="str">
        <f t="shared" si="256"/>
        <v>Brazil</v>
      </c>
      <c r="E263" s="43">
        <v>26.015292416666668</v>
      </c>
      <c r="F263" s="43">
        <v>48.559883541666672</v>
      </c>
      <c r="G263" s="43">
        <v>74.729131249999995</v>
      </c>
      <c r="H263" s="43">
        <v>17.148317083333335</v>
      </c>
      <c r="I263" s="43">
        <v>43.848678624999998</v>
      </c>
      <c r="J263" s="43">
        <v>17.389907500000003</v>
      </c>
      <c r="K263" s="44">
        <v>84.201081999999985</v>
      </c>
      <c r="L263" s="457">
        <f t="shared" ref="L263:L294" si="285">IFERROR(dbl_BenchmarkMax*E263/ SUMIFS(E$15:E$1256, $D$15:$D$1256, "Benchmark", $B$15:$B$1256,$B263), 0)</f>
        <v>12.44810393639249</v>
      </c>
      <c r="M263" s="458">
        <f t="shared" ref="M263:M294" si="286">IFERROR(dbl_BenchmarkMax*F263/ SUMIFS(F$15:F$1256, $D$15:$D$1256, "Benchmark", $B$15:$B$1256,$B263), 0)</f>
        <v>34.464037595466195</v>
      </c>
      <c r="N263" s="458">
        <f t="shared" si="248"/>
        <v>32.602752496485522</v>
      </c>
      <c r="O263" s="458">
        <f t="shared" si="249"/>
        <v>11.219579578870084</v>
      </c>
      <c r="P263" s="458">
        <f t="shared" si="250"/>
        <v>24.39953676425127</v>
      </c>
      <c r="Q263" s="458">
        <f t="shared" si="251"/>
        <v>8.0370023223778908</v>
      </c>
      <c r="R263" s="459">
        <f t="shared" si="252"/>
        <v>37.848002517174464</v>
      </c>
      <c r="S263" s="455"/>
      <c r="T263" s="456"/>
      <c r="U263" s="456"/>
      <c r="V263" s="456"/>
      <c r="W263" s="456"/>
      <c r="X263" s="456"/>
      <c r="Y263" s="456"/>
      <c r="Z263" s="455"/>
      <c r="AA263" s="456"/>
      <c r="AB263" s="456"/>
      <c r="AC263" s="456"/>
      <c r="AD263" s="456"/>
      <c r="AE263" s="456"/>
      <c r="AF263" s="456"/>
      <c r="AG263" s="33" t="str">
        <f t="shared" si="235"/>
        <v>1.1 &gt; Brazil</v>
      </c>
      <c r="AH263" s="84">
        <f t="shared" si="236"/>
        <v>249</v>
      </c>
      <c r="AI263" s="84">
        <f t="shared" si="237"/>
        <v>10</v>
      </c>
      <c r="AJ263" s="877" t="s">
        <v>1526</v>
      </c>
    </row>
    <row r="264" spans="1:36" x14ac:dyDescent="0.2">
      <c r="A264" s="492">
        <f>INDEX(Country!$F$31:$G$76, MATCH(AI264, Country!$O$31:$O$76, 0), 1)</f>
        <v>1.1000000000000001</v>
      </c>
      <c r="B264" s="2" t="str">
        <f>INDEX(Country!$F$31:$G$76, MATCH(AI264, Country!$O$31:$O$76, 0), 2)</f>
        <v>Average electricity spot prices</v>
      </c>
      <c r="C264" s="436" t="str">
        <f>INDEX(Country!$K$31:$K$76, MATCH(AI264, Country!$O$31:$O$76, 0), 1)</f>
        <v>USD/MWh</v>
      </c>
      <c r="D264" s="4" t="str">
        <f t="shared" si="256"/>
        <v>Chile</v>
      </c>
      <c r="E264" s="43">
        <v>41.147481215525161</v>
      </c>
      <c r="F264" s="43">
        <v>140.90015833796213</v>
      </c>
      <c r="G264" s="43">
        <v>201.61144216264725</v>
      </c>
      <c r="H264" s="43">
        <v>107.96117281851163</v>
      </c>
      <c r="I264" s="43">
        <v>129.72235066870613</v>
      </c>
      <c r="J264" s="43">
        <v>138.96389046553773</v>
      </c>
      <c r="K264" s="44">
        <v>137.53005447656449</v>
      </c>
      <c r="L264" s="457">
        <f t="shared" si="285"/>
        <v>19.688732099873274</v>
      </c>
      <c r="M264" s="458">
        <f t="shared" si="286"/>
        <v>100</v>
      </c>
      <c r="N264" s="458">
        <f t="shared" si="248"/>
        <v>87.95884334983883</v>
      </c>
      <c r="O264" s="458">
        <f t="shared" si="249"/>
        <v>70.635442765558267</v>
      </c>
      <c r="P264" s="458">
        <f t="shared" si="250"/>
        <v>72.183823174128548</v>
      </c>
      <c r="Q264" s="458">
        <f t="shared" si="251"/>
        <v>64.224212256344288</v>
      </c>
      <c r="R264" s="459">
        <f t="shared" si="252"/>
        <v>61.819132538179915</v>
      </c>
      <c r="S264" s="455"/>
      <c r="T264" s="456"/>
      <c r="U264" s="456"/>
      <c r="V264" s="456"/>
      <c r="W264" s="456"/>
      <c r="X264" s="456"/>
      <c r="Y264" s="456"/>
      <c r="Z264" s="455"/>
      <c r="AA264" s="456"/>
      <c r="AB264" s="456"/>
      <c r="AC264" s="456"/>
      <c r="AD264" s="456"/>
      <c r="AE264" s="456"/>
      <c r="AF264" s="456"/>
      <c r="AG264" s="33" t="str">
        <f t="shared" si="235"/>
        <v>1.1 &gt; Chile</v>
      </c>
      <c r="AH264" s="84">
        <f t="shared" si="236"/>
        <v>250</v>
      </c>
      <c r="AI264" s="84">
        <f t="shared" si="237"/>
        <v>10</v>
      </c>
      <c r="AJ264" s="877" t="s">
        <v>1526</v>
      </c>
    </row>
    <row r="265" spans="1:36" x14ac:dyDescent="0.2">
      <c r="A265" s="492">
        <f>INDEX(Country!$F$31:$G$76, MATCH(AI265, Country!$O$31:$O$76, 0), 1)</f>
        <v>1.1000000000000001</v>
      </c>
      <c r="B265" s="2" t="str">
        <f>INDEX(Country!$F$31:$G$76, MATCH(AI265, Country!$O$31:$O$76, 0), 2)</f>
        <v>Average electricity spot prices</v>
      </c>
      <c r="C265" s="436" t="str">
        <f>INDEX(Country!$K$31:$K$76, MATCH(AI265, Country!$O$31:$O$76, 0), 1)</f>
        <v>USD/MWh</v>
      </c>
      <c r="D265" s="4" t="str">
        <f t="shared" si="256"/>
        <v>Colombia</v>
      </c>
      <c r="E265" s="43">
        <v>30.894863999999998</v>
      </c>
      <c r="F265" s="43">
        <v>40.291860000000007</v>
      </c>
      <c r="G265" s="43">
        <v>45.756078200000012</v>
      </c>
      <c r="H265" s="43">
        <v>65.366117599999995</v>
      </c>
      <c r="I265" s="43">
        <v>68.770053000000004</v>
      </c>
      <c r="J265" s="43">
        <v>68.770053000000004</v>
      </c>
      <c r="K265" s="44">
        <v>100</v>
      </c>
      <c r="L265" s="457">
        <f t="shared" si="285"/>
        <v>14.782938896597921</v>
      </c>
      <c r="M265" s="458">
        <f t="shared" si="286"/>
        <v>28.596035998310402</v>
      </c>
      <c r="N265" s="458">
        <f t="shared" si="248"/>
        <v>19.962417170003395</v>
      </c>
      <c r="O265" s="458">
        <f t="shared" si="249"/>
        <v>42.76689978445534</v>
      </c>
      <c r="P265" s="458">
        <f t="shared" si="250"/>
        <v>38.267001174724875</v>
      </c>
      <c r="Q265" s="458">
        <f t="shared" si="251"/>
        <v>31.783094629517183</v>
      </c>
      <c r="R265" s="459">
        <f t="shared" si="252"/>
        <v>44.94954413670655</v>
      </c>
      <c r="S265" s="455"/>
      <c r="T265" s="456"/>
      <c r="U265" s="456"/>
      <c r="V265" s="456"/>
      <c r="W265" s="456"/>
      <c r="X265" s="456"/>
      <c r="Y265" s="456"/>
      <c r="Z265" s="455"/>
      <c r="AA265" s="456"/>
      <c r="AB265" s="456"/>
      <c r="AC265" s="456"/>
      <c r="AD265" s="456"/>
      <c r="AE265" s="456"/>
      <c r="AF265" s="456"/>
      <c r="AG265" s="33" t="str">
        <f t="shared" si="235"/>
        <v>1.1 &gt; Colombia</v>
      </c>
      <c r="AH265" s="84">
        <f t="shared" si="236"/>
        <v>251</v>
      </c>
      <c r="AI265" s="84">
        <f t="shared" si="237"/>
        <v>10</v>
      </c>
      <c r="AJ265" s="877" t="s">
        <v>1526</v>
      </c>
    </row>
    <row r="266" spans="1:36" x14ac:dyDescent="0.2">
      <c r="A266" s="492">
        <f>INDEX(Country!$F$31:$G$76, MATCH(AI266, Country!$O$31:$O$76, 0), 1)</f>
        <v>1.1000000000000001</v>
      </c>
      <c r="B266" s="2" t="str">
        <f>INDEX(Country!$F$31:$G$76, MATCH(AI266, Country!$O$31:$O$76, 0), 2)</f>
        <v>Average electricity spot prices</v>
      </c>
      <c r="C266" s="436" t="str">
        <f>INDEX(Country!$K$31:$K$76, MATCH(AI266, Country!$O$31:$O$76, 0), 1)</f>
        <v>USD/MWh</v>
      </c>
      <c r="D266" s="4" t="str">
        <f t="shared" si="256"/>
        <v>Costa Rica</v>
      </c>
      <c r="E266" s="43">
        <v>0</v>
      </c>
      <c r="F266" s="43">
        <v>0</v>
      </c>
      <c r="G266" s="43">
        <v>0</v>
      </c>
      <c r="H266" s="43">
        <v>0</v>
      </c>
      <c r="I266" s="43">
        <v>0</v>
      </c>
      <c r="J266" s="43">
        <v>0</v>
      </c>
      <c r="K266" s="44">
        <v>0</v>
      </c>
      <c r="L266" s="457">
        <f t="shared" si="285"/>
        <v>0</v>
      </c>
      <c r="M266" s="458">
        <f t="shared" si="286"/>
        <v>0</v>
      </c>
      <c r="N266" s="458">
        <f t="shared" si="248"/>
        <v>0</v>
      </c>
      <c r="O266" s="458">
        <f t="shared" si="249"/>
        <v>0</v>
      </c>
      <c r="P266" s="458">
        <f t="shared" si="250"/>
        <v>0</v>
      </c>
      <c r="Q266" s="458">
        <f t="shared" si="251"/>
        <v>0</v>
      </c>
      <c r="R266" s="459">
        <f t="shared" si="252"/>
        <v>0</v>
      </c>
      <c r="S266" s="455"/>
      <c r="T266" s="456"/>
      <c r="U266" s="456"/>
      <c r="V266" s="456"/>
      <c r="W266" s="456"/>
      <c r="X266" s="456"/>
      <c r="Y266" s="456"/>
      <c r="Z266" s="455"/>
      <c r="AA266" s="456"/>
      <c r="AB266" s="456"/>
      <c r="AC266" s="456"/>
      <c r="AD266" s="456"/>
      <c r="AE266" s="456"/>
      <c r="AF266" s="456"/>
      <c r="AG266" s="33" t="str">
        <f t="shared" si="235"/>
        <v>1.1 &gt; Costa Rica</v>
      </c>
      <c r="AH266" s="84">
        <f t="shared" si="236"/>
        <v>252</v>
      </c>
      <c r="AI266" s="84">
        <f t="shared" si="237"/>
        <v>10</v>
      </c>
      <c r="AJ266" s="877" t="s">
        <v>1526</v>
      </c>
    </row>
    <row r="267" spans="1:36" x14ac:dyDescent="0.2">
      <c r="A267" s="492">
        <f>INDEX(Country!$F$31:$G$76, MATCH(AI267, Country!$O$31:$O$76, 0), 1)</f>
        <v>1.1000000000000001</v>
      </c>
      <c r="B267" s="2" t="str">
        <f>INDEX(Country!$F$31:$G$76, MATCH(AI267, Country!$O$31:$O$76, 0), 2)</f>
        <v>Average electricity spot prices</v>
      </c>
      <c r="C267" s="436" t="str">
        <f>INDEX(Country!$K$31:$K$76, MATCH(AI267, Country!$O$31:$O$76, 0), 1)</f>
        <v>USD/MWh</v>
      </c>
      <c r="D267" s="4" t="str">
        <f t="shared" si="256"/>
        <v>Dominican Republic</v>
      </c>
      <c r="E267" s="43">
        <v>90.447499999999991</v>
      </c>
      <c r="F267" s="43">
        <v>99.441666666666663</v>
      </c>
      <c r="G267" s="43">
        <v>160.25</v>
      </c>
      <c r="H267" s="43">
        <v>115.99166666666666</v>
      </c>
      <c r="I267" s="43">
        <v>136.69166666666669</v>
      </c>
      <c r="J267" s="43">
        <v>185.80313284139731</v>
      </c>
      <c r="K267" s="44">
        <v>193.73875290559513</v>
      </c>
      <c r="L267" s="457">
        <f t="shared" si="285"/>
        <v>43.278386525671081</v>
      </c>
      <c r="M267" s="458">
        <f t="shared" si="286"/>
        <v>70.57597935990006</v>
      </c>
      <c r="N267" s="458">
        <f t="shared" si="248"/>
        <v>69.913713704008913</v>
      </c>
      <c r="O267" s="458">
        <f t="shared" si="249"/>
        <v>75.889530636056662</v>
      </c>
      <c r="P267" s="458">
        <f t="shared" si="250"/>
        <v>76.061889452207268</v>
      </c>
      <c r="Q267" s="458">
        <f t="shared" si="251"/>
        <v>85.871659188031771</v>
      </c>
      <c r="R267" s="459">
        <f t="shared" si="252"/>
        <v>87.084686247205326</v>
      </c>
      <c r="S267" s="455"/>
      <c r="T267" s="456"/>
      <c r="U267" s="456"/>
      <c r="V267" s="456"/>
      <c r="W267" s="456"/>
      <c r="X267" s="456"/>
      <c r="Y267" s="456"/>
      <c r="Z267" s="455"/>
      <c r="AA267" s="456"/>
      <c r="AB267" s="456"/>
      <c r="AC267" s="456"/>
      <c r="AD267" s="456"/>
      <c r="AE267" s="456"/>
      <c r="AF267" s="456"/>
      <c r="AG267" s="33" t="str">
        <f t="shared" si="235"/>
        <v>1.1 &gt; Dominican Republic</v>
      </c>
      <c r="AH267" s="84">
        <f t="shared" si="236"/>
        <v>253</v>
      </c>
      <c r="AI267" s="84">
        <f t="shared" si="237"/>
        <v>10</v>
      </c>
      <c r="AJ267" s="877" t="s">
        <v>1526</v>
      </c>
    </row>
    <row r="268" spans="1:36" x14ac:dyDescent="0.2">
      <c r="A268" s="492">
        <f>INDEX(Country!$F$31:$G$76, MATCH(AI268, Country!$O$31:$O$76, 0), 1)</f>
        <v>1.1000000000000001</v>
      </c>
      <c r="B268" s="2" t="str">
        <f>INDEX(Country!$F$31:$G$76, MATCH(AI268, Country!$O$31:$O$76, 0), 2)</f>
        <v>Average electricity spot prices</v>
      </c>
      <c r="C268" s="436" t="str">
        <f>INDEX(Country!$K$31:$K$76, MATCH(AI268, Country!$O$31:$O$76, 0), 1)</f>
        <v>USD/MWh</v>
      </c>
      <c r="D268" s="4" t="str">
        <f t="shared" si="256"/>
        <v>Ecuador</v>
      </c>
      <c r="E268" s="43">
        <v>102.03721429537127</v>
      </c>
      <c r="F268" s="43">
        <v>93.100000000000009</v>
      </c>
      <c r="G268" s="43">
        <v>93.2</v>
      </c>
      <c r="H268" s="43">
        <v>107.69999999999999</v>
      </c>
      <c r="I268" s="43">
        <v>57.800000000000004</v>
      </c>
      <c r="J268" s="43">
        <v>33.199999999999996</v>
      </c>
      <c r="K268" s="44">
        <v>33.199999999999996</v>
      </c>
      <c r="L268" s="457">
        <f t="shared" si="285"/>
        <v>48.823969709254634</v>
      </c>
      <c r="M268" s="458">
        <f t="shared" si="286"/>
        <v>66.075156407341282</v>
      </c>
      <c r="N268" s="458">
        <f t="shared" si="248"/>
        <v>40.661205099617042</v>
      </c>
      <c r="O268" s="458">
        <f t="shared" si="249"/>
        <v>70.464565984653788</v>
      </c>
      <c r="P268" s="458">
        <f t="shared" si="250"/>
        <v>32.162730307901569</v>
      </c>
      <c r="Q268" s="458">
        <f t="shared" si="251"/>
        <v>15.343869833864607</v>
      </c>
      <c r="R268" s="459">
        <f t="shared" si="252"/>
        <v>14.923248653386572</v>
      </c>
      <c r="S268" s="455"/>
      <c r="T268" s="456"/>
      <c r="U268" s="456"/>
      <c r="V268" s="456"/>
      <c r="W268" s="456"/>
      <c r="X268" s="456"/>
      <c r="Y268" s="456"/>
      <c r="Z268" s="455"/>
      <c r="AA268" s="456"/>
      <c r="AB268" s="456"/>
      <c r="AC268" s="456"/>
      <c r="AD268" s="456"/>
      <c r="AE268" s="456"/>
      <c r="AF268" s="456"/>
      <c r="AG268" s="33" t="str">
        <f t="shared" si="235"/>
        <v>1.1 &gt; Ecuador</v>
      </c>
      <c r="AH268" s="84">
        <f t="shared" si="236"/>
        <v>254</v>
      </c>
      <c r="AI268" s="84">
        <f t="shared" si="237"/>
        <v>10</v>
      </c>
      <c r="AJ268" s="877" t="s">
        <v>1526</v>
      </c>
    </row>
    <row r="269" spans="1:36" x14ac:dyDescent="0.2">
      <c r="A269" s="492">
        <f>INDEX(Country!$F$31:$G$76, MATCH(AI269, Country!$O$31:$O$76, 0), 1)</f>
        <v>1.1000000000000001</v>
      </c>
      <c r="B269" s="2" t="str">
        <f>INDEX(Country!$F$31:$G$76, MATCH(AI269, Country!$O$31:$O$76, 0), 2)</f>
        <v>Average electricity spot prices</v>
      </c>
      <c r="C269" s="436" t="str">
        <f>INDEX(Country!$K$31:$K$76, MATCH(AI269, Country!$O$31:$O$76, 0), 1)</f>
        <v>USD/MWh</v>
      </c>
      <c r="D269" s="4" t="str">
        <f t="shared" si="256"/>
        <v>El Salvador</v>
      </c>
      <c r="E269" s="43">
        <v>89.36</v>
      </c>
      <c r="F269" s="43">
        <v>94.35</v>
      </c>
      <c r="G269" s="43">
        <v>128.88</v>
      </c>
      <c r="H269" s="43">
        <v>124.92</v>
      </c>
      <c r="I269" s="43">
        <v>126.45</v>
      </c>
      <c r="J269" s="43">
        <v>166.35</v>
      </c>
      <c r="K269" s="44">
        <v>166.35</v>
      </c>
      <c r="L269" s="457">
        <f t="shared" si="285"/>
        <v>42.758026699842098</v>
      </c>
      <c r="M269" s="458">
        <f t="shared" si="286"/>
        <v>66.96230942032922</v>
      </c>
      <c r="N269" s="458">
        <f t="shared" si="248"/>
        <v>56.22764069998545</v>
      </c>
      <c r="O269" s="458">
        <f t="shared" si="249"/>
        <v>81.731045337074775</v>
      </c>
      <c r="P269" s="458">
        <f t="shared" si="250"/>
        <v>70.362928156300242</v>
      </c>
      <c r="Q269" s="458">
        <f t="shared" si="251"/>
        <v>76.88110683323427</v>
      </c>
      <c r="R269" s="459">
        <f t="shared" si="252"/>
        <v>74.773566671411345</v>
      </c>
      <c r="S269" s="455"/>
      <c r="T269" s="456"/>
      <c r="U269" s="456"/>
      <c r="V269" s="456"/>
      <c r="W269" s="456"/>
      <c r="X269" s="456"/>
      <c r="Y269" s="456"/>
      <c r="Z269" s="455"/>
      <c r="AA269" s="456"/>
      <c r="AB269" s="456"/>
      <c r="AC269" s="456"/>
      <c r="AD269" s="456"/>
      <c r="AE269" s="456"/>
      <c r="AF269" s="456"/>
      <c r="AG269" s="33" t="str">
        <f t="shared" si="235"/>
        <v>1.1 &gt; El Salvador</v>
      </c>
      <c r="AH269" s="84">
        <f t="shared" si="236"/>
        <v>255</v>
      </c>
      <c r="AI269" s="84">
        <f t="shared" si="237"/>
        <v>10</v>
      </c>
      <c r="AJ269" s="877" t="s">
        <v>1526</v>
      </c>
    </row>
    <row r="270" spans="1:36" x14ac:dyDescent="0.2">
      <c r="A270" s="492">
        <f>INDEX(Country!$F$31:$G$76, MATCH(AI270, Country!$O$31:$O$76, 0), 1)</f>
        <v>1.1000000000000001</v>
      </c>
      <c r="B270" s="2" t="str">
        <f>INDEX(Country!$F$31:$G$76, MATCH(AI270, Country!$O$31:$O$76, 0), 2)</f>
        <v>Average electricity spot prices</v>
      </c>
      <c r="C270" s="436" t="str">
        <f>INDEX(Country!$K$31:$K$76, MATCH(AI270, Country!$O$31:$O$76, 0), 1)</f>
        <v>USD/MWh</v>
      </c>
      <c r="D270" s="4" t="str">
        <f t="shared" si="256"/>
        <v>Guatemala</v>
      </c>
      <c r="E270" s="43">
        <v>76.930000000000007</v>
      </c>
      <c r="F270" s="43">
        <v>89.65</v>
      </c>
      <c r="G270" s="43">
        <v>120.52</v>
      </c>
      <c r="H270" s="43">
        <v>103.24</v>
      </c>
      <c r="I270" s="43">
        <v>103.97</v>
      </c>
      <c r="J270" s="43">
        <v>132.55000000000001</v>
      </c>
      <c r="K270" s="44">
        <v>146.55000000000001</v>
      </c>
      <c r="L270" s="457">
        <f t="shared" si="285"/>
        <v>36.810373702091013</v>
      </c>
      <c r="M270" s="458">
        <f t="shared" si="286"/>
        <v>63.626614091494588</v>
      </c>
      <c r="N270" s="458">
        <f t="shared" si="248"/>
        <v>52.580348053710793</v>
      </c>
      <c r="O270" s="458">
        <f t="shared" si="249"/>
        <v>67.546534747034897</v>
      </c>
      <c r="P270" s="458">
        <f t="shared" si="250"/>
        <v>57.853963150735751</v>
      </c>
      <c r="Q270" s="458">
        <f t="shared" si="251"/>
        <v>61.259938146950432</v>
      </c>
      <c r="R270" s="459">
        <f t="shared" si="252"/>
        <v>65.873556932343448</v>
      </c>
      <c r="S270" s="455"/>
      <c r="T270" s="456"/>
      <c r="U270" s="456"/>
      <c r="V270" s="456"/>
      <c r="W270" s="456"/>
      <c r="X270" s="456"/>
      <c r="Y270" s="456"/>
      <c r="Z270" s="455"/>
      <c r="AA270" s="456"/>
      <c r="AB270" s="456"/>
      <c r="AC270" s="456"/>
      <c r="AD270" s="456"/>
      <c r="AE270" s="456"/>
      <c r="AF270" s="456"/>
      <c r="AG270" s="33" t="str">
        <f t="shared" si="235"/>
        <v>1.1 &gt; Guatemala</v>
      </c>
      <c r="AH270" s="84">
        <f t="shared" si="236"/>
        <v>256</v>
      </c>
      <c r="AI270" s="84">
        <f t="shared" si="237"/>
        <v>10</v>
      </c>
      <c r="AJ270" s="877" t="s">
        <v>1526</v>
      </c>
    </row>
    <row r="271" spans="1:36" x14ac:dyDescent="0.2">
      <c r="A271" s="492">
        <f>INDEX(Country!$F$31:$G$76, MATCH(AI271, Country!$O$31:$O$76, 0), 1)</f>
        <v>1.1000000000000001</v>
      </c>
      <c r="B271" s="2" t="str">
        <f>INDEX(Country!$F$31:$G$76, MATCH(AI271, Country!$O$31:$O$76, 0), 2)</f>
        <v>Average electricity spot prices</v>
      </c>
      <c r="C271" s="436" t="str">
        <f>INDEX(Country!$K$31:$K$76, MATCH(AI271, Country!$O$31:$O$76, 0), 1)</f>
        <v>USD/MWh</v>
      </c>
      <c r="D271" s="4" t="str">
        <f t="shared" si="256"/>
        <v>Guyana</v>
      </c>
      <c r="E271" s="43">
        <v>0</v>
      </c>
      <c r="F271" s="43">
        <v>0</v>
      </c>
      <c r="G271" s="43">
        <v>0</v>
      </c>
      <c r="H271" s="43">
        <v>0</v>
      </c>
      <c r="I271" s="43">
        <v>0</v>
      </c>
      <c r="J271" s="43">
        <v>0</v>
      </c>
      <c r="K271" s="44">
        <v>0</v>
      </c>
      <c r="L271" s="457">
        <f t="shared" si="285"/>
        <v>0</v>
      </c>
      <c r="M271" s="458">
        <f t="shared" si="286"/>
        <v>0</v>
      </c>
      <c r="N271" s="458">
        <f t="shared" si="248"/>
        <v>0</v>
      </c>
      <c r="O271" s="458">
        <f t="shared" si="249"/>
        <v>0</v>
      </c>
      <c r="P271" s="458">
        <f t="shared" si="250"/>
        <v>0</v>
      </c>
      <c r="Q271" s="458">
        <f t="shared" si="251"/>
        <v>0</v>
      </c>
      <c r="R271" s="459">
        <f t="shared" si="252"/>
        <v>0</v>
      </c>
      <c r="S271" s="455"/>
      <c r="T271" s="456"/>
      <c r="U271" s="456"/>
      <c r="V271" s="456"/>
      <c r="W271" s="456"/>
      <c r="X271" s="456"/>
      <c r="Y271" s="456"/>
      <c r="Z271" s="455"/>
      <c r="AA271" s="456"/>
      <c r="AB271" s="456"/>
      <c r="AC271" s="456"/>
      <c r="AD271" s="456"/>
      <c r="AE271" s="456"/>
      <c r="AF271" s="456"/>
      <c r="AG271" s="33" t="str">
        <f t="shared" ref="AG271:AG334" si="287">A271&amp;" &gt; " &amp;D271</f>
        <v>1.1 &gt; Guyana</v>
      </c>
      <c r="AH271" s="84">
        <f t="shared" si="236"/>
        <v>257</v>
      </c>
      <c r="AI271" s="84">
        <f t="shared" si="237"/>
        <v>10</v>
      </c>
      <c r="AJ271" s="877" t="s">
        <v>1526</v>
      </c>
    </row>
    <row r="272" spans="1:36" x14ac:dyDescent="0.2">
      <c r="A272" s="492">
        <f>INDEX(Country!$F$31:$G$76, MATCH(AI272, Country!$O$31:$O$76, 0), 1)</f>
        <v>1.1000000000000001</v>
      </c>
      <c r="B272" s="2" t="str">
        <f>INDEX(Country!$F$31:$G$76, MATCH(AI272, Country!$O$31:$O$76, 0), 2)</f>
        <v>Average electricity spot prices</v>
      </c>
      <c r="C272" s="436" t="str">
        <f>INDEX(Country!$K$31:$K$76, MATCH(AI272, Country!$O$31:$O$76, 0), 1)</f>
        <v>USD/MWh</v>
      </c>
      <c r="D272" s="4" t="str">
        <f t="shared" si="256"/>
        <v>Haiti</v>
      </c>
      <c r="E272" s="43">
        <v>0</v>
      </c>
      <c r="F272" s="43">
        <v>0</v>
      </c>
      <c r="G272" s="43">
        <v>0</v>
      </c>
      <c r="H272" s="43">
        <v>0</v>
      </c>
      <c r="I272" s="43">
        <v>0</v>
      </c>
      <c r="J272" s="43">
        <v>0</v>
      </c>
      <c r="K272" s="44">
        <v>0</v>
      </c>
      <c r="L272" s="457">
        <f t="shared" si="285"/>
        <v>0</v>
      </c>
      <c r="M272" s="458">
        <f t="shared" si="286"/>
        <v>0</v>
      </c>
      <c r="N272" s="458">
        <f t="shared" si="248"/>
        <v>0</v>
      </c>
      <c r="O272" s="458">
        <f t="shared" si="249"/>
        <v>0</v>
      </c>
      <c r="P272" s="458">
        <f t="shared" si="250"/>
        <v>0</v>
      </c>
      <c r="Q272" s="458">
        <f t="shared" si="251"/>
        <v>0</v>
      </c>
      <c r="R272" s="459">
        <f t="shared" si="252"/>
        <v>0</v>
      </c>
      <c r="S272" s="455"/>
      <c r="T272" s="456"/>
      <c r="U272" s="456"/>
      <c r="V272" s="456"/>
      <c r="W272" s="456"/>
      <c r="X272" s="456"/>
      <c r="Y272" s="456"/>
      <c r="Z272" s="455"/>
      <c r="AA272" s="456"/>
      <c r="AB272" s="456"/>
      <c r="AC272" s="456"/>
      <c r="AD272" s="456"/>
      <c r="AE272" s="456"/>
      <c r="AF272" s="456"/>
      <c r="AG272" s="33" t="str">
        <f t="shared" si="287"/>
        <v>1.1 &gt; Haiti</v>
      </c>
      <c r="AH272" s="84">
        <f t="shared" si="236"/>
        <v>258</v>
      </c>
      <c r="AI272" s="84">
        <f t="shared" si="237"/>
        <v>10</v>
      </c>
      <c r="AJ272" s="877" t="s">
        <v>1526</v>
      </c>
    </row>
    <row r="273" spans="1:36" x14ac:dyDescent="0.2">
      <c r="A273" s="492">
        <f>INDEX(Country!$F$31:$G$76, MATCH(AI273, Country!$O$31:$O$76, 0), 1)</f>
        <v>1.1000000000000001</v>
      </c>
      <c r="B273" s="2" t="str">
        <f>INDEX(Country!$F$31:$G$76, MATCH(AI273, Country!$O$31:$O$76, 0), 2)</f>
        <v>Average electricity spot prices</v>
      </c>
      <c r="C273" s="436" t="str">
        <f>INDEX(Country!$K$31:$K$76, MATCH(AI273, Country!$O$31:$O$76, 0), 1)</f>
        <v>USD/MWh</v>
      </c>
      <c r="D273" s="4" t="str">
        <f t="shared" si="256"/>
        <v>Honduras</v>
      </c>
      <c r="E273" s="43">
        <v>0</v>
      </c>
      <c r="F273" s="43">
        <v>0</v>
      </c>
      <c r="G273" s="43">
        <v>0</v>
      </c>
      <c r="H273" s="43">
        <v>0</v>
      </c>
      <c r="I273" s="43">
        <v>0</v>
      </c>
      <c r="J273" s="43">
        <v>0</v>
      </c>
      <c r="K273" s="44">
        <v>0</v>
      </c>
      <c r="L273" s="457">
        <f t="shared" si="285"/>
        <v>0</v>
      </c>
      <c r="M273" s="458">
        <f t="shared" si="286"/>
        <v>0</v>
      </c>
      <c r="N273" s="458">
        <f t="shared" si="248"/>
        <v>0</v>
      </c>
      <c r="O273" s="458">
        <f t="shared" si="249"/>
        <v>0</v>
      </c>
      <c r="P273" s="458">
        <f t="shared" si="250"/>
        <v>0</v>
      </c>
      <c r="Q273" s="458">
        <f t="shared" si="251"/>
        <v>0</v>
      </c>
      <c r="R273" s="459">
        <f t="shared" si="252"/>
        <v>0</v>
      </c>
      <c r="S273" s="455"/>
      <c r="T273" s="456"/>
      <c r="U273" s="456"/>
      <c r="V273" s="456"/>
      <c r="W273" s="456"/>
      <c r="X273" s="456"/>
      <c r="Y273" s="456"/>
      <c r="Z273" s="455"/>
      <c r="AA273" s="456"/>
      <c r="AB273" s="456"/>
      <c r="AC273" s="456"/>
      <c r="AD273" s="456"/>
      <c r="AE273" s="456"/>
      <c r="AF273" s="456"/>
      <c r="AG273" s="33" t="str">
        <f t="shared" si="287"/>
        <v>1.1 &gt; Honduras</v>
      </c>
      <c r="AH273" s="84">
        <f t="shared" ref="AH273:AH336" si="288">AH272+1</f>
        <v>259</v>
      </c>
      <c r="AI273" s="84">
        <f t="shared" ref="AI273:AI336" si="289">ROUNDUP(AH273/COUNTA($D$15:$D$41),0)</f>
        <v>10</v>
      </c>
      <c r="AJ273" s="877" t="s">
        <v>1526</v>
      </c>
    </row>
    <row r="274" spans="1:36" x14ac:dyDescent="0.2">
      <c r="A274" s="492">
        <f>INDEX(Country!$F$31:$G$76, MATCH(AI274, Country!$O$31:$O$76, 0), 1)</f>
        <v>1.1000000000000001</v>
      </c>
      <c r="B274" s="2" t="str">
        <f>INDEX(Country!$F$31:$G$76, MATCH(AI274, Country!$O$31:$O$76, 0), 2)</f>
        <v>Average electricity spot prices</v>
      </c>
      <c r="C274" s="436" t="str">
        <f>INDEX(Country!$K$31:$K$76, MATCH(AI274, Country!$O$31:$O$76, 0), 1)</f>
        <v>USD/MWh</v>
      </c>
      <c r="D274" s="4" t="str">
        <f t="shared" si="256"/>
        <v>Jamaica</v>
      </c>
      <c r="E274" s="43">
        <v>0</v>
      </c>
      <c r="F274" s="43">
        <v>0</v>
      </c>
      <c r="G274" s="43">
        <v>0</v>
      </c>
      <c r="H274" s="43">
        <v>0</v>
      </c>
      <c r="I274" s="43">
        <v>0</v>
      </c>
      <c r="J274" s="43">
        <v>0</v>
      </c>
      <c r="K274" s="44">
        <v>0</v>
      </c>
      <c r="L274" s="457">
        <f t="shared" si="285"/>
        <v>0</v>
      </c>
      <c r="M274" s="458">
        <f t="shared" si="286"/>
        <v>0</v>
      </c>
      <c r="N274" s="458">
        <f t="shared" si="248"/>
        <v>0</v>
      </c>
      <c r="O274" s="458">
        <f t="shared" si="249"/>
        <v>0</v>
      </c>
      <c r="P274" s="458">
        <f t="shared" si="250"/>
        <v>0</v>
      </c>
      <c r="Q274" s="458">
        <f t="shared" si="251"/>
        <v>0</v>
      </c>
      <c r="R274" s="459">
        <f t="shared" si="252"/>
        <v>0</v>
      </c>
      <c r="S274" s="455"/>
      <c r="T274" s="456"/>
      <c r="U274" s="456"/>
      <c r="V274" s="456"/>
      <c r="W274" s="456"/>
      <c r="X274" s="456"/>
      <c r="Y274" s="456"/>
      <c r="Z274" s="455"/>
      <c r="AA274" s="456"/>
      <c r="AB274" s="456"/>
      <c r="AC274" s="456"/>
      <c r="AD274" s="456"/>
      <c r="AE274" s="456"/>
      <c r="AF274" s="456"/>
      <c r="AG274" s="33" t="str">
        <f t="shared" si="287"/>
        <v>1.1 &gt; Jamaica</v>
      </c>
      <c r="AH274" s="84">
        <f t="shared" si="288"/>
        <v>260</v>
      </c>
      <c r="AI274" s="84">
        <f t="shared" si="289"/>
        <v>10</v>
      </c>
      <c r="AJ274" s="877" t="s">
        <v>1526</v>
      </c>
    </row>
    <row r="275" spans="1:36" x14ac:dyDescent="0.2">
      <c r="A275" s="492">
        <f>INDEX(Country!$F$31:$G$76, MATCH(AI275, Country!$O$31:$O$76, 0), 1)</f>
        <v>1.1000000000000001</v>
      </c>
      <c r="B275" s="2" t="str">
        <f>INDEX(Country!$F$31:$G$76, MATCH(AI275, Country!$O$31:$O$76, 0), 2)</f>
        <v>Average electricity spot prices</v>
      </c>
      <c r="C275" s="436" t="str">
        <f>INDEX(Country!$K$31:$K$76, MATCH(AI275, Country!$O$31:$O$76, 0), 1)</f>
        <v>USD/MWh</v>
      </c>
      <c r="D275" s="4" t="str">
        <f t="shared" si="256"/>
        <v>Mexico</v>
      </c>
      <c r="E275" s="43">
        <v>0</v>
      </c>
      <c r="F275" s="43">
        <v>0</v>
      </c>
      <c r="G275" s="43">
        <v>0</v>
      </c>
      <c r="H275" s="43">
        <v>0</v>
      </c>
      <c r="I275" s="43">
        <v>0</v>
      </c>
      <c r="J275" s="43">
        <v>0</v>
      </c>
      <c r="K275" s="44">
        <v>0</v>
      </c>
      <c r="L275" s="457">
        <f t="shared" si="285"/>
        <v>0</v>
      </c>
      <c r="M275" s="458">
        <f t="shared" si="286"/>
        <v>0</v>
      </c>
      <c r="N275" s="458">
        <f t="shared" si="248"/>
        <v>0</v>
      </c>
      <c r="O275" s="458">
        <f t="shared" si="249"/>
        <v>0</v>
      </c>
      <c r="P275" s="458">
        <f t="shared" si="250"/>
        <v>0</v>
      </c>
      <c r="Q275" s="458">
        <f t="shared" si="251"/>
        <v>0</v>
      </c>
      <c r="R275" s="459">
        <f t="shared" si="252"/>
        <v>0</v>
      </c>
      <c r="S275" s="455"/>
      <c r="T275" s="456"/>
      <c r="U275" s="456"/>
      <c r="V275" s="456"/>
      <c r="W275" s="456"/>
      <c r="X275" s="456"/>
      <c r="Y275" s="456"/>
      <c r="Z275" s="455"/>
      <c r="AA275" s="456"/>
      <c r="AB275" s="456"/>
      <c r="AC275" s="456"/>
      <c r="AD275" s="456"/>
      <c r="AE275" s="456"/>
      <c r="AF275" s="456"/>
      <c r="AG275" s="33" t="str">
        <f t="shared" si="287"/>
        <v>1.1 &gt; Mexico</v>
      </c>
      <c r="AH275" s="84">
        <f t="shared" si="288"/>
        <v>261</v>
      </c>
      <c r="AI275" s="84">
        <f t="shared" si="289"/>
        <v>10</v>
      </c>
      <c r="AJ275" s="877" t="s">
        <v>1526</v>
      </c>
    </row>
    <row r="276" spans="1:36" x14ac:dyDescent="0.2">
      <c r="A276" s="492">
        <f>INDEX(Country!$F$31:$G$76, MATCH(AI276, Country!$O$31:$O$76, 0), 1)</f>
        <v>1.1000000000000001</v>
      </c>
      <c r="B276" s="2" t="str">
        <f>INDEX(Country!$F$31:$G$76, MATCH(AI276, Country!$O$31:$O$76, 0), 2)</f>
        <v>Average electricity spot prices</v>
      </c>
      <c r="C276" s="436" t="str">
        <f>INDEX(Country!$K$31:$K$76, MATCH(AI276, Country!$O$31:$O$76, 0), 1)</f>
        <v>USD/MWh</v>
      </c>
      <c r="D276" s="4" t="str">
        <f t="shared" si="256"/>
        <v>Nicaragua</v>
      </c>
      <c r="E276" s="43">
        <v>104.35522098416307</v>
      </c>
      <c r="F276" s="43">
        <v>120.23029483720255</v>
      </c>
      <c r="G276" s="43">
        <v>137.021160126148</v>
      </c>
      <c r="H276" s="43">
        <v>120.33504038807033</v>
      </c>
      <c r="I276" s="43">
        <v>137.01586168209488</v>
      </c>
      <c r="J276" s="43">
        <v>168.51</v>
      </c>
      <c r="K276" s="44">
        <v>170.66650304824097</v>
      </c>
      <c r="L276" s="457">
        <f t="shared" si="285"/>
        <v>49.933116887967394</v>
      </c>
      <c r="M276" s="458">
        <f t="shared" si="286"/>
        <v>85.330134653801466</v>
      </c>
      <c r="N276" s="458">
        <f t="shared" si="248"/>
        <v>59.779458099536186</v>
      </c>
      <c r="O276" s="458">
        <f t="shared" si="249"/>
        <v>78.731257137336698</v>
      </c>
      <c r="P276" s="458">
        <f t="shared" si="250"/>
        <v>76.242287321556446</v>
      </c>
      <c r="Q276" s="458">
        <f t="shared" si="251"/>
        <v>77.879382701943541</v>
      </c>
      <c r="R276" s="459">
        <f t="shared" si="252"/>
        <v>76.713815114242692</v>
      </c>
      <c r="S276" s="455"/>
      <c r="T276" s="456"/>
      <c r="U276" s="456"/>
      <c r="V276" s="456"/>
      <c r="W276" s="456"/>
      <c r="X276" s="456"/>
      <c r="Y276" s="456"/>
      <c r="Z276" s="455"/>
      <c r="AA276" s="456"/>
      <c r="AB276" s="456"/>
      <c r="AC276" s="456"/>
      <c r="AD276" s="456"/>
      <c r="AE276" s="456"/>
      <c r="AF276" s="456"/>
      <c r="AG276" s="33" t="str">
        <f t="shared" si="287"/>
        <v>1.1 &gt; Nicaragua</v>
      </c>
      <c r="AH276" s="84">
        <f t="shared" si="288"/>
        <v>262</v>
      </c>
      <c r="AI276" s="84">
        <f t="shared" si="289"/>
        <v>10</v>
      </c>
      <c r="AJ276" s="877" t="s">
        <v>1526</v>
      </c>
    </row>
    <row r="277" spans="1:36" x14ac:dyDescent="0.2">
      <c r="A277" s="492">
        <f>INDEX(Country!$F$31:$G$76, MATCH(AI277, Country!$O$31:$O$76, 0), 1)</f>
        <v>1.1000000000000001</v>
      </c>
      <c r="B277" s="2" t="str">
        <f>INDEX(Country!$F$31:$G$76, MATCH(AI277, Country!$O$31:$O$76, 0), 2)</f>
        <v>Average electricity spot prices</v>
      </c>
      <c r="C277" s="436" t="str">
        <f>INDEX(Country!$K$31:$K$76, MATCH(AI277, Country!$O$31:$O$76, 0), 1)</f>
        <v>USD/MWh</v>
      </c>
      <c r="D277" s="4" t="str">
        <f t="shared" si="256"/>
        <v>Panama</v>
      </c>
      <c r="E277" s="43">
        <v>125.51944444444446</v>
      </c>
      <c r="F277" s="43">
        <v>117.45055555555557</v>
      </c>
      <c r="G277" s="43">
        <v>229.21111111111114</v>
      </c>
      <c r="H277" s="43">
        <v>152.84277777777777</v>
      </c>
      <c r="I277" s="43">
        <v>179.71111111111111</v>
      </c>
      <c r="J277" s="43">
        <v>216.37305555555554</v>
      </c>
      <c r="K277" s="44">
        <v>222.47166666666666</v>
      </c>
      <c r="L277" s="457">
        <f t="shared" si="285"/>
        <v>60.060024137252711</v>
      </c>
      <c r="M277" s="458">
        <f t="shared" si="286"/>
        <v>83.357291390574233</v>
      </c>
      <c r="N277" s="458">
        <f t="shared" si="248"/>
        <v>100</v>
      </c>
      <c r="O277" s="458">
        <f t="shared" si="249"/>
        <v>100</v>
      </c>
      <c r="P277" s="458">
        <f t="shared" si="250"/>
        <v>99.999999999999986</v>
      </c>
      <c r="Q277" s="458">
        <f t="shared" si="251"/>
        <v>100</v>
      </c>
      <c r="R277" s="459">
        <f t="shared" si="252"/>
        <v>100</v>
      </c>
      <c r="S277" s="455"/>
      <c r="T277" s="456"/>
      <c r="U277" s="456"/>
      <c r="V277" s="456"/>
      <c r="W277" s="456"/>
      <c r="X277" s="456"/>
      <c r="Y277" s="456"/>
      <c r="Z277" s="455"/>
      <c r="AA277" s="456"/>
      <c r="AB277" s="456"/>
      <c r="AC277" s="456"/>
      <c r="AD277" s="456"/>
      <c r="AE277" s="456"/>
      <c r="AF277" s="456"/>
      <c r="AG277" s="33" t="str">
        <f t="shared" si="287"/>
        <v>1.1 &gt; Panama</v>
      </c>
      <c r="AH277" s="84">
        <f t="shared" si="288"/>
        <v>263</v>
      </c>
      <c r="AI277" s="84">
        <f t="shared" si="289"/>
        <v>10</v>
      </c>
      <c r="AJ277" s="877" t="s">
        <v>1526</v>
      </c>
    </row>
    <row r="278" spans="1:36" x14ac:dyDescent="0.2">
      <c r="A278" s="492">
        <f>INDEX(Country!$F$31:$G$76, MATCH(AI278, Country!$O$31:$O$76, 0), 1)</f>
        <v>1.1000000000000001</v>
      </c>
      <c r="B278" s="2" t="str">
        <f>INDEX(Country!$F$31:$G$76, MATCH(AI278, Country!$O$31:$O$76, 0), 2)</f>
        <v>Average electricity spot prices</v>
      </c>
      <c r="C278" s="436" t="str">
        <f>INDEX(Country!$K$31:$K$76, MATCH(AI278, Country!$O$31:$O$76, 0), 1)</f>
        <v>USD/MWh</v>
      </c>
      <c r="D278" s="4" t="str">
        <f t="shared" si="256"/>
        <v>Paraguay</v>
      </c>
      <c r="E278" s="43">
        <v>0</v>
      </c>
      <c r="F278" s="43">
        <v>0</v>
      </c>
      <c r="G278" s="43">
        <v>0</v>
      </c>
      <c r="H278" s="43">
        <v>0</v>
      </c>
      <c r="I278" s="43">
        <v>0</v>
      </c>
      <c r="J278" s="43">
        <v>0</v>
      </c>
      <c r="K278" s="44">
        <v>0</v>
      </c>
      <c r="L278" s="457">
        <f t="shared" si="285"/>
        <v>0</v>
      </c>
      <c r="M278" s="458">
        <f t="shared" si="286"/>
        <v>0</v>
      </c>
      <c r="N278" s="458">
        <f t="shared" si="248"/>
        <v>0</v>
      </c>
      <c r="O278" s="458">
        <f t="shared" si="249"/>
        <v>0</v>
      </c>
      <c r="P278" s="458">
        <f t="shared" si="250"/>
        <v>0</v>
      </c>
      <c r="Q278" s="458">
        <f t="shared" si="251"/>
        <v>0</v>
      </c>
      <c r="R278" s="459">
        <f t="shared" si="252"/>
        <v>0</v>
      </c>
      <c r="S278" s="455"/>
      <c r="T278" s="456"/>
      <c r="U278" s="456"/>
      <c r="V278" s="456"/>
      <c r="W278" s="456"/>
      <c r="X278" s="456"/>
      <c r="Y278" s="456"/>
      <c r="Z278" s="455"/>
      <c r="AA278" s="456"/>
      <c r="AB278" s="456"/>
      <c r="AC278" s="456"/>
      <c r="AD278" s="456"/>
      <c r="AE278" s="456"/>
      <c r="AF278" s="456"/>
      <c r="AG278" s="33" t="str">
        <f t="shared" si="287"/>
        <v>1.1 &gt; Paraguay</v>
      </c>
      <c r="AH278" s="84">
        <f t="shared" si="288"/>
        <v>264</v>
      </c>
      <c r="AI278" s="84">
        <f t="shared" si="289"/>
        <v>10</v>
      </c>
      <c r="AJ278" s="877" t="s">
        <v>1526</v>
      </c>
    </row>
    <row r="279" spans="1:36" x14ac:dyDescent="0.2">
      <c r="A279" s="492">
        <f>INDEX(Country!$F$31:$G$76, MATCH(AI279, Country!$O$31:$O$76, 0), 1)</f>
        <v>1.1000000000000001</v>
      </c>
      <c r="B279" s="2" t="str">
        <f>INDEX(Country!$F$31:$G$76, MATCH(AI279, Country!$O$31:$O$76, 0), 2)</f>
        <v>Average electricity spot prices</v>
      </c>
      <c r="C279" s="436" t="str">
        <f>INDEX(Country!$K$31:$K$76, MATCH(AI279, Country!$O$31:$O$76, 0), 1)</f>
        <v>USD/MWh</v>
      </c>
      <c r="D279" s="4" t="str">
        <f t="shared" si="256"/>
        <v>Peru</v>
      </c>
      <c r="E279" s="43">
        <v>68.06</v>
      </c>
      <c r="F279" s="43">
        <v>37.99</v>
      </c>
      <c r="G279" s="43">
        <v>88.48</v>
      </c>
      <c r="H279" s="43">
        <v>31.83</v>
      </c>
      <c r="I279" s="43">
        <v>21.44</v>
      </c>
      <c r="J279" s="43">
        <v>23.88</v>
      </c>
      <c r="K279" s="44">
        <v>30.8</v>
      </c>
      <c r="L279" s="457">
        <f t="shared" si="285"/>
        <v>32.566151490501937</v>
      </c>
      <c r="M279" s="458">
        <f t="shared" si="286"/>
        <v>26.962354370729276</v>
      </c>
      <c r="N279" s="458">
        <f t="shared" si="248"/>
        <v>38.601968103155748</v>
      </c>
      <c r="O279" s="458">
        <f t="shared" si="249"/>
        <v>20.82532159045061</v>
      </c>
      <c r="P279" s="458">
        <f t="shared" si="250"/>
        <v>11.930258439470755</v>
      </c>
      <c r="Q279" s="458">
        <f t="shared" si="251"/>
        <v>11.03649432628575</v>
      </c>
      <c r="R279" s="459">
        <f t="shared" si="252"/>
        <v>13.844459594105617</v>
      </c>
      <c r="S279" s="455"/>
      <c r="T279" s="456"/>
      <c r="U279" s="456"/>
      <c r="V279" s="456"/>
      <c r="W279" s="456"/>
      <c r="X279" s="456"/>
      <c r="Y279" s="456"/>
      <c r="Z279" s="455"/>
      <c r="AA279" s="456"/>
      <c r="AB279" s="456"/>
      <c r="AC279" s="456"/>
      <c r="AD279" s="456"/>
      <c r="AE279" s="456"/>
      <c r="AF279" s="456"/>
      <c r="AG279" s="33" t="str">
        <f t="shared" si="287"/>
        <v>1.1 &gt; Peru</v>
      </c>
      <c r="AH279" s="84">
        <f t="shared" si="288"/>
        <v>265</v>
      </c>
      <c r="AI279" s="84">
        <f t="shared" si="289"/>
        <v>10</v>
      </c>
      <c r="AJ279" s="877" t="s">
        <v>1526</v>
      </c>
    </row>
    <row r="280" spans="1:36" x14ac:dyDescent="0.2">
      <c r="A280" s="492">
        <f>INDEX(Country!$F$31:$G$76, MATCH(AI280, Country!$O$31:$O$76, 0), 1)</f>
        <v>1.1000000000000001</v>
      </c>
      <c r="B280" s="2" t="str">
        <f>INDEX(Country!$F$31:$G$76, MATCH(AI280, Country!$O$31:$O$76, 0), 2)</f>
        <v>Average electricity spot prices</v>
      </c>
      <c r="C280" s="436" t="str">
        <f>INDEX(Country!$K$31:$K$76, MATCH(AI280, Country!$O$31:$O$76, 0), 1)</f>
        <v>USD/MWh</v>
      </c>
      <c r="D280" s="4" t="str">
        <f t="shared" si="256"/>
        <v>Suriname</v>
      </c>
      <c r="E280" s="43">
        <v>0</v>
      </c>
      <c r="F280" s="43">
        <v>0</v>
      </c>
      <c r="G280" s="43">
        <v>0</v>
      </c>
      <c r="H280" s="43">
        <v>0</v>
      </c>
      <c r="I280" s="43">
        <v>0</v>
      </c>
      <c r="J280" s="43">
        <v>0</v>
      </c>
      <c r="K280" s="44">
        <v>0</v>
      </c>
      <c r="L280" s="457">
        <f t="shared" si="285"/>
        <v>0</v>
      </c>
      <c r="M280" s="458">
        <f t="shared" si="286"/>
        <v>0</v>
      </c>
      <c r="N280" s="458">
        <f t="shared" si="248"/>
        <v>0</v>
      </c>
      <c r="O280" s="458">
        <f t="shared" si="249"/>
        <v>0</v>
      </c>
      <c r="P280" s="458">
        <f t="shared" si="250"/>
        <v>0</v>
      </c>
      <c r="Q280" s="458">
        <f t="shared" si="251"/>
        <v>0</v>
      </c>
      <c r="R280" s="459">
        <f t="shared" si="252"/>
        <v>0</v>
      </c>
      <c r="S280" s="455"/>
      <c r="T280" s="456"/>
      <c r="U280" s="456"/>
      <c r="V280" s="456"/>
      <c r="W280" s="456"/>
      <c r="X280" s="456"/>
      <c r="Y280" s="456"/>
      <c r="Z280" s="455"/>
      <c r="AA280" s="456"/>
      <c r="AB280" s="456"/>
      <c r="AC280" s="456"/>
      <c r="AD280" s="456"/>
      <c r="AE280" s="456"/>
      <c r="AF280" s="456"/>
      <c r="AG280" s="33" t="str">
        <f t="shared" si="287"/>
        <v>1.1 &gt; Suriname</v>
      </c>
      <c r="AH280" s="84">
        <f t="shared" si="288"/>
        <v>266</v>
      </c>
      <c r="AI280" s="84">
        <f t="shared" si="289"/>
        <v>10</v>
      </c>
      <c r="AJ280" s="877" t="s">
        <v>1526</v>
      </c>
    </row>
    <row r="281" spans="1:36" x14ac:dyDescent="0.2">
      <c r="A281" s="492">
        <f>INDEX(Country!$F$31:$G$76, MATCH(AI281, Country!$O$31:$O$76, 0), 1)</f>
        <v>1.1000000000000001</v>
      </c>
      <c r="B281" s="2" t="str">
        <f>INDEX(Country!$F$31:$G$76, MATCH(AI281, Country!$O$31:$O$76, 0), 2)</f>
        <v>Average electricity spot prices</v>
      </c>
      <c r="C281" s="436" t="str">
        <f>INDEX(Country!$K$31:$K$76, MATCH(AI281, Country!$O$31:$O$76, 0), 1)</f>
        <v>USD/MWh</v>
      </c>
      <c r="D281" s="4" t="str">
        <f t="shared" si="256"/>
        <v>Trinidad &amp; Tobago</v>
      </c>
      <c r="E281" s="43">
        <v>0</v>
      </c>
      <c r="F281" s="43">
        <v>0</v>
      </c>
      <c r="G281" s="43">
        <v>0</v>
      </c>
      <c r="H281" s="43">
        <v>0</v>
      </c>
      <c r="I281" s="43">
        <v>0</v>
      </c>
      <c r="J281" s="43">
        <v>0</v>
      </c>
      <c r="K281" s="44">
        <v>0</v>
      </c>
      <c r="L281" s="457">
        <f t="shared" si="285"/>
        <v>0</v>
      </c>
      <c r="M281" s="458">
        <f t="shared" si="286"/>
        <v>0</v>
      </c>
      <c r="N281" s="458">
        <f t="shared" si="248"/>
        <v>0</v>
      </c>
      <c r="O281" s="458">
        <f t="shared" si="249"/>
        <v>0</v>
      </c>
      <c r="P281" s="458">
        <f t="shared" si="250"/>
        <v>0</v>
      </c>
      <c r="Q281" s="458">
        <f t="shared" si="251"/>
        <v>0</v>
      </c>
      <c r="R281" s="459">
        <f t="shared" si="252"/>
        <v>0</v>
      </c>
      <c r="S281" s="455"/>
      <c r="T281" s="456"/>
      <c r="U281" s="456"/>
      <c r="V281" s="456"/>
      <c r="W281" s="456"/>
      <c r="X281" s="456"/>
      <c r="Y281" s="456"/>
      <c r="Z281" s="455"/>
      <c r="AA281" s="456"/>
      <c r="AB281" s="456"/>
      <c r="AC281" s="456"/>
      <c r="AD281" s="456"/>
      <c r="AE281" s="456"/>
      <c r="AF281" s="456"/>
      <c r="AG281" s="33" t="str">
        <f t="shared" si="287"/>
        <v>1.1 &gt; Trinidad &amp; Tobago</v>
      </c>
      <c r="AH281" s="84">
        <f t="shared" si="288"/>
        <v>267</v>
      </c>
      <c r="AI281" s="84">
        <f t="shared" si="289"/>
        <v>10</v>
      </c>
      <c r="AJ281" s="877" t="s">
        <v>1526</v>
      </c>
    </row>
    <row r="282" spans="1:36" x14ac:dyDescent="0.2">
      <c r="A282" s="492">
        <f>INDEX(Country!$F$31:$G$76, MATCH(AI282, Country!$O$31:$O$76, 0), 1)</f>
        <v>1.1000000000000001</v>
      </c>
      <c r="B282" s="2" t="str">
        <f>INDEX(Country!$F$31:$G$76, MATCH(AI282, Country!$O$31:$O$76, 0), 2)</f>
        <v>Average electricity spot prices</v>
      </c>
      <c r="C282" s="436" t="str">
        <f>INDEX(Country!$K$31:$K$76, MATCH(AI282, Country!$O$31:$O$76, 0), 1)</f>
        <v>USD/MWh</v>
      </c>
      <c r="D282" s="4" t="str">
        <f t="shared" si="256"/>
        <v>Uruguay</v>
      </c>
      <c r="E282" s="43">
        <v>208.99</v>
      </c>
      <c r="F282" s="43">
        <v>89.77901</v>
      </c>
      <c r="G282" s="43">
        <v>227.08</v>
      </c>
      <c r="H282" s="43">
        <v>146</v>
      </c>
      <c r="I282" s="43">
        <v>76.64</v>
      </c>
      <c r="J282" s="43">
        <v>76.64</v>
      </c>
      <c r="K282" s="44">
        <v>208.30327776361591</v>
      </c>
      <c r="L282" s="457">
        <f t="shared" si="285"/>
        <v>100</v>
      </c>
      <c r="M282" s="458">
        <f t="shared" si="286"/>
        <v>63.718175379659051</v>
      </c>
      <c r="N282" s="458">
        <f t="shared" si="248"/>
        <v>99.070240922972502</v>
      </c>
      <c r="O282" s="458">
        <f t="shared" si="249"/>
        <v>95.52299567093273</v>
      </c>
      <c r="P282" s="458">
        <f t="shared" si="250"/>
        <v>42.646222332138002</v>
      </c>
      <c r="Q282" s="458">
        <f t="shared" si="251"/>
        <v>35.420306749017584</v>
      </c>
      <c r="R282" s="459">
        <f t="shared" si="252"/>
        <v>93.631373776562967</v>
      </c>
      <c r="S282" s="455"/>
      <c r="T282" s="456"/>
      <c r="U282" s="456"/>
      <c r="V282" s="456"/>
      <c r="W282" s="456"/>
      <c r="X282" s="456"/>
      <c r="Y282" s="456"/>
      <c r="Z282" s="455"/>
      <c r="AA282" s="456"/>
      <c r="AB282" s="456"/>
      <c r="AC282" s="456"/>
      <c r="AD282" s="456"/>
      <c r="AE282" s="456"/>
      <c r="AF282" s="456"/>
      <c r="AG282" s="33" t="str">
        <f t="shared" si="287"/>
        <v>1.1 &gt; Uruguay</v>
      </c>
      <c r="AH282" s="84">
        <f t="shared" si="288"/>
        <v>268</v>
      </c>
      <c r="AI282" s="84">
        <f t="shared" si="289"/>
        <v>10</v>
      </c>
      <c r="AJ282" s="877" t="s">
        <v>1526</v>
      </c>
    </row>
    <row r="283" spans="1:36" x14ac:dyDescent="0.2">
      <c r="A283" s="491">
        <f>INDEX(Country!$F$31:$G$76, MATCH(AI283, Country!$O$31:$O$76, 0), 1)</f>
        <v>1.1000000000000001</v>
      </c>
      <c r="B283" s="386" t="str">
        <f>INDEX(Country!$F$31:$G$76, MATCH(AI283, Country!$O$31:$O$76, 0), 2)</f>
        <v>Average electricity spot prices</v>
      </c>
      <c r="C283" s="437" t="str">
        <f>INDEX(Country!$K$31:$K$76, MATCH(AI283, Country!$O$31:$O$76, 0), 1)</f>
        <v>USD/MWh</v>
      </c>
      <c r="D283" s="86" t="str">
        <f t="shared" si="256"/>
        <v>Venezuela</v>
      </c>
      <c r="E283" s="374">
        <v>0</v>
      </c>
      <c r="F283" s="374">
        <v>0</v>
      </c>
      <c r="G283" s="374">
        <v>0</v>
      </c>
      <c r="H283" s="374">
        <v>0</v>
      </c>
      <c r="I283" s="374">
        <v>0</v>
      </c>
      <c r="J283" s="374">
        <v>0</v>
      </c>
      <c r="K283" s="399">
        <v>0</v>
      </c>
      <c r="L283" s="460">
        <f t="shared" si="285"/>
        <v>0</v>
      </c>
      <c r="M283" s="461">
        <f t="shared" si="286"/>
        <v>0</v>
      </c>
      <c r="N283" s="461">
        <f t="shared" si="248"/>
        <v>0</v>
      </c>
      <c r="O283" s="461">
        <f t="shared" si="249"/>
        <v>0</v>
      </c>
      <c r="P283" s="461">
        <f t="shared" si="250"/>
        <v>0</v>
      </c>
      <c r="Q283" s="461">
        <f t="shared" si="251"/>
        <v>0</v>
      </c>
      <c r="R283" s="462">
        <f t="shared" si="252"/>
        <v>0</v>
      </c>
      <c r="S283" s="455"/>
      <c r="T283" s="456"/>
      <c r="U283" s="456"/>
      <c r="V283" s="456"/>
      <c r="W283" s="456"/>
      <c r="X283" s="456"/>
      <c r="Y283" s="456"/>
      <c r="Z283" s="455"/>
      <c r="AA283" s="456"/>
      <c r="AB283" s="456"/>
      <c r="AC283" s="456"/>
      <c r="AD283" s="456"/>
      <c r="AE283" s="456"/>
      <c r="AF283" s="456"/>
      <c r="AG283" s="90" t="str">
        <f t="shared" si="287"/>
        <v>1.1 &gt; Venezuela</v>
      </c>
      <c r="AH283" s="392">
        <f t="shared" si="288"/>
        <v>269</v>
      </c>
      <c r="AI283" s="392">
        <f t="shared" si="289"/>
        <v>10</v>
      </c>
      <c r="AJ283" s="878" t="s">
        <v>1526</v>
      </c>
    </row>
    <row r="284" spans="1:36" x14ac:dyDescent="0.2">
      <c r="A284" s="490">
        <f>INDEX(Country!$F$31:$G$76, MATCH(AI284, Country!$O$31:$O$76, 0), 1)</f>
        <v>1.1000000000000001</v>
      </c>
      <c r="B284" s="387" t="str">
        <f>INDEX(Country!$F$31:$G$76, MATCH(AI284, Country!$O$31:$O$76, 0), 2)</f>
        <v>Average electricity spot prices</v>
      </c>
      <c r="C284" s="438" t="str">
        <f>INDEX(Country!$K$31:$K$76, MATCH(AI284, Country!$O$31:$O$76, 0), 1)</f>
        <v>USD/MWh</v>
      </c>
      <c r="D284" s="32" t="str">
        <f t="shared" si="256"/>
        <v>Benchmark</v>
      </c>
      <c r="E284" s="365">
        <f>IFERROR(MAX(E258:E283), 0)</f>
        <v>208.99</v>
      </c>
      <c r="F284" s="365">
        <f t="shared" ref="F284" si="290">IFERROR(MAX(F258:F283), 0)</f>
        <v>140.90015833796213</v>
      </c>
      <c r="G284" s="365">
        <f t="shared" ref="G284" si="291">IFERROR(MAX(G258:G283), 0)</f>
        <v>229.21111111111114</v>
      </c>
      <c r="H284" s="365">
        <f t="shared" ref="H284" si="292">IFERROR(MAX(H258:H283), 0)</f>
        <v>152.84277777777777</v>
      </c>
      <c r="I284" s="365">
        <f t="shared" ref="I284" si="293">IFERROR(MAX(I258:I283), 0)</f>
        <v>179.71111111111111</v>
      </c>
      <c r="J284" s="365">
        <f t="shared" ref="J284:K284" si="294">IFERROR(MAX(J258:J283), 0)</f>
        <v>216.37305555555554</v>
      </c>
      <c r="K284" s="593">
        <f t="shared" si="294"/>
        <v>222.47166666666666</v>
      </c>
      <c r="L284" s="585">
        <f t="shared" si="285"/>
        <v>100</v>
      </c>
      <c r="M284" s="463">
        <f t="shared" si="286"/>
        <v>100</v>
      </c>
      <c r="N284" s="463">
        <f t="shared" si="248"/>
        <v>100</v>
      </c>
      <c r="O284" s="463">
        <f t="shared" si="249"/>
        <v>100</v>
      </c>
      <c r="P284" s="463">
        <f t="shared" si="250"/>
        <v>99.999999999999986</v>
      </c>
      <c r="Q284" s="463">
        <f t="shared" si="251"/>
        <v>100</v>
      </c>
      <c r="R284" s="586">
        <f t="shared" si="252"/>
        <v>100</v>
      </c>
      <c r="S284" s="393"/>
      <c r="T284" s="394"/>
      <c r="U284" s="376"/>
      <c r="V284" s="376"/>
      <c r="W284" s="376"/>
      <c r="X284" s="376"/>
      <c r="Y284" s="376"/>
      <c r="Z284" s="393"/>
      <c r="AA284" s="394"/>
      <c r="AB284" s="376"/>
      <c r="AC284" s="376"/>
      <c r="AD284" s="376"/>
      <c r="AE284" s="376"/>
      <c r="AF284" s="401"/>
      <c r="AG284" s="34" t="str">
        <f t="shared" si="287"/>
        <v>1.1 &gt; Benchmark</v>
      </c>
      <c r="AH284" s="85">
        <f t="shared" si="288"/>
        <v>270</v>
      </c>
      <c r="AI284" s="85">
        <f t="shared" si="289"/>
        <v>10</v>
      </c>
      <c r="AJ284" s="871" t="s">
        <v>1526</v>
      </c>
    </row>
    <row r="285" spans="1:36" x14ac:dyDescent="0.2">
      <c r="A285" s="587">
        <f>INDEX(Country!$F$31:$G$76, MATCH(AI285, Country!$O$31:$O$76, 0), 1)</f>
        <v>1.1100000000000001</v>
      </c>
      <c r="B285" s="588" t="str">
        <f>INDEX(Country!$F$31:$G$76, MATCH(AI285, Country!$O$31:$O$76, 0), 2)</f>
        <v>Average retail electricity prices</v>
      </c>
      <c r="C285" s="589" t="str">
        <f>INDEX(Country!$K$31:$K$76, MATCH(AI285, Country!$O$31:$O$76, 0), 1)</f>
        <v>USD/MWh</v>
      </c>
      <c r="D285" s="590" t="str">
        <f t="shared" ref="D285:D311" si="295">D258</f>
        <v>Argentina</v>
      </c>
      <c r="E285" s="605">
        <v>11.42</v>
      </c>
      <c r="F285" s="605">
        <v>11.02</v>
      </c>
      <c r="G285" s="605">
        <v>11.29</v>
      </c>
      <c r="H285" s="605">
        <v>24.28</v>
      </c>
      <c r="I285" s="605">
        <v>39.799999999999997</v>
      </c>
      <c r="J285" s="605">
        <v>51.54</v>
      </c>
      <c r="K285" s="606">
        <v>72.697092753522853</v>
      </c>
      <c r="L285" s="580">
        <f t="shared" si="285"/>
        <v>4.868405124401149</v>
      </c>
      <c r="M285" s="581">
        <f t="shared" si="286"/>
        <v>4.3938873372142178</v>
      </c>
      <c r="N285" s="581">
        <f t="shared" si="248"/>
        <v>3.6320223982092763</v>
      </c>
      <c r="O285" s="581">
        <f t="shared" si="249"/>
        <v>8.306724949188407</v>
      </c>
      <c r="P285" s="581">
        <f t="shared" si="250"/>
        <v>13.459204746187803</v>
      </c>
      <c r="Q285" s="581">
        <f t="shared" si="251"/>
        <v>17.429331975339682</v>
      </c>
      <c r="R285" s="582">
        <f t="shared" si="252"/>
        <v>17.796597261741507</v>
      </c>
      <c r="S285" s="455"/>
      <c r="T285" s="456"/>
      <c r="U285" s="456"/>
      <c r="V285" s="456"/>
      <c r="W285" s="456"/>
      <c r="X285" s="456"/>
      <c r="Y285" s="456"/>
      <c r="Z285" s="455"/>
      <c r="AA285" s="456"/>
      <c r="AB285" s="456"/>
      <c r="AC285" s="456"/>
      <c r="AD285" s="456"/>
      <c r="AE285" s="456"/>
      <c r="AF285" s="456"/>
      <c r="AG285" s="396" t="str">
        <f t="shared" si="287"/>
        <v>1.11 &gt; Argentina</v>
      </c>
      <c r="AH285" s="397">
        <f t="shared" si="288"/>
        <v>271</v>
      </c>
      <c r="AI285" s="397">
        <f t="shared" si="289"/>
        <v>11</v>
      </c>
      <c r="AJ285" s="879" t="s">
        <v>1526</v>
      </c>
    </row>
    <row r="286" spans="1:36" x14ac:dyDescent="0.2">
      <c r="A286" s="492">
        <f>INDEX(Country!$F$31:$G$76, MATCH(AI286, Country!$O$31:$O$76, 0), 1)</f>
        <v>1.1100000000000001</v>
      </c>
      <c r="B286" s="2" t="str">
        <f>INDEX(Country!$F$31:$G$76, MATCH(AI286, Country!$O$31:$O$76, 0), 2)</f>
        <v>Average retail electricity prices</v>
      </c>
      <c r="C286" s="436" t="str">
        <f>INDEX(Country!$K$31:$K$76, MATCH(AI286, Country!$O$31:$O$76, 0), 1)</f>
        <v>USD/MWh</v>
      </c>
      <c r="D286" s="4" t="str">
        <f t="shared" si="295"/>
        <v>Bahamas</v>
      </c>
      <c r="E286" s="540">
        <v>0</v>
      </c>
      <c r="F286" s="540">
        <v>0</v>
      </c>
      <c r="G286" s="540">
        <v>0</v>
      </c>
      <c r="H286" s="540">
        <v>0</v>
      </c>
      <c r="I286" s="540">
        <v>0</v>
      </c>
      <c r="J286" s="540">
        <v>0</v>
      </c>
      <c r="K286" s="76">
        <v>225.37619047619049</v>
      </c>
      <c r="L286" s="457">
        <f t="shared" si="285"/>
        <v>0</v>
      </c>
      <c r="M286" s="458">
        <f t="shared" si="286"/>
        <v>0</v>
      </c>
      <c r="N286" s="458">
        <f t="shared" si="248"/>
        <v>0</v>
      </c>
      <c r="O286" s="458">
        <f t="shared" si="249"/>
        <v>0</v>
      </c>
      <c r="P286" s="458">
        <f t="shared" si="250"/>
        <v>0</v>
      </c>
      <c r="Q286" s="458">
        <f t="shared" si="251"/>
        <v>0</v>
      </c>
      <c r="R286" s="459">
        <f t="shared" si="252"/>
        <v>55.173173264152808</v>
      </c>
      <c r="S286" s="455"/>
      <c r="T286" s="456"/>
      <c r="U286" s="456"/>
      <c r="V286" s="456"/>
      <c r="W286" s="456"/>
      <c r="X286" s="456"/>
      <c r="Y286" s="456"/>
      <c r="Z286" s="455"/>
      <c r="AA286" s="456"/>
      <c r="AB286" s="456"/>
      <c r="AC286" s="456"/>
      <c r="AD286" s="456"/>
      <c r="AE286" s="456"/>
      <c r="AF286" s="456"/>
      <c r="AG286" s="33" t="str">
        <f t="shared" si="287"/>
        <v>1.11 &gt; Bahamas</v>
      </c>
      <c r="AH286" s="84">
        <f t="shared" si="288"/>
        <v>272</v>
      </c>
      <c r="AI286" s="84">
        <f t="shared" si="289"/>
        <v>11</v>
      </c>
      <c r="AJ286" s="877" t="s">
        <v>1526</v>
      </c>
    </row>
    <row r="287" spans="1:36" x14ac:dyDescent="0.2">
      <c r="A287" s="492">
        <f>INDEX(Country!$F$31:$G$76, MATCH(AI287, Country!$O$31:$O$76, 0), 1)</f>
        <v>1.1100000000000001</v>
      </c>
      <c r="B287" s="2" t="str">
        <f>INDEX(Country!$F$31:$G$76, MATCH(AI287, Country!$O$31:$O$76, 0), 2)</f>
        <v>Average retail electricity prices</v>
      </c>
      <c r="C287" s="436" t="str">
        <f>INDEX(Country!$K$31:$K$76, MATCH(AI287, Country!$O$31:$O$76, 0), 1)</f>
        <v>USD/MWh</v>
      </c>
      <c r="D287" s="4" t="str">
        <f t="shared" si="295"/>
        <v>Barbados</v>
      </c>
      <c r="E287" s="540">
        <v>200.24223001992473</v>
      </c>
      <c r="F287" s="540">
        <v>211.32865646258503</v>
      </c>
      <c r="G287" s="540">
        <v>250.69385593220338</v>
      </c>
      <c r="H287" s="540">
        <v>218.12224322621299</v>
      </c>
      <c r="I287" s="540">
        <v>264.40784681028202</v>
      </c>
      <c r="J287" s="540">
        <v>264.40784681028202</v>
      </c>
      <c r="K287" s="76">
        <v>92.083333333333329</v>
      </c>
      <c r="L287" s="457">
        <f t="shared" si="285"/>
        <v>85.364299365193972</v>
      </c>
      <c r="M287" s="458">
        <f t="shared" si="286"/>
        <v>84.260826462926119</v>
      </c>
      <c r="N287" s="458">
        <f t="shared" si="248"/>
        <v>80.648866239079908</v>
      </c>
      <c r="O287" s="458">
        <f t="shared" si="249"/>
        <v>74.624443154041415</v>
      </c>
      <c r="P287" s="458">
        <f t="shared" si="250"/>
        <v>89.41505896276999</v>
      </c>
      <c r="Q287" s="458">
        <f t="shared" si="251"/>
        <v>89.41505896276999</v>
      </c>
      <c r="R287" s="459">
        <f t="shared" si="252"/>
        <v>22.542442012202979</v>
      </c>
      <c r="S287" s="455"/>
      <c r="T287" s="456"/>
      <c r="U287" s="456"/>
      <c r="V287" s="456"/>
      <c r="W287" s="456"/>
      <c r="X287" s="456"/>
      <c r="Y287" s="456"/>
      <c r="Z287" s="455"/>
      <c r="AA287" s="456"/>
      <c r="AB287" s="456"/>
      <c r="AC287" s="456"/>
      <c r="AD287" s="456"/>
      <c r="AE287" s="456"/>
      <c r="AF287" s="456"/>
      <c r="AG287" s="33" t="str">
        <f t="shared" si="287"/>
        <v>1.11 &gt; Barbados</v>
      </c>
      <c r="AH287" s="84">
        <f t="shared" si="288"/>
        <v>273</v>
      </c>
      <c r="AI287" s="84">
        <f t="shared" si="289"/>
        <v>11</v>
      </c>
      <c r="AJ287" s="877" t="s">
        <v>1526</v>
      </c>
    </row>
    <row r="288" spans="1:36" x14ac:dyDescent="0.2">
      <c r="A288" s="492">
        <f>INDEX(Country!$F$31:$G$76, MATCH(AI288, Country!$O$31:$O$76, 0), 1)</f>
        <v>1.1100000000000001</v>
      </c>
      <c r="B288" s="2" t="str">
        <f>INDEX(Country!$F$31:$G$76, MATCH(AI288, Country!$O$31:$O$76, 0), 2)</f>
        <v>Average retail electricity prices</v>
      </c>
      <c r="C288" s="436" t="str">
        <f>INDEX(Country!$K$31:$K$76, MATCH(AI288, Country!$O$31:$O$76, 0), 1)</f>
        <v>USD/MWh</v>
      </c>
      <c r="D288" s="4" t="str">
        <f t="shared" si="295"/>
        <v>Belize</v>
      </c>
      <c r="E288" s="540">
        <v>210.80950852769661</v>
      </c>
      <c r="F288" s="540">
        <v>212.38623319947925</v>
      </c>
      <c r="G288" s="540">
        <v>176.36673636620515</v>
      </c>
      <c r="H288" s="540">
        <v>229.13198138839505</v>
      </c>
      <c r="I288" s="540">
        <v>229.17671836765339</v>
      </c>
      <c r="J288" s="540">
        <v>229.17671836765339</v>
      </c>
      <c r="K288" s="76">
        <v>207.51922900086615</v>
      </c>
      <c r="L288" s="457">
        <f t="shared" si="285"/>
        <v>89.869184902690534</v>
      </c>
      <c r="M288" s="458">
        <f t="shared" si="286"/>
        <v>84.682502781653156</v>
      </c>
      <c r="N288" s="458">
        <f t="shared" si="248"/>
        <v>56.737638333137966</v>
      </c>
      <c r="O288" s="458">
        <f t="shared" si="249"/>
        <v>78.391118058317744</v>
      </c>
      <c r="P288" s="458">
        <f t="shared" si="250"/>
        <v>77.500913959036836</v>
      </c>
      <c r="Q288" s="458">
        <f t="shared" si="251"/>
        <v>77.500913959036836</v>
      </c>
      <c r="R288" s="459">
        <f t="shared" si="252"/>
        <v>50.801703379211901</v>
      </c>
      <c r="S288" s="455"/>
      <c r="T288" s="456"/>
      <c r="U288" s="456"/>
      <c r="V288" s="456"/>
      <c r="W288" s="456"/>
      <c r="X288" s="456"/>
      <c r="Y288" s="456"/>
      <c r="Z288" s="455"/>
      <c r="AA288" s="456"/>
      <c r="AB288" s="456"/>
      <c r="AC288" s="456"/>
      <c r="AD288" s="456"/>
      <c r="AE288" s="456"/>
      <c r="AF288" s="456"/>
      <c r="AG288" s="33" t="str">
        <f t="shared" si="287"/>
        <v>1.11 &gt; Belize</v>
      </c>
      <c r="AH288" s="84">
        <f t="shared" si="288"/>
        <v>274</v>
      </c>
      <c r="AI288" s="84">
        <f t="shared" si="289"/>
        <v>11</v>
      </c>
      <c r="AJ288" s="877" t="s">
        <v>1526</v>
      </c>
    </row>
    <row r="289" spans="1:36" x14ac:dyDescent="0.2">
      <c r="A289" s="492">
        <f>INDEX(Country!$F$31:$G$76, MATCH(AI289, Country!$O$31:$O$76, 0), 1)</f>
        <v>1.1100000000000001</v>
      </c>
      <c r="B289" s="2" t="str">
        <f>INDEX(Country!$F$31:$G$76, MATCH(AI289, Country!$O$31:$O$76, 0), 2)</f>
        <v>Average retail electricity prices</v>
      </c>
      <c r="C289" s="436" t="str">
        <f>INDEX(Country!$K$31:$K$76, MATCH(AI289, Country!$O$31:$O$76, 0), 1)</f>
        <v>USD/MWh</v>
      </c>
      <c r="D289" s="4" t="str">
        <f t="shared" si="295"/>
        <v>Bolivia</v>
      </c>
      <c r="E289" s="43">
        <v>62.261770761577075</v>
      </c>
      <c r="F289" s="43">
        <v>66</v>
      </c>
      <c r="G289" s="43">
        <v>71.3</v>
      </c>
      <c r="H289" s="43">
        <v>74.2</v>
      </c>
      <c r="I289" s="43">
        <v>74.2</v>
      </c>
      <c r="J289" s="43">
        <v>74.2</v>
      </c>
      <c r="K289" s="44">
        <v>83.766666666666666</v>
      </c>
      <c r="L289" s="457">
        <f t="shared" si="285"/>
        <v>26.542515221536906</v>
      </c>
      <c r="M289" s="458">
        <f t="shared" si="286"/>
        <v>26.315477700194045</v>
      </c>
      <c r="N289" s="458">
        <f t="shared" si="248"/>
        <v>22.937395659195875</v>
      </c>
      <c r="O289" s="458">
        <f t="shared" si="249"/>
        <v>25.385460923796533</v>
      </c>
      <c r="P289" s="458">
        <f t="shared" si="250"/>
        <v>25.09228623535515</v>
      </c>
      <c r="Q289" s="458">
        <f t="shared" si="251"/>
        <v>25.09228623535515</v>
      </c>
      <c r="R289" s="459">
        <f t="shared" si="252"/>
        <v>20.506482091100846</v>
      </c>
      <c r="S289" s="455"/>
      <c r="T289" s="456"/>
      <c r="U289" s="456"/>
      <c r="V289" s="456"/>
      <c r="W289" s="456"/>
      <c r="X289" s="456"/>
      <c r="Y289" s="456"/>
      <c r="Z289" s="455"/>
      <c r="AA289" s="456"/>
      <c r="AB289" s="456"/>
      <c r="AC289" s="456"/>
      <c r="AD289" s="456"/>
      <c r="AE289" s="456"/>
      <c r="AF289" s="456"/>
      <c r="AG289" s="33" t="str">
        <f t="shared" si="287"/>
        <v>1.11 &gt; Bolivia</v>
      </c>
      <c r="AH289" s="84">
        <f t="shared" si="288"/>
        <v>275</v>
      </c>
      <c r="AI289" s="84">
        <f t="shared" si="289"/>
        <v>11</v>
      </c>
      <c r="AJ289" s="877" t="s">
        <v>1526</v>
      </c>
    </row>
    <row r="290" spans="1:36" x14ac:dyDescent="0.2">
      <c r="A290" s="492">
        <f>INDEX(Country!$F$31:$G$76, MATCH(AI290, Country!$O$31:$O$76, 0), 1)</f>
        <v>1.1100000000000001</v>
      </c>
      <c r="B290" s="2" t="str">
        <f>INDEX(Country!$F$31:$G$76, MATCH(AI290, Country!$O$31:$O$76, 0), 2)</f>
        <v>Average retail electricity prices</v>
      </c>
      <c r="C290" s="436" t="str">
        <f>INDEX(Country!$K$31:$K$76, MATCH(AI290, Country!$O$31:$O$76, 0), 1)</f>
        <v>USD/MWh</v>
      </c>
      <c r="D290" s="4" t="str">
        <f t="shared" si="295"/>
        <v>Brazil</v>
      </c>
      <c r="E290" s="43">
        <v>115.64736989137187</v>
      </c>
      <c r="F290" s="43">
        <v>130.73401307240161</v>
      </c>
      <c r="G290" s="43">
        <v>134.49329828524182</v>
      </c>
      <c r="H290" s="43">
        <v>129.66306622596773</v>
      </c>
      <c r="I290" s="43">
        <v>148.63391548000965</v>
      </c>
      <c r="J290" s="43">
        <v>163.09797514363788</v>
      </c>
      <c r="K290" s="44">
        <v>154.96167999999997</v>
      </c>
      <c r="L290" s="457">
        <f t="shared" si="285"/>
        <v>49.301072522125217</v>
      </c>
      <c r="M290" s="458">
        <f t="shared" si="286"/>
        <v>52.126181903994869</v>
      </c>
      <c r="N290" s="458">
        <f t="shared" si="248"/>
        <v>43.266844267585434</v>
      </c>
      <c r="O290" s="458">
        <f t="shared" si="249"/>
        <v>44.360602438530265</v>
      </c>
      <c r="P290" s="458">
        <f t="shared" si="250"/>
        <v>50.263675896307106</v>
      </c>
      <c r="Q290" s="458">
        <f t="shared" si="251"/>
        <v>55.155001033840989</v>
      </c>
      <c r="R290" s="459">
        <f t="shared" si="252"/>
        <v>37.93536310059968</v>
      </c>
      <c r="S290" s="455"/>
      <c r="T290" s="456"/>
      <c r="U290" s="456"/>
      <c r="V290" s="456"/>
      <c r="W290" s="456"/>
      <c r="X290" s="456"/>
      <c r="Y290" s="456"/>
      <c r="Z290" s="455"/>
      <c r="AA290" s="456"/>
      <c r="AB290" s="456"/>
      <c r="AC290" s="456"/>
      <c r="AD290" s="456"/>
      <c r="AE290" s="456"/>
      <c r="AF290" s="456"/>
      <c r="AG290" s="33" t="str">
        <f t="shared" si="287"/>
        <v>1.11 &gt; Brazil</v>
      </c>
      <c r="AH290" s="84">
        <f t="shared" si="288"/>
        <v>276</v>
      </c>
      <c r="AI290" s="84">
        <f t="shared" si="289"/>
        <v>11</v>
      </c>
      <c r="AJ290" s="877" t="s">
        <v>1526</v>
      </c>
    </row>
    <row r="291" spans="1:36" x14ac:dyDescent="0.2">
      <c r="A291" s="492">
        <f>INDEX(Country!$F$31:$G$76, MATCH(AI291, Country!$O$31:$O$76, 0), 1)</f>
        <v>1.1100000000000001</v>
      </c>
      <c r="B291" s="2" t="str">
        <f>INDEX(Country!$F$31:$G$76, MATCH(AI291, Country!$O$31:$O$76, 0), 2)</f>
        <v>Average retail electricity prices</v>
      </c>
      <c r="C291" s="436" t="str">
        <f>INDEX(Country!$K$31:$K$76, MATCH(AI291, Country!$O$31:$O$76, 0), 1)</f>
        <v>USD/MWh</v>
      </c>
      <c r="D291" s="4" t="str">
        <f t="shared" si="295"/>
        <v>Chile</v>
      </c>
      <c r="E291" s="43">
        <v>110</v>
      </c>
      <c r="F291" s="43">
        <v>125</v>
      </c>
      <c r="G291" s="43">
        <v>205</v>
      </c>
      <c r="H291" s="43">
        <v>172.5</v>
      </c>
      <c r="I291" s="43">
        <v>192.5</v>
      </c>
      <c r="J291" s="43">
        <v>192.5</v>
      </c>
      <c r="K291" s="44">
        <v>202.29999999999998</v>
      </c>
      <c r="L291" s="457">
        <f t="shared" si="285"/>
        <v>46.893569499485672</v>
      </c>
      <c r="M291" s="458">
        <f t="shared" si="286"/>
        <v>49.839919886731145</v>
      </c>
      <c r="N291" s="458">
        <f t="shared" si="248"/>
        <v>65.949033802737077</v>
      </c>
      <c r="O291" s="458">
        <f t="shared" si="249"/>
        <v>59.0160648161038</v>
      </c>
      <c r="P291" s="458">
        <f t="shared" si="250"/>
        <v>65.09791240304402</v>
      </c>
      <c r="Q291" s="458">
        <f t="shared" si="251"/>
        <v>65.09791240304402</v>
      </c>
      <c r="R291" s="459">
        <f t="shared" si="252"/>
        <v>49.52401106680901</v>
      </c>
      <c r="S291" s="455"/>
      <c r="T291" s="456"/>
      <c r="U291" s="456"/>
      <c r="V291" s="456"/>
      <c r="W291" s="456"/>
      <c r="X291" s="456"/>
      <c r="Y291" s="456"/>
      <c r="Z291" s="455"/>
      <c r="AA291" s="456"/>
      <c r="AB291" s="456"/>
      <c r="AC291" s="456"/>
      <c r="AD291" s="456"/>
      <c r="AE291" s="456"/>
      <c r="AF291" s="456"/>
      <c r="AG291" s="33" t="str">
        <f t="shared" si="287"/>
        <v>1.11 &gt; Chile</v>
      </c>
      <c r="AH291" s="84">
        <f t="shared" si="288"/>
        <v>277</v>
      </c>
      <c r="AI291" s="84">
        <f t="shared" si="289"/>
        <v>11</v>
      </c>
      <c r="AJ291" s="877" t="s">
        <v>1526</v>
      </c>
    </row>
    <row r="292" spans="1:36" x14ac:dyDescent="0.2">
      <c r="A292" s="492">
        <f>INDEX(Country!$F$31:$G$76, MATCH(AI292, Country!$O$31:$O$76, 0), 1)</f>
        <v>1.1100000000000001</v>
      </c>
      <c r="B292" s="2" t="str">
        <f>INDEX(Country!$F$31:$G$76, MATCH(AI292, Country!$O$31:$O$76, 0), 2)</f>
        <v>Average retail electricity prices</v>
      </c>
      <c r="C292" s="436" t="str">
        <f>INDEX(Country!$K$31:$K$76, MATCH(AI292, Country!$O$31:$O$76, 0), 1)</f>
        <v>USD/MWh</v>
      </c>
      <c r="D292" s="4" t="str">
        <f t="shared" si="295"/>
        <v>Colombia</v>
      </c>
      <c r="E292" s="43">
        <v>82.620146773486624</v>
      </c>
      <c r="F292" s="43">
        <v>77.468267676531539</v>
      </c>
      <c r="G292" s="43">
        <v>111.01973261531198</v>
      </c>
      <c r="H292" s="43">
        <v>242.05889112015277</v>
      </c>
      <c r="I292" s="43">
        <v>166.69481303387997</v>
      </c>
      <c r="J292" s="43">
        <v>185.12590798787846</v>
      </c>
      <c r="K292" s="44">
        <v>170</v>
      </c>
      <c r="L292" s="457">
        <f t="shared" si="285"/>
        <v>35.221396316183657</v>
      </c>
      <c r="M292" s="458">
        <f t="shared" si="286"/>
        <v>30.888098038097407</v>
      </c>
      <c r="N292" s="458">
        <f t="shared" si="248"/>
        <v>35.715337068380698</v>
      </c>
      <c r="O292" s="458">
        <f t="shared" si="249"/>
        <v>82.813699754557376</v>
      </c>
      <c r="P292" s="458">
        <f t="shared" si="250"/>
        <v>56.371347204786083</v>
      </c>
      <c r="Q292" s="458">
        <f t="shared" si="251"/>
        <v>62.604208528461818</v>
      </c>
      <c r="R292" s="459">
        <f t="shared" si="252"/>
        <v>41.616816022528582</v>
      </c>
      <c r="S292" s="455"/>
      <c r="T292" s="456"/>
      <c r="U292" s="456"/>
      <c r="V292" s="456"/>
      <c r="W292" s="456"/>
      <c r="X292" s="456"/>
      <c r="Y292" s="456"/>
      <c r="Z292" s="455"/>
      <c r="AA292" s="456"/>
      <c r="AB292" s="456"/>
      <c r="AC292" s="456"/>
      <c r="AD292" s="456"/>
      <c r="AE292" s="456"/>
      <c r="AF292" s="456"/>
      <c r="AG292" s="33" t="str">
        <f t="shared" si="287"/>
        <v>1.11 &gt; Colombia</v>
      </c>
      <c r="AH292" s="84">
        <f t="shared" si="288"/>
        <v>278</v>
      </c>
      <c r="AI292" s="84">
        <f t="shared" si="289"/>
        <v>11</v>
      </c>
      <c r="AJ292" s="877" t="s">
        <v>1526</v>
      </c>
    </row>
    <row r="293" spans="1:36" x14ac:dyDescent="0.2">
      <c r="A293" s="492">
        <f>INDEX(Country!$F$31:$G$76, MATCH(AI293, Country!$O$31:$O$76, 0), 1)</f>
        <v>1.1100000000000001</v>
      </c>
      <c r="B293" s="2" t="str">
        <f>INDEX(Country!$F$31:$G$76, MATCH(AI293, Country!$O$31:$O$76, 0), 2)</f>
        <v>Average retail electricity prices</v>
      </c>
      <c r="C293" s="436" t="str">
        <f>INDEX(Country!$K$31:$K$76, MATCH(AI293, Country!$O$31:$O$76, 0), 1)</f>
        <v>USD/MWh</v>
      </c>
      <c r="D293" s="4" t="str">
        <f t="shared" si="295"/>
        <v>Costa Rica</v>
      </c>
      <c r="E293" s="43">
        <v>82.542384678320118</v>
      </c>
      <c r="F293" s="43">
        <v>89.328881154164989</v>
      </c>
      <c r="G293" s="43">
        <v>104.69079320447433</v>
      </c>
      <c r="H293" s="43">
        <v>127.40028574353892</v>
      </c>
      <c r="I293" s="43">
        <v>144.18402750142457</v>
      </c>
      <c r="J293" s="43">
        <v>149.30803618050936</v>
      </c>
      <c r="K293" s="44">
        <v>151.31585355599213</v>
      </c>
      <c r="L293" s="457">
        <f t="shared" si="285"/>
        <v>35.188245932418965</v>
      </c>
      <c r="M293" s="458">
        <f t="shared" si="286"/>
        <v>35.617154242359284</v>
      </c>
      <c r="N293" s="458">
        <f t="shared" si="248"/>
        <v>33.679300779888955</v>
      </c>
      <c r="O293" s="458">
        <f t="shared" si="249"/>
        <v>43.586455194381664</v>
      </c>
      <c r="P293" s="458">
        <f t="shared" si="250"/>
        <v>48.758852946523781</v>
      </c>
      <c r="Q293" s="458">
        <f t="shared" si="251"/>
        <v>50.491643949866635</v>
      </c>
      <c r="R293" s="459">
        <f t="shared" si="252"/>
        <v>37.042847286656482</v>
      </c>
      <c r="S293" s="455"/>
      <c r="T293" s="456"/>
      <c r="U293" s="456"/>
      <c r="V293" s="456"/>
      <c r="W293" s="456"/>
      <c r="X293" s="456"/>
      <c r="Y293" s="456"/>
      <c r="Z293" s="455"/>
      <c r="AA293" s="456"/>
      <c r="AB293" s="456"/>
      <c r="AC293" s="456"/>
      <c r="AD293" s="456"/>
      <c r="AE293" s="456"/>
      <c r="AF293" s="456"/>
      <c r="AG293" s="33" t="str">
        <f t="shared" si="287"/>
        <v>1.11 &gt; Costa Rica</v>
      </c>
      <c r="AH293" s="84">
        <f t="shared" si="288"/>
        <v>279</v>
      </c>
      <c r="AI293" s="84">
        <f t="shared" si="289"/>
        <v>11</v>
      </c>
      <c r="AJ293" s="877" t="s">
        <v>1526</v>
      </c>
    </row>
    <row r="294" spans="1:36" x14ac:dyDescent="0.2">
      <c r="A294" s="492">
        <f>INDEX(Country!$F$31:$G$76, MATCH(AI294, Country!$O$31:$O$76, 0), 1)</f>
        <v>1.1100000000000001</v>
      </c>
      <c r="B294" s="2" t="str">
        <f>INDEX(Country!$F$31:$G$76, MATCH(AI294, Country!$O$31:$O$76, 0), 2)</f>
        <v>Average retail electricity prices</v>
      </c>
      <c r="C294" s="436" t="str">
        <f>INDEX(Country!$K$31:$K$76, MATCH(AI294, Country!$O$31:$O$76, 0), 1)</f>
        <v>USD/MWh</v>
      </c>
      <c r="D294" s="4" t="str">
        <f t="shared" si="295"/>
        <v>Dominican Republic</v>
      </c>
      <c r="E294" s="43">
        <v>162.19424348105278</v>
      </c>
      <c r="F294" s="43">
        <v>182.64822959102381</v>
      </c>
      <c r="G294" s="43">
        <v>162.54969835078271</v>
      </c>
      <c r="H294" s="43">
        <v>164.68794044980078</v>
      </c>
      <c r="I294" s="43">
        <v>174.65082120500367</v>
      </c>
      <c r="J294" s="43">
        <v>197.94092331945035</v>
      </c>
      <c r="K294" s="44">
        <v>219.60090000000005</v>
      </c>
      <c r="L294" s="457">
        <f t="shared" si="285"/>
        <v>69.144245719047717</v>
      </c>
      <c r="M294" s="458">
        <f t="shared" si="286"/>
        <v>72.825385042159226</v>
      </c>
      <c r="N294" s="458">
        <f t="shared" si="248"/>
        <v>52.292661225173099</v>
      </c>
      <c r="O294" s="458">
        <f t="shared" si="249"/>
        <v>56.343386481252665</v>
      </c>
      <c r="P294" s="458">
        <f t="shared" si="250"/>
        <v>59.061838233366402</v>
      </c>
      <c r="Q294" s="458">
        <f t="shared" si="251"/>
        <v>66.937874738842766</v>
      </c>
      <c r="R294" s="459">
        <f t="shared" si="252"/>
        <v>53.759354433421755</v>
      </c>
      <c r="S294" s="455"/>
      <c r="T294" s="456"/>
      <c r="U294" s="456"/>
      <c r="V294" s="456"/>
      <c r="W294" s="456"/>
      <c r="X294" s="456"/>
      <c r="Y294" s="456"/>
      <c r="Z294" s="455"/>
      <c r="AA294" s="456"/>
      <c r="AB294" s="456"/>
      <c r="AC294" s="456"/>
      <c r="AD294" s="456"/>
      <c r="AE294" s="456"/>
      <c r="AF294" s="456"/>
      <c r="AG294" s="33" t="str">
        <f t="shared" si="287"/>
        <v>1.11 &gt; Dominican Republic</v>
      </c>
      <c r="AH294" s="84">
        <f t="shared" si="288"/>
        <v>280</v>
      </c>
      <c r="AI294" s="84">
        <f t="shared" si="289"/>
        <v>11</v>
      </c>
      <c r="AJ294" s="877" t="s">
        <v>1526</v>
      </c>
    </row>
    <row r="295" spans="1:36" x14ac:dyDescent="0.2">
      <c r="A295" s="492">
        <f>INDEX(Country!$F$31:$G$76, MATCH(AI295, Country!$O$31:$O$76, 0), 1)</f>
        <v>1.1100000000000001</v>
      </c>
      <c r="B295" s="2" t="str">
        <f>INDEX(Country!$F$31:$G$76, MATCH(AI295, Country!$O$31:$O$76, 0), 2)</f>
        <v>Average retail electricity prices</v>
      </c>
      <c r="C295" s="436" t="str">
        <f>INDEX(Country!$K$31:$K$76, MATCH(AI295, Country!$O$31:$O$76, 0), 1)</f>
        <v>USD/MWh</v>
      </c>
      <c r="D295" s="4" t="str">
        <f t="shared" si="295"/>
        <v>Ecuador</v>
      </c>
      <c r="E295" s="43">
        <v>98.233333333333334</v>
      </c>
      <c r="F295" s="43">
        <v>83.63333333333334</v>
      </c>
      <c r="G295" s="43">
        <v>81.466666666666669</v>
      </c>
      <c r="H295" s="43">
        <v>78.133333333333326</v>
      </c>
      <c r="I295" s="43">
        <v>78.666666666666671</v>
      </c>
      <c r="J295" s="43">
        <v>78.8</v>
      </c>
      <c r="K295" s="44">
        <v>78.284848484848496</v>
      </c>
      <c r="L295" s="457">
        <f t="shared" ref="L295:L326" si="296">IFERROR(dbl_BenchmarkMax*E295/ SUMIFS(E$15:E$1256, $D$15:$D$1256, "Benchmark", $B$15:$B$1256,$B295), 0)</f>
        <v>41.87737858029827</v>
      </c>
      <c r="M295" s="458">
        <f t="shared" ref="M295:M326" si="297">IFERROR(dbl_BenchmarkMax*F295/ SUMIFS(F$15:F$1256, $D$15:$D$1256, "Benchmark", $B$15:$B$1256,$B295), 0)</f>
        <v>33.346229065548918</v>
      </c>
      <c r="N295" s="458">
        <f t="shared" ref="N295:N358" si="298">IFERROR(dbl_BenchmarkMax*G295/ SUMIFS(G$15:G$1256, $D$15:$D$1256, "Benchmark", $B$15:$B$1256,$B295), 0)</f>
        <v>26.208038799006413</v>
      </c>
      <c r="O295" s="458">
        <f t="shared" ref="O295:O358" si="299">IFERROR(dbl_BenchmarkMax*H295/ SUMIFS(H$15:H$1256, $D$15:$D$1256, "Benchmark", $B$15:$B$1256,$B295), 0)</f>
        <v>26.731141242308652</v>
      </c>
      <c r="P295" s="458">
        <f t="shared" ref="P295:P358" si="300">IFERROR(dbl_BenchmarkMax*I295/ SUMIFS(I$15:I$1256, $D$15:$D$1256, "Benchmark", $B$15:$B$1256,$B295), 0)</f>
        <v>26.602783250421457</v>
      </c>
      <c r="Q295" s="458">
        <f t="shared" ref="Q295:Q358" si="301">IFERROR(dbl_BenchmarkMax*J295/ SUMIFS(J$15:J$1256, $D$15:$D$1256, "Benchmark", $B$15:$B$1256,$B295), 0)</f>
        <v>26.647872713557764</v>
      </c>
      <c r="R295" s="459">
        <f t="shared" ref="R295:R358" si="302">IFERROR(dbl_BenchmarkMax*K295/ SUMIFS(K$15:K$1256, $D$15:$D$1256, "Benchmark", $B$15:$B$1256,$B295), 0)</f>
        <v>19.164506686738029</v>
      </c>
      <c r="S295" s="455"/>
      <c r="T295" s="456"/>
      <c r="U295" s="456"/>
      <c r="V295" s="456"/>
      <c r="W295" s="456"/>
      <c r="X295" s="456"/>
      <c r="Y295" s="456"/>
      <c r="Z295" s="455"/>
      <c r="AA295" s="456"/>
      <c r="AB295" s="456"/>
      <c r="AC295" s="456"/>
      <c r="AD295" s="456"/>
      <c r="AE295" s="456"/>
      <c r="AF295" s="456"/>
      <c r="AG295" s="33" t="str">
        <f t="shared" si="287"/>
        <v>1.11 &gt; Ecuador</v>
      </c>
      <c r="AH295" s="84">
        <f t="shared" si="288"/>
        <v>281</v>
      </c>
      <c r="AI295" s="84">
        <f t="shared" si="289"/>
        <v>11</v>
      </c>
      <c r="AJ295" s="877" t="s">
        <v>1526</v>
      </c>
    </row>
    <row r="296" spans="1:36" x14ac:dyDescent="0.2">
      <c r="A296" s="492">
        <f>INDEX(Country!$F$31:$G$76, MATCH(AI296, Country!$O$31:$O$76, 0), 1)</f>
        <v>1.1100000000000001</v>
      </c>
      <c r="B296" s="2" t="str">
        <f>INDEX(Country!$F$31:$G$76, MATCH(AI296, Country!$O$31:$O$76, 0), 2)</f>
        <v>Average retail electricity prices</v>
      </c>
      <c r="C296" s="436" t="str">
        <f>INDEX(Country!$K$31:$K$76, MATCH(AI296, Country!$O$31:$O$76, 0), 1)</f>
        <v>USD/MWh</v>
      </c>
      <c r="D296" s="4" t="str">
        <f t="shared" si="295"/>
        <v>El Salvador</v>
      </c>
      <c r="E296" s="43">
        <v>131.30000000000001</v>
      </c>
      <c r="F296" s="43">
        <v>140.1</v>
      </c>
      <c r="G296" s="43">
        <v>137.9</v>
      </c>
      <c r="H296" s="43">
        <v>179.2</v>
      </c>
      <c r="I296" s="43">
        <v>169.4</v>
      </c>
      <c r="J296" s="43">
        <v>187.7</v>
      </c>
      <c r="K296" s="44">
        <v>210.33333333333334</v>
      </c>
      <c r="L296" s="457">
        <f t="shared" si="296"/>
        <v>55.973869775295178</v>
      </c>
      <c r="M296" s="458">
        <f t="shared" si="297"/>
        <v>55.860582209048268</v>
      </c>
      <c r="N296" s="458">
        <f t="shared" si="298"/>
        <v>44.362789079987529</v>
      </c>
      <c r="O296" s="458">
        <f t="shared" si="299"/>
        <v>61.308282985772756</v>
      </c>
      <c r="P296" s="458">
        <f t="shared" si="300"/>
        <v>57.286162914678741</v>
      </c>
      <c r="Q296" s="458">
        <f t="shared" si="301"/>
        <v>63.474691730136954</v>
      </c>
      <c r="R296" s="459">
        <f t="shared" si="302"/>
        <v>51.490609627873603</v>
      </c>
      <c r="S296" s="455"/>
      <c r="T296" s="456"/>
      <c r="U296" s="456"/>
      <c r="V296" s="456"/>
      <c r="W296" s="456"/>
      <c r="X296" s="456"/>
      <c r="Y296" s="456"/>
      <c r="Z296" s="455"/>
      <c r="AA296" s="456"/>
      <c r="AB296" s="456"/>
      <c r="AC296" s="456"/>
      <c r="AD296" s="456"/>
      <c r="AE296" s="456"/>
      <c r="AF296" s="456"/>
      <c r="AG296" s="33" t="str">
        <f t="shared" si="287"/>
        <v>1.11 &gt; El Salvador</v>
      </c>
      <c r="AH296" s="84">
        <f t="shared" si="288"/>
        <v>282</v>
      </c>
      <c r="AI296" s="84">
        <f t="shared" si="289"/>
        <v>11</v>
      </c>
      <c r="AJ296" s="877" t="s">
        <v>1526</v>
      </c>
    </row>
    <row r="297" spans="1:36" x14ac:dyDescent="0.2">
      <c r="A297" s="492">
        <f>INDEX(Country!$F$31:$G$76, MATCH(AI297, Country!$O$31:$O$76, 0), 1)</f>
        <v>1.1100000000000001</v>
      </c>
      <c r="B297" s="2" t="str">
        <f>INDEX(Country!$F$31:$G$76, MATCH(AI297, Country!$O$31:$O$76, 0), 2)</f>
        <v>Average retail electricity prices</v>
      </c>
      <c r="C297" s="436" t="str">
        <f>INDEX(Country!$K$31:$K$76, MATCH(AI297, Country!$O$31:$O$76, 0), 1)</f>
        <v>USD/MWh</v>
      </c>
      <c r="D297" s="4" t="str">
        <f t="shared" si="295"/>
        <v>Guatemala</v>
      </c>
      <c r="E297" s="43">
        <v>0</v>
      </c>
      <c r="F297" s="43">
        <v>0</v>
      </c>
      <c r="G297" s="43">
        <v>0</v>
      </c>
      <c r="H297" s="43">
        <v>0</v>
      </c>
      <c r="I297" s="43">
        <v>0</v>
      </c>
      <c r="J297" s="43">
        <v>0</v>
      </c>
      <c r="K297" s="44">
        <v>0</v>
      </c>
      <c r="L297" s="457">
        <f t="shared" si="296"/>
        <v>0</v>
      </c>
      <c r="M297" s="458">
        <f t="shared" si="297"/>
        <v>0</v>
      </c>
      <c r="N297" s="458">
        <f t="shared" si="298"/>
        <v>0</v>
      </c>
      <c r="O297" s="458">
        <f t="shared" si="299"/>
        <v>0</v>
      </c>
      <c r="P297" s="458">
        <f t="shared" si="300"/>
        <v>0</v>
      </c>
      <c r="Q297" s="458">
        <f t="shared" si="301"/>
        <v>0</v>
      </c>
      <c r="R297" s="459">
        <f t="shared" si="302"/>
        <v>0</v>
      </c>
      <c r="S297" s="455"/>
      <c r="T297" s="456"/>
      <c r="U297" s="456"/>
      <c r="V297" s="456"/>
      <c r="W297" s="456"/>
      <c r="X297" s="456"/>
      <c r="Y297" s="456"/>
      <c r="Z297" s="455"/>
      <c r="AA297" s="456"/>
      <c r="AB297" s="456"/>
      <c r="AC297" s="456"/>
      <c r="AD297" s="456"/>
      <c r="AE297" s="456"/>
      <c r="AF297" s="456"/>
      <c r="AG297" s="33" t="str">
        <f t="shared" si="287"/>
        <v>1.11 &gt; Guatemala</v>
      </c>
      <c r="AH297" s="84">
        <f t="shared" si="288"/>
        <v>283</v>
      </c>
      <c r="AI297" s="84">
        <f t="shared" si="289"/>
        <v>11</v>
      </c>
      <c r="AJ297" s="877" t="s">
        <v>1526</v>
      </c>
    </row>
    <row r="298" spans="1:36" x14ac:dyDescent="0.2">
      <c r="A298" s="492">
        <f>INDEX(Country!$F$31:$G$76, MATCH(AI298, Country!$O$31:$O$76, 0), 1)</f>
        <v>1.1100000000000001</v>
      </c>
      <c r="B298" s="2" t="str">
        <f>INDEX(Country!$F$31:$G$76, MATCH(AI298, Country!$O$31:$O$76, 0), 2)</f>
        <v>Average retail electricity prices</v>
      </c>
      <c r="C298" s="436" t="str">
        <f>INDEX(Country!$K$31:$K$76, MATCH(AI298, Country!$O$31:$O$76, 0), 1)</f>
        <v>USD/MWh</v>
      </c>
      <c r="D298" s="4" t="str">
        <f t="shared" si="295"/>
        <v>Guyana</v>
      </c>
      <c r="E298" s="540">
        <v>0</v>
      </c>
      <c r="F298" s="540">
        <v>0</v>
      </c>
      <c r="G298" s="540">
        <v>292.86529680365294</v>
      </c>
      <c r="H298" s="540">
        <v>292.29329427083331</v>
      </c>
      <c r="I298" s="540">
        <v>292.86529680365294</v>
      </c>
      <c r="J298" s="540">
        <v>293.2957700473624</v>
      </c>
      <c r="K298" s="76">
        <v>295.32149317546458</v>
      </c>
      <c r="L298" s="457">
        <f t="shared" si="296"/>
        <v>0</v>
      </c>
      <c r="M298" s="458">
        <f t="shared" si="297"/>
        <v>0</v>
      </c>
      <c r="N298" s="458">
        <f t="shared" si="298"/>
        <v>94.215528578306021</v>
      </c>
      <c r="O298" s="458">
        <f t="shared" si="299"/>
        <v>100</v>
      </c>
      <c r="P298" s="458">
        <f t="shared" si="300"/>
        <v>99.038542530990583</v>
      </c>
      <c r="Q298" s="458">
        <f t="shared" si="301"/>
        <v>99.184116086891123</v>
      </c>
      <c r="R298" s="459">
        <f t="shared" si="302"/>
        <v>72.296119111657291</v>
      </c>
      <c r="S298" s="455"/>
      <c r="T298" s="456"/>
      <c r="U298" s="456"/>
      <c r="V298" s="456"/>
      <c r="W298" s="456"/>
      <c r="X298" s="456"/>
      <c r="Y298" s="456"/>
      <c r="Z298" s="455"/>
      <c r="AA298" s="456"/>
      <c r="AB298" s="456"/>
      <c r="AC298" s="456"/>
      <c r="AD298" s="456"/>
      <c r="AE298" s="456"/>
      <c r="AF298" s="456"/>
      <c r="AG298" s="33" t="str">
        <f t="shared" si="287"/>
        <v>1.11 &gt; Guyana</v>
      </c>
      <c r="AH298" s="84">
        <f t="shared" si="288"/>
        <v>284</v>
      </c>
      <c r="AI298" s="84">
        <f t="shared" si="289"/>
        <v>11</v>
      </c>
      <c r="AJ298" s="877" t="s">
        <v>1526</v>
      </c>
    </row>
    <row r="299" spans="1:36" x14ac:dyDescent="0.2">
      <c r="A299" s="492">
        <f>INDEX(Country!$F$31:$G$76, MATCH(AI299, Country!$O$31:$O$76, 0), 1)</f>
        <v>1.1100000000000001</v>
      </c>
      <c r="B299" s="2" t="str">
        <f>INDEX(Country!$F$31:$G$76, MATCH(AI299, Country!$O$31:$O$76, 0), 2)</f>
        <v>Average retail electricity prices</v>
      </c>
      <c r="C299" s="436" t="str">
        <f>INDEX(Country!$K$31:$K$76, MATCH(AI299, Country!$O$31:$O$76, 0), 1)</f>
        <v>USD/MWh</v>
      </c>
      <c r="D299" s="4" t="str">
        <f t="shared" si="295"/>
        <v>Haiti</v>
      </c>
      <c r="E299" s="540">
        <v>168.31527777777777</v>
      </c>
      <c r="F299" s="540">
        <v>181.62083333333331</v>
      </c>
      <c r="G299" s="540">
        <v>170.97638888888889</v>
      </c>
      <c r="H299" s="540">
        <v>292.17794444444445</v>
      </c>
      <c r="I299" s="540">
        <v>293.34200000000004</v>
      </c>
      <c r="J299" s="540">
        <v>288.68577777777779</v>
      </c>
      <c r="K299" s="76">
        <v>279.37333333333339</v>
      </c>
      <c r="L299" s="457">
        <f t="shared" si="296"/>
        <v>71.753674329976889</v>
      </c>
      <c r="M299" s="458">
        <f t="shared" si="297"/>
        <v>72.415742264757455</v>
      </c>
      <c r="N299" s="458">
        <f t="shared" si="298"/>
        <v>55.003549513674415</v>
      </c>
      <c r="O299" s="458">
        <f t="shared" si="299"/>
        <v>99.960536273445257</v>
      </c>
      <c r="P299" s="458">
        <f t="shared" si="300"/>
        <v>99.199749714980484</v>
      </c>
      <c r="Q299" s="458">
        <f t="shared" si="301"/>
        <v>97.62515051315539</v>
      </c>
      <c r="R299" s="459">
        <f t="shared" si="302"/>
        <v>68.391933029022866</v>
      </c>
      <c r="S299" s="455"/>
      <c r="T299" s="456"/>
      <c r="U299" s="456"/>
      <c r="V299" s="456"/>
      <c r="W299" s="456"/>
      <c r="X299" s="456"/>
      <c r="Y299" s="456"/>
      <c r="Z299" s="455"/>
      <c r="AA299" s="456"/>
      <c r="AB299" s="456"/>
      <c r="AC299" s="456"/>
      <c r="AD299" s="456"/>
      <c r="AE299" s="456"/>
      <c r="AF299" s="456"/>
      <c r="AG299" s="33" t="str">
        <f t="shared" si="287"/>
        <v>1.11 &gt; Haiti</v>
      </c>
      <c r="AH299" s="84">
        <f t="shared" si="288"/>
        <v>285</v>
      </c>
      <c r="AI299" s="84">
        <f t="shared" si="289"/>
        <v>11</v>
      </c>
      <c r="AJ299" s="877" t="s">
        <v>1526</v>
      </c>
    </row>
    <row r="300" spans="1:36" x14ac:dyDescent="0.2">
      <c r="A300" s="492">
        <f>INDEX(Country!$F$31:$G$76, MATCH(AI300, Country!$O$31:$O$76, 0), 1)</f>
        <v>1.1100000000000001</v>
      </c>
      <c r="B300" s="2" t="str">
        <f>INDEX(Country!$F$31:$G$76, MATCH(AI300, Country!$O$31:$O$76, 0), 2)</f>
        <v>Average retail electricity prices</v>
      </c>
      <c r="C300" s="436" t="str">
        <f>INDEX(Country!$K$31:$K$76, MATCH(AI300, Country!$O$31:$O$76, 0), 1)</f>
        <v>USD/MWh</v>
      </c>
      <c r="D300" s="4" t="str">
        <f t="shared" si="295"/>
        <v>Honduras</v>
      </c>
      <c r="E300" s="43">
        <v>106.62376438727151</v>
      </c>
      <c r="F300" s="43">
        <v>105.0592123769339</v>
      </c>
      <c r="G300" s="43">
        <v>137.11380311121431</v>
      </c>
      <c r="H300" s="43">
        <v>128.11851000000001</v>
      </c>
      <c r="I300" s="43">
        <v>128.11851000000001</v>
      </c>
      <c r="J300" s="43">
        <v>128.11851000000001</v>
      </c>
      <c r="K300" s="44">
        <v>125.45441999999998</v>
      </c>
      <c r="L300" s="457">
        <f t="shared" si="296"/>
        <v>45.454262778102745</v>
      </c>
      <c r="M300" s="458">
        <f t="shared" si="297"/>
        <v>41.889141825835672</v>
      </c>
      <c r="N300" s="458">
        <f t="shared" si="298"/>
        <v>44.109867493674685</v>
      </c>
      <c r="O300" s="458">
        <f t="shared" si="299"/>
        <v>43.832175595957359</v>
      </c>
      <c r="P300" s="458">
        <f t="shared" si="300"/>
        <v>43.325961252927385</v>
      </c>
      <c r="Q300" s="458">
        <f t="shared" si="301"/>
        <v>43.325961252927385</v>
      </c>
      <c r="R300" s="459">
        <f t="shared" si="302"/>
        <v>30.711844213841349</v>
      </c>
      <c r="S300" s="455"/>
      <c r="T300" s="456"/>
      <c r="U300" s="456"/>
      <c r="V300" s="456"/>
      <c r="W300" s="456"/>
      <c r="X300" s="456"/>
      <c r="Y300" s="456"/>
      <c r="Z300" s="455"/>
      <c r="AA300" s="456"/>
      <c r="AB300" s="456"/>
      <c r="AC300" s="456"/>
      <c r="AD300" s="456"/>
      <c r="AE300" s="456"/>
      <c r="AF300" s="456"/>
      <c r="AG300" s="33" t="str">
        <f t="shared" si="287"/>
        <v>1.11 &gt; Honduras</v>
      </c>
      <c r="AH300" s="84">
        <f t="shared" si="288"/>
        <v>286</v>
      </c>
      <c r="AI300" s="84">
        <f t="shared" si="289"/>
        <v>11</v>
      </c>
      <c r="AJ300" s="877" t="s">
        <v>1526</v>
      </c>
    </row>
    <row r="301" spans="1:36" x14ac:dyDescent="0.2">
      <c r="A301" s="492">
        <f>INDEX(Country!$F$31:$G$76, MATCH(AI301, Country!$O$31:$O$76, 0), 1)</f>
        <v>1.1100000000000001</v>
      </c>
      <c r="B301" s="2" t="str">
        <f>INDEX(Country!$F$31:$G$76, MATCH(AI301, Country!$O$31:$O$76, 0), 2)</f>
        <v>Average retail electricity prices</v>
      </c>
      <c r="C301" s="436" t="str">
        <f>INDEX(Country!$K$31:$K$76, MATCH(AI301, Country!$O$31:$O$76, 0), 1)</f>
        <v>USD/MWh</v>
      </c>
      <c r="D301" s="4" t="str">
        <f t="shared" si="295"/>
        <v>Jamaica</v>
      </c>
      <c r="E301" s="43">
        <v>234.57374043834832</v>
      </c>
      <c r="F301" s="43">
        <v>250.80297136127356</v>
      </c>
      <c r="G301" s="43">
        <v>310.84610066189003</v>
      </c>
      <c r="H301" s="43">
        <v>247.68670966872023</v>
      </c>
      <c r="I301" s="43">
        <v>295.70840737282776</v>
      </c>
      <c r="J301" s="43">
        <v>295.70840737282776</v>
      </c>
      <c r="K301" s="44">
        <v>408.48872222222212</v>
      </c>
      <c r="L301" s="457">
        <f t="shared" si="296"/>
        <v>100</v>
      </c>
      <c r="M301" s="458">
        <f t="shared" si="297"/>
        <v>100</v>
      </c>
      <c r="N301" s="458">
        <f t="shared" si="298"/>
        <v>100</v>
      </c>
      <c r="O301" s="458">
        <f t="shared" si="299"/>
        <v>84.73910093853145</v>
      </c>
      <c r="P301" s="458">
        <f t="shared" si="300"/>
        <v>100</v>
      </c>
      <c r="Q301" s="458">
        <f t="shared" si="301"/>
        <v>100</v>
      </c>
      <c r="R301" s="459">
        <f t="shared" si="302"/>
        <v>100</v>
      </c>
      <c r="S301" s="455"/>
      <c r="T301" s="456"/>
      <c r="U301" s="456"/>
      <c r="V301" s="456"/>
      <c r="W301" s="456"/>
      <c r="X301" s="456"/>
      <c r="Y301" s="456"/>
      <c r="Z301" s="455"/>
      <c r="AA301" s="456"/>
      <c r="AB301" s="456"/>
      <c r="AC301" s="456"/>
      <c r="AD301" s="456"/>
      <c r="AE301" s="456"/>
      <c r="AF301" s="456"/>
      <c r="AG301" s="33" t="str">
        <f t="shared" si="287"/>
        <v>1.11 &gt; Jamaica</v>
      </c>
      <c r="AH301" s="84">
        <f t="shared" si="288"/>
        <v>287</v>
      </c>
      <c r="AI301" s="84">
        <f t="shared" si="289"/>
        <v>11</v>
      </c>
      <c r="AJ301" s="877" t="s">
        <v>1526</v>
      </c>
    </row>
    <row r="302" spans="1:36" x14ac:dyDescent="0.2">
      <c r="A302" s="492">
        <f>INDEX(Country!$F$31:$G$76, MATCH(AI302, Country!$O$31:$O$76, 0), 1)</f>
        <v>1.1100000000000001</v>
      </c>
      <c r="B302" s="2" t="str">
        <f>INDEX(Country!$F$31:$G$76, MATCH(AI302, Country!$O$31:$O$76, 0), 2)</f>
        <v>Average retail electricity prices</v>
      </c>
      <c r="C302" s="436" t="str">
        <f>INDEX(Country!$K$31:$K$76, MATCH(AI302, Country!$O$31:$O$76, 0), 1)</f>
        <v>USD/MWh</v>
      </c>
      <c r="D302" s="4" t="str">
        <f t="shared" si="295"/>
        <v>Mexico</v>
      </c>
      <c r="E302" s="43">
        <v>90.641049256651939</v>
      </c>
      <c r="F302" s="43">
        <v>94.069286604785518</v>
      </c>
      <c r="G302" s="43">
        <v>104.94624108022391</v>
      </c>
      <c r="H302" s="43">
        <v>99.94127563809937</v>
      </c>
      <c r="I302" s="43">
        <v>108.857200825438</v>
      </c>
      <c r="J302" s="43">
        <v>111.68202531793027</v>
      </c>
      <c r="K302" s="44">
        <v>142.20873600000002</v>
      </c>
      <c r="L302" s="457">
        <f t="shared" si="296"/>
        <v>38.640748571119197</v>
      </c>
      <c r="M302" s="458">
        <f t="shared" si="297"/>
        <v>37.507245665475693</v>
      </c>
      <c r="N302" s="458">
        <f t="shared" si="298"/>
        <v>33.761479026682352</v>
      </c>
      <c r="O302" s="458">
        <f t="shared" si="299"/>
        <v>34.192120584708221</v>
      </c>
      <c r="P302" s="458">
        <f t="shared" si="300"/>
        <v>36.812345578051605</v>
      </c>
      <c r="Q302" s="458">
        <f t="shared" si="301"/>
        <v>37.767619226707374</v>
      </c>
      <c r="R302" s="459">
        <f t="shared" si="302"/>
        <v>34.813381193578451</v>
      </c>
      <c r="S302" s="455"/>
      <c r="T302" s="456"/>
      <c r="U302" s="456"/>
      <c r="V302" s="456"/>
      <c r="W302" s="456"/>
      <c r="X302" s="456"/>
      <c r="Y302" s="456"/>
      <c r="Z302" s="455"/>
      <c r="AA302" s="456"/>
      <c r="AB302" s="456"/>
      <c r="AC302" s="456"/>
      <c r="AD302" s="456"/>
      <c r="AE302" s="456"/>
      <c r="AF302" s="456"/>
      <c r="AG302" s="33" t="str">
        <f t="shared" si="287"/>
        <v>1.11 &gt; Mexico</v>
      </c>
      <c r="AH302" s="84">
        <f t="shared" si="288"/>
        <v>288</v>
      </c>
      <c r="AI302" s="84">
        <f t="shared" si="289"/>
        <v>11</v>
      </c>
      <c r="AJ302" s="877" t="s">
        <v>1526</v>
      </c>
    </row>
    <row r="303" spans="1:36" x14ac:dyDescent="0.2">
      <c r="A303" s="492">
        <f>INDEX(Country!$F$31:$G$76, MATCH(AI303, Country!$O$31:$O$76, 0), 1)</f>
        <v>1.1100000000000001</v>
      </c>
      <c r="B303" s="2" t="str">
        <f>INDEX(Country!$F$31:$G$76, MATCH(AI303, Country!$O$31:$O$76, 0), 2)</f>
        <v>Average retail electricity prices</v>
      </c>
      <c r="C303" s="436" t="str">
        <f>INDEX(Country!$K$31:$K$76, MATCH(AI303, Country!$O$31:$O$76, 0), 1)</f>
        <v>USD/MWh</v>
      </c>
      <c r="D303" s="4" t="str">
        <f t="shared" si="295"/>
        <v>Nicaragua</v>
      </c>
      <c r="E303" s="43">
        <v>157.20882000490491</v>
      </c>
      <c r="F303" s="43">
        <v>162.81098544351232</v>
      </c>
      <c r="G303" s="43">
        <v>192.90952632240788</v>
      </c>
      <c r="H303" s="43">
        <v>168.63840862165111</v>
      </c>
      <c r="I303" s="43">
        <v>183.72358585676682</v>
      </c>
      <c r="J303" s="43">
        <v>183.72358585676682</v>
      </c>
      <c r="K303" s="44">
        <v>250.33333333333334</v>
      </c>
      <c r="L303" s="457">
        <f t="shared" si="296"/>
        <v>67.018933880292195</v>
      </c>
      <c r="M303" s="458">
        <f t="shared" si="297"/>
        <v>64.915891769475238</v>
      </c>
      <c r="N303" s="458">
        <f t="shared" si="298"/>
        <v>62.059496938080372</v>
      </c>
      <c r="O303" s="458">
        <f t="shared" si="299"/>
        <v>57.694929006956286</v>
      </c>
      <c r="P303" s="458">
        <f t="shared" si="300"/>
        <v>62.129983888191916</v>
      </c>
      <c r="Q303" s="458">
        <f t="shared" si="301"/>
        <v>62.129983888191916</v>
      </c>
      <c r="R303" s="459">
        <f t="shared" si="302"/>
        <v>61.282801633174444</v>
      </c>
      <c r="S303" s="455"/>
      <c r="T303" s="456"/>
      <c r="U303" s="456"/>
      <c r="V303" s="456"/>
      <c r="W303" s="456"/>
      <c r="X303" s="456"/>
      <c r="Y303" s="456"/>
      <c r="Z303" s="455"/>
      <c r="AA303" s="456"/>
      <c r="AB303" s="456"/>
      <c r="AC303" s="456"/>
      <c r="AD303" s="456"/>
      <c r="AE303" s="456"/>
      <c r="AF303" s="456"/>
      <c r="AG303" s="33" t="str">
        <f t="shared" si="287"/>
        <v>1.11 &gt; Nicaragua</v>
      </c>
      <c r="AH303" s="84">
        <f t="shared" si="288"/>
        <v>289</v>
      </c>
      <c r="AI303" s="84">
        <f t="shared" si="289"/>
        <v>11</v>
      </c>
      <c r="AJ303" s="877" t="s">
        <v>1526</v>
      </c>
    </row>
    <row r="304" spans="1:36" x14ac:dyDescent="0.2">
      <c r="A304" s="492">
        <f>INDEX(Country!$F$31:$G$76, MATCH(AI304, Country!$O$31:$O$76, 0), 1)</f>
        <v>1.1100000000000001</v>
      </c>
      <c r="B304" s="2" t="str">
        <f>INDEX(Country!$F$31:$G$76, MATCH(AI304, Country!$O$31:$O$76, 0), 2)</f>
        <v>Average retail electricity prices</v>
      </c>
      <c r="C304" s="436" t="str">
        <f>INDEX(Country!$K$31:$K$76, MATCH(AI304, Country!$O$31:$O$76, 0), 1)</f>
        <v>USD/MWh</v>
      </c>
      <c r="D304" s="4" t="str">
        <f t="shared" si="295"/>
        <v>Panama</v>
      </c>
      <c r="E304" s="43">
        <v>142.17777777777778</v>
      </c>
      <c r="F304" s="43">
        <v>130.97777777777779</v>
      </c>
      <c r="G304" s="43">
        <v>188.55833333333337</v>
      </c>
      <c r="H304" s="43">
        <v>142.15</v>
      </c>
      <c r="I304" s="43">
        <v>152.76111111111109</v>
      </c>
      <c r="J304" s="43">
        <v>144.92222222222225</v>
      </c>
      <c r="K304" s="44">
        <v>146.23333333333332</v>
      </c>
      <c r="L304" s="457">
        <f t="shared" si="296"/>
        <v>60.611122759133195</v>
      </c>
      <c r="M304" s="458">
        <f t="shared" si="297"/>
        <v>52.223375611092159</v>
      </c>
      <c r="N304" s="458">
        <f t="shared" si="298"/>
        <v>60.659706823354966</v>
      </c>
      <c r="O304" s="458">
        <f t="shared" si="299"/>
        <v>48.632658629618291</v>
      </c>
      <c r="P304" s="458">
        <f t="shared" si="300"/>
        <v>51.65937366079369</v>
      </c>
      <c r="Q304" s="458">
        <f t="shared" si="301"/>
        <v>49.008488973904953</v>
      </c>
      <c r="R304" s="459">
        <f t="shared" si="302"/>
        <v>35.798621939378997</v>
      </c>
      <c r="S304" s="455"/>
      <c r="T304" s="456"/>
      <c r="U304" s="456"/>
      <c r="V304" s="456"/>
      <c r="W304" s="456"/>
      <c r="X304" s="456"/>
      <c r="Y304" s="456"/>
      <c r="Z304" s="455"/>
      <c r="AA304" s="456"/>
      <c r="AB304" s="456"/>
      <c r="AC304" s="456"/>
      <c r="AD304" s="456"/>
      <c r="AE304" s="456"/>
      <c r="AF304" s="456"/>
      <c r="AG304" s="33" t="str">
        <f t="shared" si="287"/>
        <v>1.11 &gt; Panama</v>
      </c>
      <c r="AH304" s="84">
        <f t="shared" si="288"/>
        <v>290</v>
      </c>
      <c r="AI304" s="84">
        <f t="shared" si="289"/>
        <v>11</v>
      </c>
      <c r="AJ304" s="877" t="s">
        <v>1526</v>
      </c>
    </row>
    <row r="305" spans="1:36" x14ac:dyDescent="0.2">
      <c r="A305" s="492">
        <f>INDEX(Country!$F$31:$G$76, MATCH(AI305, Country!$O$31:$O$76, 0), 1)</f>
        <v>1.1100000000000001</v>
      </c>
      <c r="B305" s="2" t="str">
        <f>INDEX(Country!$F$31:$G$76, MATCH(AI305, Country!$O$31:$O$76, 0), 2)</f>
        <v>Average retail electricity prices</v>
      </c>
      <c r="C305" s="436" t="str">
        <f>INDEX(Country!$K$31:$K$76, MATCH(AI305, Country!$O$31:$O$76, 0), 1)</f>
        <v>USD/MWh</v>
      </c>
      <c r="D305" s="4" t="str">
        <f t="shared" si="295"/>
        <v>Paraguay</v>
      </c>
      <c r="E305" s="43">
        <v>55.382919999999999</v>
      </c>
      <c r="F305" s="43">
        <v>61.896960000000007</v>
      </c>
      <c r="G305" s="43">
        <v>71.74094199999999</v>
      </c>
      <c r="H305" s="43">
        <v>66.226700701331879</v>
      </c>
      <c r="I305" s="43">
        <v>67.575682158512748</v>
      </c>
      <c r="J305" s="43">
        <v>77.424096771424033</v>
      </c>
      <c r="K305" s="44">
        <v>72.365200231978363</v>
      </c>
      <c r="L305" s="457">
        <f t="shared" si="296"/>
        <v>23.610025528222316</v>
      </c>
      <c r="M305" s="458">
        <f t="shared" si="297"/>
        <v>24.679516221057622</v>
      </c>
      <c r="N305" s="458">
        <f t="shared" si="298"/>
        <v>23.079247848771704</v>
      </c>
      <c r="O305" s="458">
        <f t="shared" si="299"/>
        <v>22.657618905197154</v>
      </c>
      <c r="P305" s="458">
        <f t="shared" si="300"/>
        <v>22.852134221978222</v>
      </c>
      <c r="Q305" s="458">
        <f t="shared" si="301"/>
        <v>26.182582179277741</v>
      </c>
      <c r="R305" s="459">
        <f t="shared" si="302"/>
        <v>17.715348379339328</v>
      </c>
      <c r="S305" s="455"/>
      <c r="T305" s="456"/>
      <c r="U305" s="456"/>
      <c r="V305" s="456"/>
      <c r="W305" s="456"/>
      <c r="X305" s="456"/>
      <c r="Y305" s="456"/>
      <c r="Z305" s="455"/>
      <c r="AA305" s="456"/>
      <c r="AB305" s="456"/>
      <c r="AC305" s="456"/>
      <c r="AD305" s="456"/>
      <c r="AE305" s="456"/>
      <c r="AF305" s="456"/>
      <c r="AG305" s="33" t="str">
        <f t="shared" si="287"/>
        <v>1.11 &gt; Paraguay</v>
      </c>
      <c r="AH305" s="84">
        <f t="shared" si="288"/>
        <v>291</v>
      </c>
      <c r="AI305" s="84">
        <f t="shared" si="289"/>
        <v>11</v>
      </c>
      <c r="AJ305" s="877" t="s">
        <v>1526</v>
      </c>
    </row>
    <row r="306" spans="1:36" x14ac:dyDescent="0.2">
      <c r="A306" s="492">
        <f>INDEX(Country!$F$31:$G$76, MATCH(AI306, Country!$O$31:$O$76, 0), 1)</f>
        <v>1.1100000000000001</v>
      </c>
      <c r="B306" s="2" t="str">
        <f>INDEX(Country!$F$31:$G$76, MATCH(AI306, Country!$O$31:$O$76, 0), 2)</f>
        <v>Average retail electricity prices</v>
      </c>
      <c r="C306" s="436" t="str">
        <f>INDEX(Country!$K$31:$K$76, MATCH(AI306, Country!$O$31:$O$76, 0), 1)</f>
        <v>USD/MWh</v>
      </c>
      <c r="D306" s="4" t="str">
        <f t="shared" si="295"/>
        <v>Peru</v>
      </c>
      <c r="E306" s="43">
        <v>83.466666666666683</v>
      </c>
      <c r="F306" s="43">
        <v>82.7</v>
      </c>
      <c r="G306" s="43">
        <v>90.166666666666671</v>
      </c>
      <c r="H306" s="43">
        <v>93.066666666666677</v>
      </c>
      <c r="I306" s="43">
        <v>94.899999999999991</v>
      </c>
      <c r="J306" s="43">
        <v>97.388249304634471</v>
      </c>
      <c r="K306" s="44">
        <v>97.388249304634471</v>
      </c>
      <c r="L306" s="457">
        <f t="shared" si="296"/>
        <v>35.582272129306709</v>
      </c>
      <c r="M306" s="458">
        <f t="shared" si="297"/>
        <v>32.974090997061325</v>
      </c>
      <c r="N306" s="458">
        <f t="shared" si="298"/>
        <v>29.006851453073793</v>
      </c>
      <c r="O306" s="458">
        <f t="shared" si="299"/>
        <v>31.840164824456391</v>
      </c>
      <c r="P306" s="458">
        <f t="shared" si="300"/>
        <v>32.0924253872669</v>
      </c>
      <c r="Q306" s="458">
        <f t="shared" si="301"/>
        <v>32.933879076981341</v>
      </c>
      <c r="R306" s="459">
        <f t="shared" si="302"/>
        <v>23.841110906277173</v>
      </c>
      <c r="S306" s="455"/>
      <c r="T306" s="456"/>
      <c r="U306" s="456"/>
      <c r="V306" s="456"/>
      <c r="W306" s="456"/>
      <c r="X306" s="456"/>
      <c r="Y306" s="456"/>
      <c r="Z306" s="455"/>
      <c r="AA306" s="456"/>
      <c r="AB306" s="456"/>
      <c r="AC306" s="456"/>
      <c r="AD306" s="456"/>
      <c r="AE306" s="456"/>
      <c r="AF306" s="456"/>
      <c r="AG306" s="33" t="str">
        <f t="shared" si="287"/>
        <v>1.11 &gt; Peru</v>
      </c>
      <c r="AH306" s="84">
        <f t="shared" si="288"/>
        <v>292</v>
      </c>
      <c r="AI306" s="84">
        <f t="shared" si="289"/>
        <v>11</v>
      </c>
      <c r="AJ306" s="877" t="s">
        <v>1526</v>
      </c>
    </row>
    <row r="307" spans="1:36" x14ac:dyDescent="0.2">
      <c r="A307" s="492">
        <f>INDEX(Country!$F$31:$G$76, MATCH(AI307, Country!$O$31:$O$76, 0), 1)</f>
        <v>1.1100000000000001</v>
      </c>
      <c r="B307" s="2" t="str">
        <f>INDEX(Country!$F$31:$G$76, MATCH(AI307, Country!$O$31:$O$76, 0), 2)</f>
        <v>Average retail electricity prices</v>
      </c>
      <c r="C307" s="436" t="str">
        <f>INDEX(Country!$K$31:$K$76, MATCH(AI307, Country!$O$31:$O$76, 0), 1)</f>
        <v>USD/MWh</v>
      </c>
      <c r="D307" s="4" t="str">
        <f t="shared" si="295"/>
        <v>Suriname</v>
      </c>
      <c r="E307" s="43">
        <v>0</v>
      </c>
      <c r="F307" s="43">
        <v>0</v>
      </c>
      <c r="G307" s="43">
        <v>0</v>
      </c>
      <c r="H307" s="43">
        <v>0</v>
      </c>
      <c r="I307" s="43">
        <v>0</v>
      </c>
      <c r="J307" s="43">
        <v>0</v>
      </c>
      <c r="K307" s="44">
        <v>3.9496455833333333E-2</v>
      </c>
      <c r="L307" s="457">
        <f t="shared" si="296"/>
        <v>0</v>
      </c>
      <c r="M307" s="458">
        <f t="shared" si="297"/>
        <v>0</v>
      </c>
      <c r="N307" s="458">
        <f t="shared" si="298"/>
        <v>0</v>
      </c>
      <c r="O307" s="458">
        <f t="shared" si="299"/>
        <v>0</v>
      </c>
      <c r="P307" s="458">
        <f t="shared" si="300"/>
        <v>0</v>
      </c>
      <c r="Q307" s="458">
        <f t="shared" si="301"/>
        <v>0</v>
      </c>
      <c r="R307" s="459">
        <f t="shared" si="302"/>
        <v>9.6689219762221106E-3</v>
      </c>
      <c r="S307" s="455"/>
      <c r="T307" s="456"/>
      <c r="U307" s="456"/>
      <c r="V307" s="456"/>
      <c r="W307" s="456"/>
      <c r="X307" s="456"/>
      <c r="Y307" s="456"/>
      <c r="Z307" s="455"/>
      <c r="AA307" s="456"/>
      <c r="AB307" s="456"/>
      <c r="AC307" s="456"/>
      <c r="AD307" s="456"/>
      <c r="AE307" s="456"/>
      <c r="AF307" s="456"/>
      <c r="AG307" s="33" t="str">
        <f t="shared" si="287"/>
        <v>1.11 &gt; Suriname</v>
      </c>
      <c r="AH307" s="84">
        <f t="shared" si="288"/>
        <v>293</v>
      </c>
      <c r="AI307" s="84">
        <f t="shared" si="289"/>
        <v>11</v>
      </c>
      <c r="AJ307" s="877" t="s">
        <v>1526</v>
      </c>
    </row>
    <row r="308" spans="1:36" x14ac:dyDescent="0.2">
      <c r="A308" s="492">
        <f>INDEX(Country!$F$31:$G$76, MATCH(AI308, Country!$O$31:$O$76, 0), 1)</f>
        <v>1.1100000000000001</v>
      </c>
      <c r="B308" s="2" t="str">
        <f>INDEX(Country!$F$31:$G$76, MATCH(AI308, Country!$O$31:$O$76, 0), 2)</f>
        <v>Average retail electricity prices</v>
      </c>
      <c r="C308" s="436" t="str">
        <f>INDEX(Country!$K$31:$K$76, MATCH(AI308, Country!$O$31:$O$76, 0), 1)</f>
        <v>USD/MWh</v>
      </c>
      <c r="D308" s="4" t="str">
        <f t="shared" si="295"/>
        <v>Trinidad &amp; Tobago</v>
      </c>
      <c r="E308" s="43">
        <v>0</v>
      </c>
      <c r="F308" s="43">
        <v>0</v>
      </c>
      <c r="G308" s="43">
        <v>0</v>
      </c>
      <c r="H308" s="43">
        <v>0</v>
      </c>
      <c r="I308" s="43">
        <v>0</v>
      </c>
      <c r="J308" s="43">
        <v>0</v>
      </c>
      <c r="K308" s="44">
        <v>55.015375555555551</v>
      </c>
      <c r="L308" s="457">
        <f t="shared" si="296"/>
        <v>0</v>
      </c>
      <c r="M308" s="458">
        <f t="shared" si="297"/>
        <v>0</v>
      </c>
      <c r="N308" s="458">
        <f t="shared" si="298"/>
        <v>0</v>
      </c>
      <c r="O308" s="458">
        <f t="shared" si="299"/>
        <v>0</v>
      </c>
      <c r="P308" s="458">
        <f t="shared" si="300"/>
        <v>0</v>
      </c>
      <c r="Q308" s="458">
        <f t="shared" si="301"/>
        <v>0</v>
      </c>
      <c r="R308" s="459">
        <f t="shared" si="302"/>
        <v>13.46802801709336</v>
      </c>
      <c r="S308" s="455"/>
      <c r="T308" s="456"/>
      <c r="U308" s="456"/>
      <c r="V308" s="456"/>
      <c r="W308" s="456"/>
      <c r="X308" s="456"/>
      <c r="Y308" s="456"/>
      <c r="Z308" s="455"/>
      <c r="AA308" s="456"/>
      <c r="AB308" s="456"/>
      <c r="AC308" s="456"/>
      <c r="AD308" s="456"/>
      <c r="AE308" s="456"/>
      <c r="AF308" s="456"/>
      <c r="AG308" s="33" t="str">
        <f t="shared" si="287"/>
        <v>1.11 &gt; Trinidad &amp; Tobago</v>
      </c>
      <c r="AH308" s="84">
        <f t="shared" si="288"/>
        <v>294</v>
      </c>
      <c r="AI308" s="84">
        <f t="shared" si="289"/>
        <v>11</v>
      </c>
      <c r="AJ308" s="877" t="s">
        <v>1526</v>
      </c>
    </row>
    <row r="309" spans="1:36" x14ac:dyDescent="0.2">
      <c r="A309" s="492">
        <f>INDEX(Country!$F$31:$G$76, MATCH(AI309, Country!$O$31:$O$76, 0), 1)</f>
        <v>1.1100000000000001</v>
      </c>
      <c r="B309" s="2" t="str">
        <f>INDEX(Country!$F$31:$G$76, MATCH(AI309, Country!$O$31:$O$76, 0), 2)</f>
        <v>Average retail electricity prices</v>
      </c>
      <c r="C309" s="436" t="str">
        <f>INDEX(Country!$K$31:$K$76, MATCH(AI309, Country!$O$31:$O$76, 0), 1)</f>
        <v>USD/MWh</v>
      </c>
      <c r="D309" s="4" t="str">
        <f t="shared" si="295"/>
        <v>Uruguay</v>
      </c>
      <c r="E309" s="43">
        <v>196.67853285759199</v>
      </c>
      <c r="F309" s="43">
        <v>219.722468594308</v>
      </c>
      <c r="G309" s="43">
        <v>265.32362715040495</v>
      </c>
      <c r="H309" s="43">
        <v>282.84088114378295</v>
      </c>
      <c r="I309" s="43">
        <v>233.15977877641262</v>
      </c>
      <c r="J309" s="43">
        <v>254.47362220954051</v>
      </c>
      <c r="K309" s="44">
        <v>261.70733201891017</v>
      </c>
      <c r="L309" s="457">
        <f t="shared" si="296"/>
        <v>83.845076814676062</v>
      </c>
      <c r="M309" s="458">
        <f t="shared" si="297"/>
        <v>87.607601856440894</v>
      </c>
      <c r="N309" s="458">
        <f t="shared" si="298"/>
        <v>85.355301734667634</v>
      </c>
      <c r="O309" s="458">
        <f t="shared" si="299"/>
        <v>96.766120430292204</v>
      </c>
      <c r="P309" s="458">
        <f t="shared" si="300"/>
        <v>78.847869375065116</v>
      </c>
      <c r="Q309" s="458">
        <f t="shared" si="301"/>
        <v>86.055592558347982</v>
      </c>
      <c r="R309" s="459">
        <f t="shared" si="302"/>
        <v>64.06721110810463</v>
      </c>
      <c r="S309" s="455"/>
      <c r="T309" s="456"/>
      <c r="U309" s="456"/>
      <c r="V309" s="456"/>
      <c r="W309" s="456"/>
      <c r="X309" s="456"/>
      <c r="Y309" s="456"/>
      <c r="Z309" s="455"/>
      <c r="AA309" s="456"/>
      <c r="AB309" s="456"/>
      <c r="AC309" s="456"/>
      <c r="AD309" s="456"/>
      <c r="AE309" s="456"/>
      <c r="AF309" s="456"/>
      <c r="AG309" s="33" t="str">
        <f t="shared" si="287"/>
        <v>1.11 &gt; Uruguay</v>
      </c>
      <c r="AH309" s="84">
        <f t="shared" si="288"/>
        <v>295</v>
      </c>
      <c r="AI309" s="84">
        <f t="shared" si="289"/>
        <v>11</v>
      </c>
      <c r="AJ309" s="877" t="s">
        <v>1526</v>
      </c>
    </row>
    <row r="310" spans="1:36" x14ac:dyDescent="0.2">
      <c r="A310" s="491">
        <f>INDEX(Country!$F$31:$G$76, MATCH(AI310, Country!$O$31:$O$76, 0), 1)</f>
        <v>1.1100000000000001</v>
      </c>
      <c r="B310" s="386" t="str">
        <f>INDEX(Country!$F$31:$G$76, MATCH(AI310, Country!$O$31:$O$76, 0), 2)</f>
        <v>Average retail electricity prices</v>
      </c>
      <c r="C310" s="437" t="str">
        <f>INDEX(Country!$K$31:$K$76, MATCH(AI310, Country!$O$31:$O$76, 0), 1)</f>
        <v>USD/MWh</v>
      </c>
      <c r="D310" s="86" t="str">
        <f t="shared" si="295"/>
        <v>Venezuela</v>
      </c>
      <c r="E310" s="374">
        <v>34.278816782415568</v>
      </c>
      <c r="F310" s="374">
        <v>35.764456331504796</v>
      </c>
      <c r="G310" s="374">
        <v>35.868364065944114</v>
      </c>
      <c r="H310" s="374">
        <v>36.881778468808811</v>
      </c>
      <c r="I310" s="374">
        <v>23.158942756896305</v>
      </c>
      <c r="J310" s="374">
        <v>24.387986787753466</v>
      </c>
      <c r="K310" s="399">
        <v>25.55714831460989</v>
      </c>
      <c r="L310" s="460">
        <f t="shared" si="296"/>
        <v>14.61323706496673</v>
      </c>
      <c r="M310" s="461">
        <f t="shared" si="297"/>
        <v>14.259981106837548</v>
      </c>
      <c r="N310" s="461">
        <f t="shared" si="298"/>
        <v>11.538946118213799</v>
      </c>
      <c r="O310" s="461">
        <f t="shared" si="299"/>
        <v>12.618072050135666</v>
      </c>
      <c r="P310" s="461">
        <f t="shared" si="300"/>
        <v>7.8316822178469945</v>
      </c>
      <c r="Q310" s="461">
        <f t="shared" si="301"/>
        <v>8.2473092342637404</v>
      </c>
      <c r="R310" s="462">
        <f t="shared" si="302"/>
        <v>6.2565125851152716</v>
      </c>
      <c r="S310" s="455"/>
      <c r="T310" s="456"/>
      <c r="U310" s="456"/>
      <c r="V310" s="456"/>
      <c r="W310" s="456"/>
      <c r="X310" s="456"/>
      <c r="Y310" s="456"/>
      <c r="Z310" s="455"/>
      <c r="AA310" s="456"/>
      <c r="AB310" s="456"/>
      <c r="AC310" s="456"/>
      <c r="AD310" s="456"/>
      <c r="AE310" s="456"/>
      <c r="AF310" s="456"/>
      <c r="AG310" s="90" t="str">
        <f t="shared" si="287"/>
        <v>1.11 &gt; Venezuela</v>
      </c>
      <c r="AH310" s="392">
        <f t="shared" si="288"/>
        <v>296</v>
      </c>
      <c r="AI310" s="392">
        <f t="shared" si="289"/>
        <v>11</v>
      </c>
      <c r="AJ310" s="878" t="s">
        <v>1526</v>
      </c>
    </row>
    <row r="311" spans="1:36" x14ac:dyDescent="0.2">
      <c r="A311" s="490">
        <f>INDEX(Country!$F$31:$G$76, MATCH(AI311, Country!$O$31:$O$76, 0), 1)</f>
        <v>1.1100000000000001</v>
      </c>
      <c r="B311" s="387" t="str">
        <f>INDEX(Country!$F$31:$G$76, MATCH(AI311, Country!$O$31:$O$76, 0), 2)</f>
        <v>Average retail electricity prices</v>
      </c>
      <c r="C311" s="438" t="str">
        <f>INDEX(Country!$K$31:$K$76, MATCH(AI311, Country!$O$31:$O$76, 0), 1)</f>
        <v>USD/MWh</v>
      </c>
      <c r="D311" s="32" t="str">
        <f t="shared" si="295"/>
        <v>Benchmark</v>
      </c>
      <c r="E311" s="365">
        <f>IFERROR(MAX(E285:E310), 0)</f>
        <v>234.57374043834832</v>
      </c>
      <c r="F311" s="365">
        <f t="shared" ref="F311" si="303">IFERROR(MAX(F285:F310), 0)</f>
        <v>250.80297136127356</v>
      </c>
      <c r="G311" s="365">
        <f t="shared" ref="G311" si="304">IFERROR(MAX(G285:G310), 0)</f>
        <v>310.84610066189003</v>
      </c>
      <c r="H311" s="365">
        <f t="shared" ref="H311" si="305">IFERROR(MAX(H285:H310), 0)</f>
        <v>292.29329427083331</v>
      </c>
      <c r="I311" s="365">
        <f t="shared" ref="I311" si="306">IFERROR(MAX(I285:I310), 0)</f>
        <v>295.70840737282776</v>
      </c>
      <c r="J311" s="365">
        <f t="shared" ref="J311:K311" si="307">IFERROR(MAX(J285:J310), 0)</f>
        <v>295.70840737282776</v>
      </c>
      <c r="K311" s="593">
        <f t="shared" si="307"/>
        <v>408.48872222222212</v>
      </c>
      <c r="L311" s="585">
        <f t="shared" si="296"/>
        <v>100</v>
      </c>
      <c r="M311" s="463">
        <f t="shared" si="297"/>
        <v>100</v>
      </c>
      <c r="N311" s="463">
        <f t="shared" si="298"/>
        <v>100</v>
      </c>
      <c r="O311" s="463">
        <f t="shared" si="299"/>
        <v>100</v>
      </c>
      <c r="P311" s="463">
        <f t="shared" si="300"/>
        <v>100</v>
      </c>
      <c r="Q311" s="463">
        <f t="shared" si="301"/>
        <v>100</v>
      </c>
      <c r="R311" s="586">
        <f t="shared" si="302"/>
        <v>100</v>
      </c>
      <c r="S311" s="393"/>
      <c r="T311" s="394"/>
      <c r="U311" s="376"/>
      <c r="V311" s="376"/>
      <c r="W311" s="376"/>
      <c r="X311" s="376"/>
      <c r="Y311" s="376"/>
      <c r="Z311" s="393"/>
      <c r="AA311" s="394"/>
      <c r="AB311" s="376"/>
      <c r="AC311" s="376"/>
      <c r="AD311" s="376"/>
      <c r="AE311" s="376"/>
      <c r="AF311" s="401"/>
      <c r="AG311" s="34" t="str">
        <f t="shared" si="287"/>
        <v>1.11 &gt; Benchmark</v>
      </c>
      <c r="AH311" s="85">
        <f t="shared" si="288"/>
        <v>297</v>
      </c>
      <c r="AI311" s="85">
        <f t="shared" si="289"/>
        <v>11</v>
      </c>
      <c r="AJ311" s="871" t="s">
        <v>1526</v>
      </c>
    </row>
    <row r="312" spans="1:36" x14ac:dyDescent="0.2">
      <c r="A312" s="587">
        <f>INDEX(Country!$F$31:$G$76, MATCH(AI312, Country!$O$31:$O$76, 0), 1)</f>
        <v>1.1200000000000001</v>
      </c>
      <c r="B312" s="588" t="str">
        <f>INDEX(Country!$F$31:$G$76, MATCH(AI312, Country!$O$31:$O$76, 0), 2)</f>
        <v>Average residential electricity prices</v>
      </c>
      <c r="C312" s="589" t="str">
        <f>INDEX(Country!$K$31:$K$76, MATCH(AI312, Country!$O$31:$O$76, 0), 1)</f>
        <v>USD/MWh</v>
      </c>
      <c r="D312" s="590" t="str">
        <f t="shared" ref="D312:D362" si="308">D285</f>
        <v>Argentina</v>
      </c>
      <c r="E312" s="605">
        <v>0</v>
      </c>
      <c r="F312" s="605">
        <v>0</v>
      </c>
      <c r="G312" s="605">
        <v>0</v>
      </c>
      <c r="H312" s="605">
        <v>0</v>
      </c>
      <c r="I312" s="605">
        <v>0</v>
      </c>
      <c r="J312" s="605">
        <v>0</v>
      </c>
      <c r="K312" s="606">
        <v>66.825048104317389</v>
      </c>
      <c r="L312" s="580">
        <f t="shared" si="296"/>
        <v>0</v>
      </c>
      <c r="M312" s="581">
        <f t="shared" si="297"/>
        <v>0</v>
      </c>
      <c r="N312" s="581">
        <f t="shared" si="298"/>
        <v>0</v>
      </c>
      <c r="O312" s="581">
        <f t="shared" si="299"/>
        <v>0</v>
      </c>
      <c r="P312" s="581">
        <f t="shared" si="300"/>
        <v>0</v>
      </c>
      <c r="Q312" s="581">
        <f t="shared" si="301"/>
        <v>0</v>
      </c>
      <c r="R312" s="582">
        <f t="shared" si="302"/>
        <v>17.111461432808252</v>
      </c>
      <c r="S312" s="455"/>
      <c r="T312" s="456"/>
      <c r="U312" s="456"/>
      <c r="V312" s="456"/>
      <c r="W312" s="456"/>
      <c r="X312" s="456"/>
      <c r="Y312" s="456"/>
      <c r="Z312" s="455"/>
      <c r="AA312" s="456"/>
      <c r="AB312" s="456"/>
      <c r="AC312" s="456"/>
      <c r="AD312" s="456"/>
      <c r="AE312" s="456"/>
      <c r="AF312" s="456"/>
      <c r="AG312" s="396" t="str">
        <f t="shared" si="287"/>
        <v>1.12 &gt; Argentina</v>
      </c>
      <c r="AH312" s="397">
        <f t="shared" si="288"/>
        <v>298</v>
      </c>
      <c r="AI312" s="397">
        <f t="shared" si="289"/>
        <v>12</v>
      </c>
      <c r="AJ312" s="879" t="s">
        <v>1526</v>
      </c>
    </row>
    <row r="313" spans="1:36" x14ac:dyDescent="0.2">
      <c r="A313" s="492">
        <f>INDEX(Country!$F$31:$G$76, MATCH(AI313, Country!$O$31:$O$76, 0), 1)</f>
        <v>1.1200000000000001</v>
      </c>
      <c r="B313" s="2" t="str">
        <f>INDEX(Country!$F$31:$G$76, MATCH(AI313, Country!$O$31:$O$76, 0), 2)</f>
        <v>Average residential electricity prices</v>
      </c>
      <c r="C313" s="436" t="str">
        <f>INDEX(Country!$K$31:$K$76, MATCH(AI313, Country!$O$31:$O$76, 0), 1)</f>
        <v>USD/MWh</v>
      </c>
      <c r="D313" s="4" t="str">
        <f t="shared" si="308"/>
        <v>Bahamas</v>
      </c>
      <c r="E313" s="540">
        <v>0</v>
      </c>
      <c r="F313" s="540">
        <v>0</v>
      </c>
      <c r="G313" s="540">
        <v>0</v>
      </c>
      <c r="H313" s="540">
        <v>0</v>
      </c>
      <c r="I313" s="540">
        <v>0</v>
      </c>
      <c r="J313" s="540">
        <v>0</v>
      </c>
      <c r="K313" s="76">
        <v>162.22857142857143</v>
      </c>
      <c r="L313" s="457">
        <f t="shared" si="296"/>
        <v>0</v>
      </c>
      <c r="M313" s="458">
        <f t="shared" si="297"/>
        <v>0</v>
      </c>
      <c r="N313" s="458">
        <f t="shared" si="298"/>
        <v>0</v>
      </c>
      <c r="O313" s="458">
        <f t="shared" si="299"/>
        <v>0</v>
      </c>
      <c r="P313" s="458">
        <f t="shared" si="300"/>
        <v>0</v>
      </c>
      <c r="Q313" s="458">
        <f t="shared" si="301"/>
        <v>0</v>
      </c>
      <c r="R313" s="459">
        <f t="shared" si="302"/>
        <v>41.540829704546532</v>
      </c>
      <c r="S313" s="455"/>
      <c r="T313" s="456"/>
      <c r="U313" s="456"/>
      <c r="V313" s="456"/>
      <c r="W313" s="456"/>
      <c r="X313" s="456"/>
      <c r="Y313" s="456"/>
      <c r="Z313" s="455"/>
      <c r="AA313" s="456"/>
      <c r="AB313" s="456"/>
      <c r="AC313" s="456"/>
      <c r="AD313" s="456"/>
      <c r="AE313" s="456"/>
      <c r="AF313" s="456"/>
      <c r="AG313" s="33" t="str">
        <f t="shared" si="287"/>
        <v>1.12 &gt; Bahamas</v>
      </c>
      <c r="AH313" s="84">
        <f t="shared" si="288"/>
        <v>299</v>
      </c>
      <c r="AI313" s="84">
        <f t="shared" si="289"/>
        <v>12</v>
      </c>
      <c r="AJ313" s="877" t="s">
        <v>1526</v>
      </c>
    </row>
    <row r="314" spans="1:36" x14ac:dyDescent="0.2">
      <c r="A314" s="492">
        <f>INDEX(Country!$F$31:$G$76, MATCH(AI314, Country!$O$31:$O$76, 0), 1)</f>
        <v>1.1200000000000001</v>
      </c>
      <c r="B314" s="2" t="str">
        <f>INDEX(Country!$F$31:$G$76, MATCH(AI314, Country!$O$31:$O$76, 0), 2)</f>
        <v>Average residential electricity prices</v>
      </c>
      <c r="C314" s="436" t="str">
        <f>INDEX(Country!$K$31:$K$76, MATCH(AI314, Country!$O$31:$O$76, 0), 1)</f>
        <v>USD/MWh</v>
      </c>
      <c r="D314" s="4" t="str">
        <f t="shared" si="308"/>
        <v>Barbados</v>
      </c>
      <c r="E314" s="540">
        <v>0</v>
      </c>
      <c r="F314" s="540">
        <v>0</v>
      </c>
      <c r="G314" s="540">
        <v>0</v>
      </c>
      <c r="H314" s="540">
        <v>0</v>
      </c>
      <c r="I314" s="540">
        <v>0</v>
      </c>
      <c r="J314" s="540">
        <v>0</v>
      </c>
      <c r="K314" s="76">
        <v>93.75</v>
      </c>
      <c r="L314" s="457">
        <f t="shared" si="296"/>
        <v>0</v>
      </c>
      <c r="M314" s="458">
        <f t="shared" si="297"/>
        <v>0</v>
      </c>
      <c r="N314" s="458">
        <f t="shared" si="298"/>
        <v>0</v>
      </c>
      <c r="O314" s="458">
        <f t="shared" si="299"/>
        <v>0</v>
      </c>
      <c r="P314" s="458">
        <f t="shared" si="300"/>
        <v>0</v>
      </c>
      <c r="Q314" s="458">
        <f t="shared" si="301"/>
        <v>0</v>
      </c>
      <c r="R314" s="459">
        <f t="shared" si="302"/>
        <v>24.005961160275326</v>
      </c>
      <c r="S314" s="455"/>
      <c r="T314" s="456"/>
      <c r="U314" s="456"/>
      <c r="V314" s="456"/>
      <c r="W314" s="456"/>
      <c r="X314" s="456"/>
      <c r="Y314" s="456"/>
      <c r="Z314" s="455"/>
      <c r="AA314" s="456"/>
      <c r="AB314" s="456"/>
      <c r="AC314" s="456"/>
      <c r="AD314" s="456"/>
      <c r="AE314" s="456"/>
      <c r="AF314" s="456"/>
      <c r="AG314" s="33" t="str">
        <f t="shared" si="287"/>
        <v>1.12 &gt; Barbados</v>
      </c>
      <c r="AH314" s="84">
        <f t="shared" si="288"/>
        <v>300</v>
      </c>
      <c r="AI314" s="84">
        <f t="shared" si="289"/>
        <v>12</v>
      </c>
      <c r="AJ314" s="877" t="s">
        <v>1526</v>
      </c>
    </row>
    <row r="315" spans="1:36" x14ac:dyDescent="0.2">
      <c r="A315" s="492">
        <f>INDEX(Country!$F$31:$G$76, MATCH(AI315, Country!$O$31:$O$76, 0), 1)</f>
        <v>1.1200000000000001</v>
      </c>
      <c r="B315" s="2" t="str">
        <f>INDEX(Country!$F$31:$G$76, MATCH(AI315, Country!$O$31:$O$76, 0), 2)</f>
        <v>Average residential electricity prices</v>
      </c>
      <c r="C315" s="436" t="str">
        <f>INDEX(Country!$K$31:$K$76, MATCH(AI315, Country!$O$31:$O$76, 0), 1)</f>
        <v>USD/MWh</v>
      </c>
      <c r="D315" s="4" t="str">
        <f t="shared" si="308"/>
        <v>Belize</v>
      </c>
      <c r="E315" s="540">
        <v>0</v>
      </c>
      <c r="F315" s="540">
        <v>0</v>
      </c>
      <c r="G315" s="540">
        <v>0</v>
      </c>
      <c r="H315" s="540">
        <v>0</v>
      </c>
      <c r="I315" s="540">
        <v>0</v>
      </c>
      <c r="J315" s="540">
        <v>0</v>
      </c>
      <c r="K315" s="76">
        <v>216.21358435177501</v>
      </c>
      <c r="L315" s="457">
        <f t="shared" si="296"/>
        <v>0</v>
      </c>
      <c r="M315" s="458">
        <f t="shared" si="297"/>
        <v>0</v>
      </c>
      <c r="N315" s="458">
        <f t="shared" si="298"/>
        <v>0</v>
      </c>
      <c r="O315" s="458">
        <f t="shared" si="299"/>
        <v>0</v>
      </c>
      <c r="P315" s="458">
        <f t="shared" si="300"/>
        <v>0</v>
      </c>
      <c r="Q315" s="458">
        <f t="shared" si="301"/>
        <v>0</v>
      </c>
      <c r="R315" s="459">
        <f t="shared" si="302"/>
        <v>55.364425688241326</v>
      </c>
      <c r="S315" s="455"/>
      <c r="T315" s="456"/>
      <c r="U315" s="456"/>
      <c r="V315" s="456"/>
      <c r="W315" s="456"/>
      <c r="X315" s="456"/>
      <c r="Y315" s="456"/>
      <c r="Z315" s="455"/>
      <c r="AA315" s="456"/>
      <c r="AB315" s="456"/>
      <c r="AC315" s="456"/>
      <c r="AD315" s="456"/>
      <c r="AE315" s="456"/>
      <c r="AF315" s="456"/>
      <c r="AG315" s="33" t="str">
        <f t="shared" si="287"/>
        <v>1.12 &gt; Belize</v>
      </c>
      <c r="AH315" s="84">
        <f t="shared" si="288"/>
        <v>301</v>
      </c>
      <c r="AI315" s="84">
        <f t="shared" si="289"/>
        <v>12</v>
      </c>
      <c r="AJ315" s="877" t="s">
        <v>1526</v>
      </c>
    </row>
    <row r="316" spans="1:36" x14ac:dyDescent="0.2">
      <c r="A316" s="492">
        <f>INDEX(Country!$F$31:$G$76, MATCH(AI316, Country!$O$31:$O$76, 0), 1)</f>
        <v>1.1200000000000001</v>
      </c>
      <c r="B316" s="2" t="str">
        <f>INDEX(Country!$F$31:$G$76, MATCH(AI316, Country!$O$31:$O$76, 0), 2)</f>
        <v>Average residential electricity prices</v>
      </c>
      <c r="C316" s="436" t="str">
        <f>INDEX(Country!$K$31:$K$76, MATCH(AI316, Country!$O$31:$O$76, 0), 1)</f>
        <v>USD/MWh</v>
      </c>
      <c r="D316" s="4" t="str">
        <f t="shared" si="308"/>
        <v>Bolivia</v>
      </c>
      <c r="E316" s="43">
        <v>62.613748689055626</v>
      </c>
      <c r="F316" s="43">
        <v>66.600000000000009</v>
      </c>
      <c r="G316" s="43">
        <v>75.199999999999989</v>
      </c>
      <c r="H316" s="43">
        <v>76.5</v>
      </c>
      <c r="I316" s="43">
        <v>76.5</v>
      </c>
      <c r="J316" s="43">
        <v>80.600000000000009</v>
      </c>
      <c r="K316" s="44">
        <v>80.600000000000009</v>
      </c>
      <c r="L316" s="457">
        <f t="shared" si="296"/>
        <v>38.35843293182905</v>
      </c>
      <c r="M316" s="458">
        <f t="shared" si="297"/>
        <v>39.613971954973323</v>
      </c>
      <c r="N316" s="458">
        <f t="shared" si="298"/>
        <v>30.079999999999995</v>
      </c>
      <c r="O316" s="458">
        <f t="shared" si="299"/>
        <v>30.659882583170255</v>
      </c>
      <c r="P316" s="458">
        <f t="shared" si="300"/>
        <v>30.6</v>
      </c>
      <c r="Q316" s="458">
        <f t="shared" si="301"/>
        <v>32.192681017612529</v>
      </c>
      <c r="R316" s="459">
        <f t="shared" si="302"/>
        <v>20.638725008194044</v>
      </c>
      <c r="S316" s="455"/>
      <c r="T316" s="456"/>
      <c r="U316" s="456"/>
      <c r="V316" s="456"/>
      <c r="W316" s="456"/>
      <c r="X316" s="456"/>
      <c r="Y316" s="456"/>
      <c r="Z316" s="455"/>
      <c r="AA316" s="456"/>
      <c r="AB316" s="456"/>
      <c r="AC316" s="456"/>
      <c r="AD316" s="456"/>
      <c r="AE316" s="456"/>
      <c r="AF316" s="456"/>
      <c r="AG316" s="33" t="str">
        <f t="shared" si="287"/>
        <v>1.12 &gt; Bolivia</v>
      </c>
      <c r="AH316" s="84">
        <f t="shared" si="288"/>
        <v>302</v>
      </c>
      <c r="AI316" s="84">
        <f t="shared" si="289"/>
        <v>12</v>
      </c>
      <c r="AJ316" s="877" t="s">
        <v>1526</v>
      </c>
    </row>
    <row r="317" spans="1:36" x14ac:dyDescent="0.2">
      <c r="A317" s="492">
        <f>INDEX(Country!$F$31:$G$76, MATCH(AI317, Country!$O$31:$O$76, 0), 1)</f>
        <v>1.1200000000000001</v>
      </c>
      <c r="B317" s="2" t="str">
        <f>INDEX(Country!$F$31:$G$76, MATCH(AI317, Country!$O$31:$O$76, 0), 2)</f>
        <v>Average residential electricity prices</v>
      </c>
      <c r="C317" s="436" t="str">
        <f>INDEX(Country!$K$31:$K$76, MATCH(AI317, Country!$O$31:$O$76, 0), 1)</f>
        <v>USD/MWh</v>
      </c>
      <c r="D317" s="4" t="str">
        <f t="shared" si="308"/>
        <v>Brazil</v>
      </c>
      <c r="E317" s="43">
        <v>137.898618</v>
      </c>
      <c r="F317" s="43">
        <v>153.64134600000003</v>
      </c>
      <c r="G317" s="43">
        <v>156.52109999999999</v>
      </c>
      <c r="H317" s="43">
        <v>148.68498400000001</v>
      </c>
      <c r="I317" s="43">
        <v>171.04547400000001</v>
      </c>
      <c r="J317" s="43">
        <v>189.31723999999997</v>
      </c>
      <c r="K317" s="44">
        <v>171.31127999999998</v>
      </c>
      <c r="L317" s="457">
        <f t="shared" si="296"/>
        <v>84.479447416785789</v>
      </c>
      <c r="M317" s="458">
        <f t="shared" si="297"/>
        <v>91.386546119644933</v>
      </c>
      <c r="N317" s="458">
        <f t="shared" si="298"/>
        <v>62.608439999999995</v>
      </c>
      <c r="O317" s="458">
        <f t="shared" si="299"/>
        <v>59.590381063013709</v>
      </c>
      <c r="P317" s="458">
        <f t="shared" si="300"/>
        <v>68.418189600000019</v>
      </c>
      <c r="Q317" s="458">
        <f t="shared" si="301"/>
        <v>75.615750849315063</v>
      </c>
      <c r="R317" s="459">
        <f t="shared" si="302"/>
        <v>43.866580629301872</v>
      </c>
      <c r="S317" s="455"/>
      <c r="T317" s="456"/>
      <c r="U317" s="456"/>
      <c r="V317" s="456"/>
      <c r="W317" s="456"/>
      <c r="X317" s="456"/>
      <c r="Y317" s="456"/>
      <c r="Z317" s="455"/>
      <c r="AA317" s="456"/>
      <c r="AB317" s="456"/>
      <c r="AC317" s="456"/>
      <c r="AD317" s="456"/>
      <c r="AE317" s="456"/>
      <c r="AF317" s="456"/>
      <c r="AG317" s="33" t="str">
        <f t="shared" si="287"/>
        <v>1.12 &gt; Brazil</v>
      </c>
      <c r="AH317" s="84">
        <f t="shared" si="288"/>
        <v>303</v>
      </c>
      <c r="AI317" s="84">
        <f t="shared" si="289"/>
        <v>12</v>
      </c>
      <c r="AJ317" s="877" t="s">
        <v>1526</v>
      </c>
    </row>
    <row r="318" spans="1:36" x14ac:dyDescent="0.2">
      <c r="A318" s="492">
        <f>INDEX(Country!$F$31:$G$76, MATCH(AI318, Country!$O$31:$O$76, 0), 1)</f>
        <v>1.1200000000000001</v>
      </c>
      <c r="B318" s="2" t="str">
        <f>INDEX(Country!$F$31:$G$76, MATCH(AI318, Country!$O$31:$O$76, 0), 2)</f>
        <v>Average residential electricity prices</v>
      </c>
      <c r="C318" s="436" t="str">
        <f>INDEX(Country!$K$31:$K$76, MATCH(AI318, Country!$O$31:$O$76, 0), 1)</f>
        <v>USD/MWh</v>
      </c>
      <c r="D318" s="4" t="str">
        <f t="shared" si="308"/>
        <v>Chile</v>
      </c>
      <c r="E318" s="43">
        <v>140</v>
      </c>
      <c r="F318" s="43">
        <v>150</v>
      </c>
      <c r="G318" s="43">
        <v>250</v>
      </c>
      <c r="H318" s="43">
        <v>210</v>
      </c>
      <c r="I318" s="43">
        <v>240</v>
      </c>
      <c r="J318" s="43">
        <v>240</v>
      </c>
      <c r="K318" s="44">
        <v>259.39999999999998</v>
      </c>
      <c r="L318" s="457">
        <f t="shared" si="296"/>
        <v>85.766795997549508</v>
      </c>
      <c r="M318" s="458">
        <f t="shared" si="297"/>
        <v>89.220657556246209</v>
      </c>
      <c r="N318" s="458">
        <f t="shared" si="298"/>
        <v>100</v>
      </c>
      <c r="O318" s="458">
        <f t="shared" si="299"/>
        <v>84.164383561643831</v>
      </c>
      <c r="P318" s="458">
        <f t="shared" si="300"/>
        <v>96</v>
      </c>
      <c r="Q318" s="458">
        <f t="shared" si="301"/>
        <v>95.859099804305274</v>
      </c>
      <c r="R318" s="459">
        <f t="shared" si="302"/>
        <v>66.422894133071125</v>
      </c>
      <c r="S318" s="455"/>
      <c r="T318" s="456"/>
      <c r="U318" s="456"/>
      <c r="V318" s="456"/>
      <c r="W318" s="456"/>
      <c r="X318" s="456"/>
      <c r="Y318" s="456"/>
      <c r="Z318" s="455"/>
      <c r="AA318" s="456"/>
      <c r="AB318" s="456"/>
      <c r="AC318" s="456"/>
      <c r="AD318" s="456"/>
      <c r="AE318" s="456"/>
      <c r="AF318" s="456"/>
      <c r="AG318" s="33" t="str">
        <f t="shared" si="287"/>
        <v>1.12 &gt; Chile</v>
      </c>
      <c r="AH318" s="84">
        <f t="shared" si="288"/>
        <v>304</v>
      </c>
      <c r="AI318" s="84">
        <f t="shared" si="289"/>
        <v>12</v>
      </c>
      <c r="AJ318" s="877" t="s">
        <v>1526</v>
      </c>
    </row>
    <row r="319" spans="1:36" x14ac:dyDescent="0.2">
      <c r="A319" s="492">
        <f>INDEX(Country!$F$31:$G$76, MATCH(AI319, Country!$O$31:$O$76, 0), 1)</f>
        <v>1.1200000000000001</v>
      </c>
      <c r="B319" s="2" t="str">
        <f>INDEX(Country!$F$31:$G$76, MATCH(AI319, Country!$O$31:$O$76, 0), 2)</f>
        <v>Average residential electricity prices</v>
      </c>
      <c r="C319" s="436" t="str">
        <f>INDEX(Country!$K$31:$K$76, MATCH(AI319, Country!$O$31:$O$76, 0), 1)</f>
        <v>USD/MWh</v>
      </c>
      <c r="D319" s="4" t="str">
        <f t="shared" si="308"/>
        <v>Colombia</v>
      </c>
      <c r="E319" s="43">
        <v>0</v>
      </c>
      <c r="F319" s="43">
        <v>0</v>
      </c>
      <c r="G319" s="43">
        <v>0</v>
      </c>
      <c r="H319" s="43">
        <v>0</v>
      </c>
      <c r="I319" s="43">
        <v>170</v>
      </c>
      <c r="J319" s="43">
        <v>180</v>
      </c>
      <c r="K319" s="44">
        <v>210</v>
      </c>
      <c r="L319" s="457">
        <f t="shared" si="296"/>
        <v>0</v>
      </c>
      <c r="M319" s="458">
        <f t="shared" si="297"/>
        <v>0</v>
      </c>
      <c r="N319" s="458">
        <f t="shared" si="298"/>
        <v>0</v>
      </c>
      <c r="O319" s="458">
        <f t="shared" si="299"/>
        <v>0</v>
      </c>
      <c r="P319" s="458">
        <f t="shared" si="300"/>
        <v>68</v>
      </c>
      <c r="Q319" s="458">
        <f t="shared" si="301"/>
        <v>71.894324853228966</v>
      </c>
      <c r="R319" s="459">
        <f t="shared" si="302"/>
        <v>53.77335299901673</v>
      </c>
      <c r="S319" s="455"/>
      <c r="T319" s="456"/>
      <c r="U319" s="456"/>
      <c r="V319" s="456"/>
      <c r="W319" s="456"/>
      <c r="X319" s="456"/>
      <c r="Y319" s="456"/>
      <c r="Z319" s="455"/>
      <c r="AA319" s="456"/>
      <c r="AB319" s="456"/>
      <c r="AC319" s="456"/>
      <c r="AD319" s="456"/>
      <c r="AE319" s="456"/>
      <c r="AF319" s="456"/>
      <c r="AG319" s="33" t="str">
        <f t="shared" si="287"/>
        <v>1.12 &gt; Colombia</v>
      </c>
      <c r="AH319" s="84">
        <f t="shared" si="288"/>
        <v>305</v>
      </c>
      <c r="AI319" s="84">
        <f t="shared" si="289"/>
        <v>12</v>
      </c>
      <c r="AJ319" s="877" t="s">
        <v>1526</v>
      </c>
    </row>
    <row r="320" spans="1:36" x14ac:dyDescent="0.2">
      <c r="A320" s="492">
        <f>INDEX(Country!$F$31:$G$76, MATCH(AI320, Country!$O$31:$O$76, 0), 1)</f>
        <v>1.1200000000000001</v>
      </c>
      <c r="B320" s="2" t="str">
        <f>INDEX(Country!$F$31:$G$76, MATCH(AI320, Country!$O$31:$O$76, 0), 2)</f>
        <v>Average residential electricity prices</v>
      </c>
      <c r="C320" s="436" t="str">
        <f>INDEX(Country!$K$31:$K$76, MATCH(AI320, Country!$O$31:$O$76, 0), 1)</f>
        <v>USD/MWh</v>
      </c>
      <c r="D320" s="4" t="str">
        <f t="shared" si="308"/>
        <v>Costa Rica</v>
      </c>
      <c r="E320" s="43">
        <v>75.058312936736598</v>
      </c>
      <c r="F320" s="43">
        <v>82.946658732914827</v>
      </c>
      <c r="G320" s="43">
        <v>97.261224802728876</v>
      </c>
      <c r="H320" s="43">
        <v>118.38933087248687</v>
      </c>
      <c r="I320" s="43">
        <v>135.18896002467758</v>
      </c>
      <c r="J320" s="43">
        <v>141.84354991463474</v>
      </c>
      <c r="K320" s="44">
        <v>146.68414127557355</v>
      </c>
      <c r="L320" s="457">
        <f t="shared" si="296"/>
        <v>45.982221525466571</v>
      </c>
      <c r="M320" s="458">
        <f t="shared" si="297"/>
        <v>49.337036228294743</v>
      </c>
      <c r="N320" s="458">
        <f t="shared" si="298"/>
        <v>38.904489921091553</v>
      </c>
      <c r="O320" s="458">
        <f t="shared" si="299"/>
        <v>47.448405015039747</v>
      </c>
      <c r="P320" s="458">
        <f t="shared" si="300"/>
        <v>54.075584009871029</v>
      </c>
      <c r="Q320" s="458">
        <f t="shared" si="301"/>
        <v>56.654145866099704</v>
      </c>
      <c r="R320" s="459">
        <f t="shared" si="302"/>
        <v>37.56046718175741</v>
      </c>
      <c r="S320" s="455"/>
      <c r="T320" s="456"/>
      <c r="U320" s="456"/>
      <c r="V320" s="456"/>
      <c r="W320" s="456"/>
      <c r="X320" s="456"/>
      <c r="Y320" s="456"/>
      <c r="Z320" s="455"/>
      <c r="AA320" s="456"/>
      <c r="AB320" s="456"/>
      <c r="AC320" s="456"/>
      <c r="AD320" s="456"/>
      <c r="AE320" s="456"/>
      <c r="AF320" s="456"/>
      <c r="AG320" s="33" t="str">
        <f t="shared" si="287"/>
        <v>1.12 &gt; Costa Rica</v>
      </c>
      <c r="AH320" s="84">
        <f t="shared" si="288"/>
        <v>306</v>
      </c>
      <c r="AI320" s="84">
        <f t="shared" si="289"/>
        <v>12</v>
      </c>
      <c r="AJ320" s="877" t="s">
        <v>1526</v>
      </c>
    </row>
    <row r="321" spans="1:36" x14ac:dyDescent="0.2">
      <c r="A321" s="492">
        <f>INDEX(Country!$F$31:$G$76, MATCH(AI321, Country!$O$31:$O$76, 0), 1)</f>
        <v>1.1200000000000001</v>
      </c>
      <c r="B321" s="2" t="str">
        <f>INDEX(Country!$F$31:$G$76, MATCH(AI321, Country!$O$31:$O$76, 0), 2)</f>
        <v>Average residential electricity prices</v>
      </c>
      <c r="C321" s="436" t="str">
        <f>INDEX(Country!$K$31:$K$76, MATCH(AI321, Country!$O$31:$O$76, 0), 1)</f>
        <v>USD/MWh</v>
      </c>
      <c r="D321" s="4" t="str">
        <f t="shared" si="308"/>
        <v>Dominican Republic</v>
      </c>
      <c r="E321" s="43">
        <v>0</v>
      </c>
      <c r="F321" s="43">
        <v>0</v>
      </c>
      <c r="G321" s="43">
        <v>0</v>
      </c>
      <c r="H321" s="43">
        <v>0</v>
      </c>
      <c r="I321" s="43">
        <v>0</v>
      </c>
      <c r="J321" s="43">
        <v>0</v>
      </c>
      <c r="K321" s="44">
        <v>245.65680000000003</v>
      </c>
      <c r="L321" s="457">
        <f t="shared" si="296"/>
        <v>0</v>
      </c>
      <c r="M321" s="458">
        <f t="shared" si="297"/>
        <v>0</v>
      </c>
      <c r="N321" s="458">
        <f t="shared" si="298"/>
        <v>0</v>
      </c>
      <c r="O321" s="458">
        <f t="shared" si="299"/>
        <v>0</v>
      </c>
      <c r="P321" s="458">
        <f t="shared" si="300"/>
        <v>0</v>
      </c>
      <c r="Q321" s="458">
        <f t="shared" si="301"/>
        <v>0</v>
      </c>
      <c r="R321" s="459">
        <f t="shared" si="302"/>
        <v>62.903761061946931</v>
      </c>
      <c r="S321" s="455"/>
      <c r="T321" s="456"/>
      <c r="U321" s="456"/>
      <c r="V321" s="456"/>
      <c r="W321" s="456"/>
      <c r="X321" s="456"/>
      <c r="Y321" s="456"/>
      <c r="Z321" s="455"/>
      <c r="AA321" s="456"/>
      <c r="AB321" s="456"/>
      <c r="AC321" s="456"/>
      <c r="AD321" s="456"/>
      <c r="AE321" s="456"/>
      <c r="AF321" s="456"/>
      <c r="AG321" s="33" t="str">
        <f t="shared" si="287"/>
        <v>1.12 &gt; Dominican Republic</v>
      </c>
      <c r="AH321" s="84">
        <f t="shared" si="288"/>
        <v>307</v>
      </c>
      <c r="AI321" s="84">
        <f t="shared" si="289"/>
        <v>12</v>
      </c>
      <c r="AJ321" s="877" t="s">
        <v>1526</v>
      </c>
    </row>
    <row r="322" spans="1:36" x14ac:dyDescent="0.2">
      <c r="A322" s="492">
        <f>INDEX(Country!$F$31:$G$76, MATCH(AI322, Country!$O$31:$O$76, 0), 1)</f>
        <v>1.1200000000000001</v>
      </c>
      <c r="B322" s="2" t="str">
        <f>INDEX(Country!$F$31:$G$76, MATCH(AI322, Country!$O$31:$O$76, 0), 2)</f>
        <v>Average residential electricity prices</v>
      </c>
      <c r="C322" s="436" t="str">
        <f>INDEX(Country!$K$31:$K$76, MATCH(AI322, Country!$O$31:$O$76, 0), 1)</f>
        <v>USD/MWh</v>
      </c>
      <c r="D322" s="4" t="str">
        <f t="shared" si="308"/>
        <v>Ecuador</v>
      </c>
      <c r="E322" s="43">
        <v>97.699999999999989</v>
      </c>
      <c r="F322" s="43">
        <v>96.5</v>
      </c>
      <c r="G322" s="43">
        <v>93.6</v>
      </c>
      <c r="H322" s="43">
        <v>89.9</v>
      </c>
      <c r="I322" s="43">
        <v>92.2</v>
      </c>
      <c r="J322" s="43">
        <v>94.2</v>
      </c>
      <c r="K322" s="44">
        <v>95.927272727272737</v>
      </c>
      <c r="L322" s="457">
        <f t="shared" si="296"/>
        <v>59.852971206861326</v>
      </c>
      <c r="M322" s="458">
        <f t="shared" si="297"/>
        <v>57.398623027851727</v>
      </c>
      <c r="N322" s="458">
        <f t="shared" si="298"/>
        <v>37.44</v>
      </c>
      <c r="O322" s="458">
        <f t="shared" si="299"/>
        <v>36.030371819960862</v>
      </c>
      <c r="P322" s="458">
        <f t="shared" si="300"/>
        <v>36.880000000000003</v>
      </c>
      <c r="Q322" s="458">
        <f t="shared" si="301"/>
        <v>37.624696673189824</v>
      </c>
      <c r="R322" s="459">
        <f t="shared" si="302"/>
        <v>24.563481421888511</v>
      </c>
      <c r="S322" s="455"/>
      <c r="T322" s="456"/>
      <c r="U322" s="456"/>
      <c r="V322" s="456"/>
      <c r="W322" s="456"/>
      <c r="X322" s="456"/>
      <c r="Y322" s="456"/>
      <c r="Z322" s="455"/>
      <c r="AA322" s="456"/>
      <c r="AB322" s="456"/>
      <c r="AC322" s="456"/>
      <c r="AD322" s="456"/>
      <c r="AE322" s="456"/>
      <c r="AF322" s="456"/>
      <c r="AG322" s="33" t="str">
        <f t="shared" si="287"/>
        <v>1.12 &gt; Ecuador</v>
      </c>
      <c r="AH322" s="84">
        <f t="shared" si="288"/>
        <v>308</v>
      </c>
      <c r="AI322" s="84">
        <f t="shared" si="289"/>
        <v>12</v>
      </c>
      <c r="AJ322" s="877" t="s">
        <v>1526</v>
      </c>
    </row>
    <row r="323" spans="1:36" x14ac:dyDescent="0.2">
      <c r="A323" s="492">
        <f>INDEX(Country!$F$31:$G$76, MATCH(AI323, Country!$O$31:$O$76, 0), 1)</f>
        <v>1.1200000000000001</v>
      </c>
      <c r="B323" s="2" t="str">
        <f>INDEX(Country!$F$31:$G$76, MATCH(AI323, Country!$O$31:$O$76, 0), 2)</f>
        <v>Average residential electricity prices</v>
      </c>
      <c r="C323" s="436" t="str">
        <f>INDEX(Country!$K$31:$K$76, MATCH(AI323, Country!$O$31:$O$76, 0), 1)</f>
        <v>USD/MWh</v>
      </c>
      <c r="D323" s="4" t="str">
        <f t="shared" si="308"/>
        <v>El Salvador</v>
      </c>
      <c r="E323" s="43">
        <v>150.5</v>
      </c>
      <c r="F323" s="43">
        <v>160.5</v>
      </c>
      <c r="G323" s="43">
        <v>157.79999999999998</v>
      </c>
      <c r="H323" s="43">
        <v>203.6</v>
      </c>
      <c r="I323" s="43">
        <v>210.79999999999998</v>
      </c>
      <c r="J323" s="43">
        <v>238.2</v>
      </c>
      <c r="K323" s="44">
        <v>238.2</v>
      </c>
      <c r="L323" s="457">
        <f t="shared" si="296"/>
        <v>92.19930569736573</v>
      </c>
      <c r="M323" s="458">
        <f t="shared" si="297"/>
        <v>95.466103585183433</v>
      </c>
      <c r="N323" s="458">
        <f t="shared" si="298"/>
        <v>63.11999999999999</v>
      </c>
      <c r="O323" s="458">
        <f t="shared" si="299"/>
        <v>81.599373776908024</v>
      </c>
      <c r="P323" s="458">
        <f t="shared" si="300"/>
        <v>84.32</v>
      </c>
      <c r="Q323" s="458">
        <f t="shared" si="301"/>
        <v>95.14015655577299</v>
      </c>
      <c r="R323" s="459">
        <f t="shared" si="302"/>
        <v>60.994346116027543</v>
      </c>
      <c r="S323" s="455"/>
      <c r="T323" s="456"/>
      <c r="U323" s="456"/>
      <c r="V323" s="456"/>
      <c r="W323" s="456"/>
      <c r="X323" s="456"/>
      <c r="Y323" s="456"/>
      <c r="Z323" s="455"/>
      <c r="AA323" s="456"/>
      <c r="AB323" s="456"/>
      <c r="AC323" s="456"/>
      <c r="AD323" s="456"/>
      <c r="AE323" s="456"/>
      <c r="AF323" s="456"/>
      <c r="AG323" s="33" t="str">
        <f t="shared" si="287"/>
        <v>1.12 &gt; El Salvador</v>
      </c>
      <c r="AH323" s="84">
        <f t="shared" si="288"/>
        <v>309</v>
      </c>
      <c r="AI323" s="84">
        <f t="shared" si="289"/>
        <v>12</v>
      </c>
      <c r="AJ323" s="877" t="s">
        <v>1526</v>
      </c>
    </row>
    <row r="324" spans="1:36" x14ac:dyDescent="0.2">
      <c r="A324" s="492">
        <f>INDEX(Country!$F$31:$G$76, MATCH(AI324, Country!$O$31:$O$76, 0), 1)</f>
        <v>1.1200000000000001</v>
      </c>
      <c r="B324" s="2" t="str">
        <f>INDEX(Country!$F$31:$G$76, MATCH(AI324, Country!$O$31:$O$76, 0), 2)</f>
        <v>Average residential electricity prices</v>
      </c>
      <c r="C324" s="436" t="str">
        <f>INDEX(Country!$K$31:$K$76, MATCH(AI324, Country!$O$31:$O$76, 0), 1)</f>
        <v>USD/MWh</v>
      </c>
      <c r="D324" s="4" t="str">
        <f t="shared" si="308"/>
        <v>Guatemala</v>
      </c>
      <c r="E324" s="43">
        <v>0</v>
      </c>
      <c r="F324" s="43">
        <v>0</v>
      </c>
      <c r="G324" s="43">
        <v>0</v>
      </c>
      <c r="H324" s="43">
        <v>0</v>
      </c>
      <c r="I324" s="43">
        <v>0</v>
      </c>
      <c r="J324" s="43">
        <v>0</v>
      </c>
      <c r="K324" s="44">
        <v>0</v>
      </c>
      <c r="L324" s="457">
        <f t="shared" si="296"/>
        <v>0</v>
      </c>
      <c r="M324" s="458">
        <f t="shared" si="297"/>
        <v>0</v>
      </c>
      <c r="N324" s="458">
        <f t="shared" si="298"/>
        <v>0</v>
      </c>
      <c r="O324" s="458">
        <f t="shared" si="299"/>
        <v>0</v>
      </c>
      <c r="P324" s="458">
        <f t="shared" si="300"/>
        <v>0</v>
      </c>
      <c r="Q324" s="458">
        <f t="shared" si="301"/>
        <v>0</v>
      </c>
      <c r="R324" s="459">
        <f t="shared" si="302"/>
        <v>0</v>
      </c>
      <c r="S324" s="455"/>
      <c r="T324" s="456"/>
      <c r="U324" s="456"/>
      <c r="V324" s="456"/>
      <c r="W324" s="456"/>
      <c r="X324" s="456"/>
      <c r="Y324" s="456"/>
      <c r="Z324" s="455"/>
      <c r="AA324" s="456"/>
      <c r="AB324" s="456"/>
      <c r="AC324" s="456"/>
      <c r="AD324" s="456"/>
      <c r="AE324" s="456"/>
      <c r="AF324" s="456"/>
      <c r="AG324" s="33" t="str">
        <f t="shared" si="287"/>
        <v>1.12 &gt; Guatemala</v>
      </c>
      <c r="AH324" s="84">
        <f t="shared" si="288"/>
        <v>310</v>
      </c>
      <c r="AI324" s="84">
        <f t="shared" si="289"/>
        <v>12</v>
      </c>
      <c r="AJ324" s="877" t="s">
        <v>1526</v>
      </c>
    </row>
    <row r="325" spans="1:36" x14ac:dyDescent="0.2">
      <c r="A325" s="492">
        <f>INDEX(Country!$F$31:$G$76, MATCH(AI325, Country!$O$31:$O$76, 0), 1)</f>
        <v>1.1200000000000001</v>
      </c>
      <c r="B325" s="2" t="str">
        <f>INDEX(Country!$F$31:$G$76, MATCH(AI325, Country!$O$31:$O$76, 0), 2)</f>
        <v>Average residential electricity prices</v>
      </c>
      <c r="C325" s="436" t="str">
        <f>INDEX(Country!$K$31:$K$76, MATCH(AI325, Country!$O$31:$O$76, 0), 1)</f>
        <v>USD/MWh</v>
      </c>
      <c r="D325" s="4" t="str">
        <f t="shared" si="308"/>
        <v>Guyana</v>
      </c>
      <c r="E325" s="540">
        <v>0</v>
      </c>
      <c r="F325" s="540">
        <v>0</v>
      </c>
      <c r="G325" s="540">
        <v>250</v>
      </c>
      <c r="H325" s="540">
        <v>249.51171875</v>
      </c>
      <c r="I325" s="540">
        <v>250</v>
      </c>
      <c r="J325" s="540">
        <v>250.36746692797649</v>
      </c>
      <c r="K325" s="76">
        <v>252.09669462259498</v>
      </c>
      <c r="L325" s="457">
        <f t="shared" si="296"/>
        <v>0</v>
      </c>
      <c r="M325" s="458">
        <f t="shared" si="297"/>
        <v>0</v>
      </c>
      <c r="N325" s="458">
        <f t="shared" si="298"/>
        <v>100</v>
      </c>
      <c r="O325" s="458">
        <f t="shared" si="299"/>
        <v>100</v>
      </c>
      <c r="P325" s="458">
        <f t="shared" si="300"/>
        <v>100</v>
      </c>
      <c r="Q325" s="458">
        <f t="shared" si="301"/>
        <v>100</v>
      </c>
      <c r="R325" s="459">
        <f t="shared" si="302"/>
        <v>64.552783570600582</v>
      </c>
      <c r="S325" s="455"/>
      <c r="T325" s="456"/>
      <c r="U325" s="456"/>
      <c r="V325" s="456"/>
      <c r="W325" s="456"/>
      <c r="X325" s="456"/>
      <c r="Y325" s="456"/>
      <c r="Z325" s="455"/>
      <c r="AA325" s="456"/>
      <c r="AB325" s="456"/>
      <c r="AC325" s="456"/>
      <c r="AD325" s="456"/>
      <c r="AE325" s="456"/>
      <c r="AF325" s="456"/>
      <c r="AG325" s="33" t="str">
        <f t="shared" si="287"/>
        <v>1.12 &gt; Guyana</v>
      </c>
      <c r="AH325" s="84">
        <f t="shared" si="288"/>
        <v>311</v>
      </c>
      <c r="AI325" s="84">
        <f t="shared" si="289"/>
        <v>12</v>
      </c>
      <c r="AJ325" s="877" t="s">
        <v>1526</v>
      </c>
    </row>
    <row r="326" spans="1:36" x14ac:dyDescent="0.2">
      <c r="A326" s="492">
        <f>INDEX(Country!$F$31:$G$76, MATCH(AI326, Country!$O$31:$O$76, 0), 1)</f>
        <v>1.1200000000000001</v>
      </c>
      <c r="B326" s="2" t="str">
        <f>INDEX(Country!$F$31:$G$76, MATCH(AI326, Country!$O$31:$O$76, 0), 2)</f>
        <v>Average residential electricity prices</v>
      </c>
      <c r="C326" s="436" t="str">
        <f>INDEX(Country!$K$31:$K$76, MATCH(AI326, Country!$O$31:$O$76, 0), 1)</f>
        <v>USD/MWh</v>
      </c>
      <c r="D326" s="4" t="str">
        <f t="shared" si="308"/>
        <v>Haiti</v>
      </c>
      <c r="E326" s="540">
        <v>155.80583333333331</v>
      </c>
      <c r="F326" s="540">
        <v>168.12249999999997</v>
      </c>
      <c r="G326" s="540">
        <v>158.26916666666665</v>
      </c>
      <c r="H326" s="540">
        <v>207.20050000000003</v>
      </c>
      <c r="I326" s="540">
        <v>208.02600000000001</v>
      </c>
      <c r="J326" s="540">
        <v>204.72400000000002</v>
      </c>
      <c r="K326" s="76">
        <v>198.12</v>
      </c>
      <c r="L326" s="457">
        <f t="shared" si="296"/>
        <v>95.449765162344264</v>
      </c>
      <c r="M326" s="458">
        <f t="shared" si="297"/>
        <v>100</v>
      </c>
      <c r="N326" s="458">
        <f t="shared" si="298"/>
        <v>63.307666666666655</v>
      </c>
      <c r="O326" s="458">
        <f t="shared" si="299"/>
        <v>83.042392172211365</v>
      </c>
      <c r="P326" s="458">
        <f t="shared" si="300"/>
        <v>83.210400000000007</v>
      </c>
      <c r="Q326" s="458">
        <f t="shared" si="301"/>
        <v>81.769409784735814</v>
      </c>
      <c r="R326" s="459">
        <f t="shared" si="302"/>
        <v>50.731317600786639</v>
      </c>
      <c r="S326" s="455"/>
      <c r="T326" s="456"/>
      <c r="U326" s="456"/>
      <c r="V326" s="456"/>
      <c r="W326" s="456"/>
      <c r="X326" s="456"/>
      <c r="Y326" s="456"/>
      <c r="Z326" s="455"/>
      <c r="AA326" s="456"/>
      <c r="AB326" s="456"/>
      <c r="AC326" s="456"/>
      <c r="AD326" s="456"/>
      <c r="AE326" s="456"/>
      <c r="AF326" s="456"/>
      <c r="AG326" s="33" t="str">
        <f t="shared" si="287"/>
        <v>1.12 &gt; Haiti</v>
      </c>
      <c r="AH326" s="84">
        <f t="shared" si="288"/>
        <v>312</v>
      </c>
      <c r="AI326" s="84">
        <f t="shared" si="289"/>
        <v>12</v>
      </c>
      <c r="AJ326" s="877" t="s">
        <v>1526</v>
      </c>
    </row>
    <row r="327" spans="1:36" x14ac:dyDescent="0.2">
      <c r="A327" s="492">
        <f>INDEX(Country!$F$31:$G$76, MATCH(AI327, Country!$O$31:$O$76, 0), 1)</f>
        <v>1.1200000000000001</v>
      </c>
      <c r="B327" s="2" t="str">
        <f>INDEX(Country!$F$31:$G$76, MATCH(AI327, Country!$O$31:$O$76, 0), 2)</f>
        <v>Average residential electricity prices</v>
      </c>
      <c r="C327" s="436" t="str">
        <f>INDEX(Country!$K$31:$K$76, MATCH(AI327, Country!$O$31:$O$76, 0), 1)</f>
        <v>USD/MWh</v>
      </c>
      <c r="D327" s="4" t="str">
        <f t="shared" si="308"/>
        <v>Honduras</v>
      </c>
      <c r="E327" s="43">
        <v>0</v>
      </c>
      <c r="F327" s="43">
        <v>0</v>
      </c>
      <c r="G327" s="43">
        <v>0</v>
      </c>
      <c r="H327" s="43">
        <v>74.25573</v>
      </c>
      <c r="I327" s="43">
        <v>74.25573</v>
      </c>
      <c r="J327" s="43">
        <v>74.25573</v>
      </c>
      <c r="K327" s="44">
        <v>72.711659999999995</v>
      </c>
      <c r="L327" s="457">
        <f t="shared" ref="L327:L358" si="309">IFERROR(dbl_BenchmarkMax*E327/ SUMIFS(E$15:E$1256, $D$15:$D$1256, "Benchmark", $B$15:$B$1256,$B327), 0)</f>
        <v>0</v>
      </c>
      <c r="M327" s="458">
        <f t="shared" ref="M327:M358" si="310">IFERROR(dbl_BenchmarkMax*F327/ SUMIFS(F$15:F$1256, $D$15:$D$1256, "Benchmark", $B$15:$B$1256,$B327), 0)</f>
        <v>0</v>
      </c>
      <c r="N327" s="458">
        <f t="shared" si="298"/>
        <v>0</v>
      </c>
      <c r="O327" s="458">
        <f t="shared" si="299"/>
        <v>29.760417816046967</v>
      </c>
      <c r="P327" s="458">
        <f t="shared" si="300"/>
        <v>29.702292</v>
      </c>
      <c r="Q327" s="458">
        <f t="shared" si="301"/>
        <v>29.658697637964774</v>
      </c>
      <c r="R327" s="459">
        <f t="shared" si="302"/>
        <v>18.618808382497544</v>
      </c>
      <c r="S327" s="455"/>
      <c r="T327" s="456"/>
      <c r="U327" s="456"/>
      <c r="V327" s="456"/>
      <c r="W327" s="456"/>
      <c r="X327" s="456"/>
      <c r="Y327" s="456"/>
      <c r="Z327" s="455"/>
      <c r="AA327" s="456"/>
      <c r="AB327" s="456"/>
      <c r="AC327" s="456"/>
      <c r="AD327" s="456"/>
      <c r="AE327" s="456"/>
      <c r="AF327" s="456"/>
      <c r="AG327" s="33" t="str">
        <f t="shared" si="287"/>
        <v>1.12 &gt; Honduras</v>
      </c>
      <c r="AH327" s="84">
        <f t="shared" si="288"/>
        <v>313</v>
      </c>
      <c r="AI327" s="84">
        <f t="shared" si="289"/>
        <v>12</v>
      </c>
      <c r="AJ327" s="877" t="s">
        <v>1526</v>
      </c>
    </row>
    <row r="328" spans="1:36" x14ac:dyDescent="0.2">
      <c r="A328" s="492">
        <f>INDEX(Country!$F$31:$G$76, MATCH(AI328, Country!$O$31:$O$76, 0), 1)</f>
        <v>1.1200000000000001</v>
      </c>
      <c r="B328" s="2" t="str">
        <f>INDEX(Country!$F$31:$G$76, MATCH(AI328, Country!$O$31:$O$76, 0), 2)</f>
        <v>Average residential electricity prices</v>
      </c>
      <c r="C328" s="436" t="str">
        <f>INDEX(Country!$K$31:$K$76, MATCH(AI328, Country!$O$31:$O$76, 0), 1)</f>
        <v>USD/MWh</v>
      </c>
      <c r="D328" s="4" t="str">
        <f t="shared" si="308"/>
        <v>Jamaica</v>
      </c>
      <c r="E328" s="43">
        <v>0</v>
      </c>
      <c r="F328" s="43">
        <v>0</v>
      </c>
      <c r="G328" s="43">
        <v>0</v>
      </c>
      <c r="H328" s="43">
        <v>0</v>
      </c>
      <c r="I328" s="43">
        <v>0</v>
      </c>
      <c r="J328" s="43">
        <v>0</v>
      </c>
      <c r="K328" s="44">
        <v>390.52799999999991</v>
      </c>
      <c r="L328" s="457">
        <f t="shared" si="309"/>
        <v>0</v>
      </c>
      <c r="M328" s="458">
        <f t="shared" si="310"/>
        <v>0</v>
      </c>
      <c r="N328" s="458">
        <f t="shared" si="298"/>
        <v>0</v>
      </c>
      <c r="O328" s="458">
        <f t="shared" si="299"/>
        <v>0</v>
      </c>
      <c r="P328" s="458">
        <f t="shared" si="300"/>
        <v>0</v>
      </c>
      <c r="Q328" s="458">
        <f t="shared" si="301"/>
        <v>0</v>
      </c>
      <c r="R328" s="459">
        <f t="shared" si="302"/>
        <v>100</v>
      </c>
      <c r="S328" s="455"/>
      <c r="T328" s="456"/>
      <c r="U328" s="456"/>
      <c r="V328" s="456"/>
      <c r="W328" s="456"/>
      <c r="X328" s="456"/>
      <c r="Y328" s="456"/>
      <c r="Z328" s="455"/>
      <c r="AA328" s="456"/>
      <c r="AB328" s="456"/>
      <c r="AC328" s="456"/>
      <c r="AD328" s="456"/>
      <c r="AE328" s="456"/>
      <c r="AF328" s="456"/>
      <c r="AG328" s="33" t="str">
        <f t="shared" si="287"/>
        <v>1.12 &gt; Jamaica</v>
      </c>
      <c r="AH328" s="84">
        <f t="shared" si="288"/>
        <v>314</v>
      </c>
      <c r="AI328" s="84">
        <f t="shared" si="289"/>
        <v>12</v>
      </c>
      <c r="AJ328" s="877" t="s">
        <v>1526</v>
      </c>
    </row>
    <row r="329" spans="1:36" x14ac:dyDescent="0.2">
      <c r="A329" s="492">
        <f>INDEX(Country!$F$31:$G$76, MATCH(AI329, Country!$O$31:$O$76, 0), 1)</f>
        <v>1.1200000000000001</v>
      </c>
      <c r="B329" s="2" t="str">
        <f>INDEX(Country!$F$31:$G$76, MATCH(AI329, Country!$O$31:$O$76, 0), 2)</f>
        <v>Average residential electricity prices</v>
      </c>
      <c r="C329" s="436" t="str">
        <f>INDEX(Country!$K$31:$K$76, MATCH(AI329, Country!$O$31:$O$76, 0), 1)</f>
        <v>USD/MWh</v>
      </c>
      <c r="D329" s="4" t="str">
        <f t="shared" si="308"/>
        <v>Mexico</v>
      </c>
      <c r="E329" s="43">
        <v>91.056495407499995</v>
      </c>
      <c r="F329" s="43">
        <v>93.870538666666675</v>
      </c>
      <c r="G329" s="43">
        <v>96.931977999999987</v>
      </c>
      <c r="H329" s="43">
        <v>80.04599808333333</v>
      </c>
      <c r="I329" s="43">
        <v>89.721166999999994</v>
      </c>
      <c r="J329" s="43">
        <v>95.487602499999994</v>
      </c>
      <c r="K329" s="44">
        <v>90.237220000000008</v>
      </c>
      <c r="L329" s="457">
        <f t="shared" si="309"/>
        <v>55.783027613334681</v>
      </c>
      <c r="M329" s="458">
        <f t="shared" si="310"/>
        <v>55.834607899993564</v>
      </c>
      <c r="N329" s="458">
        <f t="shared" si="298"/>
        <v>38.772791199999993</v>
      </c>
      <c r="O329" s="458">
        <f t="shared" si="299"/>
        <v>32.081057548858446</v>
      </c>
      <c r="P329" s="458">
        <f t="shared" si="300"/>
        <v>35.888466799999996</v>
      </c>
      <c r="Q329" s="458">
        <f t="shared" si="301"/>
        <v>38.138981742172206</v>
      </c>
      <c r="R329" s="459">
        <f t="shared" si="302"/>
        <v>23.106466117666347</v>
      </c>
      <c r="S329" s="455"/>
      <c r="T329" s="456"/>
      <c r="U329" s="456"/>
      <c r="V329" s="456"/>
      <c r="W329" s="456"/>
      <c r="X329" s="456"/>
      <c r="Y329" s="456"/>
      <c r="Z329" s="455"/>
      <c r="AA329" s="456"/>
      <c r="AB329" s="456"/>
      <c r="AC329" s="456"/>
      <c r="AD329" s="456"/>
      <c r="AE329" s="456"/>
      <c r="AF329" s="456"/>
      <c r="AG329" s="33" t="str">
        <f t="shared" si="287"/>
        <v>1.12 &gt; Mexico</v>
      </c>
      <c r="AH329" s="84">
        <f t="shared" si="288"/>
        <v>315</v>
      </c>
      <c r="AI329" s="84">
        <f t="shared" si="289"/>
        <v>12</v>
      </c>
      <c r="AJ329" s="877" t="s">
        <v>1526</v>
      </c>
    </row>
    <row r="330" spans="1:36" x14ac:dyDescent="0.2">
      <c r="A330" s="492">
        <f>INDEX(Country!$F$31:$G$76, MATCH(AI330, Country!$O$31:$O$76, 0), 1)</f>
        <v>1.1200000000000001</v>
      </c>
      <c r="B330" s="2" t="str">
        <f>INDEX(Country!$F$31:$G$76, MATCH(AI330, Country!$O$31:$O$76, 0), 2)</f>
        <v>Average residential electricity prices</v>
      </c>
      <c r="C330" s="436" t="str">
        <f>INDEX(Country!$K$31:$K$76, MATCH(AI330, Country!$O$31:$O$76, 0), 1)</f>
        <v>USD/MWh</v>
      </c>
      <c r="D330" s="4" t="str">
        <f t="shared" si="308"/>
        <v>Nicaragua</v>
      </c>
      <c r="E330" s="43">
        <v>146.611954</v>
      </c>
      <c r="F330" s="43">
        <v>152.63332460000001</v>
      </c>
      <c r="G330" s="43">
        <v>186.25432799999999</v>
      </c>
      <c r="H330" s="43">
        <v>161.37649199999998</v>
      </c>
      <c r="I330" s="43">
        <v>182.015028</v>
      </c>
      <c r="J330" s="43">
        <v>223.08474000000001</v>
      </c>
      <c r="K330" s="44">
        <v>226.89999999999998</v>
      </c>
      <c r="L330" s="457">
        <f t="shared" si="309"/>
        <v>89.817411068000808</v>
      </c>
      <c r="M330" s="458">
        <f t="shared" si="310"/>
        <v>90.786970572053136</v>
      </c>
      <c r="N330" s="458">
        <f t="shared" si="298"/>
        <v>74.501731199999995</v>
      </c>
      <c r="O330" s="458">
        <f t="shared" si="299"/>
        <v>64.67691890724069</v>
      </c>
      <c r="P330" s="458">
        <f t="shared" si="300"/>
        <v>72.8060112</v>
      </c>
      <c r="Q330" s="458">
        <f t="shared" si="301"/>
        <v>89.102926485322897</v>
      </c>
      <c r="R330" s="459">
        <f t="shared" si="302"/>
        <v>58.100827597509017</v>
      </c>
      <c r="S330" s="455"/>
      <c r="T330" s="456"/>
      <c r="U330" s="456"/>
      <c r="V330" s="456"/>
      <c r="W330" s="456"/>
      <c r="X330" s="456"/>
      <c r="Y330" s="456"/>
      <c r="Z330" s="455"/>
      <c r="AA330" s="456"/>
      <c r="AB330" s="456"/>
      <c r="AC330" s="456"/>
      <c r="AD330" s="456"/>
      <c r="AE330" s="456"/>
      <c r="AF330" s="456"/>
      <c r="AG330" s="33" t="str">
        <f t="shared" si="287"/>
        <v>1.12 &gt; Nicaragua</v>
      </c>
      <c r="AH330" s="84">
        <f t="shared" si="288"/>
        <v>316</v>
      </c>
      <c r="AI330" s="84">
        <f t="shared" si="289"/>
        <v>12</v>
      </c>
      <c r="AJ330" s="877" t="s">
        <v>1526</v>
      </c>
    </row>
    <row r="331" spans="1:36" x14ac:dyDescent="0.2">
      <c r="A331" s="492">
        <f>INDEX(Country!$F$31:$G$76, MATCH(AI331, Country!$O$31:$O$76, 0), 1)</f>
        <v>1.1200000000000001</v>
      </c>
      <c r="B331" s="2" t="str">
        <f>INDEX(Country!$F$31:$G$76, MATCH(AI331, Country!$O$31:$O$76, 0), 2)</f>
        <v>Average residential electricity prices</v>
      </c>
      <c r="C331" s="436" t="str">
        <f>INDEX(Country!$K$31:$K$76, MATCH(AI331, Country!$O$31:$O$76, 0), 1)</f>
        <v>USD/MWh</v>
      </c>
      <c r="D331" s="4" t="str">
        <f t="shared" si="308"/>
        <v>Panama</v>
      </c>
      <c r="E331" s="43">
        <v>163.23333333333335</v>
      </c>
      <c r="F331" s="43">
        <v>156.33333333333334</v>
      </c>
      <c r="G331" s="43">
        <v>198.65</v>
      </c>
      <c r="H331" s="43">
        <v>168</v>
      </c>
      <c r="I331" s="43">
        <v>173.33333333333334</v>
      </c>
      <c r="J331" s="43">
        <v>169.16666666666669</v>
      </c>
      <c r="K331" s="44">
        <v>168</v>
      </c>
      <c r="L331" s="457">
        <f t="shared" si="309"/>
        <v>100</v>
      </c>
      <c r="M331" s="458">
        <f t="shared" si="310"/>
        <v>92.98775198639882</v>
      </c>
      <c r="N331" s="458">
        <f t="shared" si="298"/>
        <v>79.459999999999994</v>
      </c>
      <c r="O331" s="458">
        <f t="shared" si="299"/>
        <v>67.331506849315062</v>
      </c>
      <c r="P331" s="458">
        <f t="shared" si="300"/>
        <v>69.333333333333343</v>
      </c>
      <c r="Q331" s="458">
        <f t="shared" si="301"/>
        <v>67.567351598173516</v>
      </c>
      <c r="R331" s="459">
        <f t="shared" si="302"/>
        <v>43.018682399213382</v>
      </c>
      <c r="S331" s="455"/>
      <c r="T331" s="456"/>
      <c r="U331" s="456"/>
      <c r="V331" s="456"/>
      <c r="W331" s="456"/>
      <c r="X331" s="456"/>
      <c r="Y331" s="456"/>
      <c r="Z331" s="455"/>
      <c r="AA331" s="456"/>
      <c r="AB331" s="456"/>
      <c r="AC331" s="456"/>
      <c r="AD331" s="456"/>
      <c r="AE331" s="456"/>
      <c r="AF331" s="456"/>
      <c r="AG331" s="33" t="str">
        <f t="shared" si="287"/>
        <v>1.12 &gt; Panama</v>
      </c>
      <c r="AH331" s="84">
        <f t="shared" si="288"/>
        <v>317</v>
      </c>
      <c r="AI331" s="84">
        <f t="shared" si="289"/>
        <v>12</v>
      </c>
      <c r="AJ331" s="877" t="s">
        <v>1526</v>
      </c>
    </row>
    <row r="332" spans="1:36" x14ac:dyDescent="0.2">
      <c r="A332" s="492">
        <f>INDEX(Country!$F$31:$G$76, MATCH(AI332, Country!$O$31:$O$76, 0), 1)</f>
        <v>1.1200000000000001</v>
      </c>
      <c r="B332" s="2" t="str">
        <f>INDEX(Country!$F$31:$G$76, MATCH(AI332, Country!$O$31:$O$76, 0), 2)</f>
        <v>Average residential electricity prices</v>
      </c>
      <c r="C332" s="436" t="str">
        <f>INDEX(Country!$K$31:$K$76, MATCH(AI332, Country!$O$31:$O$76, 0), 1)</f>
        <v>USD/MWh</v>
      </c>
      <c r="D332" s="4" t="str">
        <f t="shared" si="308"/>
        <v>Paraguay</v>
      </c>
      <c r="E332" s="43">
        <v>62.462281231140608</v>
      </c>
      <c r="F332" s="43">
        <v>70.776391955600644</v>
      </c>
      <c r="G332" s="43">
        <v>81.308669243511872</v>
      </c>
      <c r="H332" s="43">
        <v>71.254604375918348</v>
      </c>
      <c r="I332" s="43">
        <v>74.25253014076209</v>
      </c>
      <c r="J332" s="43">
        <v>86.291149197873708</v>
      </c>
      <c r="K332" s="44">
        <v>82.563210339607295</v>
      </c>
      <c r="L332" s="457">
        <f t="shared" si="309"/>
        <v>38.265640942091444</v>
      </c>
      <c r="M332" s="458">
        <f t="shared" si="310"/>
        <v>42.098108198248696</v>
      </c>
      <c r="N332" s="458">
        <f t="shared" si="298"/>
        <v>32.523467697404747</v>
      </c>
      <c r="O332" s="458">
        <f t="shared" si="299"/>
        <v>28.557618348704654</v>
      </c>
      <c r="P332" s="458">
        <f t="shared" si="300"/>
        <v>29.701012056304837</v>
      </c>
      <c r="Q332" s="458">
        <f t="shared" si="301"/>
        <v>34.46579951327989</v>
      </c>
      <c r="R332" s="459">
        <f t="shared" si="302"/>
        <v>21.141431687256055</v>
      </c>
      <c r="S332" s="455"/>
      <c r="T332" s="456"/>
      <c r="U332" s="456"/>
      <c r="V332" s="456"/>
      <c r="W332" s="456"/>
      <c r="X332" s="456"/>
      <c r="Y332" s="456"/>
      <c r="Z332" s="455"/>
      <c r="AA332" s="456"/>
      <c r="AB332" s="456"/>
      <c r="AC332" s="456"/>
      <c r="AD332" s="456"/>
      <c r="AE332" s="456"/>
      <c r="AF332" s="456"/>
      <c r="AG332" s="33" t="str">
        <f t="shared" si="287"/>
        <v>1.12 &gt; Paraguay</v>
      </c>
      <c r="AH332" s="84">
        <f t="shared" si="288"/>
        <v>318</v>
      </c>
      <c r="AI332" s="84">
        <f t="shared" si="289"/>
        <v>12</v>
      </c>
      <c r="AJ332" s="877" t="s">
        <v>1526</v>
      </c>
    </row>
    <row r="333" spans="1:36" x14ac:dyDescent="0.2">
      <c r="A333" s="492">
        <f>INDEX(Country!$F$31:$G$76, MATCH(AI333, Country!$O$31:$O$76, 0), 1)</f>
        <v>1.1200000000000001</v>
      </c>
      <c r="B333" s="2" t="str">
        <f>INDEX(Country!$F$31:$G$76, MATCH(AI333, Country!$O$31:$O$76, 0), 2)</f>
        <v>Average residential electricity prices</v>
      </c>
      <c r="C333" s="436" t="str">
        <f>INDEX(Country!$K$31:$K$76, MATCH(AI333, Country!$O$31:$O$76, 0), 1)</f>
        <v>USD/MWh</v>
      </c>
      <c r="D333" s="4" t="str">
        <f t="shared" si="308"/>
        <v>Peru</v>
      </c>
      <c r="E333" s="43">
        <v>107.2</v>
      </c>
      <c r="F333" s="43">
        <v>106.89999999999999</v>
      </c>
      <c r="G333" s="43">
        <v>112.69999999999999</v>
      </c>
      <c r="H333" s="43">
        <v>119.3</v>
      </c>
      <c r="I333" s="43">
        <v>122.1</v>
      </c>
      <c r="J333" s="43">
        <v>129.71820400083789</v>
      </c>
      <c r="K333" s="44">
        <v>129.71820400083789</v>
      </c>
      <c r="L333" s="457">
        <f t="shared" si="309"/>
        <v>65.672860935266485</v>
      </c>
      <c r="M333" s="458">
        <f t="shared" si="310"/>
        <v>63.584588618418131</v>
      </c>
      <c r="N333" s="458">
        <f t="shared" si="298"/>
        <v>45.079999999999991</v>
      </c>
      <c r="O333" s="458">
        <f t="shared" si="299"/>
        <v>47.813385518590998</v>
      </c>
      <c r="P333" s="458">
        <f t="shared" si="300"/>
        <v>48.84</v>
      </c>
      <c r="Q333" s="458">
        <f t="shared" si="301"/>
        <v>51.811126098964799</v>
      </c>
      <c r="R333" s="459">
        <f t="shared" si="302"/>
        <v>33.216108448264379</v>
      </c>
      <c r="S333" s="455"/>
      <c r="T333" s="456"/>
      <c r="U333" s="456"/>
      <c r="V333" s="456"/>
      <c r="W333" s="456"/>
      <c r="X333" s="456"/>
      <c r="Y333" s="456"/>
      <c r="Z333" s="455"/>
      <c r="AA333" s="456"/>
      <c r="AB333" s="456"/>
      <c r="AC333" s="456"/>
      <c r="AD333" s="456"/>
      <c r="AE333" s="456"/>
      <c r="AF333" s="456"/>
      <c r="AG333" s="33" t="str">
        <f t="shared" si="287"/>
        <v>1.12 &gt; Peru</v>
      </c>
      <c r="AH333" s="84">
        <f t="shared" si="288"/>
        <v>319</v>
      </c>
      <c r="AI333" s="84">
        <f t="shared" si="289"/>
        <v>12</v>
      </c>
      <c r="AJ333" s="877" t="s">
        <v>1526</v>
      </c>
    </row>
    <row r="334" spans="1:36" x14ac:dyDescent="0.2">
      <c r="A334" s="492">
        <f>INDEX(Country!$F$31:$G$76, MATCH(AI334, Country!$O$31:$O$76, 0), 1)</f>
        <v>1.1200000000000001</v>
      </c>
      <c r="B334" s="2" t="str">
        <f>INDEX(Country!$F$31:$G$76, MATCH(AI334, Country!$O$31:$O$76, 0), 2)</f>
        <v>Average residential electricity prices</v>
      </c>
      <c r="C334" s="436" t="str">
        <f>INDEX(Country!$K$31:$K$76, MATCH(AI334, Country!$O$31:$O$76, 0), 1)</f>
        <v>USD/MWh</v>
      </c>
      <c r="D334" s="4" t="str">
        <f t="shared" si="308"/>
        <v>Suriname</v>
      </c>
      <c r="E334" s="43">
        <v>0</v>
      </c>
      <c r="F334" s="43">
        <v>0</v>
      </c>
      <c r="G334" s="43">
        <v>0</v>
      </c>
      <c r="H334" s="43">
        <v>0</v>
      </c>
      <c r="I334" s="43">
        <v>0</v>
      </c>
      <c r="J334" s="43">
        <v>0</v>
      </c>
      <c r="K334" s="44">
        <v>3.0082675E-2</v>
      </c>
      <c r="L334" s="457">
        <f t="shared" si="309"/>
        <v>0</v>
      </c>
      <c r="M334" s="458">
        <f t="shared" si="310"/>
        <v>0</v>
      </c>
      <c r="N334" s="458">
        <f t="shared" si="298"/>
        <v>0</v>
      </c>
      <c r="O334" s="458">
        <f t="shared" si="299"/>
        <v>0</v>
      </c>
      <c r="P334" s="458">
        <f t="shared" si="300"/>
        <v>0</v>
      </c>
      <c r="Q334" s="458">
        <f t="shared" si="301"/>
        <v>0</v>
      </c>
      <c r="R334" s="459">
        <f t="shared" si="302"/>
        <v>7.7030776282366459E-3</v>
      </c>
      <c r="S334" s="455"/>
      <c r="T334" s="456"/>
      <c r="U334" s="456"/>
      <c r="V334" s="456"/>
      <c r="W334" s="456"/>
      <c r="X334" s="456"/>
      <c r="Y334" s="456"/>
      <c r="Z334" s="455"/>
      <c r="AA334" s="456"/>
      <c r="AB334" s="456"/>
      <c r="AC334" s="456"/>
      <c r="AD334" s="456"/>
      <c r="AE334" s="456"/>
      <c r="AF334" s="456"/>
      <c r="AG334" s="33" t="str">
        <f t="shared" si="287"/>
        <v>1.12 &gt; Suriname</v>
      </c>
      <c r="AH334" s="84">
        <f t="shared" si="288"/>
        <v>320</v>
      </c>
      <c r="AI334" s="84">
        <f t="shared" si="289"/>
        <v>12</v>
      </c>
      <c r="AJ334" s="877" t="s">
        <v>1526</v>
      </c>
    </row>
    <row r="335" spans="1:36" x14ac:dyDescent="0.2">
      <c r="A335" s="492">
        <f>INDEX(Country!$F$31:$G$76, MATCH(AI335, Country!$O$31:$O$76, 0), 1)</f>
        <v>1.1200000000000001</v>
      </c>
      <c r="B335" s="2" t="str">
        <f>INDEX(Country!$F$31:$G$76, MATCH(AI335, Country!$O$31:$O$76, 0), 2)</f>
        <v>Average residential electricity prices</v>
      </c>
      <c r="C335" s="436" t="str">
        <f>INDEX(Country!$K$31:$K$76, MATCH(AI335, Country!$O$31:$O$76, 0), 1)</f>
        <v>USD/MWh</v>
      </c>
      <c r="D335" s="4" t="str">
        <f t="shared" si="308"/>
        <v>Trinidad &amp; Tobago</v>
      </c>
      <c r="E335" s="43">
        <v>0</v>
      </c>
      <c r="F335" s="43">
        <v>0</v>
      </c>
      <c r="G335" s="43">
        <v>0</v>
      </c>
      <c r="H335" s="43">
        <v>0</v>
      </c>
      <c r="I335" s="43">
        <v>0</v>
      </c>
      <c r="J335" s="43">
        <v>0</v>
      </c>
      <c r="K335" s="44">
        <v>53.628666666666668</v>
      </c>
      <c r="L335" s="457">
        <f t="shared" si="309"/>
        <v>0</v>
      </c>
      <c r="M335" s="458">
        <f t="shared" si="310"/>
        <v>0</v>
      </c>
      <c r="N335" s="458">
        <f t="shared" si="298"/>
        <v>0</v>
      </c>
      <c r="O335" s="458">
        <f t="shared" si="299"/>
        <v>0</v>
      </c>
      <c r="P335" s="458">
        <f t="shared" si="300"/>
        <v>0</v>
      </c>
      <c r="Q335" s="458">
        <f t="shared" si="301"/>
        <v>0</v>
      </c>
      <c r="R335" s="459">
        <f t="shared" si="302"/>
        <v>13.732348683491756</v>
      </c>
      <c r="S335" s="455"/>
      <c r="T335" s="456"/>
      <c r="U335" s="456"/>
      <c r="V335" s="456"/>
      <c r="W335" s="456"/>
      <c r="X335" s="456"/>
      <c r="Y335" s="456"/>
      <c r="Z335" s="455"/>
      <c r="AA335" s="456"/>
      <c r="AB335" s="456"/>
      <c r="AC335" s="456"/>
      <c r="AD335" s="456"/>
      <c r="AE335" s="456"/>
      <c r="AF335" s="456"/>
      <c r="AG335" s="33" t="str">
        <f t="shared" ref="AG335:AG398" si="311">A335&amp;" &gt; " &amp;D335</f>
        <v>1.12 &gt; Trinidad &amp; Tobago</v>
      </c>
      <c r="AH335" s="84">
        <f t="shared" si="288"/>
        <v>321</v>
      </c>
      <c r="AI335" s="84">
        <f t="shared" si="289"/>
        <v>12</v>
      </c>
      <c r="AJ335" s="877" t="s">
        <v>1526</v>
      </c>
    </row>
    <row r="336" spans="1:36" x14ac:dyDescent="0.2">
      <c r="A336" s="492">
        <f>INDEX(Country!$F$31:$G$76, MATCH(AI336, Country!$O$31:$O$76, 0), 1)</f>
        <v>1.1200000000000001</v>
      </c>
      <c r="B336" s="2" t="str">
        <f>INDEX(Country!$F$31:$G$76, MATCH(AI336, Country!$O$31:$O$76, 0), 2)</f>
        <v>Average residential electricity prices</v>
      </c>
      <c r="C336" s="436" t="str">
        <f>INDEX(Country!$K$31:$K$76, MATCH(AI336, Country!$O$31:$O$76, 0), 1)</f>
        <v>USD/MWh</v>
      </c>
      <c r="D336" s="4" t="str">
        <f t="shared" si="308"/>
        <v>Uruguay</v>
      </c>
      <c r="E336" s="43">
        <v>152.98273562469299</v>
      </c>
      <c r="F336" s="43">
        <v>161.89389293102698</v>
      </c>
      <c r="G336" s="43">
        <v>190.47864144337899</v>
      </c>
      <c r="H336" s="43">
        <v>203.24615313663</v>
      </c>
      <c r="I336" s="43">
        <v>206.44167162863039</v>
      </c>
      <c r="J336" s="43">
        <v>224.6599524383397</v>
      </c>
      <c r="K336" s="44">
        <v>229.87212352549872</v>
      </c>
      <c r="L336" s="457">
        <f t="shared" si="309"/>
        <v>93.720279124786387</v>
      </c>
      <c r="M336" s="458">
        <f t="shared" si="310"/>
        <v>96.295197210978316</v>
      </c>
      <c r="N336" s="458">
        <f t="shared" si="298"/>
        <v>76.191456577351587</v>
      </c>
      <c r="O336" s="458">
        <f t="shared" si="299"/>
        <v>81.457558047713931</v>
      </c>
      <c r="P336" s="458">
        <f t="shared" si="300"/>
        <v>82.576668651452152</v>
      </c>
      <c r="Q336" s="458">
        <f t="shared" si="301"/>
        <v>89.732086678405352</v>
      </c>
      <c r="R336" s="459">
        <f t="shared" si="302"/>
        <v>58.8618802046201</v>
      </c>
      <c r="S336" s="455"/>
      <c r="T336" s="456"/>
      <c r="U336" s="456"/>
      <c r="V336" s="456"/>
      <c r="W336" s="456"/>
      <c r="X336" s="456"/>
      <c r="Y336" s="456"/>
      <c r="Z336" s="455"/>
      <c r="AA336" s="456"/>
      <c r="AB336" s="456"/>
      <c r="AC336" s="456"/>
      <c r="AD336" s="456"/>
      <c r="AE336" s="456"/>
      <c r="AF336" s="456"/>
      <c r="AG336" s="33" t="str">
        <f t="shared" si="311"/>
        <v>1.12 &gt; Uruguay</v>
      </c>
      <c r="AH336" s="84">
        <f t="shared" si="288"/>
        <v>322</v>
      </c>
      <c r="AI336" s="84">
        <f t="shared" si="289"/>
        <v>12</v>
      </c>
      <c r="AJ336" s="877" t="s">
        <v>1526</v>
      </c>
    </row>
    <row r="337" spans="1:36" x14ac:dyDescent="0.2">
      <c r="A337" s="491">
        <f>INDEX(Country!$F$31:$G$76, MATCH(AI337, Country!$O$31:$O$76, 0), 1)</f>
        <v>1.1200000000000001</v>
      </c>
      <c r="B337" s="386" t="str">
        <f>INDEX(Country!$F$31:$G$76, MATCH(AI337, Country!$O$31:$O$76, 0), 2)</f>
        <v>Average residential electricity prices</v>
      </c>
      <c r="C337" s="437" t="str">
        <f>INDEX(Country!$K$31:$K$76, MATCH(AI337, Country!$O$31:$O$76, 0), 1)</f>
        <v>USD/MWh</v>
      </c>
      <c r="D337" s="86" t="str">
        <f t="shared" si="308"/>
        <v>Venezuela</v>
      </c>
      <c r="E337" s="374">
        <v>36.204989777042158</v>
      </c>
      <c r="F337" s="374">
        <v>35.422322598764275</v>
      </c>
      <c r="G337" s="374">
        <v>39.173064001701036</v>
      </c>
      <c r="H337" s="374">
        <v>40.22374761589662</v>
      </c>
      <c r="I337" s="374">
        <v>21.060870438714854</v>
      </c>
      <c r="J337" s="374">
        <v>23.287341018184367</v>
      </c>
      <c r="K337" s="399">
        <v>24.680250644104454</v>
      </c>
      <c r="L337" s="460">
        <f t="shared" si="309"/>
        <v>22.179899802149574</v>
      </c>
      <c r="M337" s="461">
        <f t="shared" si="310"/>
        <v>21.069352762874857</v>
      </c>
      <c r="N337" s="461">
        <f t="shared" si="298"/>
        <v>15.669225600680415</v>
      </c>
      <c r="O337" s="461">
        <f t="shared" si="299"/>
        <v>16.120985345862284</v>
      </c>
      <c r="P337" s="461">
        <f t="shared" si="300"/>
        <v>8.4243481754859424</v>
      </c>
      <c r="Q337" s="461">
        <f t="shared" si="301"/>
        <v>9.3012647784959466</v>
      </c>
      <c r="R337" s="462">
        <f t="shared" si="302"/>
        <v>6.3197134761411373</v>
      </c>
      <c r="S337" s="455"/>
      <c r="T337" s="456"/>
      <c r="U337" s="456"/>
      <c r="V337" s="456"/>
      <c r="W337" s="456"/>
      <c r="X337" s="456"/>
      <c r="Y337" s="456"/>
      <c r="Z337" s="455"/>
      <c r="AA337" s="456"/>
      <c r="AB337" s="456"/>
      <c r="AC337" s="456"/>
      <c r="AD337" s="456"/>
      <c r="AE337" s="456"/>
      <c r="AF337" s="456"/>
      <c r="AG337" s="90" t="str">
        <f t="shared" si="311"/>
        <v>1.12 &gt; Venezuela</v>
      </c>
      <c r="AH337" s="392">
        <f t="shared" ref="AH337:AH400" si="312">AH336+1</f>
        <v>323</v>
      </c>
      <c r="AI337" s="392">
        <f t="shared" ref="AI337:AI400" si="313">ROUNDUP(AH337/COUNTA($D$15:$D$41),0)</f>
        <v>12</v>
      </c>
      <c r="AJ337" s="878" t="s">
        <v>1526</v>
      </c>
    </row>
    <row r="338" spans="1:36" x14ac:dyDescent="0.2">
      <c r="A338" s="490">
        <f>INDEX(Country!$F$31:$G$76, MATCH(AI338, Country!$O$31:$O$76, 0), 1)</f>
        <v>1.1200000000000001</v>
      </c>
      <c r="B338" s="387" t="str">
        <f>INDEX(Country!$F$31:$G$76, MATCH(AI338, Country!$O$31:$O$76, 0), 2)</f>
        <v>Average residential electricity prices</v>
      </c>
      <c r="C338" s="438" t="str">
        <f>INDEX(Country!$K$31:$K$76, MATCH(AI338, Country!$O$31:$O$76, 0), 1)</f>
        <v>USD/MWh</v>
      </c>
      <c r="D338" s="32" t="str">
        <f t="shared" si="308"/>
        <v>Benchmark</v>
      </c>
      <c r="E338" s="365">
        <f>IFERROR(MAX(E312:E337), 0)</f>
        <v>163.23333333333335</v>
      </c>
      <c r="F338" s="365">
        <f t="shared" ref="F338:K338" si="314">IFERROR(MAX(F312:F337), 0)</f>
        <v>168.12249999999997</v>
      </c>
      <c r="G338" s="365">
        <f t="shared" si="314"/>
        <v>250</v>
      </c>
      <c r="H338" s="365">
        <f t="shared" si="314"/>
        <v>249.51171875</v>
      </c>
      <c r="I338" s="365">
        <f t="shared" si="314"/>
        <v>250</v>
      </c>
      <c r="J338" s="365">
        <f t="shared" si="314"/>
        <v>250.36746692797649</v>
      </c>
      <c r="K338" s="593">
        <f t="shared" si="314"/>
        <v>390.52799999999991</v>
      </c>
      <c r="L338" s="585">
        <f t="shared" si="309"/>
        <v>100</v>
      </c>
      <c r="M338" s="463">
        <f t="shared" si="310"/>
        <v>100</v>
      </c>
      <c r="N338" s="463">
        <f t="shared" si="298"/>
        <v>100</v>
      </c>
      <c r="O338" s="463">
        <f t="shared" si="299"/>
        <v>100</v>
      </c>
      <c r="P338" s="463">
        <f t="shared" si="300"/>
        <v>100</v>
      </c>
      <c r="Q338" s="463">
        <f t="shared" si="301"/>
        <v>100</v>
      </c>
      <c r="R338" s="586">
        <f t="shared" si="302"/>
        <v>100</v>
      </c>
      <c r="S338" s="393"/>
      <c r="T338" s="394"/>
      <c r="U338" s="376"/>
      <c r="V338" s="376"/>
      <c r="W338" s="376"/>
      <c r="X338" s="376"/>
      <c r="Y338" s="376"/>
      <c r="Z338" s="393"/>
      <c r="AA338" s="394"/>
      <c r="AB338" s="376"/>
      <c r="AC338" s="376"/>
      <c r="AD338" s="376"/>
      <c r="AE338" s="376"/>
      <c r="AF338" s="401"/>
      <c r="AG338" s="34" t="str">
        <f t="shared" si="311"/>
        <v>1.12 &gt; Benchmark</v>
      </c>
      <c r="AH338" s="85">
        <f t="shared" si="312"/>
        <v>324</v>
      </c>
      <c r="AI338" s="85">
        <f t="shared" si="313"/>
        <v>12</v>
      </c>
      <c r="AJ338" s="871" t="s">
        <v>1526</v>
      </c>
    </row>
    <row r="339" spans="1:36" x14ac:dyDescent="0.2">
      <c r="A339" s="587">
        <f>INDEX(Country!$F$31:$G$76, MATCH(AI339, Country!$O$31:$O$76, 0), 1)</f>
        <v>1.1300000000000001</v>
      </c>
      <c r="B339" s="588" t="str">
        <f>INDEX(Country!$F$31:$G$76, MATCH(AI339, Country!$O$31:$O$76, 0), 2)</f>
        <v>Average commercial electricity prices</v>
      </c>
      <c r="C339" s="589" t="str">
        <f>INDEX(Country!$K$31:$K$76, MATCH(AI339, Country!$O$31:$O$76, 0), 1)</f>
        <v>USD/MWh</v>
      </c>
      <c r="D339" s="590" t="str">
        <f t="shared" si="308"/>
        <v>Argentina</v>
      </c>
      <c r="E339" s="605">
        <v>0</v>
      </c>
      <c r="F339" s="605">
        <v>0</v>
      </c>
      <c r="G339" s="605">
        <v>0</v>
      </c>
      <c r="H339" s="605">
        <v>0</v>
      </c>
      <c r="I339" s="605">
        <v>0</v>
      </c>
      <c r="J339" s="605">
        <v>0</v>
      </c>
      <c r="K339" s="606">
        <v>94.310985944684106</v>
      </c>
      <c r="L339" s="580">
        <f t="shared" si="309"/>
        <v>0</v>
      </c>
      <c r="M339" s="581">
        <f t="shared" si="310"/>
        <v>0</v>
      </c>
      <c r="N339" s="581">
        <f t="shared" si="298"/>
        <v>0</v>
      </c>
      <c r="O339" s="581">
        <f t="shared" si="299"/>
        <v>0</v>
      </c>
      <c r="P339" s="581">
        <f t="shared" si="300"/>
        <v>0</v>
      </c>
      <c r="Q339" s="581">
        <f t="shared" si="301"/>
        <v>0</v>
      </c>
      <c r="R339" s="582">
        <f t="shared" si="302"/>
        <v>20.090924656024878</v>
      </c>
      <c r="S339" s="455"/>
      <c r="T339" s="456"/>
      <c r="U339" s="456"/>
      <c r="V339" s="456"/>
      <c r="W339" s="456"/>
      <c r="X339" s="456"/>
      <c r="Y339" s="456"/>
      <c r="Z339" s="455"/>
      <c r="AA339" s="456"/>
      <c r="AB339" s="456"/>
      <c r="AC339" s="456"/>
      <c r="AD339" s="456"/>
      <c r="AE339" s="456"/>
      <c r="AF339" s="456"/>
      <c r="AG339" s="396" t="str">
        <f t="shared" si="311"/>
        <v>1.13 &gt; Argentina</v>
      </c>
      <c r="AH339" s="397">
        <f t="shared" si="312"/>
        <v>325</v>
      </c>
      <c r="AI339" s="397">
        <f t="shared" si="313"/>
        <v>13</v>
      </c>
      <c r="AJ339" s="879" t="s">
        <v>1526</v>
      </c>
    </row>
    <row r="340" spans="1:36" x14ac:dyDescent="0.2">
      <c r="A340" s="492">
        <f>INDEX(Country!$F$31:$G$76, MATCH(AI340, Country!$O$31:$O$76, 0), 1)</f>
        <v>1.1300000000000001</v>
      </c>
      <c r="B340" s="2" t="str">
        <f>INDEX(Country!$F$31:$G$76, MATCH(AI340, Country!$O$31:$O$76, 0), 2)</f>
        <v>Average commercial electricity prices</v>
      </c>
      <c r="C340" s="436" t="str">
        <f>INDEX(Country!$K$31:$K$76, MATCH(AI340, Country!$O$31:$O$76, 0), 1)</f>
        <v>USD/MWh</v>
      </c>
      <c r="D340" s="4" t="str">
        <f t="shared" si="308"/>
        <v>Bahamas</v>
      </c>
      <c r="E340" s="540">
        <v>0</v>
      </c>
      <c r="F340" s="540">
        <v>0</v>
      </c>
      <c r="G340" s="540">
        <v>0</v>
      </c>
      <c r="H340" s="540">
        <v>0</v>
      </c>
      <c r="I340" s="540">
        <v>0</v>
      </c>
      <c r="J340" s="540">
        <v>0</v>
      </c>
      <c r="K340" s="76">
        <v>171.6</v>
      </c>
      <c r="L340" s="457">
        <f t="shared" si="309"/>
        <v>0</v>
      </c>
      <c r="M340" s="458">
        <f t="shared" si="310"/>
        <v>0</v>
      </c>
      <c r="N340" s="458">
        <f t="shared" si="298"/>
        <v>0</v>
      </c>
      <c r="O340" s="458">
        <f t="shared" si="299"/>
        <v>0</v>
      </c>
      <c r="P340" s="458">
        <f t="shared" si="300"/>
        <v>0</v>
      </c>
      <c r="Q340" s="458">
        <f t="shared" si="301"/>
        <v>0</v>
      </c>
      <c r="R340" s="459">
        <f t="shared" si="302"/>
        <v>36.555684753375175</v>
      </c>
      <c r="S340" s="455"/>
      <c r="T340" s="456"/>
      <c r="U340" s="456"/>
      <c r="V340" s="456"/>
      <c r="W340" s="456"/>
      <c r="X340" s="456"/>
      <c r="Y340" s="456"/>
      <c r="Z340" s="455"/>
      <c r="AA340" s="456"/>
      <c r="AB340" s="456"/>
      <c r="AC340" s="456"/>
      <c r="AD340" s="456"/>
      <c r="AE340" s="456"/>
      <c r="AF340" s="456"/>
      <c r="AG340" s="33" t="str">
        <f t="shared" si="311"/>
        <v>1.13 &gt; Bahamas</v>
      </c>
      <c r="AH340" s="84">
        <f t="shared" si="312"/>
        <v>326</v>
      </c>
      <c r="AI340" s="84">
        <f t="shared" si="313"/>
        <v>13</v>
      </c>
      <c r="AJ340" s="877" t="s">
        <v>1526</v>
      </c>
    </row>
    <row r="341" spans="1:36" x14ac:dyDescent="0.2">
      <c r="A341" s="492">
        <f>INDEX(Country!$F$31:$G$76, MATCH(AI341, Country!$O$31:$O$76, 0), 1)</f>
        <v>1.1300000000000001</v>
      </c>
      <c r="B341" s="2" t="str">
        <f>INDEX(Country!$F$31:$G$76, MATCH(AI341, Country!$O$31:$O$76, 0), 2)</f>
        <v>Average commercial electricity prices</v>
      </c>
      <c r="C341" s="436" t="str">
        <f>INDEX(Country!$K$31:$K$76, MATCH(AI341, Country!$O$31:$O$76, 0), 1)</f>
        <v>USD/MWh</v>
      </c>
      <c r="D341" s="4" t="str">
        <f t="shared" si="308"/>
        <v>Barbados</v>
      </c>
      <c r="E341" s="540">
        <v>0</v>
      </c>
      <c r="F341" s="540">
        <v>0</v>
      </c>
      <c r="G341" s="540">
        <v>0</v>
      </c>
      <c r="H341" s="540">
        <v>0</v>
      </c>
      <c r="I341" s="540">
        <v>0</v>
      </c>
      <c r="J341" s="540">
        <v>0</v>
      </c>
      <c r="K341" s="76">
        <v>118.75</v>
      </c>
      <c r="L341" s="457">
        <f t="shared" si="309"/>
        <v>0</v>
      </c>
      <c r="M341" s="458">
        <f t="shared" si="310"/>
        <v>0</v>
      </c>
      <c r="N341" s="458">
        <f t="shared" si="298"/>
        <v>0</v>
      </c>
      <c r="O341" s="458">
        <f t="shared" si="299"/>
        <v>0</v>
      </c>
      <c r="P341" s="458">
        <f t="shared" si="300"/>
        <v>0</v>
      </c>
      <c r="Q341" s="458">
        <f t="shared" si="301"/>
        <v>0</v>
      </c>
      <c r="R341" s="459">
        <f t="shared" si="302"/>
        <v>25.297130329040222</v>
      </c>
      <c r="S341" s="455"/>
      <c r="T341" s="456"/>
      <c r="U341" s="456"/>
      <c r="V341" s="456"/>
      <c r="W341" s="456"/>
      <c r="X341" s="456"/>
      <c r="Y341" s="456"/>
      <c r="Z341" s="455"/>
      <c r="AA341" s="456"/>
      <c r="AB341" s="456"/>
      <c r="AC341" s="456"/>
      <c r="AD341" s="456"/>
      <c r="AE341" s="456"/>
      <c r="AF341" s="456"/>
      <c r="AG341" s="33" t="str">
        <f t="shared" si="311"/>
        <v>1.13 &gt; Barbados</v>
      </c>
      <c r="AH341" s="84">
        <f t="shared" si="312"/>
        <v>327</v>
      </c>
      <c r="AI341" s="84">
        <f t="shared" si="313"/>
        <v>13</v>
      </c>
      <c r="AJ341" s="877" t="s">
        <v>1526</v>
      </c>
    </row>
    <row r="342" spans="1:36" x14ac:dyDescent="0.2">
      <c r="A342" s="492">
        <f>INDEX(Country!$F$31:$G$76, MATCH(AI342, Country!$O$31:$O$76, 0), 1)</f>
        <v>1.1300000000000001</v>
      </c>
      <c r="B342" s="2" t="str">
        <f>INDEX(Country!$F$31:$G$76, MATCH(AI342, Country!$O$31:$O$76, 0), 2)</f>
        <v>Average commercial electricity prices</v>
      </c>
      <c r="C342" s="436" t="str">
        <f>INDEX(Country!$K$31:$K$76, MATCH(AI342, Country!$O$31:$O$76, 0), 1)</f>
        <v>USD/MWh</v>
      </c>
      <c r="D342" s="4" t="str">
        <f t="shared" si="308"/>
        <v>Belize</v>
      </c>
      <c r="E342" s="540">
        <v>0</v>
      </c>
      <c r="F342" s="540">
        <v>0</v>
      </c>
      <c r="G342" s="540">
        <v>0</v>
      </c>
      <c r="H342" s="540">
        <v>0</v>
      </c>
      <c r="I342" s="540">
        <v>0</v>
      </c>
      <c r="J342" s="540">
        <v>0</v>
      </c>
      <c r="K342" s="76">
        <v>214.10504096220075</v>
      </c>
      <c r="L342" s="457">
        <f t="shared" si="309"/>
        <v>0</v>
      </c>
      <c r="M342" s="458">
        <f t="shared" si="310"/>
        <v>0</v>
      </c>
      <c r="N342" s="458">
        <f t="shared" si="298"/>
        <v>0</v>
      </c>
      <c r="O342" s="458">
        <f t="shared" si="299"/>
        <v>0</v>
      </c>
      <c r="P342" s="458">
        <f t="shared" si="300"/>
        <v>0</v>
      </c>
      <c r="Q342" s="458">
        <f t="shared" si="301"/>
        <v>0</v>
      </c>
      <c r="R342" s="459">
        <f t="shared" si="302"/>
        <v>45.610468423791886</v>
      </c>
      <c r="S342" s="455"/>
      <c r="T342" s="456"/>
      <c r="U342" s="456"/>
      <c r="V342" s="456"/>
      <c r="W342" s="456"/>
      <c r="X342" s="456"/>
      <c r="Y342" s="456"/>
      <c r="Z342" s="455"/>
      <c r="AA342" s="456"/>
      <c r="AB342" s="456"/>
      <c r="AC342" s="456"/>
      <c r="AD342" s="456"/>
      <c r="AE342" s="456"/>
      <c r="AF342" s="456"/>
      <c r="AG342" s="33" t="str">
        <f t="shared" si="311"/>
        <v>1.13 &gt; Belize</v>
      </c>
      <c r="AH342" s="84">
        <f t="shared" si="312"/>
        <v>328</v>
      </c>
      <c r="AI342" s="84">
        <f t="shared" si="313"/>
        <v>13</v>
      </c>
      <c r="AJ342" s="877" t="s">
        <v>1526</v>
      </c>
    </row>
    <row r="343" spans="1:36" x14ac:dyDescent="0.2">
      <c r="A343" s="492">
        <f>INDEX(Country!$F$31:$G$76, MATCH(AI343, Country!$O$31:$O$76, 0), 1)</f>
        <v>1.1300000000000001</v>
      </c>
      <c r="B343" s="2" t="str">
        <f>INDEX(Country!$F$31:$G$76, MATCH(AI343, Country!$O$31:$O$76, 0), 2)</f>
        <v>Average commercial electricity prices</v>
      </c>
      <c r="C343" s="436" t="str">
        <f>INDEX(Country!$K$31:$K$76, MATCH(AI343, Country!$O$31:$O$76, 0), 1)</f>
        <v>USD/MWh</v>
      </c>
      <c r="D343" s="4" t="str">
        <f t="shared" si="308"/>
        <v>Bolivia</v>
      </c>
      <c r="E343" s="43">
        <v>90.636856925154589</v>
      </c>
      <c r="F343" s="43">
        <v>95.7</v>
      </c>
      <c r="G343" s="43">
        <v>109.49999999999999</v>
      </c>
      <c r="H343" s="43">
        <v>105.89999999999999</v>
      </c>
      <c r="I343" s="43">
        <v>107.10000000000001</v>
      </c>
      <c r="J343" s="43">
        <v>113.4</v>
      </c>
      <c r="K343" s="44">
        <v>113.4</v>
      </c>
      <c r="L343" s="457">
        <f t="shared" si="309"/>
        <v>42.748864340044015</v>
      </c>
      <c r="M343" s="458">
        <f t="shared" si="310"/>
        <v>43.737066563994595</v>
      </c>
      <c r="N343" s="458">
        <f t="shared" si="298"/>
        <v>32.056430822114002</v>
      </c>
      <c r="O343" s="458">
        <f t="shared" si="299"/>
        <v>31.063191062732741</v>
      </c>
      <c r="P343" s="458">
        <f t="shared" si="300"/>
        <v>31.353824119163562</v>
      </c>
      <c r="Q343" s="458">
        <f t="shared" si="301"/>
        <v>33.149441420796329</v>
      </c>
      <c r="R343" s="459">
        <f t="shared" si="302"/>
        <v>24.157428036321356</v>
      </c>
      <c r="S343" s="455"/>
      <c r="T343" s="456"/>
      <c r="U343" s="456"/>
      <c r="V343" s="456"/>
      <c r="W343" s="456"/>
      <c r="X343" s="456"/>
      <c r="Y343" s="456"/>
      <c r="Z343" s="455"/>
      <c r="AA343" s="456"/>
      <c r="AB343" s="456"/>
      <c r="AC343" s="456"/>
      <c r="AD343" s="456"/>
      <c r="AE343" s="456"/>
      <c r="AF343" s="456"/>
      <c r="AG343" s="33" t="str">
        <f t="shared" si="311"/>
        <v>1.13 &gt; Bolivia</v>
      </c>
      <c r="AH343" s="84">
        <f t="shared" si="312"/>
        <v>329</v>
      </c>
      <c r="AI343" s="84">
        <f t="shared" si="313"/>
        <v>13</v>
      </c>
      <c r="AJ343" s="877" t="s">
        <v>1526</v>
      </c>
    </row>
    <row r="344" spans="1:36" x14ac:dyDescent="0.2">
      <c r="A344" s="492">
        <f>INDEX(Country!$F$31:$G$76, MATCH(AI344, Country!$O$31:$O$76, 0), 1)</f>
        <v>1.1300000000000001</v>
      </c>
      <c r="B344" s="2" t="str">
        <f>INDEX(Country!$F$31:$G$76, MATCH(AI344, Country!$O$31:$O$76, 0), 2)</f>
        <v>Average commercial electricity prices</v>
      </c>
      <c r="C344" s="436" t="str">
        <f>INDEX(Country!$K$31:$K$76, MATCH(AI344, Country!$O$31:$O$76, 0), 1)</f>
        <v>USD/MWh</v>
      </c>
      <c r="D344" s="4" t="str">
        <f t="shared" si="308"/>
        <v>Brazil</v>
      </c>
      <c r="E344" s="43">
        <v>99.151271999999992</v>
      </c>
      <c r="F344" s="43">
        <v>115.88994400000001</v>
      </c>
      <c r="G344" s="43">
        <v>120.10755</v>
      </c>
      <c r="H344" s="43">
        <v>116.705904</v>
      </c>
      <c r="I344" s="43">
        <v>134.311601</v>
      </c>
      <c r="J344" s="43">
        <v>149.82396799999998</v>
      </c>
      <c r="K344" s="44">
        <v>134.301264</v>
      </c>
      <c r="L344" s="457">
        <f t="shared" si="309"/>
        <v>46.764687343151429</v>
      </c>
      <c r="M344" s="458">
        <f t="shared" si="310"/>
        <v>52.964328054604039</v>
      </c>
      <c r="N344" s="458">
        <f t="shared" si="298"/>
        <v>35.161820710398167</v>
      </c>
      <c r="O344" s="458">
        <f t="shared" si="299"/>
        <v>34.232840359782301</v>
      </c>
      <c r="P344" s="458">
        <f t="shared" si="300"/>
        <v>39.320096311085642</v>
      </c>
      <c r="Q344" s="458">
        <f t="shared" si="301"/>
        <v>43.797009264967052</v>
      </c>
      <c r="R344" s="459">
        <f t="shared" si="302"/>
        <v>28.609992242213369</v>
      </c>
      <c r="S344" s="455"/>
      <c r="T344" s="456"/>
      <c r="U344" s="456"/>
      <c r="V344" s="456"/>
      <c r="W344" s="456"/>
      <c r="X344" s="456"/>
      <c r="Y344" s="456"/>
      <c r="Z344" s="455"/>
      <c r="AA344" s="456"/>
      <c r="AB344" s="456"/>
      <c r="AC344" s="456"/>
      <c r="AD344" s="456"/>
      <c r="AE344" s="456"/>
      <c r="AF344" s="456"/>
      <c r="AG344" s="33" t="str">
        <f t="shared" si="311"/>
        <v>1.13 &gt; Brazil</v>
      </c>
      <c r="AH344" s="84">
        <f t="shared" si="312"/>
        <v>330</v>
      </c>
      <c r="AI344" s="84">
        <f t="shared" si="313"/>
        <v>13</v>
      </c>
      <c r="AJ344" s="877" t="s">
        <v>1526</v>
      </c>
    </row>
    <row r="345" spans="1:36" x14ac:dyDescent="0.2">
      <c r="A345" s="492">
        <f>INDEX(Country!$F$31:$G$76, MATCH(AI345, Country!$O$31:$O$76, 0), 1)</f>
        <v>1.1300000000000001</v>
      </c>
      <c r="B345" s="2" t="str">
        <f>INDEX(Country!$F$31:$G$76, MATCH(AI345, Country!$O$31:$O$76, 0), 2)</f>
        <v>Average commercial electricity prices</v>
      </c>
      <c r="C345" s="436" t="str">
        <f>INDEX(Country!$K$31:$K$76, MATCH(AI345, Country!$O$31:$O$76, 0), 1)</f>
        <v>USD/MWh</v>
      </c>
      <c r="D345" s="4" t="str">
        <f t="shared" si="308"/>
        <v>Chile</v>
      </c>
      <c r="E345" s="43">
        <v>80</v>
      </c>
      <c r="F345" s="43">
        <v>100</v>
      </c>
      <c r="G345" s="43">
        <v>160</v>
      </c>
      <c r="H345" s="43">
        <v>135</v>
      </c>
      <c r="I345" s="43">
        <v>145</v>
      </c>
      <c r="J345" s="43">
        <v>145</v>
      </c>
      <c r="K345" s="44">
        <v>145.19999999999999</v>
      </c>
      <c r="L345" s="457">
        <f t="shared" si="309"/>
        <v>37.73199185434671</v>
      </c>
      <c r="M345" s="458">
        <f t="shared" si="310"/>
        <v>45.702263912220054</v>
      </c>
      <c r="N345" s="458">
        <f t="shared" si="298"/>
        <v>46.840446863362935</v>
      </c>
      <c r="O345" s="458">
        <f t="shared" si="299"/>
        <v>39.598968776854768</v>
      </c>
      <c r="P345" s="458">
        <f t="shared" si="300"/>
        <v>42.44915496992266</v>
      </c>
      <c r="Q345" s="458">
        <f t="shared" si="301"/>
        <v>42.386851904898307</v>
      </c>
      <c r="R345" s="459">
        <f t="shared" si="302"/>
        <v>30.931733252855913</v>
      </c>
      <c r="S345" s="455"/>
      <c r="T345" s="456"/>
      <c r="U345" s="456"/>
      <c r="V345" s="456"/>
      <c r="W345" s="456"/>
      <c r="X345" s="456"/>
      <c r="Y345" s="456"/>
      <c r="Z345" s="455"/>
      <c r="AA345" s="456"/>
      <c r="AB345" s="456"/>
      <c r="AC345" s="456"/>
      <c r="AD345" s="456"/>
      <c r="AE345" s="456"/>
      <c r="AF345" s="456"/>
      <c r="AG345" s="33" t="str">
        <f t="shared" si="311"/>
        <v>1.13 &gt; Chile</v>
      </c>
      <c r="AH345" s="84">
        <f t="shared" si="312"/>
        <v>331</v>
      </c>
      <c r="AI345" s="84">
        <f t="shared" si="313"/>
        <v>13</v>
      </c>
      <c r="AJ345" s="877" t="s">
        <v>1526</v>
      </c>
    </row>
    <row r="346" spans="1:36" x14ac:dyDescent="0.2">
      <c r="A346" s="492">
        <f>INDEX(Country!$F$31:$G$76, MATCH(AI346, Country!$O$31:$O$76, 0), 1)</f>
        <v>1.1300000000000001</v>
      </c>
      <c r="B346" s="2" t="str">
        <f>INDEX(Country!$F$31:$G$76, MATCH(AI346, Country!$O$31:$O$76, 0), 2)</f>
        <v>Average commercial electricity prices</v>
      </c>
      <c r="C346" s="436" t="str">
        <f>INDEX(Country!$K$31:$K$76, MATCH(AI346, Country!$O$31:$O$76, 0), 1)</f>
        <v>USD/MWh</v>
      </c>
      <c r="D346" s="4" t="str">
        <f t="shared" si="308"/>
        <v>Colombia</v>
      </c>
      <c r="E346" s="43">
        <v>0</v>
      </c>
      <c r="F346" s="43">
        <v>0</v>
      </c>
      <c r="G346" s="43">
        <v>0</v>
      </c>
      <c r="H346" s="43">
        <v>0</v>
      </c>
      <c r="I346" s="43">
        <v>120</v>
      </c>
      <c r="J346" s="43">
        <v>150</v>
      </c>
      <c r="K346" s="44">
        <v>180</v>
      </c>
      <c r="L346" s="457">
        <f t="shared" si="309"/>
        <v>0</v>
      </c>
      <c r="M346" s="458">
        <f t="shared" si="310"/>
        <v>0</v>
      </c>
      <c r="N346" s="458">
        <f t="shared" si="298"/>
        <v>0</v>
      </c>
      <c r="O346" s="458">
        <f t="shared" si="299"/>
        <v>0</v>
      </c>
      <c r="P346" s="458">
        <f t="shared" si="300"/>
        <v>35.130335147522196</v>
      </c>
      <c r="Q346" s="458">
        <f t="shared" si="301"/>
        <v>43.848467487825836</v>
      </c>
      <c r="R346" s="459">
        <f t="shared" si="302"/>
        <v>38.345123867176753</v>
      </c>
      <c r="S346" s="455"/>
      <c r="T346" s="456"/>
      <c r="U346" s="456"/>
      <c r="V346" s="456"/>
      <c r="W346" s="456"/>
      <c r="X346" s="456"/>
      <c r="Y346" s="456"/>
      <c r="Z346" s="455"/>
      <c r="AA346" s="456"/>
      <c r="AB346" s="456"/>
      <c r="AC346" s="456"/>
      <c r="AD346" s="456"/>
      <c r="AE346" s="456"/>
      <c r="AF346" s="456"/>
      <c r="AG346" s="33" t="str">
        <f t="shared" si="311"/>
        <v>1.13 &gt; Colombia</v>
      </c>
      <c r="AH346" s="84">
        <f t="shared" si="312"/>
        <v>332</v>
      </c>
      <c r="AI346" s="84">
        <f t="shared" si="313"/>
        <v>13</v>
      </c>
      <c r="AJ346" s="877" t="s">
        <v>1526</v>
      </c>
    </row>
    <row r="347" spans="1:36" x14ac:dyDescent="0.2">
      <c r="A347" s="492">
        <f>INDEX(Country!$F$31:$G$76, MATCH(AI347, Country!$O$31:$O$76, 0), 1)</f>
        <v>1.1300000000000001</v>
      </c>
      <c r="B347" s="2" t="str">
        <f>INDEX(Country!$F$31:$G$76, MATCH(AI347, Country!$O$31:$O$76, 0), 2)</f>
        <v>Average commercial electricity prices</v>
      </c>
      <c r="C347" s="436" t="str">
        <f>INDEX(Country!$K$31:$K$76, MATCH(AI347, Country!$O$31:$O$76, 0), 1)</f>
        <v>USD/MWh</v>
      </c>
      <c r="D347" s="4" t="str">
        <f t="shared" si="308"/>
        <v>Costa Rica</v>
      </c>
      <c r="E347" s="43">
        <v>97.730356005942085</v>
      </c>
      <c r="F347" s="43">
        <v>106.14410436447635</v>
      </c>
      <c r="G347" s="43">
        <v>123.0590165016164</v>
      </c>
      <c r="H347" s="43">
        <v>146.72673915129545</v>
      </c>
      <c r="I347" s="43">
        <v>166.50965071534924</v>
      </c>
      <c r="J347" s="43">
        <v>163.4136034401885</v>
      </c>
      <c r="K347" s="44">
        <v>171.5125045298345</v>
      </c>
      <c r="L347" s="457">
        <f t="shared" si="309"/>
        <v>46.094512459232632</v>
      </c>
      <c r="M347" s="458">
        <f t="shared" si="310"/>
        <v>48.51025870391527</v>
      </c>
      <c r="N347" s="458">
        <f t="shared" si="298"/>
        <v>36.025870771885408</v>
      </c>
      <c r="O347" s="458">
        <f t="shared" si="299"/>
        <v>43.038722684310095</v>
      </c>
      <c r="P347" s="458">
        <f t="shared" si="300"/>
        <v>48.746165291058986</v>
      </c>
      <c r="Q347" s="458">
        <f t="shared" si="301"/>
        <v>47.769573850103789</v>
      </c>
      <c r="R347" s="459">
        <f t="shared" si="302"/>
        <v>36.537045727590105</v>
      </c>
      <c r="S347" s="455"/>
      <c r="T347" s="456"/>
      <c r="U347" s="456"/>
      <c r="V347" s="456"/>
      <c r="W347" s="456"/>
      <c r="X347" s="456"/>
      <c r="Y347" s="456"/>
      <c r="Z347" s="455"/>
      <c r="AA347" s="456"/>
      <c r="AB347" s="456"/>
      <c r="AC347" s="456"/>
      <c r="AD347" s="456"/>
      <c r="AE347" s="456"/>
      <c r="AF347" s="456"/>
      <c r="AG347" s="33" t="str">
        <f t="shared" si="311"/>
        <v>1.13 &gt; Costa Rica</v>
      </c>
      <c r="AH347" s="84">
        <f t="shared" si="312"/>
        <v>333</v>
      </c>
      <c r="AI347" s="84">
        <f t="shared" si="313"/>
        <v>13</v>
      </c>
      <c r="AJ347" s="877" t="s">
        <v>1526</v>
      </c>
    </row>
    <row r="348" spans="1:36" x14ac:dyDescent="0.2">
      <c r="A348" s="492">
        <f>INDEX(Country!$F$31:$G$76, MATCH(AI348, Country!$O$31:$O$76, 0), 1)</f>
        <v>1.1300000000000001</v>
      </c>
      <c r="B348" s="2" t="str">
        <f>INDEX(Country!$F$31:$G$76, MATCH(AI348, Country!$O$31:$O$76, 0), 2)</f>
        <v>Average commercial electricity prices</v>
      </c>
      <c r="C348" s="436" t="str">
        <f>INDEX(Country!$K$31:$K$76, MATCH(AI348, Country!$O$31:$O$76, 0), 1)</f>
        <v>USD/MWh</v>
      </c>
      <c r="D348" s="4" t="str">
        <f t="shared" si="308"/>
        <v>Dominican Republic</v>
      </c>
      <c r="E348" s="43">
        <v>0</v>
      </c>
      <c r="F348" s="43">
        <v>0</v>
      </c>
      <c r="G348" s="43">
        <v>0</v>
      </c>
      <c r="H348" s="43">
        <v>0</v>
      </c>
      <c r="I348" s="43">
        <v>0</v>
      </c>
      <c r="J348" s="43">
        <v>0</v>
      </c>
      <c r="K348" s="44">
        <v>225.04770000000002</v>
      </c>
      <c r="L348" s="457">
        <f t="shared" si="309"/>
        <v>0</v>
      </c>
      <c r="M348" s="458">
        <f t="shared" si="310"/>
        <v>0</v>
      </c>
      <c r="N348" s="458">
        <f t="shared" si="298"/>
        <v>0</v>
      </c>
      <c r="O348" s="458">
        <f t="shared" si="299"/>
        <v>0</v>
      </c>
      <c r="P348" s="458">
        <f t="shared" si="300"/>
        <v>0</v>
      </c>
      <c r="Q348" s="458">
        <f t="shared" si="301"/>
        <v>0</v>
      </c>
      <c r="R348" s="459">
        <f t="shared" si="302"/>
        <v>47.941566291795745</v>
      </c>
      <c r="S348" s="455"/>
      <c r="T348" s="456"/>
      <c r="U348" s="456"/>
      <c r="V348" s="456"/>
      <c r="W348" s="456"/>
      <c r="X348" s="456"/>
      <c r="Y348" s="456"/>
      <c r="Z348" s="455"/>
      <c r="AA348" s="456"/>
      <c r="AB348" s="456"/>
      <c r="AC348" s="456"/>
      <c r="AD348" s="456"/>
      <c r="AE348" s="456"/>
      <c r="AF348" s="456"/>
      <c r="AG348" s="33" t="str">
        <f t="shared" si="311"/>
        <v>1.13 &gt; Dominican Republic</v>
      </c>
      <c r="AH348" s="84">
        <f t="shared" si="312"/>
        <v>334</v>
      </c>
      <c r="AI348" s="84">
        <f t="shared" si="313"/>
        <v>13</v>
      </c>
      <c r="AJ348" s="877" t="s">
        <v>1526</v>
      </c>
    </row>
    <row r="349" spans="1:36" x14ac:dyDescent="0.2">
      <c r="A349" s="492">
        <f>INDEX(Country!$F$31:$G$76, MATCH(AI349, Country!$O$31:$O$76, 0), 1)</f>
        <v>1.1300000000000001</v>
      </c>
      <c r="B349" s="2" t="str">
        <f>INDEX(Country!$F$31:$G$76, MATCH(AI349, Country!$O$31:$O$76, 0), 2)</f>
        <v>Average commercial electricity prices</v>
      </c>
      <c r="C349" s="436" t="str">
        <f>INDEX(Country!$K$31:$K$76, MATCH(AI349, Country!$O$31:$O$76, 0), 1)</f>
        <v>USD/MWh</v>
      </c>
      <c r="D349" s="4" t="str">
        <f t="shared" si="308"/>
        <v>Ecuador</v>
      </c>
      <c r="E349" s="43">
        <v>81.099999999999994</v>
      </c>
      <c r="F349" s="43">
        <v>82</v>
      </c>
      <c r="G349" s="43">
        <v>81.7</v>
      </c>
      <c r="H349" s="43">
        <v>80.199999999999989</v>
      </c>
      <c r="I349" s="43">
        <v>78.5</v>
      </c>
      <c r="J349" s="43">
        <v>78.3</v>
      </c>
      <c r="K349" s="44">
        <v>78.654545454545456</v>
      </c>
      <c r="L349" s="457">
        <f t="shared" si="309"/>
        <v>38.250806742343968</v>
      </c>
      <c r="M349" s="458">
        <f t="shared" si="310"/>
        <v>37.475856408020448</v>
      </c>
      <c r="N349" s="458">
        <f t="shared" si="298"/>
        <v>23.917903179604696</v>
      </c>
      <c r="O349" s="458">
        <f t="shared" si="299"/>
        <v>23.524720710398164</v>
      </c>
      <c r="P349" s="458">
        <f t="shared" si="300"/>
        <v>22.981094242337438</v>
      </c>
      <c r="Q349" s="458">
        <f t="shared" si="301"/>
        <v>22.888900028645086</v>
      </c>
      <c r="R349" s="459">
        <f t="shared" si="302"/>
        <v>16.755657156505723</v>
      </c>
      <c r="S349" s="455"/>
      <c r="T349" s="456"/>
      <c r="U349" s="456"/>
      <c r="V349" s="456"/>
      <c r="W349" s="456"/>
      <c r="X349" s="456"/>
      <c r="Y349" s="456"/>
      <c r="Z349" s="455"/>
      <c r="AA349" s="456"/>
      <c r="AB349" s="456"/>
      <c r="AC349" s="456"/>
      <c r="AD349" s="456"/>
      <c r="AE349" s="456"/>
      <c r="AF349" s="456"/>
      <c r="AG349" s="33" t="str">
        <f t="shared" si="311"/>
        <v>1.13 &gt; Ecuador</v>
      </c>
      <c r="AH349" s="84">
        <f t="shared" si="312"/>
        <v>335</v>
      </c>
      <c r="AI349" s="84">
        <f t="shared" si="313"/>
        <v>13</v>
      </c>
      <c r="AJ349" s="877" t="s">
        <v>1526</v>
      </c>
    </row>
    <row r="350" spans="1:36" x14ac:dyDescent="0.2">
      <c r="A350" s="492">
        <f>INDEX(Country!$F$31:$G$76, MATCH(AI350, Country!$O$31:$O$76, 0), 1)</f>
        <v>1.1300000000000001</v>
      </c>
      <c r="B350" s="2" t="str">
        <f>INDEX(Country!$F$31:$G$76, MATCH(AI350, Country!$O$31:$O$76, 0), 2)</f>
        <v>Average commercial electricity prices</v>
      </c>
      <c r="C350" s="436" t="str">
        <f>INDEX(Country!$K$31:$K$76, MATCH(AI350, Country!$O$31:$O$76, 0), 1)</f>
        <v>USD/MWh</v>
      </c>
      <c r="D350" s="4" t="str">
        <f t="shared" si="308"/>
        <v>El Salvador</v>
      </c>
      <c r="E350" s="43">
        <v>0</v>
      </c>
      <c r="F350" s="43">
        <v>0</v>
      </c>
      <c r="G350" s="43">
        <v>0</v>
      </c>
      <c r="H350" s="43">
        <v>0</v>
      </c>
      <c r="I350" s="43">
        <v>0</v>
      </c>
      <c r="J350" s="43">
        <v>0</v>
      </c>
      <c r="K350" s="44">
        <v>212.5</v>
      </c>
      <c r="L350" s="457">
        <f t="shared" si="309"/>
        <v>0</v>
      </c>
      <c r="M350" s="458">
        <f t="shared" si="310"/>
        <v>0</v>
      </c>
      <c r="N350" s="458">
        <f t="shared" si="298"/>
        <v>0</v>
      </c>
      <c r="O350" s="458">
        <f t="shared" si="299"/>
        <v>0</v>
      </c>
      <c r="P350" s="458">
        <f t="shared" si="300"/>
        <v>0</v>
      </c>
      <c r="Q350" s="458">
        <f t="shared" si="301"/>
        <v>0</v>
      </c>
      <c r="R350" s="459">
        <f t="shared" si="302"/>
        <v>45.268549009861445</v>
      </c>
      <c r="S350" s="455"/>
      <c r="T350" s="456"/>
      <c r="U350" s="456"/>
      <c r="V350" s="456"/>
      <c r="W350" s="456"/>
      <c r="X350" s="456"/>
      <c r="Y350" s="456"/>
      <c r="Z350" s="455"/>
      <c r="AA350" s="456"/>
      <c r="AB350" s="456"/>
      <c r="AC350" s="456"/>
      <c r="AD350" s="456"/>
      <c r="AE350" s="456"/>
      <c r="AF350" s="456"/>
      <c r="AG350" s="33" t="str">
        <f t="shared" si="311"/>
        <v>1.13 &gt; El Salvador</v>
      </c>
      <c r="AH350" s="84">
        <f t="shared" si="312"/>
        <v>336</v>
      </c>
      <c r="AI350" s="84">
        <f t="shared" si="313"/>
        <v>13</v>
      </c>
      <c r="AJ350" s="877" t="s">
        <v>1526</v>
      </c>
    </row>
    <row r="351" spans="1:36" x14ac:dyDescent="0.2">
      <c r="A351" s="492">
        <f>INDEX(Country!$F$31:$G$76, MATCH(AI351, Country!$O$31:$O$76, 0), 1)</f>
        <v>1.1300000000000001</v>
      </c>
      <c r="B351" s="2" t="str">
        <f>INDEX(Country!$F$31:$G$76, MATCH(AI351, Country!$O$31:$O$76, 0), 2)</f>
        <v>Average commercial electricity prices</v>
      </c>
      <c r="C351" s="436" t="str">
        <f>INDEX(Country!$K$31:$K$76, MATCH(AI351, Country!$O$31:$O$76, 0), 1)</f>
        <v>USD/MWh</v>
      </c>
      <c r="D351" s="4" t="str">
        <f t="shared" si="308"/>
        <v>Guatemala</v>
      </c>
      <c r="E351" s="43">
        <v>0</v>
      </c>
      <c r="F351" s="43">
        <v>0</v>
      </c>
      <c r="G351" s="43">
        <v>0</v>
      </c>
      <c r="H351" s="43">
        <v>0</v>
      </c>
      <c r="I351" s="43">
        <v>0</v>
      </c>
      <c r="J351" s="43">
        <v>0</v>
      </c>
      <c r="K351" s="44">
        <v>0</v>
      </c>
      <c r="L351" s="457">
        <f t="shared" si="309"/>
        <v>0</v>
      </c>
      <c r="M351" s="458">
        <f t="shared" si="310"/>
        <v>0</v>
      </c>
      <c r="N351" s="458">
        <f t="shared" si="298"/>
        <v>0</v>
      </c>
      <c r="O351" s="458">
        <f t="shared" si="299"/>
        <v>0</v>
      </c>
      <c r="P351" s="458">
        <f t="shared" si="300"/>
        <v>0</v>
      </c>
      <c r="Q351" s="458">
        <f t="shared" si="301"/>
        <v>0</v>
      </c>
      <c r="R351" s="459">
        <f t="shared" si="302"/>
        <v>0</v>
      </c>
      <c r="S351" s="455"/>
      <c r="T351" s="456"/>
      <c r="U351" s="456"/>
      <c r="V351" s="456"/>
      <c r="W351" s="456"/>
      <c r="X351" s="456"/>
      <c r="Y351" s="456"/>
      <c r="Z351" s="455"/>
      <c r="AA351" s="456"/>
      <c r="AB351" s="456"/>
      <c r="AC351" s="456"/>
      <c r="AD351" s="456"/>
      <c r="AE351" s="456"/>
      <c r="AF351" s="456"/>
      <c r="AG351" s="33" t="str">
        <f t="shared" si="311"/>
        <v>1.13 &gt; Guatemala</v>
      </c>
      <c r="AH351" s="84">
        <f t="shared" si="312"/>
        <v>337</v>
      </c>
      <c r="AI351" s="84">
        <f t="shared" si="313"/>
        <v>13</v>
      </c>
      <c r="AJ351" s="877" t="s">
        <v>1526</v>
      </c>
    </row>
    <row r="352" spans="1:36" x14ac:dyDescent="0.2">
      <c r="A352" s="492">
        <f>INDEX(Country!$F$31:$G$76, MATCH(AI352, Country!$O$31:$O$76, 0), 1)</f>
        <v>1.1300000000000001</v>
      </c>
      <c r="B352" s="2" t="str">
        <f>INDEX(Country!$F$31:$G$76, MATCH(AI352, Country!$O$31:$O$76, 0), 2)</f>
        <v>Average commercial electricity prices</v>
      </c>
      <c r="C352" s="436" t="str">
        <f>INDEX(Country!$K$31:$K$76, MATCH(AI352, Country!$O$31:$O$76, 0), 1)</f>
        <v>USD/MWh</v>
      </c>
      <c r="D352" s="4" t="str">
        <f t="shared" si="308"/>
        <v>Guyana</v>
      </c>
      <c r="E352" s="540">
        <v>0</v>
      </c>
      <c r="F352" s="540">
        <v>0</v>
      </c>
      <c r="G352" s="540">
        <v>341.58512720156557</v>
      </c>
      <c r="H352" s="540">
        <v>340.91796875</v>
      </c>
      <c r="I352" s="540">
        <v>341.58512720156557</v>
      </c>
      <c r="J352" s="540">
        <v>342.08721215090645</v>
      </c>
      <c r="K352" s="76">
        <v>344.44992599901332</v>
      </c>
      <c r="L352" s="457">
        <f t="shared" si="309"/>
        <v>0</v>
      </c>
      <c r="M352" s="458">
        <f t="shared" si="310"/>
        <v>0</v>
      </c>
      <c r="N352" s="458">
        <f t="shared" si="298"/>
        <v>100</v>
      </c>
      <c r="O352" s="458">
        <f t="shared" si="299"/>
        <v>100</v>
      </c>
      <c r="P352" s="458">
        <f t="shared" si="300"/>
        <v>100</v>
      </c>
      <c r="Q352" s="458">
        <f t="shared" si="301"/>
        <v>99.999999999999986</v>
      </c>
      <c r="R352" s="459">
        <f t="shared" si="302"/>
        <v>73.377639324844623</v>
      </c>
      <c r="S352" s="455"/>
      <c r="T352" s="456"/>
      <c r="U352" s="456"/>
      <c r="V352" s="456"/>
      <c r="W352" s="456"/>
      <c r="X352" s="456"/>
      <c r="Y352" s="456"/>
      <c r="Z352" s="455"/>
      <c r="AA352" s="456"/>
      <c r="AB352" s="456"/>
      <c r="AC352" s="456"/>
      <c r="AD352" s="456"/>
      <c r="AE352" s="456"/>
      <c r="AF352" s="456"/>
      <c r="AG352" s="33" t="str">
        <f t="shared" si="311"/>
        <v>1.13 &gt; Guyana</v>
      </c>
      <c r="AH352" s="84">
        <f t="shared" si="312"/>
        <v>338</v>
      </c>
      <c r="AI352" s="84">
        <f t="shared" si="313"/>
        <v>13</v>
      </c>
      <c r="AJ352" s="877" t="s">
        <v>1526</v>
      </c>
    </row>
    <row r="353" spans="1:36" x14ac:dyDescent="0.2">
      <c r="A353" s="492">
        <f>INDEX(Country!$F$31:$G$76, MATCH(AI353, Country!$O$31:$O$76, 0), 1)</f>
        <v>1.1300000000000001</v>
      </c>
      <c r="B353" s="2" t="str">
        <f>INDEX(Country!$F$31:$G$76, MATCH(AI353, Country!$O$31:$O$76, 0), 2)</f>
        <v>Average commercial electricity prices</v>
      </c>
      <c r="C353" s="436" t="str">
        <f>INDEX(Country!$K$31:$K$76, MATCH(AI353, Country!$O$31:$O$76, 0), 1)</f>
        <v>USD/MWh</v>
      </c>
      <c r="D353" s="4" t="str">
        <f t="shared" si="308"/>
        <v>Haiti</v>
      </c>
      <c r="E353" s="540">
        <v>177.31083333333333</v>
      </c>
      <c r="F353" s="540">
        <v>191.32750000000001</v>
      </c>
      <c r="G353" s="540">
        <v>180.11416666666668</v>
      </c>
      <c r="H353" s="540">
        <v>328.97733333333332</v>
      </c>
      <c r="I353" s="540">
        <v>330.28800000000001</v>
      </c>
      <c r="J353" s="540">
        <v>325.04533333333336</v>
      </c>
      <c r="K353" s="76">
        <v>314.56</v>
      </c>
      <c r="L353" s="457">
        <f t="shared" si="309"/>
        <v>83.628636487759493</v>
      </c>
      <c r="M353" s="458">
        <f t="shared" si="310"/>
        <v>87.440998986652829</v>
      </c>
      <c r="N353" s="458">
        <f t="shared" si="298"/>
        <v>52.728925331805598</v>
      </c>
      <c r="O353" s="458">
        <f t="shared" si="299"/>
        <v>96.49750482192303</v>
      </c>
      <c r="P353" s="458">
        <f t="shared" si="300"/>
        <v>96.692734460040114</v>
      </c>
      <c r="Q353" s="458">
        <f t="shared" si="301"/>
        <v>95.01826487157453</v>
      </c>
      <c r="R353" s="459">
        <f t="shared" si="302"/>
        <v>67.010234242550666</v>
      </c>
      <c r="S353" s="455"/>
      <c r="T353" s="456"/>
      <c r="U353" s="456"/>
      <c r="V353" s="456"/>
      <c r="W353" s="456"/>
      <c r="X353" s="456"/>
      <c r="Y353" s="456"/>
      <c r="Z353" s="455"/>
      <c r="AA353" s="456"/>
      <c r="AB353" s="456"/>
      <c r="AC353" s="456"/>
      <c r="AD353" s="456"/>
      <c r="AE353" s="456"/>
      <c r="AF353" s="456"/>
      <c r="AG353" s="33" t="str">
        <f t="shared" si="311"/>
        <v>1.13 &gt; Haiti</v>
      </c>
      <c r="AH353" s="84">
        <f t="shared" si="312"/>
        <v>339</v>
      </c>
      <c r="AI353" s="84">
        <f t="shared" si="313"/>
        <v>13</v>
      </c>
      <c r="AJ353" s="877" t="s">
        <v>1526</v>
      </c>
    </row>
    <row r="354" spans="1:36" x14ac:dyDescent="0.2">
      <c r="A354" s="492">
        <f>INDEX(Country!$F$31:$G$76, MATCH(AI354, Country!$O$31:$O$76, 0), 1)</f>
        <v>1.1300000000000001</v>
      </c>
      <c r="B354" s="2" t="str">
        <f>INDEX(Country!$F$31:$G$76, MATCH(AI354, Country!$O$31:$O$76, 0), 2)</f>
        <v>Average commercial electricity prices</v>
      </c>
      <c r="C354" s="436" t="str">
        <f>INDEX(Country!$K$31:$K$76, MATCH(AI354, Country!$O$31:$O$76, 0), 1)</f>
        <v>USD/MWh</v>
      </c>
      <c r="D354" s="4" t="str">
        <f t="shared" si="308"/>
        <v>Honduras</v>
      </c>
      <c r="E354" s="43">
        <v>0</v>
      </c>
      <c r="F354" s="43">
        <v>0</v>
      </c>
      <c r="G354" s="43">
        <v>0</v>
      </c>
      <c r="H354" s="43">
        <v>189.76288000000002</v>
      </c>
      <c r="I354" s="43">
        <v>189.76288000000002</v>
      </c>
      <c r="J354" s="43">
        <v>189.76288000000002</v>
      </c>
      <c r="K354" s="44">
        <v>185.81695999999999</v>
      </c>
      <c r="L354" s="457">
        <f t="shared" si="309"/>
        <v>0</v>
      </c>
      <c r="M354" s="458">
        <f t="shared" si="310"/>
        <v>0</v>
      </c>
      <c r="N354" s="458">
        <f t="shared" si="298"/>
        <v>0</v>
      </c>
      <c r="O354" s="458">
        <f t="shared" si="299"/>
        <v>55.662328593526219</v>
      </c>
      <c r="P354" s="458">
        <f t="shared" si="300"/>
        <v>55.553613107991993</v>
      </c>
      <c r="Q354" s="458">
        <f t="shared" si="301"/>
        <v>55.472076493841314</v>
      </c>
      <c r="R354" s="459">
        <f t="shared" si="302"/>
        <v>39.58430193234571</v>
      </c>
      <c r="S354" s="455"/>
      <c r="T354" s="456"/>
      <c r="U354" s="456"/>
      <c r="V354" s="456"/>
      <c r="W354" s="456"/>
      <c r="X354" s="456"/>
      <c r="Y354" s="456"/>
      <c r="Z354" s="455"/>
      <c r="AA354" s="456"/>
      <c r="AB354" s="456"/>
      <c r="AC354" s="456"/>
      <c r="AD354" s="456"/>
      <c r="AE354" s="456"/>
      <c r="AF354" s="456"/>
      <c r="AG354" s="33" t="str">
        <f t="shared" si="311"/>
        <v>1.13 &gt; Honduras</v>
      </c>
      <c r="AH354" s="84">
        <f t="shared" si="312"/>
        <v>340</v>
      </c>
      <c r="AI354" s="84">
        <f t="shared" si="313"/>
        <v>13</v>
      </c>
      <c r="AJ354" s="877" t="s">
        <v>1526</v>
      </c>
    </row>
    <row r="355" spans="1:36" x14ac:dyDescent="0.2">
      <c r="A355" s="492">
        <f>INDEX(Country!$F$31:$G$76, MATCH(AI355, Country!$O$31:$O$76, 0), 1)</f>
        <v>1.1300000000000001</v>
      </c>
      <c r="B355" s="2" t="str">
        <f>INDEX(Country!$F$31:$G$76, MATCH(AI355, Country!$O$31:$O$76, 0), 2)</f>
        <v>Average commercial electricity prices</v>
      </c>
      <c r="C355" s="436" t="str">
        <f>INDEX(Country!$K$31:$K$76, MATCH(AI355, Country!$O$31:$O$76, 0), 1)</f>
        <v>USD/MWh</v>
      </c>
      <c r="D355" s="4" t="str">
        <f t="shared" si="308"/>
        <v>Jamaica</v>
      </c>
      <c r="E355" s="43">
        <v>0</v>
      </c>
      <c r="F355" s="43">
        <v>0</v>
      </c>
      <c r="G355" s="43">
        <v>0</v>
      </c>
      <c r="H355" s="43">
        <v>0</v>
      </c>
      <c r="I355" s="43">
        <v>0</v>
      </c>
      <c r="J355" s="43">
        <v>0</v>
      </c>
      <c r="K355" s="44">
        <v>469.42083333333329</v>
      </c>
      <c r="L355" s="457">
        <f t="shared" si="309"/>
        <v>0</v>
      </c>
      <c r="M355" s="458">
        <f t="shared" si="310"/>
        <v>0</v>
      </c>
      <c r="N355" s="458">
        <f t="shared" si="298"/>
        <v>0</v>
      </c>
      <c r="O355" s="458">
        <f t="shared" si="299"/>
        <v>0</v>
      </c>
      <c r="P355" s="458">
        <f t="shared" si="300"/>
        <v>0</v>
      </c>
      <c r="Q355" s="458">
        <f t="shared" si="301"/>
        <v>0</v>
      </c>
      <c r="R355" s="459">
        <f t="shared" si="302"/>
        <v>100</v>
      </c>
      <c r="S355" s="455"/>
      <c r="T355" s="456"/>
      <c r="U355" s="456"/>
      <c r="V355" s="456"/>
      <c r="W355" s="456"/>
      <c r="X355" s="456"/>
      <c r="Y355" s="456"/>
      <c r="Z355" s="455"/>
      <c r="AA355" s="456"/>
      <c r="AB355" s="456"/>
      <c r="AC355" s="456"/>
      <c r="AD355" s="456"/>
      <c r="AE355" s="456"/>
      <c r="AF355" s="456"/>
      <c r="AG355" s="33" t="str">
        <f t="shared" si="311"/>
        <v>1.13 &gt; Jamaica</v>
      </c>
      <c r="AH355" s="84">
        <f t="shared" si="312"/>
        <v>341</v>
      </c>
      <c r="AI355" s="84">
        <f t="shared" si="313"/>
        <v>13</v>
      </c>
      <c r="AJ355" s="877" t="s">
        <v>1526</v>
      </c>
    </row>
    <row r="356" spans="1:36" x14ac:dyDescent="0.2">
      <c r="A356" s="492">
        <f>INDEX(Country!$F$31:$G$76, MATCH(AI356, Country!$O$31:$O$76, 0), 1)</f>
        <v>1.1300000000000001</v>
      </c>
      <c r="B356" s="2" t="str">
        <f>INDEX(Country!$F$31:$G$76, MATCH(AI356, Country!$O$31:$O$76, 0), 2)</f>
        <v>Average commercial electricity prices</v>
      </c>
      <c r="C356" s="436" t="str">
        <f>INDEX(Country!$K$31:$K$76, MATCH(AI356, Country!$O$31:$O$76, 0), 1)</f>
        <v>USD/MWh</v>
      </c>
      <c r="D356" s="4" t="str">
        <f t="shared" si="308"/>
        <v>Mexico</v>
      </c>
      <c r="E356" s="43">
        <v>212.02167197750001</v>
      </c>
      <c r="F356" s="43">
        <v>218.80754133333338</v>
      </c>
      <c r="G356" s="43">
        <v>230.51061800000002</v>
      </c>
      <c r="H356" s="43">
        <v>176.46890633333331</v>
      </c>
      <c r="I356" s="43">
        <v>203.50039124999998</v>
      </c>
      <c r="J356" s="43">
        <v>219.79182999999995</v>
      </c>
      <c r="K356" s="44">
        <v>221.59504600000002</v>
      </c>
      <c r="L356" s="457">
        <f t="shared" si="309"/>
        <v>100</v>
      </c>
      <c r="M356" s="458">
        <f t="shared" si="310"/>
        <v>100.00000000000001</v>
      </c>
      <c r="N356" s="458">
        <f t="shared" si="298"/>
        <v>67.482627211687202</v>
      </c>
      <c r="O356" s="458">
        <f t="shared" si="299"/>
        <v>51.762864533180554</v>
      </c>
      <c r="P356" s="458">
        <f t="shared" si="300"/>
        <v>59.575307893869947</v>
      </c>
      <c r="Q356" s="458">
        <f t="shared" si="301"/>
        <v>64.250232745631592</v>
      </c>
      <c r="R356" s="459">
        <f t="shared" si="302"/>
        <v>47.20605270679296</v>
      </c>
      <c r="S356" s="455"/>
      <c r="T356" s="456"/>
      <c r="U356" s="456"/>
      <c r="V356" s="456"/>
      <c r="W356" s="456"/>
      <c r="X356" s="456"/>
      <c r="Y356" s="456"/>
      <c r="Z356" s="455"/>
      <c r="AA356" s="456"/>
      <c r="AB356" s="456"/>
      <c r="AC356" s="456"/>
      <c r="AD356" s="456"/>
      <c r="AE356" s="456"/>
      <c r="AF356" s="456"/>
      <c r="AG356" s="33" t="str">
        <f t="shared" si="311"/>
        <v>1.13 &gt; Mexico</v>
      </c>
      <c r="AH356" s="84">
        <f t="shared" si="312"/>
        <v>342</v>
      </c>
      <c r="AI356" s="84">
        <f t="shared" si="313"/>
        <v>13</v>
      </c>
      <c r="AJ356" s="877" t="s">
        <v>1526</v>
      </c>
    </row>
    <row r="357" spans="1:36" x14ac:dyDescent="0.2">
      <c r="A357" s="492">
        <f>INDEX(Country!$F$31:$G$76, MATCH(AI357, Country!$O$31:$O$76, 0), 1)</f>
        <v>1.1300000000000001</v>
      </c>
      <c r="B357" s="2" t="str">
        <f>INDEX(Country!$F$31:$G$76, MATCH(AI357, Country!$O$31:$O$76, 0), 2)</f>
        <v>Average commercial electricity prices</v>
      </c>
      <c r="C357" s="436" t="str">
        <f>INDEX(Country!$K$31:$K$76, MATCH(AI357, Country!$O$31:$O$76, 0), 1)</f>
        <v>USD/MWh</v>
      </c>
      <c r="D357" s="4" t="str">
        <f t="shared" si="308"/>
        <v>Nicaragua</v>
      </c>
      <c r="E357" s="43">
        <v>185.262417</v>
      </c>
      <c r="F357" s="43">
        <v>195.31241</v>
      </c>
      <c r="G357" s="43">
        <v>242.975628</v>
      </c>
      <c r="H357" s="43">
        <v>210.714744</v>
      </c>
      <c r="I357" s="43">
        <v>237.73042800000002</v>
      </c>
      <c r="J357" s="43">
        <v>294.43225200000001</v>
      </c>
      <c r="K357" s="44">
        <v>297.5</v>
      </c>
      <c r="L357" s="457">
        <f t="shared" si="309"/>
        <v>87.379000114507278</v>
      </c>
      <c r="M357" s="458">
        <f t="shared" si="310"/>
        <v>89.262193071517288</v>
      </c>
      <c r="N357" s="458">
        <f t="shared" si="298"/>
        <v>71.131793702663984</v>
      </c>
      <c r="O357" s="458">
        <f t="shared" si="299"/>
        <v>61.808048655399595</v>
      </c>
      <c r="P357" s="458">
        <f t="shared" si="300"/>
        <v>69.596246753365804</v>
      </c>
      <c r="Q357" s="458">
        <f t="shared" si="301"/>
        <v>86.069353527928953</v>
      </c>
      <c r="R357" s="459">
        <f t="shared" si="302"/>
        <v>63.375968613806023</v>
      </c>
      <c r="S357" s="455"/>
      <c r="T357" s="456"/>
      <c r="U357" s="456"/>
      <c r="V357" s="456"/>
      <c r="W357" s="456"/>
      <c r="X357" s="456"/>
      <c r="Y357" s="456"/>
      <c r="Z357" s="455"/>
      <c r="AA357" s="456"/>
      <c r="AB357" s="456"/>
      <c r="AC357" s="456"/>
      <c r="AD357" s="456"/>
      <c r="AE357" s="456"/>
      <c r="AF357" s="456"/>
      <c r="AG357" s="33" t="str">
        <f t="shared" si="311"/>
        <v>1.13 &gt; Nicaragua</v>
      </c>
      <c r="AH357" s="84">
        <f t="shared" si="312"/>
        <v>343</v>
      </c>
      <c r="AI357" s="84">
        <f t="shared" si="313"/>
        <v>13</v>
      </c>
      <c r="AJ357" s="877" t="s">
        <v>1526</v>
      </c>
    </row>
    <row r="358" spans="1:36" x14ac:dyDescent="0.2">
      <c r="A358" s="492">
        <f>INDEX(Country!$F$31:$G$76, MATCH(AI358, Country!$O$31:$O$76, 0), 1)</f>
        <v>1.1300000000000001</v>
      </c>
      <c r="B358" s="2" t="str">
        <f>INDEX(Country!$F$31:$G$76, MATCH(AI358, Country!$O$31:$O$76, 0), 2)</f>
        <v>Average commercial electricity prices</v>
      </c>
      <c r="C358" s="436" t="str">
        <f>INDEX(Country!$K$31:$K$76, MATCH(AI358, Country!$O$31:$O$76, 0), 1)</f>
        <v>USD/MWh</v>
      </c>
      <c r="D358" s="4" t="str">
        <f t="shared" si="308"/>
        <v>Panama</v>
      </c>
      <c r="E358" s="43">
        <v>160.75</v>
      </c>
      <c r="F358" s="43">
        <v>155</v>
      </c>
      <c r="G358" s="43">
        <v>215.57500000000002</v>
      </c>
      <c r="H358" s="43">
        <v>162.35</v>
      </c>
      <c r="I358" s="43">
        <v>168.8</v>
      </c>
      <c r="J358" s="43">
        <v>158.65</v>
      </c>
      <c r="K358" s="44">
        <v>154.54999999999998</v>
      </c>
      <c r="L358" s="457">
        <f t="shared" si="309"/>
        <v>75.817721132327918</v>
      </c>
      <c r="M358" s="458">
        <f t="shared" si="310"/>
        <v>70.838509063941089</v>
      </c>
      <c r="N358" s="458">
        <f t="shared" si="298"/>
        <v>63.110183328559152</v>
      </c>
      <c r="O358" s="458">
        <f t="shared" si="299"/>
        <v>47.621426525350905</v>
      </c>
      <c r="P358" s="458">
        <f t="shared" si="300"/>
        <v>49.416671440847892</v>
      </c>
      <c r="Q358" s="458">
        <f t="shared" si="301"/>
        <v>46.377062446290459</v>
      </c>
      <c r="R358" s="459">
        <f t="shared" si="302"/>
        <v>32.923549409289812</v>
      </c>
      <c r="S358" s="455"/>
      <c r="T358" s="456"/>
      <c r="U358" s="456"/>
      <c r="V358" s="456"/>
      <c r="W358" s="456"/>
      <c r="X358" s="456"/>
      <c r="Y358" s="456"/>
      <c r="Z358" s="455"/>
      <c r="AA358" s="456"/>
      <c r="AB358" s="456"/>
      <c r="AC358" s="456"/>
      <c r="AD358" s="456"/>
      <c r="AE358" s="456"/>
      <c r="AF358" s="456"/>
      <c r="AG358" s="33" t="str">
        <f t="shared" si="311"/>
        <v>1.13 &gt; Panama</v>
      </c>
      <c r="AH358" s="84">
        <f t="shared" si="312"/>
        <v>344</v>
      </c>
      <c r="AI358" s="84">
        <f t="shared" si="313"/>
        <v>13</v>
      </c>
      <c r="AJ358" s="877" t="s">
        <v>1526</v>
      </c>
    </row>
    <row r="359" spans="1:36" x14ac:dyDescent="0.2">
      <c r="A359" s="492">
        <f>INDEX(Country!$F$31:$G$76, MATCH(AI359, Country!$O$31:$O$76, 0), 1)</f>
        <v>1.1300000000000001</v>
      </c>
      <c r="B359" s="2" t="str">
        <f>INDEX(Country!$F$31:$G$76, MATCH(AI359, Country!$O$31:$O$76, 0), 2)</f>
        <v>Average commercial electricity prices</v>
      </c>
      <c r="C359" s="436" t="str">
        <f>INDEX(Country!$K$31:$K$76, MATCH(AI359, Country!$O$31:$O$76, 0), 1)</f>
        <v>USD/MWh</v>
      </c>
      <c r="D359" s="4" t="str">
        <f t="shared" si="308"/>
        <v>Paraguay</v>
      </c>
      <c r="E359" s="43">
        <v>61.82328091164046</v>
      </c>
      <c r="F359" s="43">
        <v>68.548467307195011</v>
      </c>
      <c r="G359" s="43">
        <v>79.076937235413212</v>
      </c>
      <c r="H359" s="43">
        <v>68.235341478633686</v>
      </c>
      <c r="I359" s="43">
        <v>71.348917457445239</v>
      </c>
      <c r="J359" s="43">
        <v>81.80973039975207</v>
      </c>
      <c r="K359" s="44">
        <v>77.027362903043581</v>
      </c>
      <c r="L359" s="457">
        <f t="shared" ref="L359:L390" si="315">IFERROR(dbl_BenchmarkMax*E359/ SUMIFS(E$15:E$1256, $D$15:$D$1256, "Benchmark", $B$15:$B$1256,$B359), 0)</f>
        <v>29.158944147087578</v>
      </c>
      <c r="M359" s="458">
        <f t="shared" ref="M359:M390" si="316">IFERROR(dbl_BenchmarkMax*F359/ SUMIFS(F$15:F$1256, $D$15:$D$1256, "Benchmark", $B$15:$B$1256,$B359), 0)</f>
        <v>31.328201436516149</v>
      </c>
      <c r="N359" s="458">
        <f t="shared" ref="N359:N419" si="317">IFERROR(dbl_BenchmarkMax*G359/ SUMIFS(G$15:G$1256, $D$15:$D$1256, "Benchmark", $B$15:$B$1256,$B359), 0)</f>
        <v>23.149994229330364</v>
      </c>
      <c r="O359" s="458">
        <f t="shared" ref="O359:O419" si="318">IFERROR(dbl_BenchmarkMax*H359/ SUMIFS(H$15:H$1256, $D$15:$D$1256, "Benchmark", $B$15:$B$1256,$B359), 0)</f>
        <v>20.01517893844769</v>
      </c>
      <c r="P359" s="458">
        <f t="shared" ref="P359:P419" si="319">IFERROR(dbl_BenchmarkMax*I359/ SUMIFS(I$15:I$1256, $D$15:$D$1256, "Benchmark", $B$15:$B$1256,$B359), 0)</f>
        <v>20.887594855774573</v>
      </c>
      <c r="Q359" s="458">
        <f t="shared" ref="Q359:Q419" si="320">IFERROR(dbl_BenchmarkMax*J359/ SUMIFS(J$15:J$1256, $D$15:$D$1256, "Benchmark", $B$15:$B$1256,$B359), 0)</f>
        <v>23.914875357475502</v>
      </c>
      <c r="R359" s="459">
        <f t="shared" ref="R359:R419" si="321">IFERROR(dbl_BenchmarkMax*K359/ SUMIFS(K$15:K$1256, $D$15:$D$1256, "Benchmark", $B$15:$B$1256,$B359), 0)</f>
        <v>16.409020953773233</v>
      </c>
      <c r="S359" s="455"/>
      <c r="T359" s="456"/>
      <c r="U359" s="456"/>
      <c r="V359" s="456"/>
      <c r="W359" s="456"/>
      <c r="X359" s="456"/>
      <c r="Y359" s="456"/>
      <c r="Z359" s="455"/>
      <c r="AA359" s="456"/>
      <c r="AB359" s="456"/>
      <c r="AC359" s="456"/>
      <c r="AD359" s="456"/>
      <c r="AE359" s="456"/>
      <c r="AF359" s="456"/>
      <c r="AG359" s="33" t="str">
        <f t="shared" si="311"/>
        <v>1.13 &gt; Paraguay</v>
      </c>
      <c r="AH359" s="84">
        <f t="shared" si="312"/>
        <v>345</v>
      </c>
      <c r="AI359" s="84">
        <f t="shared" si="313"/>
        <v>13</v>
      </c>
      <c r="AJ359" s="877" t="s">
        <v>1526</v>
      </c>
    </row>
    <row r="360" spans="1:36" x14ac:dyDescent="0.2">
      <c r="A360" s="492">
        <f>INDEX(Country!$F$31:$G$76, MATCH(AI360, Country!$O$31:$O$76, 0), 1)</f>
        <v>1.1300000000000001</v>
      </c>
      <c r="B360" s="2" t="str">
        <f>INDEX(Country!$F$31:$G$76, MATCH(AI360, Country!$O$31:$O$76, 0), 2)</f>
        <v>Average commercial electricity prices</v>
      </c>
      <c r="C360" s="436" t="str">
        <f>INDEX(Country!$K$31:$K$76, MATCH(AI360, Country!$O$31:$O$76, 0), 1)</f>
        <v>USD/MWh</v>
      </c>
      <c r="D360" s="4" t="str">
        <f t="shared" si="308"/>
        <v>Peru</v>
      </c>
      <c r="E360" s="43">
        <v>85.9</v>
      </c>
      <c r="F360" s="43">
        <v>85.2</v>
      </c>
      <c r="G360" s="43">
        <v>91.2</v>
      </c>
      <c r="H360" s="43">
        <v>99</v>
      </c>
      <c r="I360" s="43">
        <v>103.5</v>
      </c>
      <c r="J360" s="43">
        <v>93.506007256326455</v>
      </c>
      <c r="K360" s="44">
        <v>93.506007256326455</v>
      </c>
      <c r="L360" s="457">
        <f t="shared" si="315"/>
        <v>40.514726253604778</v>
      </c>
      <c r="M360" s="458">
        <f t="shared" si="316"/>
        <v>38.938328853211488</v>
      </c>
      <c r="N360" s="458">
        <f t="shared" si="317"/>
        <v>26.699054712116872</v>
      </c>
      <c r="O360" s="458">
        <f t="shared" si="318"/>
        <v>29.039243769693499</v>
      </c>
      <c r="P360" s="458">
        <f t="shared" si="319"/>
        <v>30.299914064737898</v>
      </c>
      <c r="Q360" s="458">
        <f t="shared" si="320"/>
        <v>27.333967460636245</v>
      </c>
      <c r="R360" s="459">
        <f t="shared" si="321"/>
        <v>19.919441280938699</v>
      </c>
      <c r="S360" s="455"/>
      <c r="T360" s="456"/>
      <c r="U360" s="456"/>
      <c r="V360" s="456"/>
      <c r="W360" s="456"/>
      <c r="X360" s="456"/>
      <c r="Y360" s="456"/>
      <c r="Z360" s="455"/>
      <c r="AA360" s="456"/>
      <c r="AB360" s="456"/>
      <c r="AC360" s="456"/>
      <c r="AD360" s="456"/>
      <c r="AE360" s="456"/>
      <c r="AF360" s="456"/>
      <c r="AG360" s="33" t="str">
        <f t="shared" si="311"/>
        <v>1.13 &gt; Peru</v>
      </c>
      <c r="AH360" s="84">
        <f t="shared" si="312"/>
        <v>346</v>
      </c>
      <c r="AI360" s="84">
        <f t="shared" si="313"/>
        <v>13</v>
      </c>
      <c r="AJ360" s="877" t="s">
        <v>1526</v>
      </c>
    </row>
    <row r="361" spans="1:36" x14ac:dyDescent="0.2">
      <c r="A361" s="492">
        <f>INDEX(Country!$F$31:$G$76, MATCH(AI361, Country!$O$31:$O$76, 0), 1)</f>
        <v>1.1300000000000001</v>
      </c>
      <c r="B361" s="2" t="str">
        <f>INDEX(Country!$F$31:$G$76, MATCH(AI361, Country!$O$31:$O$76, 0), 2)</f>
        <v>Average commercial electricity prices</v>
      </c>
      <c r="C361" s="436" t="str">
        <f>INDEX(Country!$K$31:$K$76, MATCH(AI361, Country!$O$31:$O$76, 0), 1)</f>
        <v>USD/MWh</v>
      </c>
      <c r="D361" s="4" t="str">
        <f t="shared" si="308"/>
        <v>Suriname</v>
      </c>
      <c r="E361" s="43">
        <v>0</v>
      </c>
      <c r="F361" s="43">
        <v>0</v>
      </c>
      <c r="G361" s="43">
        <v>0</v>
      </c>
      <c r="H361" s="43">
        <v>0</v>
      </c>
      <c r="I361" s="43">
        <v>0</v>
      </c>
      <c r="J361" s="43">
        <v>0</v>
      </c>
      <c r="K361" s="44">
        <v>4.6071199999999993E-2</v>
      </c>
      <c r="L361" s="457">
        <f t="shared" si="315"/>
        <v>0</v>
      </c>
      <c r="M361" s="458">
        <f t="shared" si="316"/>
        <v>0</v>
      </c>
      <c r="N361" s="458">
        <f t="shared" si="317"/>
        <v>0</v>
      </c>
      <c r="O361" s="458">
        <f t="shared" si="318"/>
        <v>0</v>
      </c>
      <c r="P361" s="458">
        <f t="shared" si="319"/>
        <v>0</v>
      </c>
      <c r="Q361" s="458">
        <f t="shared" si="320"/>
        <v>0</v>
      </c>
      <c r="R361" s="459">
        <f t="shared" si="321"/>
        <v>9.8144770594970742E-3</v>
      </c>
      <c r="S361" s="455"/>
      <c r="T361" s="456"/>
      <c r="U361" s="456"/>
      <c r="V361" s="456"/>
      <c r="W361" s="456"/>
      <c r="X361" s="456"/>
      <c r="Y361" s="456"/>
      <c r="Z361" s="455"/>
      <c r="AA361" s="456"/>
      <c r="AB361" s="456"/>
      <c r="AC361" s="456"/>
      <c r="AD361" s="456"/>
      <c r="AE361" s="456"/>
      <c r="AF361" s="456"/>
      <c r="AG361" s="33" t="str">
        <f t="shared" si="311"/>
        <v>1.13 &gt; Suriname</v>
      </c>
      <c r="AH361" s="84">
        <f t="shared" si="312"/>
        <v>347</v>
      </c>
      <c r="AI361" s="84">
        <f t="shared" si="313"/>
        <v>13</v>
      </c>
      <c r="AJ361" s="877" t="s">
        <v>1526</v>
      </c>
    </row>
    <row r="362" spans="1:36" x14ac:dyDescent="0.2">
      <c r="A362" s="492">
        <f>INDEX(Country!$F$31:$G$76, MATCH(AI362, Country!$O$31:$O$76, 0), 1)</f>
        <v>1.1300000000000001</v>
      </c>
      <c r="B362" s="2" t="str">
        <f>INDEX(Country!$F$31:$G$76, MATCH(AI362, Country!$O$31:$O$76, 0), 2)</f>
        <v>Average commercial electricity prices</v>
      </c>
      <c r="C362" s="436" t="str">
        <f>INDEX(Country!$K$31:$K$76, MATCH(AI362, Country!$O$31:$O$76, 0), 1)</f>
        <v>USD/MWh</v>
      </c>
      <c r="D362" s="4" t="str">
        <f t="shared" si="308"/>
        <v>Trinidad &amp; Tobago</v>
      </c>
      <c r="E362" s="43">
        <v>0</v>
      </c>
      <c r="F362" s="43">
        <v>0</v>
      </c>
      <c r="G362" s="43">
        <v>0</v>
      </c>
      <c r="H362" s="43">
        <v>0</v>
      </c>
      <c r="I362" s="43">
        <v>0</v>
      </c>
      <c r="J362" s="43">
        <v>0</v>
      </c>
      <c r="K362" s="44">
        <v>84.347999999999999</v>
      </c>
      <c r="L362" s="457">
        <f t="shared" si="315"/>
        <v>0</v>
      </c>
      <c r="M362" s="458">
        <f t="shared" si="316"/>
        <v>0</v>
      </c>
      <c r="N362" s="458">
        <f t="shared" si="317"/>
        <v>0</v>
      </c>
      <c r="O362" s="458">
        <f t="shared" si="318"/>
        <v>0</v>
      </c>
      <c r="P362" s="458">
        <f t="shared" si="319"/>
        <v>0</v>
      </c>
      <c r="Q362" s="458">
        <f t="shared" si="320"/>
        <v>0</v>
      </c>
      <c r="R362" s="459">
        <f t="shared" si="321"/>
        <v>17.968525044159026</v>
      </c>
      <c r="S362" s="455"/>
      <c r="T362" s="456"/>
      <c r="U362" s="456"/>
      <c r="V362" s="456"/>
      <c r="W362" s="456"/>
      <c r="X362" s="456"/>
      <c r="Y362" s="456"/>
      <c r="Z362" s="455"/>
      <c r="AA362" s="456"/>
      <c r="AB362" s="456"/>
      <c r="AC362" s="456"/>
      <c r="AD362" s="456"/>
      <c r="AE362" s="456"/>
      <c r="AF362" s="456"/>
      <c r="AG362" s="33" t="str">
        <f t="shared" si="311"/>
        <v>1.13 &gt; Trinidad &amp; Tobago</v>
      </c>
      <c r="AH362" s="84">
        <f t="shared" si="312"/>
        <v>348</v>
      </c>
      <c r="AI362" s="84">
        <f t="shared" si="313"/>
        <v>13</v>
      </c>
      <c r="AJ362" s="877" t="s">
        <v>1526</v>
      </c>
    </row>
    <row r="363" spans="1:36" x14ac:dyDescent="0.2">
      <c r="A363" s="492">
        <f>INDEX(Country!$F$31:$G$76, MATCH(AI363, Country!$O$31:$O$76, 0), 1)</f>
        <v>1.1300000000000001</v>
      </c>
      <c r="B363" s="2" t="str">
        <f>INDEX(Country!$F$31:$G$76, MATCH(AI363, Country!$O$31:$O$76, 0), 2)</f>
        <v>Average commercial electricity prices</v>
      </c>
      <c r="C363" s="436" t="str">
        <f>INDEX(Country!$K$31:$K$76, MATCH(AI363, Country!$O$31:$O$76, 0), 1)</f>
        <v>USD/MWh</v>
      </c>
      <c r="D363" s="4" t="str">
        <f t="shared" ref="D363:D426" si="322">D336</f>
        <v>Uruguay</v>
      </c>
      <c r="E363" s="43">
        <v>91.422299916742602</v>
      </c>
      <c r="F363" s="43">
        <v>101.15839752305999</v>
      </c>
      <c r="G363" s="43">
        <v>123.68113718017399</v>
      </c>
      <c r="H363" s="43">
        <v>132.44007039891301</v>
      </c>
      <c r="I363" s="43">
        <v>151.86645793235994</v>
      </c>
      <c r="J363" s="43">
        <v>165.97730035799145</v>
      </c>
      <c r="K363" s="44">
        <v>175.52527725924131</v>
      </c>
      <c r="L363" s="457">
        <f t="shared" si="315"/>
        <v>43.119318447052166</v>
      </c>
      <c r="M363" s="458">
        <f t="shared" si="316"/>
        <v>46.231677805361556</v>
      </c>
      <c r="N363" s="458">
        <f t="shared" si="317"/>
        <v>36.20799833805151</v>
      </c>
      <c r="O363" s="458">
        <f t="shared" si="318"/>
        <v>38.848075648377808</v>
      </c>
      <c r="P363" s="458">
        <f t="shared" si="319"/>
        <v>44.459329706924045</v>
      </c>
      <c r="Q363" s="458">
        <f t="shared" si="320"/>
        <v>48.519001723096608</v>
      </c>
      <c r="R363" s="459">
        <f t="shared" si="321"/>
        <v>37.391880546256395</v>
      </c>
      <c r="S363" s="455"/>
      <c r="T363" s="456"/>
      <c r="U363" s="456"/>
      <c r="V363" s="456"/>
      <c r="W363" s="456"/>
      <c r="X363" s="456"/>
      <c r="Y363" s="456"/>
      <c r="Z363" s="455"/>
      <c r="AA363" s="456"/>
      <c r="AB363" s="456"/>
      <c r="AC363" s="456"/>
      <c r="AD363" s="456"/>
      <c r="AE363" s="456"/>
      <c r="AF363" s="456"/>
      <c r="AG363" s="33" t="str">
        <f t="shared" si="311"/>
        <v>1.13 &gt; Uruguay</v>
      </c>
      <c r="AH363" s="84">
        <f t="shared" si="312"/>
        <v>349</v>
      </c>
      <c r="AI363" s="84">
        <f t="shared" si="313"/>
        <v>13</v>
      </c>
      <c r="AJ363" s="877" t="s">
        <v>1526</v>
      </c>
    </row>
    <row r="364" spans="1:36" x14ac:dyDescent="0.2">
      <c r="A364" s="491">
        <f>INDEX(Country!$F$31:$G$76, MATCH(AI364, Country!$O$31:$O$76, 0), 1)</f>
        <v>1.1300000000000001</v>
      </c>
      <c r="B364" s="386" t="str">
        <f>INDEX(Country!$F$31:$G$76, MATCH(AI364, Country!$O$31:$O$76, 0), 2)</f>
        <v>Average commercial electricity prices</v>
      </c>
      <c r="C364" s="437" t="str">
        <f>INDEX(Country!$K$31:$K$76, MATCH(AI364, Country!$O$31:$O$76, 0), 1)</f>
        <v>USD/MWh</v>
      </c>
      <c r="D364" s="86" t="str">
        <f t="shared" si="322"/>
        <v>Venezuela</v>
      </c>
      <c r="E364" s="374">
        <v>27.193801091228103</v>
      </c>
      <c r="F364" s="374">
        <v>29.332194179432729</v>
      </c>
      <c r="G364" s="374">
        <v>27.928653328470709</v>
      </c>
      <c r="H364" s="374">
        <v>28.740637448377726</v>
      </c>
      <c r="I364" s="374">
        <v>19.759643802746496</v>
      </c>
      <c r="J364" s="374">
        <v>20.355772693048348</v>
      </c>
      <c r="K364" s="399">
        <v>21.21877839961898</v>
      </c>
      <c r="L364" s="460">
        <f t="shared" si="315"/>
        <v>12.825953515786791</v>
      </c>
      <c r="M364" s="461">
        <f t="shared" si="316"/>
        <v>13.405476795129196</v>
      </c>
      <c r="N364" s="461">
        <f t="shared" si="317"/>
        <v>8.1761912637344789</v>
      </c>
      <c r="O364" s="461">
        <f t="shared" si="318"/>
        <v>8.4303674440386107</v>
      </c>
      <c r="P364" s="461">
        <f t="shared" si="319"/>
        <v>5.7846909098845369</v>
      </c>
      <c r="Q364" s="461">
        <f t="shared" si="320"/>
        <v>5.950462914138023</v>
      </c>
      <c r="R364" s="462">
        <f t="shared" si="321"/>
        <v>4.5202038113531353</v>
      </c>
      <c r="S364" s="455"/>
      <c r="T364" s="456"/>
      <c r="U364" s="456"/>
      <c r="V364" s="456"/>
      <c r="W364" s="456"/>
      <c r="X364" s="456"/>
      <c r="Y364" s="456"/>
      <c r="Z364" s="455"/>
      <c r="AA364" s="456"/>
      <c r="AB364" s="456"/>
      <c r="AC364" s="456"/>
      <c r="AD364" s="456"/>
      <c r="AE364" s="456"/>
      <c r="AF364" s="456"/>
      <c r="AG364" s="90" t="str">
        <f t="shared" si="311"/>
        <v>1.13 &gt; Venezuela</v>
      </c>
      <c r="AH364" s="392">
        <f t="shared" si="312"/>
        <v>350</v>
      </c>
      <c r="AI364" s="392">
        <f t="shared" si="313"/>
        <v>13</v>
      </c>
      <c r="AJ364" s="878" t="s">
        <v>1526</v>
      </c>
    </row>
    <row r="365" spans="1:36" x14ac:dyDescent="0.2">
      <c r="A365" s="490">
        <f>INDEX(Country!$F$31:$G$76, MATCH(AI365, Country!$O$31:$O$76, 0), 1)</f>
        <v>1.1300000000000001</v>
      </c>
      <c r="B365" s="387" t="str">
        <f>INDEX(Country!$F$31:$G$76, MATCH(AI365, Country!$O$31:$O$76, 0), 2)</f>
        <v>Average commercial electricity prices</v>
      </c>
      <c r="C365" s="438" t="str">
        <f>INDEX(Country!$K$31:$K$76, MATCH(AI365, Country!$O$31:$O$76, 0), 1)</f>
        <v>USD/MWh</v>
      </c>
      <c r="D365" s="32" t="str">
        <f t="shared" si="322"/>
        <v>Benchmark</v>
      </c>
      <c r="E365" s="365">
        <f>IFERROR(MAX(E339:E364), 0)</f>
        <v>212.02167197750001</v>
      </c>
      <c r="F365" s="365">
        <f t="shared" ref="F365:K365" si="323">IFERROR(MAX(F339:F364), 0)</f>
        <v>218.80754133333338</v>
      </c>
      <c r="G365" s="365">
        <f t="shared" si="323"/>
        <v>341.58512720156557</v>
      </c>
      <c r="H365" s="365">
        <f t="shared" si="323"/>
        <v>340.91796875</v>
      </c>
      <c r="I365" s="365">
        <f t="shared" si="323"/>
        <v>341.58512720156557</v>
      </c>
      <c r="J365" s="365">
        <f t="shared" si="323"/>
        <v>342.08721215090645</v>
      </c>
      <c r="K365" s="593">
        <f t="shared" si="323"/>
        <v>469.42083333333329</v>
      </c>
      <c r="L365" s="585">
        <f t="shared" si="315"/>
        <v>100</v>
      </c>
      <c r="M365" s="463">
        <f t="shared" si="316"/>
        <v>100.00000000000001</v>
      </c>
      <c r="N365" s="463">
        <f t="shared" si="317"/>
        <v>100</v>
      </c>
      <c r="O365" s="463">
        <f t="shared" si="318"/>
        <v>100</v>
      </c>
      <c r="P365" s="463">
        <f t="shared" si="319"/>
        <v>100</v>
      </c>
      <c r="Q365" s="463">
        <f t="shared" si="320"/>
        <v>99.999999999999986</v>
      </c>
      <c r="R365" s="586">
        <f t="shared" si="321"/>
        <v>100</v>
      </c>
      <c r="S365" s="393"/>
      <c r="T365" s="394"/>
      <c r="U365" s="376"/>
      <c r="V365" s="376"/>
      <c r="W365" s="376"/>
      <c r="X365" s="376"/>
      <c r="Y365" s="376"/>
      <c r="Z365" s="393"/>
      <c r="AA365" s="394"/>
      <c r="AB365" s="376"/>
      <c r="AC365" s="376"/>
      <c r="AD365" s="376"/>
      <c r="AE365" s="376"/>
      <c r="AF365" s="401"/>
      <c r="AG365" s="34" t="str">
        <f t="shared" si="311"/>
        <v>1.13 &gt; Benchmark</v>
      </c>
      <c r="AH365" s="85">
        <f t="shared" si="312"/>
        <v>351</v>
      </c>
      <c r="AI365" s="85">
        <f t="shared" si="313"/>
        <v>13</v>
      </c>
      <c r="AJ365" s="871" t="s">
        <v>1526</v>
      </c>
    </row>
    <row r="366" spans="1:36" x14ac:dyDescent="0.2">
      <c r="A366" s="587">
        <f>INDEX(Country!$F$31:$G$76, MATCH(AI366, Country!$O$31:$O$76, 0), 1)</f>
        <v>1.1400000000000001</v>
      </c>
      <c r="B366" s="588" t="str">
        <f>INDEX(Country!$F$31:$G$76, MATCH(AI366, Country!$O$31:$O$76, 0), 2)</f>
        <v>Average industrial electricity prices</v>
      </c>
      <c r="C366" s="589" t="str">
        <f>INDEX(Country!$K$31:$K$76, MATCH(AI366, Country!$O$31:$O$76, 0), 1)</f>
        <v>USD/MWh</v>
      </c>
      <c r="D366" s="590" t="str">
        <f t="shared" si="322"/>
        <v>Argentina</v>
      </c>
      <c r="E366" s="605">
        <v>0</v>
      </c>
      <c r="F366" s="605">
        <v>0</v>
      </c>
      <c r="G366" s="605">
        <v>0</v>
      </c>
      <c r="H366" s="605">
        <v>0</v>
      </c>
      <c r="I366" s="605">
        <v>0</v>
      </c>
      <c r="J366" s="605">
        <v>0</v>
      </c>
      <c r="K366" s="606">
        <v>56.95524421156707</v>
      </c>
      <c r="L366" s="580">
        <f t="shared" si="315"/>
        <v>0</v>
      </c>
      <c r="M366" s="581">
        <f t="shared" si="316"/>
        <v>0</v>
      </c>
      <c r="N366" s="581">
        <f t="shared" si="317"/>
        <v>0</v>
      </c>
      <c r="O366" s="581">
        <f t="shared" si="318"/>
        <v>0</v>
      </c>
      <c r="P366" s="581">
        <f t="shared" si="319"/>
        <v>0</v>
      </c>
      <c r="Q366" s="581">
        <f t="shared" si="320"/>
        <v>0</v>
      </c>
      <c r="R366" s="582">
        <f t="shared" si="321"/>
        <v>15.582091194462391</v>
      </c>
      <c r="S366" s="455"/>
      <c r="T366" s="456"/>
      <c r="U366" s="456"/>
      <c r="V366" s="456"/>
      <c r="W366" s="456"/>
      <c r="X366" s="456"/>
      <c r="Y366" s="456"/>
      <c r="Z366" s="455"/>
      <c r="AA366" s="456"/>
      <c r="AB366" s="456"/>
      <c r="AC366" s="456"/>
      <c r="AD366" s="456"/>
      <c r="AE366" s="456"/>
      <c r="AF366" s="456"/>
      <c r="AG366" s="396" t="str">
        <f t="shared" si="311"/>
        <v>1.14 &gt; Argentina</v>
      </c>
      <c r="AH366" s="397">
        <f t="shared" si="312"/>
        <v>352</v>
      </c>
      <c r="AI366" s="397">
        <f t="shared" si="313"/>
        <v>14</v>
      </c>
      <c r="AJ366" s="879" t="s">
        <v>1526</v>
      </c>
    </row>
    <row r="367" spans="1:36" x14ac:dyDescent="0.2">
      <c r="A367" s="492">
        <f>INDEX(Country!$F$31:$G$76, MATCH(AI367, Country!$O$31:$O$76, 0), 1)</f>
        <v>1.1400000000000001</v>
      </c>
      <c r="B367" s="2" t="str">
        <f>INDEX(Country!$F$31:$G$76, MATCH(AI367, Country!$O$31:$O$76, 0), 2)</f>
        <v>Average industrial electricity prices</v>
      </c>
      <c r="C367" s="436" t="str">
        <f>INDEX(Country!$K$31:$K$76, MATCH(AI367, Country!$O$31:$O$76, 0), 1)</f>
        <v>USD/MWh</v>
      </c>
      <c r="D367" s="4" t="str">
        <f t="shared" si="322"/>
        <v>Bahamas</v>
      </c>
      <c r="E367" s="540">
        <v>0</v>
      </c>
      <c r="F367" s="540">
        <v>0</v>
      </c>
      <c r="G367" s="540">
        <v>0</v>
      </c>
      <c r="H367" s="540">
        <v>0</v>
      </c>
      <c r="I367" s="540">
        <v>0</v>
      </c>
      <c r="J367" s="540">
        <v>0</v>
      </c>
      <c r="K367" s="76">
        <v>342.30000000000007</v>
      </c>
      <c r="L367" s="457">
        <f t="shared" si="315"/>
        <v>0</v>
      </c>
      <c r="M367" s="458">
        <f t="shared" si="316"/>
        <v>0</v>
      </c>
      <c r="N367" s="458">
        <f t="shared" si="317"/>
        <v>0</v>
      </c>
      <c r="O367" s="458">
        <f t="shared" si="318"/>
        <v>0</v>
      </c>
      <c r="P367" s="458">
        <f t="shared" si="319"/>
        <v>0</v>
      </c>
      <c r="Q367" s="458">
        <f t="shared" si="320"/>
        <v>0</v>
      </c>
      <c r="R367" s="459">
        <f t="shared" si="321"/>
        <v>93.648089648279367</v>
      </c>
      <c r="S367" s="455"/>
      <c r="T367" s="456"/>
      <c r="U367" s="456"/>
      <c r="V367" s="456"/>
      <c r="W367" s="456"/>
      <c r="X367" s="456"/>
      <c r="Y367" s="456"/>
      <c r="Z367" s="455"/>
      <c r="AA367" s="456"/>
      <c r="AB367" s="456"/>
      <c r="AC367" s="456"/>
      <c r="AD367" s="456"/>
      <c r="AE367" s="456"/>
      <c r="AF367" s="456"/>
      <c r="AG367" s="33" t="str">
        <f t="shared" si="311"/>
        <v>1.14 &gt; Bahamas</v>
      </c>
      <c r="AH367" s="84">
        <f t="shared" si="312"/>
        <v>353</v>
      </c>
      <c r="AI367" s="84">
        <f t="shared" si="313"/>
        <v>14</v>
      </c>
      <c r="AJ367" s="877" t="s">
        <v>1526</v>
      </c>
    </row>
    <row r="368" spans="1:36" x14ac:dyDescent="0.2">
      <c r="A368" s="492">
        <f>INDEX(Country!$F$31:$G$76, MATCH(AI368, Country!$O$31:$O$76, 0), 1)</f>
        <v>1.1400000000000001</v>
      </c>
      <c r="B368" s="2" t="str">
        <f>INDEX(Country!$F$31:$G$76, MATCH(AI368, Country!$O$31:$O$76, 0), 2)</f>
        <v>Average industrial electricity prices</v>
      </c>
      <c r="C368" s="436" t="str">
        <f>INDEX(Country!$K$31:$K$76, MATCH(AI368, Country!$O$31:$O$76, 0), 1)</f>
        <v>USD/MWh</v>
      </c>
      <c r="D368" s="4" t="str">
        <f t="shared" si="322"/>
        <v>Barbados</v>
      </c>
      <c r="E368" s="540">
        <v>0</v>
      </c>
      <c r="F368" s="540">
        <v>0</v>
      </c>
      <c r="G368" s="540">
        <v>0</v>
      </c>
      <c r="H368" s="540">
        <v>0</v>
      </c>
      <c r="I368" s="540">
        <v>0</v>
      </c>
      <c r="J368" s="540">
        <v>0</v>
      </c>
      <c r="K368" s="76">
        <v>63.75</v>
      </c>
      <c r="L368" s="457">
        <f t="shared" si="315"/>
        <v>0</v>
      </c>
      <c r="M368" s="458">
        <f t="shared" si="316"/>
        <v>0</v>
      </c>
      <c r="N368" s="458">
        <f t="shared" si="317"/>
        <v>0</v>
      </c>
      <c r="O368" s="458">
        <f t="shared" si="318"/>
        <v>0</v>
      </c>
      <c r="P368" s="458">
        <f t="shared" si="319"/>
        <v>0</v>
      </c>
      <c r="Q368" s="458">
        <f t="shared" si="320"/>
        <v>0</v>
      </c>
      <c r="R368" s="459">
        <f t="shared" si="321"/>
        <v>17.441033348167714</v>
      </c>
      <c r="S368" s="455"/>
      <c r="T368" s="456"/>
      <c r="U368" s="456"/>
      <c r="V368" s="456"/>
      <c r="W368" s="456"/>
      <c r="X368" s="456"/>
      <c r="Y368" s="456"/>
      <c r="Z368" s="455"/>
      <c r="AA368" s="456"/>
      <c r="AB368" s="456"/>
      <c r="AC368" s="456"/>
      <c r="AD368" s="456"/>
      <c r="AE368" s="456"/>
      <c r="AF368" s="456"/>
      <c r="AG368" s="33" t="str">
        <f t="shared" si="311"/>
        <v>1.14 &gt; Barbados</v>
      </c>
      <c r="AH368" s="84">
        <f t="shared" si="312"/>
        <v>354</v>
      </c>
      <c r="AI368" s="84">
        <f t="shared" si="313"/>
        <v>14</v>
      </c>
      <c r="AJ368" s="877" t="s">
        <v>1526</v>
      </c>
    </row>
    <row r="369" spans="1:36" x14ac:dyDescent="0.2">
      <c r="A369" s="492">
        <f>INDEX(Country!$F$31:$G$76, MATCH(AI369, Country!$O$31:$O$76, 0), 1)</f>
        <v>1.1400000000000001</v>
      </c>
      <c r="B369" s="2" t="str">
        <f>INDEX(Country!$F$31:$G$76, MATCH(AI369, Country!$O$31:$O$76, 0), 2)</f>
        <v>Average industrial electricity prices</v>
      </c>
      <c r="C369" s="436" t="str">
        <f>INDEX(Country!$K$31:$K$76, MATCH(AI369, Country!$O$31:$O$76, 0), 1)</f>
        <v>USD/MWh</v>
      </c>
      <c r="D369" s="4" t="str">
        <f t="shared" si="322"/>
        <v>Belize</v>
      </c>
      <c r="E369" s="540">
        <v>0</v>
      </c>
      <c r="F369" s="540">
        <v>0</v>
      </c>
      <c r="G369" s="540">
        <v>0</v>
      </c>
      <c r="H369" s="540">
        <v>0</v>
      </c>
      <c r="I369" s="540">
        <v>0</v>
      </c>
      <c r="J369" s="540">
        <v>0</v>
      </c>
      <c r="K369" s="76">
        <v>192.2390616886226</v>
      </c>
      <c r="L369" s="457">
        <f t="shared" si="315"/>
        <v>0</v>
      </c>
      <c r="M369" s="458">
        <f t="shared" si="316"/>
        <v>0</v>
      </c>
      <c r="N369" s="458">
        <f t="shared" si="317"/>
        <v>0</v>
      </c>
      <c r="O369" s="458">
        <f t="shared" si="318"/>
        <v>0</v>
      </c>
      <c r="P369" s="458">
        <f t="shared" si="319"/>
        <v>0</v>
      </c>
      <c r="Q369" s="458">
        <f t="shared" si="320"/>
        <v>0</v>
      </c>
      <c r="R369" s="459">
        <f t="shared" si="321"/>
        <v>52.593692325203719</v>
      </c>
      <c r="S369" s="455"/>
      <c r="T369" s="456"/>
      <c r="U369" s="456"/>
      <c r="V369" s="456"/>
      <c r="W369" s="456"/>
      <c r="X369" s="456"/>
      <c r="Y369" s="456"/>
      <c r="Z369" s="455"/>
      <c r="AA369" s="456"/>
      <c r="AB369" s="456"/>
      <c r="AC369" s="456"/>
      <c r="AD369" s="456"/>
      <c r="AE369" s="456"/>
      <c r="AF369" s="456"/>
      <c r="AG369" s="33" t="str">
        <f t="shared" si="311"/>
        <v>1.14 &gt; Belize</v>
      </c>
      <c r="AH369" s="84">
        <f t="shared" si="312"/>
        <v>355</v>
      </c>
      <c r="AI369" s="84">
        <f t="shared" si="313"/>
        <v>14</v>
      </c>
      <c r="AJ369" s="877" t="s">
        <v>1526</v>
      </c>
    </row>
    <row r="370" spans="1:36" x14ac:dyDescent="0.2">
      <c r="A370" s="492">
        <f>INDEX(Country!$F$31:$G$76, MATCH(AI370, Country!$O$31:$O$76, 0), 1)</f>
        <v>1.1400000000000001</v>
      </c>
      <c r="B370" s="2" t="str">
        <f>INDEX(Country!$F$31:$G$76, MATCH(AI370, Country!$O$31:$O$76, 0), 2)</f>
        <v>Average industrial electricity prices</v>
      </c>
      <c r="C370" s="436" t="str">
        <f>INDEX(Country!$K$31:$K$76, MATCH(AI370, Country!$O$31:$O$76, 0), 1)</f>
        <v>USD/MWh</v>
      </c>
      <c r="D370" s="4" t="str">
        <f t="shared" si="322"/>
        <v>Bolivia</v>
      </c>
      <c r="E370" s="43">
        <v>44.067406374848261</v>
      </c>
      <c r="F370" s="43">
        <v>47.300000000000004</v>
      </c>
      <c r="G370" s="43">
        <v>54.1</v>
      </c>
      <c r="H370" s="43">
        <v>53.3</v>
      </c>
      <c r="I370" s="43">
        <v>53.2</v>
      </c>
      <c r="J370" s="43">
        <v>57.300000000000004</v>
      </c>
      <c r="K370" s="44">
        <v>57.300000000000004</v>
      </c>
      <c r="L370" s="457">
        <f t="shared" si="315"/>
        <v>25.646057203044645</v>
      </c>
      <c r="M370" s="458">
        <f t="shared" si="316"/>
        <v>25.51068563338502</v>
      </c>
      <c r="N370" s="458">
        <f t="shared" si="317"/>
        <v>18.84946731441234</v>
      </c>
      <c r="O370" s="458">
        <f t="shared" si="318"/>
        <v>15.660073570026675</v>
      </c>
      <c r="P370" s="458">
        <f t="shared" si="319"/>
        <v>15.568666011143888</v>
      </c>
      <c r="Q370" s="458">
        <f t="shared" si="320"/>
        <v>17.038966600057098</v>
      </c>
      <c r="R370" s="459">
        <f t="shared" si="321"/>
        <v>15.676411150588391</v>
      </c>
      <c r="S370" s="455"/>
      <c r="T370" s="456"/>
      <c r="U370" s="456"/>
      <c r="V370" s="456"/>
      <c r="W370" s="456"/>
      <c r="X370" s="456"/>
      <c r="Y370" s="456"/>
      <c r="Z370" s="455"/>
      <c r="AA370" s="456"/>
      <c r="AB370" s="456"/>
      <c r="AC370" s="456"/>
      <c r="AD370" s="456"/>
      <c r="AE370" s="456"/>
      <c r="AF370" s="456"/>
      <c r="AG370" s="33" t="str">
        <f t="shared" si="311"/>
        <v>1.14 &gt; Bolivia</v>
      </c>
      <c r="AH370" s="84">
        <f t="shared" si="312"/>
        <v>356</v>
      </c>
      <c r="AI370" s="84">
        <f t="shared" si="313"/>
        <v>14</v>
      </c>
      <c r="AJ370" s="877" t="s">
        <v>1526</v>
      </c>
    </row>
    <row r="371" spans="1:36" x14ac:dyDescent="0.2">
      <c r="A371" s="492">
        <f>INDEX(Country!$F$31:$G$76, MATCH(AI371, Country!$O$31:$O$76, 0), 1)</f>
        <v>1.1400000000000001</v>
      </c>
      <c r="B371" s="2" t="str">
        <f>INDEX(Country!$F$31:$G$76, MATCH(AI371, Country!$O$31:$O$76, 0), 2)</f>
        <v>Average industrial electricity prices</v>
      </c>
      <c r="C371" s="436" t="str">
        <f>INDEX(Country!$K$31:$K$76, MATCH(AI371, Country!$O$31:$O$76, 0), 1)</f>
        <v>USD/MWh</v>
      </c>
      <c r="D371" s="4" t="str">
        <f t="shared" si="322"/>
        <v>Brazil</v>
      </c>
      <c r="E371" s="43">
        <v>132.13272599999999</v>
      </c>
      <c r="F371" s="43">
        <v>147.79733200000001</v>
      </c>
      <c r="G371" s="43">
        <v>151.6593</v>
      </c>
      <c r="H371" s="43">
        <v>142.87705600000001</v>
      </c>
      <c r="I371" s="43">
        <v>163.17758699999999</v>
      </c>
      <c r="J371" s="43">
        <v>178.08823199999998</v>
      </c>
      <c r="K371" s="44">
        <v>159.27249599999999</v>
      </c>
      <c r="L371" s="457">
        <f t="shared" si="315"/>
        <v>76.897728460922892</v>
      </c>
      <c r="M371" s="458">
        <f t="shared" si="316"/>
        <v>79.7127119261107</v>
      </c>
      <c r="N371" s="458">
        <f t="shared" si="317"/>
        <v>52.840980005113778</v>
      </c>
      <c r="O371" s="458">
        <f t="shared" si="318"/>
        <v>41.978709351385021</v>
      </c>
      <c r="P371" s="458">
        <f t="shared" si="319"/>
        <v>47.752957753898016</v>
      </c>
      <c r="Q371" s="458">
        <f t="shared" si="320"/>
        <v>52.957058235797895</v>
      </c>
      <c r="R371" s="459">
        <f t="shared" si="321"/>
        <v>43.574539830304452</v>
      </c>
      <c r="S371" s="455"/>
      <c r="T371" s="456"/>
      <c r="U371" s="456"/>
      <c r="V371" s="456"/>
      <c r="W371" s="456"/>
      <c r="X371" s="456"/>
      <c r="Y371" s="456"/>
      <c r="Z371" s="455"/>
      <c r="AA371" s="456"/>
      <c r="AB371" s="456"/>
      <c r="AC371" s="456"/>
      <c r="AD371" s="456"/>
      <c r="AE371" s="456"/>
      <c r="AF371" s="456"/>
      <c r="AG371" s="33" t="str">
        <f t="shared" si="311"/>
        <v>1.14 &gt; Brazil</v>
      </c>
      <c r="AH371" s="84">
        <f t="shared" si="312"/>
        <v>357</v>
      </c>
      <c r="AI371" s="84">
        <f t="shared" si="313"/>
        <v>14</v>
      </c>
      <c r="AJ371" s="877" t="s">
        <v>1526</v>
      </c>
    </row>
    <row r="372" spans="1:36" x14ac:dyDescent="0.2">
      <c r="A372" s="492">
        <f>INDEX(Country!$F$31:$G$76, MATCH(AI372, Country!$O$31:$O$76, 0), 1)</f>
        <v>1.1400000000000001</v>
      </c>
      <c r="B372" s="2" t="str">
        <f>INDEX(Country!$F$31:$G$76, MATCH(AI372, Country!$O$31:$O$76, 0), 2)</f>
        <v>Average industrial electricity prices</v>
      </c>
      <c r="C372" s="436" t="str">
        <f>INDEX(Country!$K$31:$K$76, MATCH(AI372, Country!$O$31:$O$76, 0), 1)</f>
        <v>USD/MWh</v>
      </c>
      <c r="D372" s="4" t="str">
        <f t="shared" si="322"/>
        <v>Chile</v>
      </c>
      <c r="E372" s="43">
        <v>110</v>
      </c>
      <c r="F372" s="43">
        <v>125</v>
      </c>
      <c r="G372" s="43">
        <v>205</v>
      </c>
      <c r="H372" s="43">
        <v>172.5</v>
      </c>
      <c r="I372" s="43">
        <v>192.5</v>
      </c>
      <c r="J372" s="43">
        <v>192.5</v>
      </c>
      <c r="K372" s="44">
        <v>202.29999999999998</v>
      </c>
      <c r="L372" s="457">
        <f t="shared" si="315"/>
        <v>64.017071218991731</v>
      </c>
      <c r="M372" s="458">
        <f t="shared" si="316"/>
        <v>67.417245331355758</v>
      </c>
      <c r="N372" s="458">
        <f t="shared" si="317"/>
        <v>71.425892781044908</v>
      </c>
      <c r="O372" s="458">
        <f t="shared" si="318"/>
        <v>50.682226844833046</v>
      </c>
      <c r="P372" s="458">
        <f t="shared" si="319"/>
        <v>56.333988856112754</v>
      </c>
      <c r="Q372" s="458">
        <f t="shared" si="320"/>
        <v>57.24260157959845</v>
      </c>
      <c r="R372" s="459">
        <f t="shared" si="321"/>
        <v>55.346212491518877</v>
      </c>
      <c r="S372" s="455"/>
      <c r="T372" s="456"/>
      <c r="U372" s="456"/>
      <c r="V372" s="456"/>
      <c r="W372" s="456"/>
      <c r="X372" s="456"/>
      <c r="Y372" s="456"/>
      <c r="Z372" s="455"/>
      <c r="AA372" s="456"/>
      <c r="AB372" s="456"/>
      <c r="AC372" s="456"/>
      <c r="AD372" s="456"/>
      <c r="AE372" s="456"/>
      <c r="AF372" s="456"/>
      <c r="AG372" s="33" t="str">
        <f t="shared" si="311"/>
        <v>1.14 &gt; Chile</v>
      </c>
      <c r="AH372" s="84">
        <f t="shared" si="312"/>
        <v>358</v>
      </c>
      <c r="AI372" s="84">
        <f t="shared" si="313"/>
        <v>14</v>
      </c>
      <c r="AJ372" s="877" t="s">
        <v>1526</v>
      </c>
    </row>
    <row r="373" spans="1:36" x14ac:dyDescent="0.2">
      <c r="A373" s="492">
        <f>INDEX(Country!$F$31:$G$76, MATCH(AI373, Country!$O$31:$O$76, 0), 1)</f>
        <v>1.1400000000000001</v>
      </c>
      <c r="B373" s="2" t="str">
        <f>INDEX(Country!$F$31:$G$76, MATCH(AI373, Country!$O$31:$O$76, 0), 2)</f>
        <v>Average industrial electricity prices</v>
      </c>
      <c r="C373" s="436" t="str">
        <f>INDEX(Country!$K$31:$K$76, MATCH(AI373, Country!$O$31:$O$76, 0), 1)</f>
        <v>USD/MWh</v>
      </c>
      <c r="D373" s="4" t="str">
        <f t="shared" si="322"/>
        <v>Colombia</v>
      </c>
      <c r="E373" s="43">
        <v>0</v>
      </c>
      <c r="F373" s="43">
        <v>0</v>
      </c>
      <c r="G373" s="43">
        <v>0</v>
      </c>
      <c r="H373" s="43">
        <v>0</v>
      </c>
      <c r="I373" s="43">
        <v>100</v>
      </c>
      <c r="J373" s="43">
        <v>110</v>
      </c>
      <c r="K373" s="44">
        <v>120</v>
      </c>
      <c r="L373" s="457">
        <f t="shared" si="315"/>
        <v>0</v>
      </c>
      <c r="M373" s="458">
        <f t="shared" si="316"/>
        <v>0</v>
      </c>
      <c r="N373" s="458">
        <f t="shared" si="317"/>
        <v>0</v>
      </c>
      <c r="O373" s="458">
        <f t="shared" si="318"/>
        <v>0</v>
      </c>
      <c r="P373" s="458">
        <f t="shared" si="319"/>
        <v>29.264409795383248</v>
      </c>
      <c r="Q373" s="458">
        <f t="shared" si="320"/>
        <v>32.710058045484828</v>
      </c>
      <c r="R373" s="459">
        <f t="shared" si="321"/>
        <v>32.830180420080403</v>
      </c>
      <c r="S373" s="455"/>
      <c r="T373" s="456"/>
      <c r="U373" s="456"/>
      <c r="V373" s="456"/>
      <c r="W373" s="456"/>
      <c r="X373" s="456"/>
      <c r="Y373" s="456"/>
      <c r="Z373" s="455"/>
      <c r="AA373" s="456"/>
      <c r="AB373" s="456"/>
      <c r="AC373" s="456"/>
      <c r="AD373" s="456"/>
      <c r="AE373" s="456"/>
      <c r="AF373" s="456"/>
      <c r="AG373" s="33" t="str">
        <f t="shared" si="311"/>
        <v>1.14 &gt; Colombia</v>
      </c>
      <c r="AH373" s="84">
        <f t="shared" si="312"/>
        <v>359</v>
      </c>
      <c r="AI373" s="84">
        <f t="shared" si="313"/>
        <v>14</v>
      </c>
      <c r="AJ373" s="877" t="s">
        <v>1526</v>
      </c>
    </row>
    <row r="374" spans="1:36" x14ac:dyDescent="0.2">
      <c r="A374" s="492">
        <f>INDEX(Country!$F$31:$G$76, MATCH(AI374, Country!$O$31:$O$76, 0), 1)</f>
        <v>1.1400000000000001</v>
      </c>
      <c r="B374" s="2" t="str">
        <f>INDEX(Country!$F$31:$G$76, MATCH(AI374, Country!$O$31:$O$76, 0), 2)</f>
        <v>Average industrial electricity prices</v>
      </c>
      <c r="C374" s="436" t="str">
        <f>INDEX(Country!$K$31:$K$76, MATCH(AI374, Country!$O$31:$O$76, 0), 1)</f>
        <v>USD/MWh</v>
      </c>
      <c r="D374" s="4" t="str">
        <f t="shared" si="322"/>
        <v>Costa Rica</v>
      </c>
      <c r="E374" s="43">
        <v>74.838485092281672</v>
      </c>
      <c r="F374" s="43">
        <v>78.895880365103764</v>
      </c>
      <c r="G374" s="43">
        <v>93.752138309077708</v>
      </c>
      <c r="H374" s="43">
        <v>117.08478720683442</v>
      </c>
      <c r="I374" s="43">
        <v>130.8534717642469</v>
      </c>
      <c r="J374" s="43">
        <v>142.66695518670488</v>
      </c>
      <c r="K374" s="44">
        <v>135.75091486256835</v>
      </c>
      <c r="L374" s="457">
        <f t="shared" si="315"/>
        <v>43.554005727945878</v>
      </c>
      <c r="M374" s="458">
        <f t="shared" si="316"/>
        <v>42.551543377659961</v>
      </c>
      <c r="N374" s="458">
        <f t="shared" si="317"/>
        <v>32.665025262721358</v>
      </c>
      <c r="O374" s="458">
        <f t="shared" si="318"/>
        <v>34.40068258142486</v>
      </c>
      <c r="P374" s="458">
        <f t="shared" si="319"/>
        <v>38.29349620857532</v>
      </c>
      <c r="Q374" s="458">
        <f t="shared" si="320"/>
        <v>42.424039866633635</v>
      </c>
      <c r="R374" s="459">
        <f t="shared" si="321"/>
        <v>37.139391892742445</v>
      </c>
      <c r="S374" s="455"/>
      <c r="T374" s="456"/>
      <c r="U374" s="456"/>
      <c r="V374" s="456"/>
      <c r="W374" s="456"/>
      <c r="X374" s="456"/>
      <c r="Y374" s="456"/>
      <c r="Z374" s="455"/>
      <c r="AA374" s="456"/>
      <c r="AB374" s="456"/>
      <c r="AC374" s="456"/>
      <c r="AD374" s="456"/>
      <c r="AE374" s="456"/>
      <c r="AF374" s="456"/>
      <c r="AG374" s="33" t="str">
        <f t="shared" si="311"/>
        <v>1.14 &gt; Costa Rica</v>
      </c>
      <c r="AH374" s="84">
        <f t="shared" si="312"/>
        <v>360</v>
      </c>
      <c r="AI374" s="84">
        <f t="shared" si="313"/>
        <v>14</v>
      </c>
      <c r="AJ374" s="877" t="s">
        <v>1526</v>
      </c>
    </row>
    <row r="375" spans="1:36" x14ac:dyDescent="0.2">
      <c r="A375" s="492">
        <f>INDEX(Country!$F$31:$G$76, MATCH(AI375, Country!$O$31:$O$76, 0), 1)</f>
        <v>1.1400000000000001</v>
      </c>
      <c r="B375" s="2" t="str">
        <f>INDEX(Country!$F$31:$G$76, MATCH(AI375, Country!$O$31:$O$76, 0), 2)</f>
        <v>Average industrial electricity prices</v>
      </c>
      <c r="C375" s="436" t="str">
        <f>INDEX(Country!$K$31:$K$76, MATCH(AI375, Country!$O$31:$O$76, 0), 1)</f>
        <v>USD/MWh</v>
      </c>
      <c r="D375" s="4" t="str">
        <f t="shared" si="322"/>
        <v>Dominican Republic</v>
      </c>
      <c r="E375" s="43">
        <v>0</v>
      </c>
      <c r="F375" s="43">
        <v>0</v>
      </c>
      <c r="G375" s="43">
        <v>0</v>
      </c>
      <c r="H375" s="43">
        <v>0</v>
      </c>
      <c r="I375" s="43">
        <v>0</v>
      </c>
      <c r="J375" s="43">
        <v>0</v>
      </c>
      <c r="K375" s="44">
        <v>188.09820000000008</v>
      </c>
      <c r="L375" s="457">
        <f t="shared" si="315"/>
        <v>0</v>
      </c>
      <c r="M375" s="458">
        <f t="shared" si="316"/>
        <v>0</v>
      </c>
      <c r="N375" s="458">
        <f t="shared" si="317"/>
        <v>0</v>
      </c>
      <c r="O375" s="458">
        <f t="shared" si="318"/>
        <v>0</v>
      </c>
      <c r="P375" s="458">
        <f t="shared" si="319"/>
        <v>0</v>
      </c>
      <c r="Q375" s="458">
        <f t="shared" si="320"/>
        <v>0</v>
      </c>
      <c r="R375" s="459">
        <f t="shared" si="321"/>
        <v>51.460815355769746</v>
      </c>
      <c r="S375" s="455"/>
      <c r="T375" s="456"/>
      <c r="U375" s="456"/>
      <c r="V375" s="456"/>
      <c r="W375" s="456"/>
      <c r="X375" s="456"/>
      <c r="Y375" s="456"/>
      <c r="Z375" s="455"/>
      <c r="AA375" s="456"/>
      <c r="AB375" s="456"/>
      <c r="AC375" s="456"/>
      <c r="AD375" s="456"/>
      <c r="AE375" s="456"/>
      <c r="AF375" s="456"/>
      <c r="AG375" s="33" t="str">
        <f t="shared" si="311"/>
        <v>1.14 &gt; Dominican Republic</v>
      </c>
      <c r="AH375" s="84">
        <f t="shared" si="312"/>
        <v>361</v>
      </c>
      <c r="AI375" s="84">
        <f t="shared" si="313"/>
        <v>14</v>
      </c>
      <c r="AJ375" s="877" t="s">
        <v>1526</v>
      </c>
    </row>
    <row r="376" spans="1:36" x14ac:dyDescent="0.2">
      <c r="A376" s="492">
        <f>INDEX(Country!$F$31:$G$76, MATCH(AI376, Country!$O$31:$O$76, 0), 1)</f>
        <v>1.1400000000000001</v>
      </c>
      <c r="B376" s="2" t="str">
        <f>INDEX(Country!$F$31:$G$76, MATCH(AI376, Country!$O$31:$O$76, 0), 2)</f>
        <v>Average industrial electricity prices</v>
      </c>
      <c r="C376" s="436" t="str">
        <f>INDEX(Country!$K$31:$K$76, MATCH(AI376, Country!$O$31:$O$76, 0), 1)</f>
        <v>USD/MWh</v>
      </c>
      <c r="D376" s="4" t="str">
        <f t="shared" si="322"/>
        <v>Ecuador</v>
      </c>
      <c r="E376" s="43">
        <v>115.9</v>
      </c>
      <c r="F376" s="43">
        <v>72.400000000000006</v>
      </c>
      <c r="G376" s="43">
        <v>69.099999999999994</v>
      </c>
      <c r="H376" s="43">
        <v>64.3</v>
      </c>
      <c r="I376" s="43">
        <v>65.3</v>
      </c>
      <c r="J376" s="43">
        <v>63.9</v>
      </c>
      <c r="K376" s="44">
        <v>60.272727272727273</v>
      </c>
      <c r="L376" s="457">
        <f t="shared" si="315"/>
        <v>67.450714129828555</v>
      </c>
      <c r="M376" s="458">
        <f t="shared" si="316"/>
        <v>39.048068495921264</v>
      </c>
      <c r="N376" s="458">
        <f t="shared" si="317"/>
        <v>24.07575215204977</v>
      </c>
      <c r="O376" s="458">
        <f t="shared" si="318"/>
        <v>18.891983687668205</v>
      </c>
      <c r="P376" s="458">
        <f t="shared" si="319"/>
        <v>19.10965959638526</v>
      </c>
      <c r="Q376" s="458">
        <f t="shared" si="320"/>
        <v>19.001570082786184</v>
      </c>
      <c r="R376" s="459">
        <f t="shared" si="321"/>
        <v>16.489704256449475</v>
      </c>
      <c r="S376" s="455"/>
      <c r="T376" s="456"/>
      <c r="U376" s="456"/>
      <c r="V376" s="456"/>
      <c r="W376" s="456"/>
      <c r="X376" s="456"/>
      <c r="Y376" s="456"/>
      <c r="Z376" s="455"/>
      <c r="AA376" s="456"/>
      <c r="AB376" s="456"/>
      <c r="AC376" s="456"/>
      <c r="AD376" s="456"/>
      <c r="AE376" s="456"/>
      <c r="AF376" s="456"/>
      <c r="AG376" s="33" t="str">
        <f t="shared" si="311"/>
        <v>1.14 &gt; Ecuador</v>
      </c>
      <c r="AH376" s="84">
        <f t="shared" si="312"/>
        <v>362</v>
      </c>
      <c r="AI376" s="84">
        <f t="shared" si="313"/>
        <v>14</v>
      </c>
      <c r="AJ376" s="877" t="s">
        <v>1526</v>
      </c>
    </row>
    <row r="377" spans="1:36" x14ac:dyDescent="0.2">
      <c r="A377" s="492">
        <f>INDEX(Country!$F$31:$G$76, MATCH(AI377, Country!$O$31:$O$76, 0), 1)</f>
        <v>1.1400000000000001</v>
      </c>
      <c r="B377" s="2" t="str">
        <f>INDEX(Country!$F$31:$G$76, MATCH(AI377, Country!$O$31:$O$76, 0), 2)</f>
        <v>Average industrial electricity prices</v>
      </c>
      <c r="C377" s="436" t="str">
        <f>INDEX(Country!$K$31:$K$76, MATCH(AI377, Country!$O$31:$O$76, 0), 1)</f>
        <v>USD/MWh</v>
      </c>
      <c r="D377" s="4" t="str">
        <f t="shared" si="322"/>
        <v>El Salvador</v>
      </c>
      <c r="E377" s="43">
        <v>0</v>
      </c>
      <c r="F377" s="43">
        <v>0</v>
      </c>
      <c r="G377" s="43">
        <v>0</v>
      </c>
      <c r="H377" s="43">
        <v>0</v>
      </c>
      <c r="I377" s="43">
        <v>0</v>
      </c>
      <c r="J377" s="43">
        <v>0</v>
      </c>
      <c r="K377" s="44">
        <v>180.29999999999998</v>
      </c>
      <c r="L377" s="457">
        <f t="shared" si="315"/>
        <v>0</v>
      </c>
      <c r="M377" s="458">
        <f t="shared" si="316"/>
        <v>0</v>
      </c>
      <c r="N377" s="458">
        <f t="shared" si="317"/>
        <v>0</v>
      </c>
      <c r="O377" s="458">
        <f t="shared" si="318"/>
        <v>0</v>
      </c>
      <c r="P377" s="458">
        <f t="shared" si="319"/>
        <v>0</v>
      </c>
      <c r="Q377" s="458">
        <f t="shared" si="320"/>
        <v>0</v>
      </c>
      <c r="R377" s="459">
        <f t="shared" si="321"/>
        <v>49.327346081170802</v>
      </c>
      <c r="S377" s="455"/>
      <c r="T377" s="456"/>
      <c r="U377" s="456"/>
      <c r="V377" s="456"/>
      <c r="W377" s="456"/>
      <c r="X377" s="456"/>
      <c r="Y377" s="456"/>
      <c r="Z377" s="455"/>
      <c r="AA377" s="456"/>
      <c r="AB377" s="456"/>
      <c r="AC377" s="456"/>
      <c r="AD377" s="456"/>
      <c r="AE377" s="456"/>
      <c r="AF377" s="456"/>
      <c r="AG377" s="33" t="str">
        <f t="shared" si="311"/>
        <v>1.14 &gt; El Salvador</v>
      </c>
      <c r="AH377" s="84">
        <f t="shared" si="312"/>
        <v>363</v>
      </c>
      <c r="AI377" s="84">
        <f t="shared" si="313"/>
        <v>14</v>
      </c>
      <c r="AJ377" s="877" t="s">
        <v>1526</v>
      </c>
    </row>
    <row r="378" spans="1:36" x14ac:dyDescent="0.2">
      <c r="A378" s="492">
        <f>INDEX(Country!$F$31:$G$76, MATCH(AI378, Country!$O$31:$O$76, 0), 1)</f>
        <v>1.1400000000000001</v>
      </c>
      <c r="B378" s="2" t="str">
        <f>INDEX(Country!$F$31:$G$76, MATCH(AI378, Country!$O$31:$O$76, 0), 2)</f>
        <v>Average industrial electricity prices</v>
      </c>
      <c r="C378" s="436" t="str">
        <f>INDEX(Country!$K$31:$K$76, MATCH(AI378, Country!$O$31:$O$76, 0), 1)</f>
        <v>USD/MWh</v>
      </c>
      <c r="D378" s="4" t="str">
        <f t="shared" si="322"/>
        <v>Guatemala</v>
      </c>
      <c r="E378" s="43">
        <v>0</v>
      </c>
      <c r="F378" s="43">
        <v>0</v>
      </c>
      <c r="G378" s="43">
        <v>0</v>
      </c>
      <c r="H378" s="43">
        <v>0</v>
      </c>
      <c r="I378" s="43">
        <v>0</v>
      </c>
      <c r="J378" s="43">
        <v>0</v>
      </c>
      <c r="K378" s="44">
        <v>0</v>
      </c>
      <c r="L378" s="457">
        <f t="shared" si="315"/>
        <v>0</v>
      </c>
      <c r="M378" s="458">
        <f t="shared" si="316"/>
        <v>0</v>
      </c>
      <c r="N378" s="458">
        <f t="shared" si="317"/>
        <v>0</v>
      </c>
      <c r="O378" s="458">
        <f t="shared" si="318"/>
        <v>0</v>
      </c>
      <c r="P378" s="458">
        <f t="shared" si="319"/>
        <v>0</v>
      </c>
      <c r="Q378" s="458">
        <f t="shared" si="320"/>
        <v>0</v>
      </c>
      <c r="R378" s="459">
        <f t="shared" si="321"/>
        <v>0</v>
      </c>
      <c r="S378" s="455"/>
      <c r="T378" s="456"/>
      <c r="U378" s="456"/>
      <c r="V378" s="456"/>
      <c r="W378" s="456"/>
      <c r="X378" s="456"/>
      <c r="Y378" s="456"/>
      <c r="Z378" s="455"/>
      <c r="AA378" s="456"/>
      <c r="AB378" s="456"/>
      <c r="AC378" s="456"/>
      <c r="AD378" s="456"/>
      <c r="AE378" s="456"/>
      <c r="AF378" s="456"/>
      <c r="AG378" s="33" t="str">
        <f t="shared" si="311"/>
        <v>1.14 &gt; Guatemala</v>
      </c>
      <c r="AH378" s="84">
        <f t="shared" si="312"/>
        <v>364</v>
      </c>
      <c r="AI378" s="84">
        <f t="shared" si="313"/>
        <v>14</v>
      </c>
      <c r="AJ378" s="877" t="s">
        <v>1526</v>
      </c>
    </row>
    <row r="379" spans="1:36" x14ac:dyDescent="0.2">
      <c r="A379" s="492">
        <f>INDEX(Country!$F$31:$G$76, MATCH(AI379, Country!$O$31:$O$76, 0), 1)</f>
        <v>1.1400000000000001</v>
      </c>
      <c r="B379" s="2" t="str">
        <f>INDEX(Country!$F$31:$G$76, MATCH(AI379, Country!$O$31:$O$76, 0), 2)</f>
        <v>Average industrial electricity prices</v>
      </c>
      <c r="C379" s="436" t="str">
        <f>INDEX(Country!$K$31:$K$76, MATCH(AI379, Country!$O$31:$O$76, 0), 1)</f>
        <v>USD/MWh</v>
      </c>
      <c r="D379" s="4" t="str">
        <f t="shared" si="322"/>
        <v>Guyana</v>
      </c>
      <c r="E379" s="540">
        <v>0</v>
      </c>
      <c r="F379" s="540">
        <v>0</v>
      </c>
      <c r="G379" s="540">
        <v>287.01076320939336</v>
      </c>
      <c r="H379" s="540">
        <v>286.4501953125</v>
      </c>
      <c r="I379" s="540">
        <v>287.01076320939336</v>
      </c>
      <c r="J379" s="540">
        <v>287.43263106320433</v>
      </c>
      <c r="K379" s="76">
        <v>289.41785890478542</v>
      </c>
      <c r="L379" s="457">
        <f t="shared" si="315"/>
        <v>0</v>
      </c>
      <c r="M379" s="458">
        <f t="shared" si="316"/>
        <v>0</v>
      </c>
      <c r="N379" s="458">
        <f t="shared" si="317"/>
        <v>100</v>
      </c>
      <c r="O379" s="458">
        <f t="shared" si="318"/>
        <v>84.16193494826004</v>
      </c>
      <c r="P379" s="458">
        <f t="shared" si="319"/>
        <v>83.992005902453926</v>
      </c>
      <c r="Q379" s="458">
        <f t="shared" si="320"/>
        <v>85.472164056762168</v>
      </c>
      <c r="R379" s="459">
        <f t="shared" si="321"/>
        <v>79.180337705312326</v>
      </c>
      <c r="S379" s="455"/>
      <c r="T379" s="456"/>
      <c r="U379" s="456"/>
      <c r="V379" s="456"/>
      <c r="W379" s="456"/>
      <c r="X379" s="456"/>
      <c r="Y379" s="456"/>
      <c r="Z379" s="455"/>
      <c r="AA379" s="456"/>
      <c r="AB379" s="456"/>
      <c r="AC379" s="456"/>
      <c r="AD379" s="456"/>
      <c r="AE379" s="456"/>
      <c r="AF379" s="456"/>
      <c r="AG379" s="33" t="str">
        <f t="shared" si="311"/>
        <v>1.14 &gt; Guyana</v>
      </c>
      <c r="AH379" s="84">
        <f t="shared" si="312"/>
        <v>365</v>
      </c>
      <c r="AI379" s="84">
        <f t="shared" si="313"/>
        <v>14</v>
      </c>
      <c r="AJ379" s="877" t="s">
        <v>1526</v>
      </c>
    </row>
    <row r="380" spans="1:36" x14ac:dyDescent="0.2">
      <c r="A380" s="492">
        <f>INDEX(Country!$F$31:$G$76, MATCH(AI380, Country!$O$31:$O$76, 0), 1)</f>
        <v>1.1400000000000001</v>
      </c>
      <c r="B380" s="2" t="str">
        <f>INDEX(Country!$F$31:$G$76, MATCH(AI380, Country!$O$31:$O$76, 0), 2)</f>
        <v>Average industrial electricity prices</v>
      </c>
      <c r="C380" s="436" t="str">
        <f>INDEX(Country!$K$31:$K$76, MATCH(AI380, Country!$O$31:$O$76, 0), 1)</f>
        <v>USD/MWh</v>
      </c>
      <c r="D380" s="4" t="str">
        <f t="shared" si="322"/>
        <v>Haiti</v>
      </c>
      <c r="E380" s="540">
        <v>171.82916666666668</v>
      </c>
      <c r="F380" s="540">
        <v>185.41249999999999</v>
      </c>
      <c r="G380" s="540">
        <v>174.54583333333335</v>
      </c>
      <c r="H380" s="540">
        <v>340.35600000000005</v>
      </c>
      <c r="I380" s="540">
        <v>341.71199999999999</v>
      </c>
      <c r="J380" s="540">
        <v>336.28799999999995</v>
      </c>
      <c r="K380" s="76">
        <v>325.44</v>
      </c>
      <c r="L380" s="457">
        <f t="shared" si="315"/>
        <v>100</v>
      </c>
      <c r="M380" s="458">
        <f t="shared" si="316"/>
        <v>100</v>
      </c>
      <c r="N380" s="458">
        <f t="shared" si="317"/>
        <v>60.815082814852701</v>
      </c>
      <c r="O380" s="458">
        <f t="shared" si="318"/>
        <v>100</v>
      </c>
      <c r="P380" s="458">
        <f t="shared" si="319"/>
        <v>100</v>
      </c>
      <c r="Q380" s="458">
        <f t="shared" si="320"/>
        <v>100</v>
      </c>
      <c r="R380" s="459">
        <f t="shared" si="321"/>
        <v>89.035449299258048</v>
      </c>
      <c r="S380" s="455"/>
      <c r="T380" s="456"/>
      <c r="U380" s="456"/>
      <c r="V380" s="456"/>
      <c r="W380" s="456"/>
      <c r="X380" s="456"/>
      <c r="Y380" s="456"/>
      <c r="Z380" s="455"/>
      <c r="AA380" s="456"/>
      <c r="AB380" s="456"/>
      <c r="AC380" s="456"/>
      <c r="AD380" s="456"/>
      <c r="AE380" s="456"/>
      <c r="AF380" s="456"/>
      <c r="AG380" s="33" t="str">
        <f t="shared" si="311"/>
        <v>1.14 &gt; Haiti</v>
      </c>
      <c r="AH380" s="84">
        <f t="shared" si="312"/>
        <v>366</v>
      </c>
      <c r="AI380" s="84">
        <f t="shared" si="313"/>
        <v>14</v>
      </c>
      <c r="AJ380" s="877" t="s">
        <v>1526</v>
      </c>
    </row>
    <row r="381" spans="1:36" x14ac:dyDescent="0.2">
      <c r="A381" s="492">
        <f>INDEX(Country!$F$31:$G$76, MATCH(AI381, Country!$O$31:$O$76, 0), 1)</f>
        <v>1.1400000000000001</v>
      </c>
      <c r="B381" s="2" t="str">
        <f>INDEX(Country!$F$31:$G$76, MATCH(AI381, Country!$O$31:$O$76, 0), 2)</f>
        <v>Average industrial electricity prices</v>
      </c>
      <c r="C381" s="436" t="str">
        <f>INDEX(Country!$K$31:$K$76, MATCH(AI381, Country!$O$31:$O$76, 0), 1)</f>
        <v>USD/MWh</v>
      </c>
      <c r="D381" s="4" t="str">
        <f t="shared" si="322"/>
        <v>Honduras</v>
      </c>
      <c r="E381" s="43">
        <v>0</v>
      </c>
      <c r="F381" s="43">
        <v>0</v>
      </c>
      <c r="G381" s="43">
        <v>0</v>
      </c>
      <c r="H381" s="43">
        <v>120.33692000000001</v>
      </c>
      <c r="I381" s="43">
        <v>120.33692000000001</v>
      </c>
      <c r="J381" s="43">
        <v>120.33692000000001</v>
      </c>
      <c r="K381" s="44">
        <v>117.83463999999999</v>
      </c>
      <c r="L381" s="457">
        <f t="shared" si="315"/>
        <v>0</v>
      </c>
      <c r="M381" s="458">
        <f t="shared" si="316"/>
        <v>0</v>
      </c>
      <c r="N381" s="458">
        <f t="shared" si="317"/>
        <v>0</v>
      </c>
      <c r="O381" s="458">
        <f t="shared" si="318"/>
        <v>35.35619175216538</v>
      </c>
      <c r="P381" s="458">
        <f t="shared" si="319"/>
        <v>35.215889403942505</v>
      </c>
      <c r="Q381" s="458">
        <f t="shared" si="320"/>
        <v>35.783887620135133</v>
      </c>
      <c r="R381" s="459">
        <f t="shared" si="321"/>
        <v>32.237770757793527</v>
      </c>
      <c r="S381" s="455"/>
      <c r="T381" s="456"/>
      <c r="U381" s="456"/>
      <c r="V381" s="456"/>
      <c r="W381" s="456"/>
      <c r="X381" s="456"/>
      <c r="Y381" s="456"/>
      <c r="Z381" s="455"/>
      <c r="AA381" s="456"/>
      <c r="AB381" s="456"/>
      <c r="AC381" s="456"/>
      <c r="AD381" s="456"/>
      <c r="AE381" s="456"/>
      <c r="AF381" s="456"/>
      <c r="AG381" s="33" t="str">
        <f t="shared" si="311"/>
        <v>1.14 &gt; Honduras</v>
      </c>
      <c r="AH381" s="84">
        <f t="shared" si="312"/>
        <v>367</v>
      </c>
      <c r="AI381" s="84">
        <f t="shared" si="313"/>
        <v>14</v>
      </c>
      <c r="AJ381" s="877" t="s">
        <v>1526</v>
      </c>
    </row>
    <row r="382" spans="1:36" x14ac:dyDescent="0.2">
      <c r="A382" s="492">
        <f>INDEX(Country!$F$31:$G$76, MATCH(AI382, Country!$O$31:$O$76, 0), 1)</f>
        <v>1.1400000000000001</v>
      </c>
      <c r="B382" s="2" t="str">
        <f>INDEX(Country!$F$31:$G$76, MATCH(AI382, Country!$O$31:$O$76, 0), 2)</f>
        <v>Average industrial electricity prices</v>
      </c>
      <c r="C382" s="436" t="str">
        <f>INDEX(Country!$K$31:$K$76, MATCH(AI382, Country!$O$31:$O$76, 0), 1)</f>
        <v>USD/MWh</v>
      </c>
      <c r="D382" s="4" t="str">
        <f t="shared" si="322"/>
        <v>Jamaica</v>
      </c>
      <c r="E382" s="43">
        <v>0</v>
      </c>
      <c r="F382" s="43">
        <v>0</v>
      </c>
      <c r="G382" s="43">
        <v>0</v>
      </c>
      <c r="H382" s="43">
        <v>0</v>
      </c>
      <c r="I382" s="43">
        <v>0</v>
      </c>
      <c r="J382" s="43">
        <v>0</v>
      </c>
      <c r="K382" s="44">
        <v>365.51733333333328</v>
      </c>
      <c r="L382" s="457">
        <f t="shared" si="315"/>
        <v>0</v>
      </c>
      <c r="M382" s="458">
        <f t="shared" si="316"/>
        <v>0</v>
      </c>
      <c r="N382" s="458">
        <f t="shared" si="317"/>
        <v>0</v>
      </c>
      <c r="O382" s="458">
        <f t="shared" si="318"/>
        <v>0</v>
      </c>
      <c r="P382" s="458">
        <f t="shared" si="319"/>
        <v>0</v>
      </c>
      <c r="Q382" s="458">
        <f t="shared" si="320"/>
        <v>0</v>
      </c>
      <c r="R382" s="459">
        <f t="shared" si="321"/>
        <v>100</v>
      </c>
      <c r="S382" s="455"/>
      <c r="T382" s="456"/>
      <c r="U382" s="456"/>
      <c r="V382" s="456"/>
      <c r="W382" s="456"/>
      <c r="X382" s="456"/>
      <c r="Y382" s="456"/>
      <c r="Z382" s="455"/>
      <c r="AA382" s="456"/>
      <c r="AB382" s="456"/>
      <c r="AC382" s="456"/>
      <c r="AD382" s="456"/>
      <c r="AE382" s="456"/>
      <c r="AF382" s="456"/>
      <c r="AG382" s="33" t="str">
        <f t="shared" si="311"/>
        <v>1.14 &gt; Jamaica</v>
      </c>
      <c r="AH382" s="84">
        <f t="shared" si="312"/>
        <v>368</v>
      </c>
      <c r="AI382" s="84">
        <f t="shared" si="313"/>
        <v>14</v>
      </c>
      <c r="AJ382" s="877" t="s">
        <v>1526</v>
      </c>
    </row>
    <row r="383" spans="1:36" x14ac:dyDescent="0.2">
      <c r="A383" s="492">
        <f>INDEX(Country!$F$31:$G$76, MATCH(AI383, Country!$O$31:$O$76, 0), 1)</f>
        <v>1.1400000000000001</v>
      </c>
      <c r="B383" s="2" t="str">
        <f>INDEX(Country!$F$31:$G$76, MATCH(AI383, Country!$O$31:$O$76, 0), 2)</f>
        <v>Average industrial electricity prices</v>
      </c>
      <c r="C383" s="436" t="str">
        <f>INDEX(Country!$K$31:$K$76, MATCH(AI383, Country!$O$31:$O$76, 0), 1)</f>
        <v>USD/MWh</v>
      </c>
      <c r="D383" s="4" t="str">
        <f t="shared" si="322"/>
        <v>Mexico</v>
      </c>
      <c r="E383" s="43">
        <v>98.982479566666669</v>
      </c>
      <c r="F383" s="43">
        <v>102.145472</v>
      </c>
      <c r="G383" s="43">
        <v>127.16134600000001</v>
      </c>
      <c r="H383" s="43">
        <v>86.39961091666666</v>
      </c>
      <c r="I383" s="43">
        <v>104.10042233333331</v>
      </c>
      <c r="J383" s="43">
        <v>115.719765</v>
      </c>
      <c r="K383" s="44">
        <v>114.793942</v>
      </c>
      <c r="L383" s="457">
        <f t="shared" si="315"/>
        <v>57.605167671379029</v>
      </c>
      <c r="M383" s="458">
        <f t="shared" si="316"/>
        <v>55.090930762489045</v>
      </c>
      <c r="N383" s="458">
        <f t="shared" si="317"/>
        <v>44.305427635557834</v>
      </c>
      <c r="O383" s="458">
        <f t="shared" si="318"/>
        <v>25.385070607442398</v>
      </c>
      <c r="P383" s="458">
        <f t="shared" si="319"/>
        <v>30.464374190351325</v>
      </c>
      <c r="Q383" s="458">
        <f t="shared" si="320"/>
        <v>34.41091118327148</v>
      </c>
      <c r="R383" s="459">
        <f t="shared" si="321"/>
        <v>31.405881891602046</v>
      </c>
      <c r="S383" s="455"/>
      <c r="T383" s="456"/>
      <c r="U383" s="456"/>
      <c r="V383" s="456"/>
      <c r="W383" s="456"/>
      <c r="X383" s="456"/>
      <c r="Y383" s="456"/>
      <c r="Z383" s="455"/>
      <c r="AA383" s="456"/>
      <c r="AB383" s="456"/>
      <c r="AC383" s="456"/>
      <c r="AD383" s="456"/>
      <c r="AE383" s="456"/>
      <c r="AF383" s="456"/>
      <c r="AG383" s="33" t="str">
        <f t="shared" si="311"/>
        <v>1.14 &gt; Mexico</v>
      </c>
      <c r="AH383" s="84">
        <f t="shared" si="312"/>
        <v>369</v>
      </c>
      <c r="AI383" s="84">
        <f t="shared" si="313"/>
        <v>14</v>
      </c>
      <c r="AJ383" s="877" t="s">
        <v>1526</v>
      </c>
    </row>
    <row r="384" spans="1:36" x14ac:dyDescent="0.2">
      <c r="A384" s="492">
        <f>INDEX(Country!$F$31:$G$76, MATCH(AI384, Country!$O$31:$O$76, 0), 1)</f>
        <v>1.1400000000000001</v>
      </c>
      <c r="B384" s="2" t="str">
        <f>INDEX(Country!$F$31:$G$76, MATCH(AI384, Country!$O$31:$O$76, 0), 2)</f>
        <v>Average industrial electricity prices</v>
      </c>
      <c r="C384" s="436" t="str">
        <f>INDEX(Country!$K$31:$K$76, MATCH(AI384, Country!$O$31:$O$76, 0), 1)</f>
        <v>USD/MWh</v>
      </c>
      <c r="D384" s="4" t="str">
        <f t="shared" si="322"/>
        <v>Nicaragua</v>
      </c>
      <c r="E384" s="43">
        <v>143.702088</v>
      </c>
      <c r="F384" s="43">
        <v>149.512326</v>
      </c>
      <c r="G384" s="43">
        <v>186.22491599999998</v>
      </c>
      <c r="H384" s="43">
        <v>163.47684000000001</v>
      </c>
      <c r="I384" s="43">
        <v>181.999584</v>
      </c>
      <c r="J384" s="43">
        <v>227.905554</v>
      </c>
      <c r="K384" s="44">
        <v>226.6</v>
      </c>
      <c r="L384" s="457">
        <f t="shared" si="315"/>
        <v>83.630789107398328</v>
      </c>
      <c r="M384" s="458">
        <f t="shared" si="316"/>
        <v>80.637673296029121</v>
      </c>
      <c r="N384" s="458">
        <f t="shared" si="317"/>
        <v>64.884296992073629</v>
      </c>
      <c r="O384" s="458">
        <f t="shared" si="318"/>
        <v>48.031132108733203</v>
      </c>
      <c r="P384" s="458">
        <f t="shared" si="319"/>
        <v>53.261104087652761</v>
      </c>
      <c r="Q384" s="458">
        <f t="shared" si="320"/>
        <v>67.770944547530704</v>
      </c>
      <c r="R384" s="459">
        <f t="shared" si="321"/>
        <v>61.994324026585161</v>
      </c>
      <c r="S384" s="455"/>
      <c r="T384" s="456"/>
      <c r="U384" s="456"/>
      <c r="V384" s="456"/>
      <c r="W384" s="456"/>
      <c r="X384" s="456"/>
      <c r="Y384" s="456"/>
      <c r="Z384" s="455"/>
      <c r="AA384" s="456"/>
      <c r="AB384" s="456"/>
      <c r="AC384" s="456"/>
      <c r="AD384" s="456"/>
      <c r="AE384" s="456"/>
      <c r="AF384" s="456"/>
      <c r="AG384" s="33" t="str">
        <f t="shared" si="311"/>
        <v>1.14 &gt; Nicaragua</v>
      </c>
      <c r="AH384" s="84">
        <f t="shared" si="312"/>
        <v>370</v>
      </c>
      <c r="AI384" s="84">
        <f t="shared" si="313"/>
        <v>14</v>
      </c>
      <c r="AJ384" s="877" t="s">
        <v>1526</v>
      </c>
    </row>
    <row r="385" spans="1:36" x14ac:dyDescent="0.2">
      <c r="A385" s="492">
        <f>INDEX(Country!$F$31:$G$76, MATCH(AI385, Country!$O$31:$O$76, 0), 1)</f>
        <v>1.1400000000000001</v>
      </c>
      <c r="B385" s="2" t="str">
        <f>INDEX(Country!$F$31:$G$76, MATCH(AI385, Country!$O$31:$O$76, 0), 2)</f>
        <v>Average industrial electricity prices</v>
      </c>
      <c r="C385" s="436" t="str">
        <f>INDEX(Country!$K$31:$K$76, MATCH(AI385, Country!$O$31:$O$76, 0), 1)</f>
        <v>USD/MWh</v>
      </c>
      <c r="D385" s="4" t="str">
        <f t="shared" si="322"/>
        <v>Panama</v>
      </c>
      <c r="E385" s="43">
        <v>102.55</v>
      </c>
      <c r="F385" s="43">
        <v>81.600000000000009</v>
      </c>
      <c r="G385" s="43">
        <v>151.45000000000002</v>
      </c>
      <c r="H385" s="43">
        <v>96.1</v>
      </c>
      <c r="I385" s="43">
        <v>116.15</v>
      </c>
      <c r="J385" s="43">
        <v>106.95</v>
      </c>
      <c r="K385" s="44">
        <v>116.15</v>
      </c>
      <c r="L385" s="457">
        <f t="shared" si="315"/>
        <v>59.681369577341833</v>
      </c>
      <c r="M385" s="458">
        <f t="shared" si="316"/>
        <v>44.009977752309048</v>
      </c>
      <c r="N385" s="458">
        <f t="shared" si="317"/>
        <v>52.768055910679287</v>
      </c>
      <c r="O385" s="458">
        <f t="shared" si="318"/>
        <v>28.235142027759167</v>
      </c>
      <c r="P385" s="458">
        <f t="shared" si="319"/>
        <v>33.990611977337643</v>
      </c>
      <c r="Q385" s="458">
        <f t="shared" si="320"/>
        <v>31.803097345132748</v>
      </c>
      <c r="R385" s="459">
        <f t="shared" si="321"/>
        <v>31.77687879826949</v>
      </c>
      <c r="S385" s="455"/>
      <c r="T385" s="456"/>
      <c r="U385" s="456"/>
      <c r="V385" s="456"/>
      <c r="W385" s="456"/>
      <c r="X385" s="456"/>
      <c r="Y385" s="456"/>
      <c r="Z385" s="455"/>
      <c r="AA385" s="456"/>
      <c r="AB385" s="456"/>
      <c r="AC385" s="456"/>
      <c r="AD385" s="456"/>
      <c r="AE385" s="456"/>
      <c r="AF385" s="456"/>
      <c r="AG385" s="33" t="str">
        <f t="shared" si="311"/>
        <v>1.14 &gt; Panama</v>
      </c>
      <c r="AH385" s="84">
        <f t="shared" si="312"/>
        <v>371</v>
      </c>
      <c r="AI385" s="84">
        <f t="shared" si="313"/>
        <v>14</v>
      </c>
      <c r="AJ385" s="877" t="s">
        <v>1526</v>
      </c>
    </row>
    <row r="386" spans="1:36" x14ac:dyDescent="0.2">
      <c r="A386" s="492">
        <f>INDEX(Country!$F$31:$G$76, MATCH(AI386, Country!$O$31:$O$76, 0), 1)</f>
        <v>1.1400000000000001</v>
      </c>
      <c r="B386" s="2" t="str">
        <f>INDEX(Country!$F$31:$G$76, MATCH(AI386, Country!$O$31:$O$76, 0), 2)</f>
        <v>Average industrial electricity prices</v>
      </c>
      <c r="C386" s="436" t="str">
        <f>INDEX(Country!$K$31:$K$76, MATCH(AI386, Country!$O$31:$O$76, 0), 1)</f>
        <v>USD/MWh</v>
      </c>
      <c r="D386" s="4" t="str">
        <f t="shared" si="322"/>
        <v>Paraguay</v>
      </c>
      <c r="E386" s="43">
        <v>38.446519223259614</v>
      </c>
      <c r="F386" s="43">
        <v>43.046686956694707</v>
      </c>
      <c r="G386" s="43">
        <v>51.513896558071053</v>
      </c>
      <c r="H386" s="43">
        <v>46.71806123065155</v>
      </c>
      <c r="I386" s="43">
        <v>48.37250405032929</v>
      </c>
      <c r="J386" s="43">
        <v>57.47181235250649</v>
      </c>
      <c r="K386" s="44">
        <v>57.505027453284228</v>
      </c>
      <c r="L386" s="457">
        <f t="shared" si="315"/>
        <v>22.374850538524957</v>
      </c>
      <c r="M386" s="458">
        <f t="shared" si="316"/>
        <v>23.216712442092472</v>
      </c>
      <c r="N386" s="458">
        <f t="shared" si="317"/>
        <v>17.948419767271325</v>
      </c>
      <c r="O386" s="458">
        <f t="shared" si="318"/>
        <v>13.72623406981265</v>
      </c>
      <c r="P386" s="458">
        <f t="shared" si="319"/>
        <v>14.155927813576723</v>
      </c>
      <c r="Q386" s="458">
        <f t="shared" si="320"/>
        <v>17.090057436633629</v>
      </c>
      <c r="R386" s="459">
        <f t="shared" si="321"/>
        <v>15.732503552941649</v>
      </c>
      <c r="S386" s="455"/>
      <c r="T386" s="456"/>
      <c r="U386" s="456"/>
      <c r="V386" s="456"/>
      <c r="W386" s="456"/>
      <c r="X386" s="456"/>
      <c r="Y386" s="456"/>
      <c r="Z386" s="455"/>
      <c r="AA386" s="456"/>
      <c r="AB386" s="456"/>
      <c r="AC386" s="456"/>
      <c r="AD386" s="456"/>
      <c r="AE386" s="456"/>
      <c r="AF386" s="456"/>
      <c r="AG386" s="33" t="str">
        <f t="shared" si="311"/>
        <v>1.14 &gt; Paraguay</v>
      </c>
      <c r="AH386" s="84">
        <f t="shared" si="312"/>
        <v>372</v>
      </c>
      <c r="AI386" s="84">
        <f t="shared" si="313"/>
        <v>14</v>
      </c>
      <c r="AJ386" s="877" t="s">
        <v>1526</v>
      </c>
    </row>
    <row r="387" spans="1:36" x14ac:dyDescent="0.2">
      <c r="A387" s="492">
        <f>INDEX(Country!$F$31:$G$76, MATCH(AI387, Country!$O$31:$O$76, 0), 1)</f>
        <v>1.1400000000000001</v>
      </c>
      <c r="B387" s="2" t="str">
        <f>INDEX(Country!$F$31:$G$76, MATCH(AI387, Country!$O$31:$O$76, 0), 2)</f>
        <v>Average industrial electricity prices</v>
      </c>
      <c r="C387" s="436" t="str">
        <f>INDEX(Country!$K$31:$K$76, MATCH(AI387, Country!$O$31:$O$76, 0), 1)</f>
        <v>USD/MWh</v>
      </c>
      <c r="D387" s="4" t="str">
        <f t="shared" si="322"/>
        <v>Peru</v>
      </c>
      <c r="E387" s="43">
        <v>57.3</v>
      </c>
      <c r="F387" s="43">
        <v>56</v>
      </c>
      <c r="G387" s="43">
        <v>66.600000000000009</v>
      </c>
      <c r="H387" s="43">
        <v>60.900000000000006</v>
      </c>
      <c r="I387" s="43">
        <v>59.1</v>
      </c>
      <c r="J387" s="43">
        <v>68.940536656739027</v>
      </c>
      <c r="K387" s="44">
        <v>68.940536656739027</v>
      </c>
      <c r="L387" s="457">
        <f t="shared" si="315"/>
        <v>33.34707437134751</v>
      </c>
      <c r="M387" s="458">
        <f t="shared" si="316"/>
        <v>30.20292590844738</v>
      </c>
      <c r="N387" s="458">
        <f t="shared" si="317"/>
        <v>23.204704679110204</v>
      </c>
      <c r="O387" s="458">
        <f t="shared" si="318"/>
        <v>17.893029651306279</v>
      </c>
      <c r="P387" s="458">
        <f t="shared" si="319"/>
        <v>17.295266189071498</v>
      </c>
      <c r="Q387" s="458">
        <f t="shared" si="320"/>
        <v>20.500445052080071</v>
      </c>
      <c r="R387" s="459">
        <f t="shared" si="321"/>
        <v>18.861085472482571</v>
      </c>
      <c r="S387" s="455"/>
      <c r="T387" s="456"/>
      <c r="U387" s="456"/>
      <c r="V387" s="456"/>
      <c r="W387" s="456"/>
      <c r="X387" s="456"/>
      <c r="Y387" s="456"/>
      <c r="Z387" s="455"/>
      <c r="AA387" s="456"/>
      <c r="AB387" s="456"/>
      <c r="AC387" s="456"/>
      <c r="AD387" s="456"/>
      <c r="AE387" s="456"/>
      <c r="AF387" s="456"/>
      <c r="AG387" s="33" t="str">
        <f t="shared" si="311"/>
        <v>1.14 &gt; Peru</v>
      </c>
      <c r="AH387" s="84">
        <f t="shared" si="312"/>
        <v>373</v>
      </c>
      <c r="AI387" s="84">
        <f t="shared" si="313"/>
        <v>14</v>
      </c>
      <c r="AJ387" s="877" t="s">
        <v>1526</v>
      </c>
    </row>
    <row r="388" spans="1:36" x14ac:dyDescent="0.2">
      <c r="A388" s="492">
        <f>INDEX(Country!$F$31:$G$76, MATCH(AI388, Country!$O$31:$O$76, 0), 1)</f>
        <v>1.1400000000000001</v>
      </c>
      <c r="B388" s="2" t="str">
        <f>INDEX(Country!$F$31:$G$76, MATCH(AI388, Country!$O$31:$O$76, 0), 2)</f>
        <v>Average industrial electricity prices</v>
      </c>
      <c r="C388" s="436" t="str">
        <f>INDEX(Country!$K$31:$K$76, MATCH(AI388, Country!$O$31:$O$76, 0), 1)</f>
        <v>USD/MWh</v>
      </c>
      <c r="D388" s="4" t="str">
        <f t="shared" si="322"/>
        <v>Suriname</v>
      </c>
      <c r="E388" s="43">
        <v>0</v>
      </c>
      <c r="F388" s="43">
        <v>0</v>
      </c>
      <c r="G388" s="43">
        <v>0</v>
      </c>
      <c r="H388" s="43">
        <v>0</v>
      </c>
      <c r="I388" s="43">
        <v>0</v>
      </c>
      <c r="J388" s="43">
        <v>0</v>
      </c>
      <c r="K388" s="44">
        <v>4.2335492499999995E-2</v>
      </c>
      <c r="L388" s="457">
        <f t="shared" si="315"/>
        <v>0</v>
      </c>
      <c r="M388" s="458">
        <f t="shared" si="316"/>
        <v>0</v>
      </c>
      <c r="N388" s="458">
        <f t="shared" si="317"/>
        <v>0</v>
      </c>
      <c r="O388" s="458">
        <f t="shared" si="318"/>
        <v>0</v>
      </c>
      <c r="P388" s="458">
        <f t="shared" si="319"/>
        <v>0</v>
      </c>
      <c r="Q388" s="458">
        <f t="shared" si="320"/>
        <v>0</v>
      </c>
      <c r="R388" s="459">
        <f t="shared" si="321"/>
        <v>1.158234880789967E-2</v>
      </c>
      <c r="S388" s="455"/>
      <c r="T388" s="456"/>
      <c r="U388" s="456"/>
      <c r="V388" s="456"/>
      <c r="W388" s="456"/>
      <c r="X388" s="456"/>
      <c r="Y388" s="456"/>
      <c r="Z388" s="455"/>
      <c r="AA388" s="456"/>
      <c r="AB388" s="456"/>
      <c r="AC388" s="456"/>
      <c r="AD388" s="456"/>
      <c r="AE388" s="456"/>
      <c r="AF388" s="456"/>
      <c r="AG388" s="33" t="str">
        <f t="shared" si="311"/>
        <v>1.14 &gt; Suriname</v>
      </c>
      <c r="AH388" s="84">
        <f t="shared" si="312"/>
        <v>374</v>
      </c>
      <c r="AI388" s="84">
        <f t="shared" si="313"/>
        <v>14</v>
      </c>
      <c r="AJ388" s="877" t="s">
        <v>1526</v>
      </c>
    </row>
    <row r="389" spans="1:36" x14ac:dyDescent="0.2">
      <c r="A389" s="492">
        <f>INDEX(Country!$F$31:$G$76, MATCH(AI389, Country!$O$31:$O$76, 0), 1)</f>
        <v>1.1400000000000001</v>
      </c>
      <c r="B389" s="2" t="str">
        <f>INDEX(Country!$F$31:$G$76, MATCH(AI389, Country!$O$31:$O$76, 0), 2)</f>
        <v>Average industrial electricity prices</v>
      </c>
      <c r="C389" s="436" t="str">
        <f>INDEX(Country!$K$31:$K$76, MATCH(AI389, Country!$O$31:$O$76, 0), 1)</f>
        <v>USD/MWh</v>
      </c>
      <c r="D389" s="4" t="str">
        <f t="shared" si="322"/>
        <v>Trinidad &amp; Tobago</v>
      </c>
      <c r="E389" s="43">
        <v>0</v>
      </c>
      <c r="F389" s="43">
        <v>0</v>
      </c>
      <c r="G389" s="43">
        <v>0</v>
      </c>
      <c r="H389" s="43">
        <v>0</v>
      </c>
      <c r="I389" s="43">
        <v>0</v>
      </c>
      <c r="J389" s="43">
        <v>0</v>
      </c>
      <c r="K389" s="44">
        <v>27.069459999999992</v>
      </c>
      <c r="L389" s="457">
        <f t="shared" si="315"/>
        <v>0</v>
      </c>
      <c r="M389" s="458">
        <f t="shared" si="316"/>
        <v>0</v>
      </c>
      <c r="N389" s="458">
        <f t="shared" si="317"/>
        <v>0</v>
      </c>
      <c r="O389" s="458">
        <f t="shared" si="318"/>
        <v>0</v>
      </c>
      <c r="P389" s="458">
        <f t="shared" si="319"/>
        <v>0</v>
      </c>
      <c r="Q389" s="458">
        <f t="shared" si="320"/>
        <v>0</v>
      </c>
      <c r="R389" s="459">
        <f t="shared" si="321"/>
        <v>7.405793797284578</v>
      </c>
      <c r="S389" s="455"/>
      <c r="T389" s="456"/>
      <c r="U389" s="456"/>
      <c r="V389" s="456"/>
      <c r="W389" s="456"/>
      <c r="X389" s="456"/>
      <c r="Y389" s="456"/>
      <c r="Z389" s="455"/>
      <c r="AA389" s="456"/>
      <c r="AB389" s="456"/>
      <c r="AC389" s="456"/>
      <c r="AD389" s="456"/>
      <c r="AE389" s="456"/>
      <c r="AF389" s="456"/>
      <c r="AG389" s="33" t="str">
        <f t="shared" si="311"/>
        <v>1.14 &gt; Trinidad &amp; Tobago</v>
      </c>
      <c r="AH389" s="84">
        <f t="shared" si="312"/>
        <v>375</v>
      </c>
      <c r="AI389" s="84">
        <f t="shared" si="313"/>
        <v>14</v>
      </c>
      <c r="AJ389" s="877" t="s">
        <v>1526</v>
      </c>
    </row>
    <row r="390" spans="1:36" x14ac:dyDescent="0.2">
      <c r="A390" s="492">
        <f>INDEX(Country!$F$31:$G$76, MATCH(AI390, Country!$O$31:$O$76, 0), 1)</f>
        <v>1.1400000000000001</v>
      </c>
      <c r="B390" s="2" t="str">
        <f>INDEX(Country!$F$31:$G$76, MATCH(AI390, Country!$O$31:$O$76, 0), 2)</f>
        <v>Average industrial electricity prices</v>
      </c>
      <c r="C390" s="436" t="str">
        <f>INDEX(Country!$K$31:$K$76, MATCH(AI390, Country!$O$31:$O$76, 0), 1)</f>
        <v>USD/MWh</v>
      </c>
      <c r="D390" s="4" t="str">
        <f t="shared" si="322"/>
        <v>Uruguay</v>
      </c>
      <c r="E390" s="43">
        <v>147.02785613300918</v>
      </c>
      <c r="F390" s="43">
        <v>160.92491968279901</v>
      </c>
      <c r="G390" s="43">
        <v>193.16113525798602</v>
      </c>
      <c r="H390" s="43">
        <v>206.17570155977501</v>
      </c>
      <c r="I390" s="43">
        <v>197.15596944580099</v>
      </c>
      <c r="J390" s="43">
        <v>215.03695833529056</v>
      </c>
      <c r="K390" s="44">
        <v>222.3682442678834</v>
      </c>
      <c r="L390" s="457">
        <f t="shared" si="315"/>
        <v>85.56629761129561</v>
      </c>
      <c r="M390" s="458">
        <f t="shared" si="316"/>
        <v>86.792918321471859</v>
      </c>
      <c r="N390" s="458">
        <f t="shared" si="317"/>
        <v>67.301007494643045</v>
      </c>
      <c r="O390" s="458">
        <f t="shared" si="318"/>
        <v>60.576485080261541</v>
      </c>
      <c r="P390" s="458">
        <f t="shared" si="319"/>
        <v>57.696530834679784</v>
      </c>
      <c r="Q390" s="458">
        <f t="shared" si="320"/>
        <v>63.944285355198694</v>
      </c>
      <c r="R390" s="459">
        <f t="shared" si="321"/>
        <v>60.836579825092677</v>
      </c>
      <c r="S390" s="455"/>
      <c r="T390" s="456"/>
      <c r="U390" s="456"/>
      <c r="V390" s="456"/>
      <c r="W390" s="456"/>
      <c r="X390" s="456"/>
      <c r="Y390" s="456"/>
      <c r="Z390" s="455"/>
      <c r="AA390" s="456"/>
      <c r="AB390" s="456"/>
      <c r="AC390" s="456"/>
      <c r="AD390" s="456"/>
      <c r="AE390" s="456"/>
      <c r="AF390" s="456"/>
      <c r="AG390" s="33" t="str">
        <f t="shared" si="311"/>
        <v>1.14 &gt; Uruguay</v>
      </c>
      <c r="AH390" s="84">
        <f t="shared" si="312"/>
        <v>376</v>
      </c>
      <c r="AI390" s="84">
        <f t="shared" si="313"/>
        <v>14</v>
      </c>
      <c r="AJ390" s="877" t="s">
        <v>1526</v>
      </c>
    </row>
    <row r="391" spans="1:36" x14ac:dyDescent="0.2">
      <c r="A391" s="491">
        <f>INDEX(Country!$F$31:$G$76, MATCH(AI391, Country!$O$31:$O$76, 0), 1)</f>
        <v>1.1400000000000001</v>
      </c>
      <c r="B391" s="386" t="str">
        <f>INDEX(Country!$F$31:$G$76, MATCH(AI391, Country!$O$31:$O$76, 0), 2)</f>
        <v>Average industrial electricity prices</v>
      </c>
      <c r="C391" s="437" t="str">
        <f>INDEX(Country!$K$31:$K$76, MATCH(AI391, Country!$O$31:$O$76, 0), 1)</f>
        <v>USD/MWh</v>
      </c>
      <c r="D391" s="86" t="str">
        <f t="shared" si="322"/>
        <v>Venezuela</v>
      </c>
      <c r="E391" s="374">
        <v>39.437659478976435</v>
      </c>
      <c r="F391" s="374">
        <v>42.538852216317387</v>
      </c>
      <c r="G391" s="374">
        <v>40.503374867660597</v>
      </c>
      <c r="H391" s="374">
        <v>41.680950342152066</v>
      </c>
      <c r="I391" s="374">
        <v>28.656314029227559</v>
      </c>
      <c r="J391" s="374">
        <v>29.520846652027689</v>
      </c>
      <c r="K391" s="399">
        <v>30.772415900106246</v>
      </c>
      <c r="L391" s="460">
        <f t="shared" ref="L391:L419" si="324">IFERROR(dbl_BenchmarkMax*E391/ SUMIFS(E$15:E$1256, $D$15:$D$1256, "Benchmark", $B$15:$B$1256,$B391), 0)</f>
        <v>22.95166777796344</v>
      </c>
      <c r="M391" s="461">
        <f t="shared" ref="M391:M419" si="325">IFERROR(dbl_BenchmarkMax*F391/ SUMIFS(F$15:F$1256, $D$15:$D$1256, "Benchmark", $B$15:$B$1256,$B391), 0)</f>
        <v>22.942817887854051</v>
      </c>
      <c r="N391" s="461">
        <f t="shared" si="317"/>
        <v>14.112144929599975</v>
      </c>
      <c r="O391" s="461">
        <f t="shared" si="318"/>
        <v>12.246280465792305</v>
      </c>
      <c r="P391" s="461">
        <f t="shared" si="319"/>
        <v>8.3861011697650536</v>
      </c>
      <c r="Q391" s="461">
        <f t="shared" si="320"/>
        <v>8.7784418867243836</v>
      </c>
      <c r="R391" s="462">
        <f t="shared" si="321"/>
        <v>8.4188663830186581</v>
      </c>
      <c r="S391" s="455"/>
      <c r="T391" s="456"/>
      <c r="U391" s="456"/>
      <c r="V391" s="456"/>
      <c r="W391" s="456"/>
      <c r="X391" s="456"/>
      <c r="Y391" s="456"/>
      <c r="Z391" s="455"/>
      <c r="AA391" s="456"/>
      <c r="AB391" s="456"/>
      <c r="AC391" s="456"/>
      <c r="AD391" s="456"/>
      <c r="AE391" s="456"/>
      <c r="AF391" s="456"/>
      <c r="AG391" s="90" t="str">
        <f t="shared" si="311"/>
        <v>1.14 &gt; Venezuela</v>
      </c>
      <c r="AH391" s="392">
        <f t="shared" si="312"/>
        <v>377</v>
      </c>
      <c r="AI391" s="392">
        <f t="shared" si="313"/>
        <v>14</v>
      </c>
      <c r="AJ391" s="878" t="s">
        <v>1526</v>
      </c>
    </row>
    <row r="392" spans="1:36" x14ac:dyDescent="0.2">
      <c r="A392" s="490">
        <f>INDEX(Country!$F$31:$G$76, MATCH(AI392, Country!$O$31:$O$76, 0), 1)</f>
        <v>1.1400000000000001</v>
      </c>
      <c r="B392" s="387" t="str">
        <f>INDEX(Country!$F$31:$G$76, MATCH(AI392, Country!$O$31:$O$76, 0), 2)</f>
        <v>Average industrial electricity prices</v>
      </c>
      <c r="C392" s="438" t="str">
        <f>INDEX(Country!$K$31:$K$76, MATCH(AI392, Country!$O$31:$O$76, 0), 1)</f>
        <v>USD/MWh</v>
      </c>
      <c r="D392" s="32" t="str">
        <f t="shared" si="322"/>
        <v>Benchmark</v>
      </c>
      <c r="E392" s="365">
        <f>IFERROR(MAX(E366:E391), 0)</f>
        <v>171.82916666666668</v>
      </c>
      <c r="F392" s="365">
        <f t="shared" ref="F392:K392" si="326">IFERROR(MAX(F366:F391), 0)</f>
        <v>185.41249999999999</v>
      </c>
      <c r="G392" s="365">
        <f t="shared" si="326"/>
        <v>287.01076320939336</v>
      </c>
      <c r="H392" s="365">
        <f t="shared" si="326"/>
        <v>340.35600000000005</v>
      </c>
      <c r="I392" s="365">
        <f t="shared" si="326"/>
        <v>341.71199999999999</v>
      </c>
      <c r="J392" s="365">
        <f t="shared" si="326"/>
        <v>336.28799999999995</v>
      </c>
      <c r="K392" s="593">
        <f t="shared" si="326"/>
        <v>365.51733333333328</v>
      </c>
      <c r="L392" s="585">
        <f t="shared" si="324"/>
        <v>100</v>
      </c>
      <c r="M392" s="463">
        <f t="shared" si="325"/>
        <v>100</v>
      </c>
      <c r="N392" s="463">
        <f t="shared" si="317"/>
        <v>100</v>
      </c>
      <c r="O392" s="463">
        <f t="shared" si="318"/>
        <v>100</v>
      </c>
      <c r="P392" s="463">
        <f t="shared" si="319"/>
        <v>100</v>
      </c>
      <c r="Q392" s="463">
        <f t="shared" si="320"/>
        <v>100</v>
      </c>
      <c r="R392" s="586">
        <f t="shared" si="321"/>
        <v>100</v>
      </c>
      <c r="S392" s="393" t="s">
        <v>1708</v>
      </c>
      <c r="T392" s="394"/>
      <c r="U392" s="376"/>
      <c r="V392" s="376"/>
      <c r="W392" s="376"/>
      <c r="X392" s="376"/>
      <c r="Y392" s="376"/>
      <c r="Z392" s="393"/>
      <c r="AA392" s="394"/>
      <c r="AB392" s="376"/>
      <c r="AC392" s="376"/>
      <c r="AD392" s="376"/>
      <c r="AE392" s="376"/>
      <c r="AF392" s="401"/>
      <c r="AG392" s="34" t="str">
        <f t="shared" si="311"/>
        <v>1.14 &gt; Benchmark</v>
      </c>
      <c r="AH392" s="85">
        <f t="shared" si="312"/>
        <v>378</v>
      </c>
      <c r="AI392" s="85">
        <f t="shared" si="313"/>
        <v>14</v>
      </c>
      <c r="AJ392" s="871" t="s">
        <v>1526</v>
      </c>
    </row>
    <row r="393" spans="1:36" x14ac:dyDescent="0.2">
      <c r="A393" s="587">
        <f>INDEX(Country!$F$31:$G$76, MATCH(AI393, Country!$O$31:$O$76, 0), 1)</f>
        <v>1.1500000000000001</v>
      </c>
      <c r="B393" s="588" t="str">
        <f>INDEX(Country!$F$31:$G$76, MATCH(AI393, Country!$O$31:$O$76, 0), 2)</f>
        <v>Growth rate of power demand</v>
      </c>
      <c r="C393" s="589" t="str">
        <f>INDEX(Country!$K$31:$K$76, MATCH(AI393, Country!$O$31:$O$76, 0), 1)</f>
        <v>%</v>
      </c>
      <c r="D393" s="590" t="str">
        <f t="shared" si="322"/>
        <v>Argentina</v>
      </c>
      <c r="E393" s="580"/>
      <c r="F393" s="594">
        <f>IF(S393&lt;&gt;0, T393/S393-1, 0)</f>
        <v>5.4613394653636016E-2</v>
      </c>
      <c r="G393" s="594">
        <f t="shared" ref="G393:K408" si="327">IF(T393&lt;&gt;0, U393/T393-1, 0)</f>
        <v>4.2572908149359545E-2</v>
      </c>
      <c r="H393" s="594">
        <f t="shared" si="327"/>
        <v>2.3005333054480825E-2</v>
      </c>
      <c r="I393" s="594">
        <f>IF(V393&lt;&gt;0, W393/V393-1, 0)</f>
        <v>6.0155371562915283E-2</v>
      </c>
      <c r="J393" s="594">
        <f t="shared" si="327"/>
        <v>3.9579617220267149E-2</v>
      </c>
      <c r="K393" s="594">
        <f t="shared" si="327"/>
        <v>1.7853830458171016E-2</v>
      </c>
      <c r="L393" s="595">
        <f t="shared" si="324"/>
        <v>0</v>
      </c>
      <c r="M393" s="596">
        <f t="shared" si="325"/>
        <v>31.408274721213544</v>
      </c>
      <c r="N393" s="596">
        <f t="shared" si="317"/>
        <v>27.87562779829927</v>
      </c>
      <c r="O393" s="596">
        <f t="shared" si="318"/>
        <v>16.783693721027625</v>
      </c>
      <c r="P393" s="596">
        <f t="shared" si="319"/>
        <v>70.815257258990783</v>
      </c>
      <c r="Q393" s="596">
        <f t="shared" si="320"/>
        <v>30.565157461528763</v>
      </c>
      <c r="R393" s="597">
        <f t="shared" si="321"/>
        <v>15.446816068466193</v>
      </c>
      <c r="S393" s="537">
        <v>17395</v>
      </c>
      <c r="T393" s="368">
        <v>18345</v>
      </c>
      <c r="U393" s="368">
        <v>19126</v>
      </c>
      <c r="V393" s="368">
        <v>19566</v>
      </c>
      <c r="W393" s="368">
        <v>20743</v>
      </c>
      <c r="X393" s="368">
        <v>21564</v>
      </c>
      <c r="Y393" s="368">
        <v>21949</v>
      </c>
      <c r="Z393" s="455"/>
      <c r="AA393" s="456"/>
      <c r="AB393" s="456"/>
      <c r="AC393" s="456"/>
      <c r="AD393" s="456"/>
      <c r="AE393" s="456"/>
      <c r="AF393" s="456"/>
      <c r="AG393" s="396" t="str">
        <f t="shared" si="311"/>
        <v>1.15 &gt; Argentina</v>
      </c>
      <c r="AH393" s="397">
        <f t="shared" si="312"/>
        <v>379</v>
      </c>
      <c r="AI393" s="397">
        <f t="shared" si="313"/>
        <v>15</v>
      </c>
      <c r="AJ393" s="879" t="s">
        <v>1526</v>
      </c>
    </row>
    <row r="394" spans="1:36" x14ac:dyDescent="0.2">
      <c r="A394" s="492">
        <f>INDEX(Country!$F$31:$G$76, MATCH(AI394, Country!$O$31:$O$76, 0), 1)</f>
        <v>1.1500000000000001</v>
      </c>
      <c r="B394" s="2" t="str">
        <f>INDEX(Country!$F$31:$G$76, MATCH(AI394, Country!$O$31:$O$76, 0), 2)</f>
        <v>Growth rate of power demand</v>
      </c>
      <c r="C394" s="436" t="str">
        <f>INDEX(Country!$K$31:$K$76, MATCH(AI394, Country!$O$31:$O$76, 0), 1)</f>
        <v>%</v>
      </c>
      <c r="D394" s="4" t="str">
        <f t="shared" si="322"/>
        <v>Bahamas</v>
      </c>
      <c r="E394" s="457"/>
      <c r="F394" s="486">
        <f t="shared" ref="F394:F418" si="328">IF(S394&lt;&gt;0, T394/S394-1, 0)</f>
        <v>0</v>
      </c>
      <c r="G394" s="486">
        <f t="shared" si="327"/>
        <v>0</v>
      </c>
      <c r="H394" s="486">
        <f t="shared" si="327"/>
        <v>0</v>
      </c>
      <c r="I394" s="486">
        <f t="shared" si="327"/>
        <v>0</v>
      </c>
      <c r="J394" s="486">
        <f t="shared" si="327"/>
        <v>0</v>
      </c>
      <c r="K394" s="486">
        <f t="shared" si="327"/>
        <v>0</v>
      </c>
      <c r="L394" s="483">
        <f t="shared" si="324"/>
        <v>0</v>
      </c>
      <c r="M394" s="482">
        <f t="shared" si="325"/>
        <v>0</v>
      </c>
      <c r="N394" s="482">
        <f t="shared" si="317"/>
        <v>0</v>
      </c>
      <c r="O394" s="482">
        <f t="shared" si="318"/>
        <v>0</v>
      </c>
      <c r="P394" s="482">
        <f t="shared" si="319"/>
        <v>0</v>
      </c>
      <c r="Q394" s="482">
        <f t="shared" si="320"/>
        <v>0</v>
      </c>
      <c r="R394" s="481">
        <f t="shared" si="321"/>
        <v>0</v>
      </c>
      <c r="S394" s="538">
        <v>0</v>
      </c>
      <c r="T394" s="101">
        <v>0</v>
      </c>
      <c r="U394" s="101">
        <v>0</v>
      </c>
      <c r="V394" s="101">
        <v>0</v>
      </c>
      <c r="W394" s="101">
        <v>0</v>
      </c>
      <c r="X394" s="101">
        <v>0</v>
      </c>
      <c r="Y394" s="101">
        <v>0</v>
      </c>
      <c r="Z394" s="455"/>
      <c r="AA394" s="456"/>
      <c r="AB394" s="456"/>
      <c r="AC394" s="456"/>
      <c r="AD394" s="456"/>
      <c r="AE394" s="456"/>
      <c r="AF394" s="456"/>
      <c r="AG394" s="33" t="str">
        <f t="shared" si="311"/>
        <v>1.15 &gt; Bahamas</v>
      </c>
      <c r="AH394" s="84">
        <f t="shared" si="312"/>
        <v>380</v>
      </c>
      <c r="AI394" s="84">
        <f t="shared" si="313"/>
        <v>15</v>
      </c>
      <c r="AJ394" s="877" t="s">
        <v>1526</v>
      </c>
    </row>
    <row r="395" spans="1:36" x14ac:dyDescent="0.2">
      <c r="A395" s="492">
        <f>INDEX(Country!$F$31:$G$76, MATCH(AI395, Country!$O$31:$O$76, 0), 1)</f>
        <v>1.1500000000000001</v>
      </c>
      <c r="B395" s="2" t="str">
        <f>INDEX(Country!$F$31:$G$76, MATCH(AI395, Country!$O$31:$O$76, 0), 2)</f>
        <v>Growth rate of power demand</v>
      </c>
      <c r="C395" s="436" t="str">
        <f>INDEX(Country!$K$31:$K$76, MATCH(AI395, Country!$O$31:$O$76, 0), 1)</f>
        <v>%</v>
      </c>
      <c r="D395" s="4" t="str">
        <f t="shared" si="322"/>
        <v>Barbados</v>
      </c>
      <c r="E395" s="457"/>
      <c r="F395" s="486">
        <f t="shared" si="328"/>
        <v>3.4394904458598718E-2</v>
      </c>
      <c r="G395" s="486">
        <f t="shared" si="327"/>
        <v>9.8522167487684609E-3</v>
      </c>
      <c r="H395" s="486">
        <f t="shared" si="327"/>
        <v>1.0365853658536484E-2</v>
      </c>
      <c r="I395" s="486">
        <f t="shared" si="327"/>
        <v>1.086300543150287E-2</v>
      </c>
      <c r="J395" s="486">
        <f t="shared" si="327"/>
        <v>-2.68656716417911E-2</v>
      </c>
      <c r="K395" s="486">
        <f t="shared" si="327"/>
        <v>-3.4355828220858808E-2</v>
      </c>
      <c r="L395" s="483">
        <f t="shared" si="324"/>
        <v>0</v>
      </c>
      <c r="M395" s="482">
        <f t="shared" si="325"/>
        <v>19.780579747822703</v>
      </c>
      <c r="N395" s="482">
        <f t="shared" si="317"/>
        <v>6.4509740822338291</v>
      </c>
      <c r="O395" s="482">
        <f t="shared" si="318"/>
        <v>7.5624774720652805</v>
      </c>
      <c r="P395" s="482">
        <f t="shared" si="319"/>
        <v>12.787993893997141</v>
      </c>
      <c r="Q395" s="482">
        <f t="shared" si="320"/>
        <v>-20.746877855619907</v>
      </c>
      <c r="R395" s="481">
        <f t="shared" si="321"/>
        <v>-29.724050570030503</v>
      </c>
      <c r="S395" s="538">
        <v>157</v>
      </c>
      <c r="T395" s="101">
        <v>162.4</v>
      </c>
      <c r="U395" s="101">
        <v>164</v>
      </c>
      <c r="V395" s="101">
        <v>165.7</v>
      </c>
      <c r="W395" s="101">
        <v>167.5</v>
      </c>
      <c r="X395" s="101">
        <v>163</v>
      </c>
      <c r="Y395" s="101">
        <v>157.4</v>
      </c>
      <c r="Z395" s="455"/>
      <c r="AA395" s="456"/>
      <c r="AB395" s="456"/>
      <c r="AC395" s="456"/>
      <c r="AD395" s="456"/>
      <c r="AE395" s="456"/>
      <c r="AF395" s="456"/>
      <c r="AG395" s="33" t="str">
        <f t="shared" si="311"/>
        <v>1.15 &gt; Barbados</v>
      </c>
      <c r="AH395" s="84">
        <f t="shared" si="312"/>
        <v>381</v>
      </c>
      <c r="AI395" s="84">
        <f t="shared" si="313"/>
        <v>15</v>
      </c>
      <c r="AJ395" s="877" t="s">
        <v>1526</v>
      </c>
    </row>
    <row r="396" spans="1:36" x14ac:dyDescent="0.2">
      <c r="A396" s="492">
        <f>INDEX(Country!$F$31:$G$76, MATCH(AI396, Country!$O$31:$O$76, 0), 1)</f>
        <v>1.1500000000000001</v>
      </c>
      <c r="B396" s="2" t="str">
        <f>INDEX(Country!$F$31:$G$76, MATCH(AI396, Country!$O$31:$O$76, 0), 2)</f>
        <v>Growth rate of power demand</v>
      </c>
      <c r="C396" s="436" t="str">
        <f>INDEX(Country!$K$31:$K$76, MATCH(AI396, Country!$O$31:$O$76, 0), 1)</f>
        <v>%</v>
      </c>
      <c r="D396" s="4" t="str">
        <f t="shared" si="322"/>
        <v>Belize</v>
      </c>
      <c r="E396" s="457"/>
      <c r="F396" s="485">
        <f t="shared" si="328"/>
        <v>5.2857263011180322E-2</v>
      </c>
      <c r="G396" s="485">
        <f t="shared" si="327"/>
        <v>6.0113693910885058E-2</v>
      </c>
      <c r="H396" s="485">
        <f t="shared" si="327"/>
        <v>2.4973591963883379E-2</v>
      </c>
      <c r="I396" s="485">
        <f t="shared" si="327"/>
        <v>5.8625135223131286E-2</v>
      </c>
      <c r="J396" s="485">
        <f t="shared" si="327"/>
        <v>-1.7060639243810849E-2</v>
      </c>
      <c r="K396" s="485">
        <f t="shared" si="327"/>
        <v>3.4500291445138886E-2</v>
      </c>
      <c r="L396" s="483">
        <f t="shared" si="324"/>
        <v>0</v>
      </c>
      <c r="M396" s="482">
        <f t="shared" si="325"/>
        <v>30.398319829695147</v>
      </c>
      <c r="N396" s="482">
        <f t="shared" si="317"/>
        <v>39.360875962755436</v>
      </c>
      <c r="O396" s="482">
        <f t="shared" si="318"/>
        <v>18.219650097788797</v>
      </c>
      <c r="P396" s="482">
        <f t="shared" si="319"/>
        <v>69.013854038406819</v>
      </c>
      <c r="Q396" s="482">
        <f t="shared" si="320"/>
        <v>-13.174991611955157</v>
      </c>
      <c r="R396" s="481">
        <f t="shared" si="321"/>
        <v>29.849037578243671</v>
      </c>
      <c r="S396" s="538">
        <v>66.581199999999995</v>
      </c>
      <c r="T396" s="101">
        <v>70.100499999999997</v>
      </c>
      <c r="U396" s="101">
        <v>74.314499999999995</v>
      </c>
      <c r="V396" s="101">
        <v>76.170400000000001</v>
      </c>
      <c r="W396" s="101">
        <v>80.635900000000007</v>
      </c>
      <c r="X396" s="101">
        <v>79.260199999999998</v>
      </c>
      <c r="Y396" s="43">
        <v>81.994699999999995</v>
      </c>
      <c r="Z396" s="455"/>
      <c r="AA396" s="456"/>
      <c r="AB396" s="456"/>
      <c r="AC396" s="456"/>
      <c r="AD396" s="456"/>
      <c r="AE396" s="456"/>
      <c r="AF396" s="456"/>
      <c r="AG396" s="33" t="str">
        <f t="shared" si="311"/>
        <v>1.15 &gt; Belize</v>
      </c>
      <c r="AH396" s="84">
        <f t="shared" si="312"/>
        <v>382</v>
      </c>
      <c r="AI396" s="84">
        <f t="shared" si="313"/>
        <v>15</v>
      </c>
      <c r="AJ396" s="877" t="s">
        <v>1526</v>
      </c>
    </row>
    <row r="397" spans="1:36" x14ac:dyDescent="0.2">
      <c r="A397" s="492">
        <f>INDEX(Country!$F$31:$G$76, MATCH(AI397, Country!$O$31:$O$76, 0), 1)</f>
        <v>1.1500000000000001</v>
      </c>
      <c r="B397" s="2" t="str">
        <f>INDEX(Country!$F$31:$G$76, MATCH(AI397, Country!$O$31:$O$76, 0), 2)</f>
        <v>Growth rate of power demand</v>
      </c>
      <c r="C397" s="436" t="str">
        <f>INDEX(Country!$K$31:$K$76, MATCH(AI397, Country!$O$31:$O$76, 0), 1)</f>
        <v>%</v>
      </c>
      <c r="D397" s="4" t="str">
        <f t="shared" si="322"/>
        <v>Bolivia</v>
      </c>
      <c r="E397" s="457"/>
      <c r="F397" s="486">
        <f t="shared" si="328"/>
        <v>0.10125237210320548</v>
      </c>
      <c r="G397" s="486">
        <f t="shared" si="327"/>
        <v>3.6407292626405852E-3</v>
      </c>
      <c r="H397" s="486">
        <f t="shared" si="327"/>
        <v>4.5340692233652558E-2</v>
      </c>
      <c r="I397" s="486">
        <f t="shared" si="327"/>
        <v>7.4470531129448458E-2</v>
      </c>
      <c r="J397" s="486">
        <f t="shared" si="327"/>
        <v>5.7470239510517107E-2</v>
      </c>
      <c r="K397" s="486">
        <f t="shared" si="327"/>
        <v>3.9018101896005408E-2</v>
      </c>
      <c r="L397" s="483">
        <f t="shared" si="324"/>
        <v>0</v>
      </c>
      <c r="M397" s="482">
        <f t="shared" si="325"/>
        <v>58.230445834047593</v>
      </c>
      <c r="N397" s="482">
        <f t="shared" si="317"/>
        <v>2.3838543865430593</v>
      </c>
      <c r="O397" s="482">
        <f t="shared" si="318"/>
        <v>33.078603545832209</v>
      </c>
      <c r="P397" s="482">
        <f t="shared" si="319"/>
        <v>87.667147307534634</v>
      </c>
      <c r="Q397" s="482">
        <f t="shared" si="320"/>
        <v>44.381099246489143</v>
      </c>
      <c r="R397" s="481">
        <f t="shared" si="321"/>
        <v>33.757766701118882</v>
      </c>
      <c r="S397" s="538">
        <v>813.09699999999998</v>
      </c>
      <c r="T397" s="101">
        <v>895.42499999999995</v>
      </c>
      <c r="U397" s="101">
        <v>898.68499999999995</v>
      </c>
      <c r="V397" s="101">
        <v>939.43200000000002</v>
      </c>
      <c r="W397" s="101">
        <v>1009.3920000000001</v>
      </c>
      <c r="X397" s="101">
        <v>1067.402</v>
      </c>
      <c r="Y397" s="101">
        <v>1109.05</v>
      </c>
      <c r="Z397" s="455"/>
      <c r="AA397" s="456"/>
      <c r="AB397" s="456"/>
      <c r="AC397" s="456"/>
      <c r="AD397" s="456"/>
      <c r="AE397" s="456"/>
      <c r="AF397" s="456"/>
      <c r="AG397" s="33" t="str">
        <f t="shared" si="311"/>
        <v>1.15 &gt; Bolivia</v>
      </c>
      <c r="AH397" s="84">
        <f t="shared" si="312"/>
        <v>383</v>
      </c>
      <c r="AI397" s="84">
        <f t="shared" si="313"/>
        <v>15</v>
      </c>
      <c r="AJ397" s="877" t="s">
        <v>1526</v>
      </c>
    </row>
    <row r="398" spans="1:36" x14ac:dyDescent="0.2">
      <c r="A398" s="492">
        <f>INDEX(Country!$F$31:$G$76, MATCH(AI398, Country!$O$31:$O$76, 0), 1)</f>
        <v>1.1500000000000001</v>
      </c>
      <c r="B398" s="2" t="str">
        <f>INDEX(Country!$F$31:$G$76, MATCH(AI398, Country!$O$31:$O$76, 0), 2)</f>
        <v>Growth rate of power demand</v>
      </c>
      <c r="C398" s="436" t="str">
        <f>INDEX(Country!$K$31:$K$76, MATCH(AI398, Country!$O$31:$O$76, 0), 1)</f>
        <v>%</v>
      </c>
      <c r="D398" s="4" t="str">
        <f t="shared" si="322"/>
        <v>Brazil</v>
      </c>
      <c r="E398" s="457"/>
      <c r="F398" s="486">
        <f t="shared" si="328"/>
        <v>4.1905409342526845E-2</v>
      </c>
      <c r="G398" s="486">
        <f t="shared" si="327"/>
        <v>1.8874959220767096E-2</v>
      </c>
      <c r="H398" s="486">
        <f t="shared" si="327"/>
        <v>-2.3511115177019537E-2</v>
      </c>
      <c r="I398" s="486">
        <f t="shared" si="327"/>
        <v>5.6835925301355283E-2</v>
      </c>
      <c r="J398" s="486">
        <f t="shared" si="327"/>
        <v>3.0627622480940753E-2</v>
      </c>
      <c r="K398" s="486">
        <f t="shared" si="327"/>
        <v>0</v>
      </c>
      <c r="L398" s="483">
        <f t="shared" si="324"/>
        <v>0</v>
      </c>
      <c r="M398" s="482">
        <f t="shared" si="325"/>
        <v>24.099886434130756</v>
      </c>
      <c r="N398" s="482">
        <f t="shared" si="317"/>
        <v>12.358830082743495</v>
      </c>
      <c r="O398" s="482">
        <f t="shared" si="318"/>
        <v>-17.15269043210143</v>
      </c>
      <c r="P398" s="482">
        <f t="shared" si="319"/>
        <v>66.907585593727859</v>
      </c>
      <c r="Q398" s="482">
        <f t="shared" si="320"/>
        <v>23.652025197526498</v>
      </c>
      <c r="R398" s="481">
        <f t="shared" si="321"/>
        <v>0</v>
      </c>
      <c r="S398" s="538">
        <v>61782</v>
      </c>
      <c r="T398" s="101">
        <v>64371</v>
      </c>
      <c r="U398" s="101">
        <v>65586</v>
      </c>
      <c r="V398" s="101">
        <v>64044</v>
      </c>
      <c r="W398" s="101">
        <v>67684</v>
      </c>
      <c r="X398" s="101">
        <v>69757</v>
      </c>
      <c r="Y398" s="101">
        <v>69757</v>
      </c>
      <c r="Z398" s="455"/>
      <c r="AA398" s="456"/>
      <c r="AB398" s="456"/>
      <c r="AC398" s="456"/>
      <c r="AD398" s="456"/>
      <c r="AE398" s="456"/>
      <c r="AF398" s="456"/>
      <c r="AG398" s="33" t="str">
        <f t="shared" si="311"/>
        <v>1.15 &gt; Brazil</v>
      </c>
      <c r="AH398" s="84">
        <f t="shared" si="312"/>
        <v>384</v>
      </c>
      <c r="AI398" s="84">
        <f t="shared" si="313"/>
        <v>15</v>
      </c>
      <c r="AJ398" s="877" t="s">
        <v>1526</v>
      </c>
    </row>
    <row r="399" spans="1:36" x14ac:dyDescent="0.2">
      <c r="A399" s="492">
        <f>INDEX(Country!$F$31:$G$76, MATCH(AI399, Country!$O$31:$O$76, 0), 1)</f>
        <v>1.1500000000000001</v>
      </c>
      <c r="B399" s="2" t="str">
        <f>INDEX(Country!$F$31:$G$76, MATCH(AI399, Country!$O$31:$O$76, 0), 2)</f>
        <v>Growth rate of power demand</v>
      </c>
      <c r="C399" s="436" t="str">
        <f>INDEX(Country!$K$31:$K$76, MATCH(AI399, Country!$O$31:$O$76, 0), 1)</f>
        <v>%</v>
      </c>
      <c r="D399" s="4" t="str">
        <f t="shared" si="322"/>
        <v>Chile</v>
      </c>
      <c r="E399" s="457"/>
      <c r="F399" s="486">
        <f t="shared" si="328"/>
        <v>3.1847870808475509E-2</v>
      </c>
      <c r="G399" s="486">
        <f t="shared" si="327"/>
        <v>8.7224153614062772E-5</v>
      </c>
      <c r="H399" s="486">
        <f t="shared" si="327"/>
        <v>2.1181161226002665E-4</v>
      </c>
      <c r="I399" s="486">
        <f t="shared" si="327"/>
        <v>5.3639274013727478E-2</v>
      </c>
      <c r="J399" s="486">
        <f t="shared" si="327"/>
        <v>5.9361810292848594E-2</v>
      </c>
      <c r="K399" s="486">
        <f t="shared" si="327"/>
        <v>1.4139993750279078E-2</v>
      </c>
      <c r="L399" s="483">
        <f t="shared" si="324"/>
        <v>0</v>
      </c>
      <c r="M399" s="482">
        <f t="shared" si="325"/>
        <v>18.315775497608985</v>
      </c>
      <c r="N399" s="482">
        <f t="shared" si="317"/>
        <v>5.7112096562373829E-2</v>
      </c>
      <c r="O399" s="482">
        <f t="shared" si="318"/>
        <v>0.15452857032369419</v>
      </c>
      <c r="P399" s="482">
        <f t="shared" si="319"/>
        <v>63.144468894101308</v>
      </c>
      <c r="Q399" s="482">
        <f t="shared" si="320"/>
        <v>45.841855132273295</v>
      </c>
      <c r="R399" s="481">
        <f t="shared" si="321"/>
        <v>12.233670706213124</v>
      </c>
      <c r="S399" s="538">
        <v>7777.6</v>
      </c>
      <c r="T399" s="101">
        <v>8025.3</v>
      </c>
      <c r="U399" s="101">
        <v>8026</v>
      </c>
      <c r="V399" s="101">
        <v>8027.7</v>
      </c>
      <c r="W399" s="101">
        <v>8458.2999999999993</v>
      </c>
      <c r="X399" s="101">
        <v>8960.4</v>
      </c>
      <c r="Y399" s="101">
        <v>9087.1</v>
      </c>
      <c r="Z399" s="455"/>
      <c r="AA399" s="456"/>
      <c r="AB399" s="456"/>
      <c r="AC399" s="456"/>
      <c r="AD399" s="456"/>
      <c r="AE399" s="456"/>
      <c r="AF399" s="456"/>
      <c r="AG399" s="33" t="str">
        <f t="shared" ref="AG399:AG462" si="329">A399&amp;" &gt; " &amp;D399</f>
        <v>1.15 &gt; Chile</v>
      </c>
      <c r="AH399" s="84">
        <f t="shared" si="312"/>
        <v>385</v>
      </c>
      <c r="AI399" s="84">
        <f t="shared" si="313"/>
        <v>15</v>
      </c>
      <c r="AJ399" s="877" t="s">
        <v>1526</v>
      </c>
    </row>
    <row r="400" spans="1:36" x14ac:dyDescent="0.2">
      <c r="A400" s="492">
        <f>INDEX(Country!$F$31:$G$76, MATCH(AI400, Country!$O$31:$O$76, 0), 1)</f>
        <v>1.1500000000000001</v>
      </c>
      <c r="B400" s="2" t="str">
        <f>INDEX(Country!$F$31:$G$76, MATCH(AI400, Country!$O$31:$O$76, 0), 2)</f>
        <v>Growth rate of power demand</v>
      </c>
      <c r="C400" s="436" t="str">
        <f>INDEX(Country!$K$31:$K$76, MATCH(AI400, Country!$O$31:$O$76, 0), 1)</f>
        <v>%</v>
      </c>
      <c r="D400" s="4" t="str">
        <f t="shared" si="322"/>
        <v>Colombia</v>
      </c>
      <c r="E400" s="457"/>
      <c r="F400" s="486">
        <f t="shared" si="328"/>
        <v>3.7776763296051064E-2</v>
      </c>
      <c r="G400" s="486">
        <f t="shared" si="327"/>
        <v>-1.5396458814472824E-3</v>
      </c>
      <c r="H400" s="486">
        <f t="shared" si="327"/>
        <v>2.3240444982927544E-2</v>
      </c>
      <c r="I400" s="486">
        <f t="shared" si="327"/>
        <v>-2.0452099031216364E-2</v>
      </c>
      <c r="J400" s="486">
        <f t="shared" si="327"/>
        <v>2.1428571428571352E-2</v>
      </c>
      <c r="K400" s="486">
        <f t="shared" si="327"/>
        <v>2.2485207100591653E-2</v>
      </c>
      <c r="L400" s="483">
        <f t="shared" si="324"/>
        <v>0</v>
      </c>
      <c r="M400" s="482">
        <f t="shared" si="325"/>
        <v>21.725493666994275</v>
      </c>
      <c r="N400" s="482">
        <f t="shared" si="317"/>
        <v>-1.0081198912190006</v>
      </c>
      <c r="O400" s="482">
        <f t="shared" si="318"/>
        <v>16.955221191978161</v>
      </c>
      <c r="P400" s="482">
        <f t="shared" si="319"/>
        <v>-24.076331286012817</v>
      </c>
      <c r="Q400" s="482">
        <f t="shared" si="320"/>
        <v>16.548104956268165</v>
      </c>
      <c r="R400" s="481">
        <f t="shared" si="321"/>
        <v>19.453800637232554</v>
      </c>
      <c r="S400" s="538">
        <v>8762</v>
      </c>
      <c r="T400" s="101">
        <v>9093</v>
      </c>
      <c r="U400" s="101">
        <v>9079</v>
      </c>
      <c r="V400" s="101">
        <v>9290</v>
      </c>
      <c r="W400" s="101">
        <v>9100</v>
      </c>
      <c r="X400" s="101">
        <v>9295</v>
      </c>
      <c r="Y400" s="101">
        <v>9504</v>
      </c>
      <c r="Z400" s="455"/>
      <c r="AA400" s="456"/>
      <c r="AB400" s="456"/>
      <c r="AC400" s="456"/>
      <c r="AD400" s="456"/>
      <c r="AE400" s="456"/>
      <c r="AF400" s="456"/>
      <c r="AG400" s="33" t="str">
        <f t="shared" si="329"/>
        <v>1.15 &gt; Colombia</v>
      </c>
      <c r="AH400" s="84">
        <f t="shared" si="312"/>
        <v>386</v>
      </c>
      <c r="AI400" s="84">
        <f t="shared" si="313"/>
        <v>15</v>
      </c>
      <c r="AJ400" s="877" t="s">
        <v>1526</v>
      </c>
    </row>
    <row r="401" spans="1:36" x14ac:dyDescent="0.2">
      <c r="A401" s="492">
        <f>INDEX(Country!$F$31:$G$76, MATCH(AI401, Country!$O$31:$O$76, 0), 1)</f>
        <v>1.1500000000000001</v>
      </c>
      <c r="B401" s="2" t="str">
        <f>INDEX(Country!$F$31:$G$76, MATCH(AI401, Country!$O$31:$O$76, 0), 2)</f>
        <v>Growth rate of power demand</v>
      </c>
      <c r="C401" s="436" t="str">
        <f>INDEX(Country!$K$31:$K$76, MATCH(AI401, Country!$O$31:$O$76, 0), 1)</f>
        <v>%</v>
      </c>
      <c r="D401" s="4" t="str">
        <f t="shared" si="322"/>
        <v>Costa Rica</v>
      </c>
      <c r="E401" s="457"/>
      <c r="F401" s="486">
        <f t="shared" si="328"/>
        <v>5.7082452431289621E-2</v>
      </c>
      <c r="G401" s="486">
        <f t="shared" si="327"/>
        <v>1.7333333333333423E-2</v>
      </c>
      <c r="H401" s="486">
        <f t="shared" si="327"/>
        <v>-1.9003931847968558E-2</v>
      </c>
      <c r="I401" s="486">
        <f t="shared" si="327"/>
        <v>2.6052104208416749E-2</v>
      </c>
      <c r="J401" s="486">
        <f t="shared" si="327"/>
        <v>6.5104166666667407E-3</v>
      </c>
      <c r="K401" s="486">
        <f t="shared" si="327"/>
        <v>3.0401034928848603E-2</v>
      </c>
      <c r="L401" s="483">
        <f t="shared" si="324"/>
        <v>0</v>
      </c>
      <c r="M401" s="482">
        <f t="shared" si="325"/>
        <v>32.82823488803556</v>
      </c>
      <c r="N401" s="482">
        <f t="shared" si="317"/>
        <v>11.349413735343456</v>
      </c>
      <c r="O401" s="482">
        <f t="shared" si="318"/>
        <v>-13.864444860513011</v>
      </c>
      <c r="P401" s="482">
        <f t="shared" si="319"/>
        <v>30.668690321820041</v>
      </c>
      <c r="Q401" s="482">
        <f t="shared" si="320"/>
        <v>5.0276360544218273</v>
      </c>
      <c r="R401" s="481">
        <f t="shared" si="321"/>
        <v>26.302433863542316</v>
      </c>
      <c r="S401" s="538">
        <v>1419</v>
      </c>
      <c r="T401" s="101">
        <v>1500</v>
      </c>
      <c r="U401" s="101">
        <v>1526</v>
      </c>
      <c r="V401" s="101">
        <v>1497</v>
      </c>
      <c r="W401" s="101">
        <v>1536</v>
      </c>
      <c r="X401" s="101">
        <v>1546</v>
      </c>
      <c r="Y401" s="101">
        <v>1593</v>
      </c>
      <c r="Z401" s="455"/>
      <c r="AA401" s="456"/>
      <c r="AB401" s="456"/>
      <c r="AC401" s="456"/>
      <c r="AD401" s="456"/>
      <c r="AE401" s="456"/>
      <c r="AF401" s="456"/>
      <c r="AG401" s="33" t="str">
        <f t="shared" si="329"/>
        <v>1.15 &gt; Costa Rica</v>
      </c>
      <c r="AH401" s="84">
        <f t="shared" ref="AH401:AH464" si="330">AH400+1</f>
        <v>387</v>
      </c>
      <c r="AI401" s="84">
        <f t="shared" ref="AI401:AI464" si="331">ROUNDUP(AH401/COUNTA($D$15:$D$41),0)</f>
        <v>15</v>
      </c>
      <c r="AJ401" s="877" t="s">
        <v>1526</v>
      </c>
    </row>
    <row r="402" spans="1:36" x14ac:dyDescent="0.2">
      <c r="A402" s="492">
        <f>INDEX(Country!$F$31:$G$76, MATCH(AI402, Country!$O$31:$O$76, 0), 1)</f>
        <v>1.1500000000000001</v>
      </c>
      <c r="B402" s="2" t="str">
        <f>INDEX(Country!$F$31:$G$76, MATCH(AI402, Country!$O$31:$O$76, 0), 2)</f>
        <v>Growth rate of power demand</v>
      </c>
      <c r="C402" s="436" t="str">
        <f>INDEX(Country!$K$31:$K$76, MATCH(AI402, Country!$O$31:$O$76, 0), 1)</f>
        <v>%</v>
      </c>
      <c r="D402" s="4" t="str">
        <f t="shared" si="322"/>
        <v>Dominican Republic</v>
      </c>
      <c r="E402" s="457"/>
      <c r="F402" s="486">
        <f t="shared" si="328"/>
        <v>3.9772727272726627E-3</v>
      </c>
      <c r="G402" s="486">
        <f t="shared" si="327"/>
        <v>0.10752688172043001</v>
      </c>
      <c r="H402" s="486">
        <f t="shared" si="327"/>
        <v>-0.10066428206438427</v>
      </c>
      <c r="I402" s="486">
        <f t="shared" si="327"/>
        <v>2.8409090909090828E-2</v>
      </c>
      <c r="J402" s="486">
        <f t="shared" si="327"/>
        <v>-1.6668734650773231E-3</v>
      </c>
      <c r="K402" s="486">
        <f t="shared" si="327"/>
        <v>7.5827323586195261E-2</v>
      </c>
      <c r="L402" s="483">
        <f t="shared" si="324"/>
        <v>0</v>
      </c>
      <c r="M402" s="482">
        <f t="shared" si="325"/>
        <v>2.2873376623376265</v>
      </c>
      <c r="N402" s="482">
        <f t="shared" si="317"/>
        <v>70.40579240287461</v>
      </c>
      <c r="O402" s="482">
        <f t="shared" si="318"/>
        <v>-73.440296422341376</v>
      </c>
      <c r="P402" s="482">
        <f t="shared" si="319"/>
        <v>33.443348930481221</v>
      </c>
      <c r="Q402" s="482">
        <f t="shared" si="320"/>
        <v>-1.2872345289495086</v>
      </c>
      <c r="R402" s="481">
        <f t="shared" si="321"/>
        <v>65.604449596639441</v>
      </c>
      <c r="S402" s="538">
        <v>1760</v>
      </c>
      <c r="T402" s="101">
        <v>1767</v>
      </c>
      <c r="U402" s="101">
        <v>1957</v>
      </c>
      <c r="V402" s="101">
        <v>1760</v>
      </c>
      <c r="W402" s="101">
        <v>1810</v>
      </c>
      <c r="X402" s="101">
        <v>1806.98295902821</v>
      </c>
      <c r="Y402" s="101">
        <v>1944.0016405771826</v>
      </c>
      <c r="Z402" s="455"/>
      <c r="AA402" s="456"/>
      <c r="AB402" s="456"/>
      <c r="AC402" s="456"/>
      <c r="AD402" s="456"/>
      <c r="AE402" s="456"/>
      <c r="AF402" s="456"/>
      <c r="AG402" s="33" t="str">
        <f t="shared" si="329"/>
        <v>1.15 &gt; Dominican Republic</v>
      </c>
      <c r="AH402" s="84">
        <f t="shared" si="330"/>
        <v>388</v>
      </c>
      <c r="AI402" s="84">
        <f t="shared" si="331"/>
        <v>15</v>
      </c>
      <c r="AJ402" s="877" t="s">
        <v>1526</v>
      </c>
    </row>
    <row r="403" spans="1:36" x14ac:dyDescent="0.2">
      <c r="A403" s="492">
        <f>INDEX(Country!$F$31:$G$76, MATCH(AI403, Country!$O$31:$O$76, 0), 1)</f>
        <v>1.1500000000000001</v>
      </c>
      <c r="B403" s="2" t="str">
        <f>INDEX(Country!$F$31:$G$76, MATCH(AI403, Country!$O$31:$O$76, 0), 2)</f>
        <v>Growth rate of power demand</v>
      </c>
      <c r="C403" s="436" t="str">
        <f>INDEX(Country!$K$31:$K$76, MATCH(AI403, Country!$O$31:$O$76, 0), 1)</f>
        <v>%</v>
      </c>
      <c r="D403" s="4" t="str">
        <f t="shared" si="322"/>
        <v>Ecuador</v>
      </c>
      <c r="E403" s="457"/>
      <c r="F403" s="486">
        <f t="shared" si="328"/>
        <v>2.4492731677771218E-2</v>
      </c>
      <c r="G403" s="486">
        <f t="shared" si="327"/>
        <v>2.9139415438051763E-2</v>
      </c>
      <c r="H403" s="486">
        <f t="shared" si="327"/>
        <v>-9.1233537750075033E-3</v>
      </c>
      <c r="I403" s="486">
        <f t="shared" si="327"/>
        <v>4.3297400126822927E-2</v>
      </c>
      <c r="J403" s="486">
        <f t="shared" si="327"/>
        <v>5.1308678679095943E-2</v>
      </c>
      <c r="K403" s="486">
        <f t="shared" si="327"/>
        <v>0</v>
      </c>
      <c r="L403" s="483">
        <f t="shared" si="324"/>
        <v>0</v>
      </c>
      <c r="M403" s="482">
        <f t="shared" si="325"/>
        <v>14.085819973052924</v>
      </c>
      <c r="N403" s="482">
        <f t="shared" si="317"/>
        <v>19.079727796875122</v>
      </c>
      <c r="O403" s="482">
        <f t="shared" si="318"/>
        <v>-6.6560034191064537</v>
      </c>
      <c r="P403" s="482">
        <f t="shared" si="319"/>
        <v>50.969954119884981</v>
      </c>
      <c r="Q403" s="482">
        <f t="shared" si="320"/>
        <v>39.622865330959002</v>
      </c>
      <c r="R403" s="481">
        <f t="shared" si="321"/>
        <v>0</v>
      </c>
      <c r="S403" s="538">
        <v>2641.6</v>
      </c>
      <c r="T403" s="101">
        <v>2706.3</v>
      </c>
      <c r="U403" s="101">
        <v>2785.16</v>
      </c>
      <c r="V403" s="101">
        <v>2759.75</v>
      </c>
      <c r="W403" s="101">
        <v>2879.24</v>
      </c>
      <c r="X403" s="101">
        <v>3026.97</v>
      </c>
      <c r="Y403" s="101">
        <v>3026.97</v>
      </c>
      <c r="Z403" s="455"/>
      <c r="AA403" s="456"/>
      <c r="AB403" s="456"/>
      <c r="AC403" s="456"/>
      <c r="AD403" s="456"/>
      <c r="AE403" s="456"/>
      <c r="AF403" s="456"/>
      <c r="AG403" s="33" t="str">
        <f t="shared" si="329"/>
        <v>1.15 &gt; Ecuador</v>
      </c>
      <c r="AH403" s="84">
        <f t="shared" si="330"/>
        <v>389</v>
      </c>
      <c r="AI403" s="84">
        <f t="shared" si="331"/>
        <v>15</v>
      </c>
      <c r="AJ403" s="877" t="s">
        <v>1526</v>
      </c>
    </row>
    <row r="404" spans="1:36" x14ac:dyDescent="0.2">
      <c r="A404" s="492">
        <f>INDEX(Country!$F$31:$G$76, MATCH(AI404, Country!$O$31:$O$76, 0), 1)</f>
        <v>1.1500000000000001</v>
      </c>
      <c r="B404" s="2" t="str">
        <f>INDEX(Country!$F$31:$G$76, MATCH(AI404, Country!$O$31:$O$76, 0), 2)</f>
        <v>Growth rate of power demand</v>
      </c>
      <c r="C404" s="436" t="str">
        <f>INDEX(Country!$K$31:$K$76, MATCH(AI404, Country!$O$31:$O$76, 0), 1)</f>
        <v>%</v>
      </c>
      <c r="D404" s="4" t="str">
        <f t="shared" si="322"/>
        <v>El Salvador</v>
      </c>
      <c r="E404" s="457"/>
      <c r="F404" s="486">
        <f t="shared" si="328"/>
        <v>2.8376844494892195E-2</v>
      </c>
      <c r="G404" s="486">
        <f t="shared" si="327"/>
        <v>1.9867549668874274E-2</v>
      </c>
      <c r="H404" s="486">
        <f t="shared" si="327"/>
        <v>-1.9480519480519431E-2</v>
      </c>
      <c r="I404" s="486">
        <f t="shared" si="327"/>
        <v>4.635761589403975E-2</v>
      </c>
      <c r="J404" s="486">
        <f t="shared" si="327"/>
        <v>1.4767932489451407E-2</v>
      </c>
      <c r="K404" s="486">
        <f t="shared" si="327"/>
        <v>0</v>
      </c>
      <c r="L404" s="483">
        <f t="shared" si="324"/>
        <v>0</v>
      </c>
      <c r="M404" s="482">
        <f t="shared" si="325"/>
        <v>16.319581180940052</v>
      </c>
      <c r="N404" s="482">
        <f t="shared" si="317"/>
        <v>13.00875237112724</v>
      </c>
      <c r="O404" s="482">
        <f t="shared" si="318"/>
        <v>-14.212142537265644</v>
      </c>
      <c r="P404" s="482">
        <f t="shared" si="319"/>
        <v>54.572458122321848</v>
      </c>
      <c r="Q404" s="482">
        <f t="shared" si="320"/>
        <v>11.404460518384518</v>
      </c>
      <c r="R404" s="481">
        <f t="shared" si="321"/>
        <v>0</v>
      </c>
      <c r="S404" s="538">
        <v>881</v>
      </c>
      <c r="T404" s="101">
        <v>906</v>
      </c>
      <c r="U404" s="101">
        <v>924</v>
      </c>
      <c r="V404" s="101">
        <v>906</v>
      </c>
      <c r="W404" s="101">
        <v>948</v>
      </c>
      <c r="X404" s="101">
        <v>962</v>
      </c>
      <c r="Y404" s="101">
        <v>962</v>
      </c>
      <c r="Z404" s="455"/>
      <c r="AA404" s="456"/>
      <c r="AB404" s="456"/>
      <c r="AC404" s="456"/>
      <c r="AD404" s="456"/>
      <c r="AE404" s="456"/>
      <c r="AF404" s="456"/>
      <c r="AG404" s="33" t="str">
        <f t="shared" si="329"/>
        <v>1.15 &gt; El Salvador</v>
      </c>
      <c r="AH404" s="84">
        <f t="shared" si="330"/>
        <v>390</v>
      </c>
      <c r="AI404" s="84">
        <f t="shared" si="331"/>
        <v>15</v>
      </c>
      <c r="AJ404" s="877" t="s">
        <v>1526</v>
      </c>
    </row>
    <row r="405" spans="1:36" x14ac:dyDescent="0.2">
      <c r="A405" s="492">
        <f>INDEX(Country!$F$31:$G$76, MATCH(AI405, Country!$O$31:$O$76, 0), 1)</f>
        <v>1.1500000000000001</v>
      </c>
      <c r="B405" s="2" t="str">
        <f>INDEX(Country!$F$31:$G$76, MATCH(AI405, Country!$O$31:$O$76, 0), 2)</f>
        <v>Growth rate of power demand</v>
      </c>
      <c r="C405" s="436" t="str">
        <f>INDEX(Country!$K$31:$K$76, MATCH(AI405, Country!$O$31:$O$76, 0), 1)</f>
        <v>%</v>
      </c>
      <c r="D405" s="4" t="str">
        <f t="shared" si="322"/>
        <v>Guatemala</v>
      </c>
      <c r="E405" s="457"/>
      <c r="F405" s="486">
        <f t="shared" si="328"/>
        <v>4.4034573794799581E-2</v>
      </c>
      <c r="G405" s="486">
        <f t="shared" si="327"/>
        <v>-9.2695870253494128E-3</v>
      </c>
      <c r="H405" s="486">
        <f t="shared" si="327"/>
        <v>2.9663298486066969E-2</v>
      </c>
      <c r="I405" s="486">
        <f t="shared" si="327"/>
        <v>-3.1172112165273047E-3</v>
      </c>
      <c r="J405" s="486">
        <f t="shared" si="327"/>
        <v>1.5859607052347569E-2</v>
      </c>
      <c r="K405" s="486">
        <f t="shared" si="327"/>
        <v>2.803857399608356E-2</v>
      </c>
      <c r="L405" s="483">
        <f t="shared" si="324"/>
        <v>0</v>
      </c>
      <c r="M405" s="482">
        <f t="shared" si="325"/>
        <v>25.324373255866384</v>
      </c>
      <c r="N405" s="482">
        <f t="shared" si="317"/>
        <v>-6.0694833638343209</v>
      </c>
      <c r="O405" s="482">
        <f t="shared" si="318"/>
        <v>21.641056678751305</v>
      </c>
      <c r="P405" s="482">
        <f t="shared" si="319"/>
        <v>-3.6695993806325142</v>
      </c>
      <c r="Q405" s="482">
        <f t="shared" si="320"/>
        <v>12.247500629812901</v>
      </c>
      <c r="R405" s="481">
        <f t="shared" si="321"/>
        <v>24.258474748838307</v>
      </c>
      <c r="S405" s="538">
        <v>1382.55</v>
      </c>
      <c r="T405" s="101">
        <v>1443.43</v>
      </c>
      <c r="U405" s="101">
        <v>1430.05</v>
      </c>
      <c r="V405" s="101">
        <v>1472.47</v>
      </c>
      <c r="W405" s="101">
        <v>1467.88</v>
      </c>
      <c r="X405" s="101">
        <v>1491.16</v>
      </c>
      <c r="Y405" s="101">
        <v>1532.97</v>
      </c>
      <c r="Z405" s="455"/>
      <c r="AA405" s="456"/>
      <c r="AB405" s="456"/>
      <c r="AC405" s="456"/>
      <c r="AD405" s="456"/>
      <c r="AE405" s="456"/>
      <c r="AF405" s="456"/>
      <c r="AG405" s="33" t="str">
        <f t="shared" si="329"/>
        <v>1.15 &gt; Guatemala</v>
      </c>
      <c r="AH405" s="84">
        <f t="shared" si="330"/>
        <v>391</v>
      </c>
      <c r="AI405" s="84">
        <f t="shared" si="331"/>
        <v>15</v>
      </c>
      <c r="AJ405" s="877" t="s">
        <v>1526</v>
      </c>
    </row>
    <row r="406" spans="1:36" x14ac:dyDescent="0.2">
      <c r="A406" s="492">
        <f>INDEX(Country!$F$31:$G$76, MATCH(AI406, Country!$O$31:$O$76, 0), 1)</f>
        <v>1.1500000000000001</v>
      </c>
      <c r="B406" s="2" t="str">
        <f>INDEX(Country!$F$31:$G$76, MATCH(AI406, Country!$O$31:$O$76, 0), 2)</f>
        <v>Growth rate of power demand</v>
      </c>
      <c r="C406" s="436" t="str">
        <f>INDEX(Country!$K$31:$K$76, MATCH(AI406, Country!$O$31:$O$76, 0), 1)</f>
        <v>%</v>
      </c>
      <c r="D406" s="4" t="str">
        <f t="shared" si="322"/>
        <v>Guyana</v>
      </c>
      <c r="E406" s="457"/>
      <c r="F406" s="486">
        <f t="shared" si="328"/>
        <v>2.862638606019452E-2</v>
      </c>
      <c r="G406" s="486">
        <f t="shared" si="327"/>
        <v>4.2899571004288983E-3</v>
      </c>
      <c r="H406" s="486">
        <f t="shared" si="327"/>
        <v>3.7458926615553167E-2</v>
      </c>
      <c r="I406" s="486">
        <f t="shared" si="327"/>
        <v>6.1760979729729604E-2</v>
      </c>
      <c r="J406" s="486">
        <f t="shared" si="327"/>
        <v>3.2713532862682859E-2</v>
      </c>
      <c r="K406" s="486">
        <f t="shared" si="327"/>
        <v>5.3918736761024322E-2</v>
      </c>
      <c r="L406" s="483">
        <f t="shared" si="324"/>
        <v>0</v>
      </c>
      <c r="M406" s="482">
        <f t="shared" si="325"/>
        <v>16.463093044413917</v>
      </c>
      <c r="N406" s="482">
        <f t="shared" si="317"/>
        <v>2.8089518099793271</v>
      </c>
      <c r="O406" s="482">
        <f t="shared" si="318"/>
        <v>27.32840902346512</v>
      </c>
      <c r="P406" s="482">
        <f t="shared" si="319"/>
        <v>72.705388637718528</v>
      </c>
      <c r="Q406" s="482">
        <f t="shared" si="320"/>
        <v>25.262858847426934</v>
      </c>
      <c r="R406" s="481">
        <f t="shared" si="321"/>
        <v>46.649530549922702</v>
      </c>
      <c r="S406" s="538">
        <v>88.38</v>
      </c>
      <c r="T406" s="101">
        <v>90.91</v>
      </c>
      <c r="U406" s="101">
        <v>91.3</v>
      </c>
      <c r="V406" s="101">
        <v>94.72</v>
      </c>
      <c r="W406" s="101">
        <v>100.57</v>
      </c>
      <c r="X406" s="101">
        <v>103.86</v>
      </c>
      <c r="Y406" s="101">
        <v>109.46</v>
      </c>
      <c r="Z406" s="455"/>
      <c r="AA406" s="456"/>
      <c r="AB406" s="456"/>
      <c r="AC406" s="456"/>
      <c r="AD406" s="456"/>
      <c r="AE406" s="456"/>
      <c r="AF406" s="456"/>
      <c r="AG406" s="33" t="str">
        <f t="shared" si="329"/>
        <v>1.15 &gt; Guyana</v>
      </c>
      <c r="AH406" s="84">
        <f t="shared" si="330"/>
        <v>392</v>
      </c>
      <c r="AI406" s="84">
        <f t="shared" si="331"/>
        <v>15</v>
      </c>
      <c r="AJ406" s="877" t="s">
        <v>1526</v>
      </c>
    </row>
    <row r="407" spans="1:36" x14ac:dyDescent="0.2">
      <c r="A407" s="492">
        <f>INDEX(Country!$F$31:$G$76, MATCH(AI407, Country!$O$31:$O$76, 0), 1)</f>
        <v>1.1500000000000001</v>
      </c>
      <c r="B407" s="2" t="str">
        <f>INDEX(Country!$F$31:$G$76, MATCH(AI407, Country!$O$31:$O$76, 0), 2)</f>
        <v>Growth rate of power demand</v>
      </c>
      <c r="C407" s="436" t="str">
        <f>INDEX(Country!$K$31:$K$76, MATCH(AI407, Country!$O$31:$O$76, 0), 1)</f>
        <v>%</v>
      </c>
      <c r="D407" s="4" t="str">
        <f t="shared" si="322"/>
        <v>Haiti</v>
      </c>
      <c r="E407" s="457"/>
      <c r="F407" s="486">
        <f t="shared" si="328"/>
        <v>0</v>
      </c>
      <c r="G407" s="486">
        <f t="shared" si="327"/>
        <v>0</v>
      </c>
      <c r="H407" s="486">
        <f t="shared" si="327"/>
        <v>0</v>
      </c>
      <c r="I407" s="486">
        <f t="shared" si="327"/>
        <v>0</v>
      </c>
      <c r="J407" s="486">
        <f t="shared" si="327"/>
        <v>0</v>
      </c>
      <c r="K407" s="486">
        <f t="shared" si="327"/>
        <v>0</v>
      </c>
      <c r="L407" s="483">
        <f t="shared" si="324"/>
        <v>0</v>
      </c>
      <c r="M407" s="482">
        <f t="shared" si="325"/>
        <v>0</v>
      </c>
      <c r="N407" s="482">
        <f t="shared" si="317"/>
        <v>0</v>
      </c>
      <c r="O407" s="482">
        <f t="shared" si="318"/>
        <v>0</v>
      </c>
      <c r="P407" s="482">
        <f t="shared" si="319"/>
        <v>0</v>
      </c>
      <c r="Q407" s="482">
        <f t="shared" si="320"/>
        <v>0</v>
      </c>
      <c r="R407" s="481">
        <f t="shared" si="321"/>
        <v>0</v>
      </c>
      <c r="S407" s="538">
        <v>0</v>
      </c>
      <c r="T407" s="101">
        <v>0</v>
      </c>
      <c r="U407" s="101">
        <v>0</v>
      </c>
      <c r="V407" s="101">
        <v>0</v>
      </c>
      <c r="W407" s="101">
        <v>0</v>
      </c>
      <c r="X407" s="101">
        <v>0</v>
      </c>
      <c r="Y407" s="101">
        <v>0</v>
      </c>
      <c r="Z407" s="455"/>
      <c r="AA407" s="456"/>
      <c r="AB407" s="456"/>
      <c r="AC407" s="456"/>
      <c r="AD407" s="456"/>
      <c r="AE407" s="456"/>
      <c r="AF407" s="456"/>
      <c r="AG407" s="33" t="str">
        <f t="shared" si="329"/>
        <v>1.15 &gt; Haiti</v>
      </c>
      <c r="AH407" s="84">
        <f t="shared" si="330"/>
        <v>393</v>
      </c>
      <c r="AI407" s="84">
        <f t="shared" si="331"/>
        <v>15</v>
      </c>
      <c r="AJ407" s="877" t="s">
        <v>1526</v>
      </c>
    </row>
    <row r="408" spans="1:36" x14ac:dyDescent="0.2">
      <c r="A408" s="492">
        <f>INDEX(Country!$F$31:$G$76, MATCH(AI408, Country!$O$31:$O$76, 0), 1)</f>
        <v>1.1500000000000001</v>
      </c>
      <c r="B408" s="2" t="str">
        <f>INDEX(Country!$F$31:$G$76, MATCH(AI408, Country!$O$31:$O$76, 0), 2)</f>
        <v>Growth rate of power demand</v>
      </c>
      <c r="C408" s="436" t="str">
        <f>INDEX(Country!$K$31:$K$76, MATCH(AI408, Country!$O$31:$O$76, 0), 1)</f>
        <v>%</v>
      </c>
      <c r="D408" s="4" t="str">
        <f t="shared" si="322"/>
        <v>Honduras</v>
      </c>
      <c r="E408" s="457"/>
      <c r="F408" s="486">
        <f t="shared" si="328"/>
        <v>3.4926470588235281E-2</v>
      </c>
      <c r="G408" s="486">
        <f t="shared" si="327"/>
        <v>7.0159857904085188E-2</v>
      </c>
      <c r="H408" s="486">
        <f t="shared" si="327"/>
        <v>-1.6597510373443924E-3</v>
      </c>
      <c r="I408" s="486">
        <f t="shared" si="327"/>
        <v>3.4912718204488824E-2</v>
      </c>
      <c r="J408" s="486">
        <f t="shared" si="327"/>
        <v>-4.0160642570281624E-3</v>
      </c>
      <c r="K408" s="486">
        <f t="shared" si="327"/>
        <v>3.418548387096787E-2</v>
      </c>
      <c r="L408" s="483">
        <f t="shared" si="324"/>
        <v>0</v>
      </c>
      <c r="M408" s="482">
        <f t="shared" si="325"/>
        <v>20.086284513805523</v>
      </c>
      <c r="N408" s="482">
        <f t="shared" si="317"/>
        <v>45.938841632674929</v>
      </c>
      <c r="O408" s="482">
        <f t="shared" si="318"/>
        <v>-1.2108824070478046</v>
      </c>
      <c r="P408" s="482">
        <f t="shared" si="319"/>
        <v>41.099457239254896</v>
      </c>
      <c r="Q408" s="482">
        <f t="shared" si="320"/>
        <v>-3.1013851323662389</v>
      </c>
      <c r="R408" s="481">
        <f t="shared" si="321"/>
        <v>29.57667167297911</v>
      </c>
      <c r="S408" s="538">
        <v>1088</v>
      </c>
      <c r="T408" s="101">
        <v>1126</v>
      </c>
      <c r="U408" s="101">
        <v>1205</v>
      </c>
      <c r="V408" s="101">
        <v>1203</v>
      </c>
      <c r="W408" s="101">
        <v>1245</v>
      </c>
      <c r="X408" s="101">
        <v>1240</v>
      </c>
      <c r="Y408" s="101">
        <v>1282.3900000000001</v>
      </c>
      <c r="Z408" s="455"/>
      <c r="AA408" s="456"/>
      <c r="AB408" s="456"/>
      <c r="AC408" s="456"/>
      <c r="AD408" s="456"/>
      <c r="AE408" s="456"/>
      <c r="AF408" s="456"/>
      <c r="AG408" s="33" t="str">
        <f t="shared" si="329"/>
        <v>1.15 &gt; Honduras</v>
      </c>
      <c r="AH408" s="84">
        <f t="shared" si="330"/>
        <v>394</v>
      </c>
      <c r="AI408" s="84">
        <f t="shared" si="331"/>
        <v>15</v>
      </c>
      <c r="AJ408" s="877" t="s">
        <v>1526</v>
      </c>
    </row>
    <row r="409" spans="1:36" x14ac:dyDescent="0.2">
      <c r="A409" s="492">
        <f>INDEX(Country!$F$31:$G$76, MATCH(AI409, Country!$O$31:$O$76, 0), 1)</f>
        <v>1.1500000000000001</v>
      </c>
      <c r="B409" s="2" t="str">
        <f>INDEX(Country!$F$31:$G$76, MATCH(AI409, Country!$O$31:$O$76, 0), 2)</f>
        <v>Growth rate of power demand</v>
      </c>
      <c r="C409" s="436" t="str">
        <f>INDEX(Country!$K$31:$K$76, MATCH(AI409, Country!$O$31:$O$76, 0), 1)</f>
        <v>%</v>
      </c>
      <c r="D409" s="4" t="str">
        <f t="shared" si="322"/>
        <v>Jamaica</v>
      </c>
      <c r="E409" s="457"/>
      <c r="F409" s="486">
        <f t="shared" si="328"/>
        <v>5.9133770177399736E-3</v>
      </c>
      <c r="G409" s="486">
        <f t="shared" ref="G409:G418" si="332">IF(T409&lt;&gt;0, U409/T409-1, 0)</f>
        <v>-1.2233873530346218E-2</v>
      </c>
      <c r="H409" s="486">
        <f t="shared" ref="H409:H418" si="333">IF(U409&lt;&gt;0, V409/U409-1, 0)</f>
        <v>3.6512787518095502E-2</v>
      </c>
      <c r="I409" s="486">
        <f t="shared" ref="I409:I418" si="334">IF(V409&lt;&gt;0, W409/V409-1, 0)</f>
        <v>-9.4661700806952798E-3</v>
      </c>
      <c r="J409" s="486">
        <f t="shared" ref="J409:J418" si="335">IF(W409&lt;&gt;0, X409/W409-1, 0)</f>
        <v>-3.2273225755913959E-2</v>
      </c>
      <c r="K409" s="486">
        <f t="shared" ref="K409:K418" si="336">IF(X409&lt;&gt;0, Y409/X409-1, 0)</f>
        <v>2.9302250283308906E-2</v>
      </c>
      <c r="L409" s="483">
        <f t="shared" si="324"/>
        <v>0</v>
      </c>
      <c r="M409" s="482">
        <f t="shared" si="325"/>
        <v>3.4007951910186232</v>
      </c>
      <c r="N409" s="482">
        <f t="shared" si="317"/>
        <v>-8.0104207085633874</v>
      </c>
      <c r="O409" s="482">
        <f t="shared" si="318"/>
        <v>26.638146952856843</v>
      </c>
      <c r="P409" s="482">
        <f t="shared" si="319"/>
        <v>-11.143631102347911</v>
      </c>
      <c r="Q409" s="482">
        <f t="shared" si="320"/>
        <v>-24.922833930689478</v>
      </c>
      <c r="R409" s="481">
        <f t="shared" si="321"/>
        <v>25.35178496171303</v>
      </c>
      <c r="S409" s="538">
        <v>625.70000000000005</v>
      </c>
      <c r="T409" s="101">
        <v>629.4</v>
      </c>
      <c r="U409" s="101">
        <v>621.70000000000005</v>
      </c>
      <c r="V409" s="101">
        <v>644.4</v>
      </c>
      <c r="W409" s="101">
        <v>638.29999999999995</v>
      </c>
      <c r="X409" s="101">
        <v>617.70000000000005</v>
      </c>
      <c r="Y409" s="101">
        <v>635.79999999999995</v>
      </c>
      <c r="Z409" s="455"/>
      <c r="AA409" s="456"/>
      <c r="AB409" s="456"/>
      <c r="AC409" s="456"/>
      <c r="AD409" s="456"/>
      <c r="AE409" s="456"/>
      <c r="AF409" s="456"/>
      <c r="AG409" s="33" t="str">
        <f t="shared" si="329"/>
        <v>1.15 &gt; Jamaica</v>
      </c>
      <c r="AH409" s="84">
        <f t="shared" si="330"/>
        <v>395</v>
      </c>
      <c r="AI409" s="84">
        <f t="shared" si="331"/>
        <v>15</v>
      </c>
      <c r="AJ409" s="877" t="s">
        <v>1526</v>
      </c>
    </row>
    <row r="410" spans="1:36" x14ac:dyDescent="0.2">
      <c r="A410" s="492">
        <f>INDEX(Country!$F$31:$G$76, MATCH(AI410, Country!$O$31:$O$76, 0), 1)</f>
        <v>1.1500000000000001</v>
      </c>
      <c r="B410" s="2" t="str">
        <f>INDEX(Country!$F$31:$G$76, MATCH(AI410, Country!$O$31:$O$76, 0), 2)</f>
        <v>Growth rate of power demand</v>
      </c>
      <c r="C410" s="436" t="str">
        <f>INDEX(Country!$K$31:$K$76, MATCH(AI410, Country!$O$31:$O$76, 0), 1)</f>
        <v>%</v>
      </c>
      <c r="D410" s="4" t="str">
        <f t="shared" si="322"/>
        <v>Mexico</v>
      </c>
      <c r="E410" s="457"/>
      <c r="F410" s="486">
        <f t="shared" si="328"/>
        <v>3.2649697277078671E-2</v>
      </c>
      <c r="G410" s="486">
        <f t="shared" si="332"/>
        <v>3.3858243546060152E-2</v>
      </c>
      <c r="H410" s="486">
        <f t="shared" si="333"/>
        <v>-3.3254156769596532E-3</v>
      </c>
      <c r="I410" s="486">
        <f t="shared" si="334"/>
        <v>5.1894661582459589E-2</v>
      </c>
      <c r="J410" s="486">
        <f t="shared" si="335"/>
        <v>5.5111866326819525E-2</v>
      </c>
      <c r="K410" s="486">
        <f t="shared" si="336"/>
        <v>4.4180803092119358E-2</v>
      </c>
      <c r="L410" s="483">
        <f t="shared" si="324"/>
        <v>0</v>
      </c>
      <c r="M410" s="482">
        <f t="shared" si="325"/>
        <v>18.776907536083211</v>
      </c>
      <c r="N410" s="482">
        <f t="shared" si="317"/>
        <v>22.169493135937902</v>
      </c>
      <c r="O410" s="482">
        <f t="shared" si="318"/>
        <v>-2.4260791219592326</v>
      </c>
      <c r="P410" s="482">
        <f t="shared" si="319"/>
        <v>61.090700877586677</v>
      </c>
      <c r="Q410" s="482">
        <f t="shared" si="320"/>
        <v>42.559857587894925</v>
      </c>
      <c r="R410" s="481">
        <f t="shared" si="321"/>
        <v>38.224443808849863</v>
      </c>
      <c r="S410" s="538">
        <v>31547</v>
      </c>
      <c r="T410" s="101">
        <v>32577</v>
      </c>
      <c r="U410" s="101">
        <v>33680</v>
      </c>
      <c r="V410" s="101">
        <v>33568</v>
      </c>
      <c r="W410" s="101">
        <v>35310</v>
      </c>
      <c r="X410" s="101">
        <v>37256</v>
      </c>
      <c r="Y410" s="101">
        <v>38902</v>
      </c>
      <c r="Z410" s="455"/>
      <c r="AA410" s="456"/>
      <c r="AB410" s="456"/>
      <c r="AC410" s="456"/>
      <c r="AD410" s="456"/>
      <c r="AE410" s="456"/>
      <c r="AF410" s="456"/>
      <c r="AG410" s="33" t="str">
        <f t="shared" si="329"/>
        <v>1.15 &gt; Mexico</v>
      </c>
      <c r="AH410" s="84">
        <f t="shared" si="330"/>
        <v>396</v>
      </c>
      <c r="AI410" s="84">
        <f t="shared" si="331"/>
        <v>15</v>
      </c>
      <c r="AJ410" s="877" t="s">
        <v>1526</v>
      </c>
    </row>
    <row r="411" spans="1:36" x14ac:dyDescent="0.2">
      <c r="A411" s="492">
        <f>INDEX(Country!$F$31:$G$76, MATCH(AI411, Country!$O$31:$O$76, 0), 1)</f>
        <v>1.1500000000000001</v>
      </c>
      <c r="B411" s="2" t="str">
        <f>INDEX(Country!$F$31:$G$76, MATCH(AI411, Country!$O$31:$O$76, 0), 2)</f>
        <v>Growth rate of power demand</v>
      </c>
      <c r="C411" s="436" t="str">
        <f>INDEX(Country!$K$31:$K$76, MATCH(AI411, Country!$O$31:$O$76, 0), 1)</f>
        <v>%</v>
      </c>
      <c r="D411" s="4" t="str">
        <f t="shared" si="322"/>
        <v>Nicaragua</v>
      </c>
      <c r="E411" s="457"/>
      <c r="F411" s="486">
        <f t="shared" si="328"/>
        <v>1.317891373801916E-2</v>
      </c>
      <c r="G411" s="486">
        <f t="shared" si="332"/>
        <v>-2.227039810800191E-3</v>
      </c>
      <c r="H411" s="486">
        <f t="shared" si="333"/>
        <v>3.600845398700292E-2</v>
      </c>
      <c r="I411" s="486">
        <f t="shared" si="334"/>
        <v>2.7454718779790221E-2</v>
      </c>
      <c r="J411" s="486">
        <f t="shared" si="335"/>
        <v>5.6782334384858135E-2</v>
      </c>
      <c r="K411" s="486">
        <f t="shared" si="336"/>
        <v>7.0939420544336995E-2</v>
      </c>
      <c r="L411" s="483">
        <f t="shared" si="324"/>
        <v>0</v>
      </c>
      <c r="M411" s="482">
        <f t="shared" si="325"/>
        <v>7.5792201864771451</v>
      </c>
      <c r="N411" s="482">
        <f t="shared" si="317"/>
        <v>-1.4582074741068605</v>
      </c>
      <c r="O411" s="482">
        <f t="shared" si="318"/>
        <v>26.27020707130605</v>
      </c>
      <c r="P411" s="482">
        <f t="shared" si="319"/>
        <v>32.319856445914844</v>
      </c>
      <c r="Q411" s="482">
        <f t="shared" si="320"/>
        <v>43.849868022919026</v>
      </c>
      <c r="R411" s="481">
        <f t="shared" si="321"/>
        <v>61.375522956780685</v>
      </c>
      <c r="S411" s="538">
        <v>500.8</v>
      </c>
      <c r="T411" s="101">
        <v>507.4</v>
      </c>
      <c r="U411" s="101">
        <v>506.27</v>
      </c>
      <c r="V411" s="101">
        <v>524.5</v>
      </c>
      <c r="W411" s="101">
        <v>538.9</v>
      </c>
      <c r="X411" s="101">
        <v>569.5</v>
      </c>
      <c r="Y411" s="101">
        <v>609.9</v>
      </c>
      <c r="Z411" s="455"/>
      <c r="AA411" s="456"/>
      <c r="AB411" s="456"/>
      <c r="AC411" s="456"/>
      <c r="AD411" s="456"/>
      <c r="AE411" s="456"/>
      <c r="AF411" s="456"/>
      <c r="AG411" s="33" t="str">
        <f t="shared" si="329"/>
        <v>1.15 &gt; Nicaragua</v>
      </c>
      <c r="AH411" s="84">
        <f t="shared" si="330"/>
        <v>397</v>
      </c>
      <c r="AI411" s="84">
        <f t="shared" si="331"/>
        <v>15</v>
      </c>
      <c r="AJ411" s="877" t="s">
        <v>1526</v>
      </c>
    </row>
    <row r="412" spans="1:36" x14ac:dyDescent="0.2">
      <c r="A412" s="492">
        <f>INDEX(Country!$F$31:$G$76, MATCH(AI412, Country!$O$31:$O$76, 0), 1)</f>
        <v>1.1500000000000001</v>
      </c>
      <c r="B412" s="2" t="str">
        <f>INDEX(Country!$F$31:$G$76, MATCH(AI412, Country!$O$31:$O$76, 0), 2)</f>
        <v>Growth rate of power demand</v>
      </c>
      <c r="C412" s="436" t="str">
        <f>INDEX(Country!$K$31:$K$76, MATCH(AI412, Country!$O$31:$O$76, 0), 1)</f>
        <v>%</v>
      </c>
      <c r="D412" s="4" t="str">
        <f t="shared" si="322"/>
        <v>Panama</v>
      </c>
      <c r="E412" s="457"/>
      <c r="F412" s="486">
        <f t="shared" si="328"/>
        <v>5.4378487450326363E-2</v>
      </c>
      <c r="G412" s="486">
        <f t="shared" si="332"/>
        <v>3.8900171848148535E-2</v>
      </c>
      <c r="H412" s="486">
        <f t="shared" si="333"/>
        <v>8.4586466165413432E-2</v>
      </c>
      <c r="I412" s="486">
        <f t="shared" si="334"/>
        <v>5.9272097053726158E-2</v>
      </c>
      <c r="J412" s="486">
        <f t="shared" si="335"/>
        <v>5.2429646596858559E-2</v>
      </c>
      <c r="K412" s="486">
        <f t="shared" si="336"/>
        <v>7.7559872210432923E-2</v>
      </c>
      <c r="L412" s="483">
        <f t="shared" si="324"/>
        <v>0</v>
      </c>
      <c r="M412" s="482">
        <f t="shared" si="325"/>
        <v>31.273179109187708</v>
      </c>
      <c r="N412" s="482">
        <f t="shared" si="317"/>
        <v>25.470816039265124</v>
      </c>
      <c r="O412" s="482">
        <f t="shared" si="318"/>
        <v>61.71061891181143</v>
      </c>
      <c r="P412" s="482">
        <f t="shared" si="319"/>
        <v>69.775461311040928</v>
      </c>
      <c r="Q412" s="482">
        <f t="shared" si="320"/>
        <v>40.488527086227108</v>
      </c>
      <c r="R412" s="481">
        <f t="shared" si="321"/>
        <v>67.1034198031155</v>
      </c>
      <c r="S412" s="538">
        <v>971.34</v>
      </c>
      <c r="T412" s="101">
        <v>1024.1600000000001</v>
      </c>
      <c r="U412" s="101">
        <v>1064</v>
      </c>
      <c r="V412" s="101">
        <v>1154</v>
      </c>
      <c r="W412" s="101">
        <v>1222.4000000000001</v>
      </c>
      <c r="X412" s="101">
        <v>1286.49</v>
      </c>
      <c r="Y412" s="101">
        <v>1386.27</v>
      </c>
      <c r="Z412" s="455"/>
      <c r="AA412" s="456"/>
      <c r="AB412" s="456"/>
      <c r="AC412" s="456"/>
      <c r="AD412" s="456"/>
      <c r="AE412" s="456"/>
      <c r="AF412" s="456"/>
      <c r="AG412" s="33" t="str">
        <f t="shared" si="329"/>
        <v>1.15 &gt; Panama</v>
      </c>
      <c r="AH412" s="84">
        <f t="shared" si="330"/>
        <v>398</v>
      </c>
      <c r="AI412" s="84">
        <f t="shared" si="331"/>
        <v>15</v>
      </c>
      <c r="AJ412" s="877" t="s">
        <v>1526</v>
      </c>
    </row>
    <row r="413" spans="1:36" x14ac:dyDescent="0.2">
      <c r="A413" s="492">
        <f>INDEX(Country!$F$31:$G$76, MATCH(AI413, Country!$O$31:$O$76, 0), 1)</f>
        <v>1.1500000000000001</v>
      </c>
      <c r="B413" s="2" t="str">
        <f>INDEX(Country!$F$31:$G$76, MATCH(AI413, Country!$O$31:$O$76, 0), 2)</f>
        <v>Growth rate of power demand</v>
      </c>
      <c r="C413" s="436" t="str">
        <f>INDEX(Country!$K$31:$K$76, MATCH(AI413, Country!$O$31:$O$76, 0), 1)</f>
        <v>%</v>
      </c>
      <c r="D413" s="4" t="str">
        <f t="shared" si="322"/>
        <v>Paraguay</v>
      </c>
      <c r="E413" s="457"/>
      <c r="F413" s="486">
        <f t="shared" si="328"/>
        <v>4.8965517241379208E-2</v>
      </c>
      <c r="G413" s="486">
        <f t="shared" si="332"/>
        <v>8.3497698882314175E-2</v>
      </c>
      <c r="H413" s="486">
        <f t="shared" si="333"/>
        <v>9.8300970873786309E-2</v>
      </c>
      <c r="I413" s="486">
        <f t="shared" si="334"/>
        <v>4.5303867403314824E-2</v>
      </c>
      <c r="J413" s="486">
        <f t="shared" si="335"/>
        <v>0.12949260042283295</v>
      </c>
      <c r="K413" s="486">
        <f t="shared" si="336"/>
        <v>0.11558259241927926</v>
      </c>
      <c r="L413" s="483">
        <f t="shared" si="324"/>
        <v>0</v>
      </c>
      <c r="M413" s="482">
        <f t="shared" si="325"/>
        <v>28.160168895144221</v>
      </c>
      <c r="N413" s="482">
        <f t="shared" si="317"/>
        <v>54.672111378721354</v>
      </c>
      <c r="O413" s="482">
        <f t="shared" si="318"/>
        <v>71.716127026639114</v>
      </c>
      <c r="P413" s="482">
        <f t="shared" si="319"/>
        <v>53.331979200519925</v>
      </c>
      <c r="Q413" s="482">
        <f t="shared" si="320"/>
        <v>100</v>
      </c>
      <c r="R413" s="481">
        <f t="shared" si="321"/>
        <v>100</v>
      </c>
      <c r="S413" s="538">
        <v>1450</v>
      </c>
      <c r="T413" s="101">
        <v>1521</v>
      </c>
      <c r="U413" s="101">
        <v>1648</v>
      </c>
      <c r="V413" s="101">
        <v>1810</v>
      </c>
      <c r="W413" s="101">
        <v>1892</v>
      </c>
      <c r="X413" s="101">
        <v>2137</v>
      </c>
      <c r="Y413" s="101">
        <v>2384</v>
      </c>
      <c r="Z413" s="455"/>
      <c r="AA413" s="456"/>
      <c r="AB413" s="456"/>
      <c r="AC413" s="456"/>
      <c r="AD413" s="456"/>
      <c r="AE413" s="456"/>
      <c r="AF413" s="456"/>
      <c r="AG413" s="33" t="str">
        <f t="shared" si="329"/>
        <v>1.15 &gt; Paraguay</v>
      </c>
      <c r="AH413" s="84">
        <f t="shared" si="330"/>
        <v>399</v>
      </c>
      <c r="AI413" s="84">
        <f t="shared" si="331"/>
        <v>15</v>
      </c>
      <c r="AJ413" s="877" t="s">
        <v>1526</v>
      </c>
    </row>
    <row r="414" spans="1:36" x14ac:dyDescent="0.2">
      <c r="A414" s="492">
        <f>INDEX(Country!$F$31:$G$76, MATCH(AI414, Country!$O$31:$O$76, 0), 1)</f>
        <v>1.1500000000000001</v>
      </c>
      <c r="B414" s="2" t="str">
        <f>INDEX(Country!$F$31:$G$76, MATCH(AI414, Country!$O$31:$O$76, 0), 2)</f>
        <v>Growth rate of power demand</v>
      </c>
      <c r="C414" s="436" t="str">
        <f>INDEX(Country!$K$31:$K$76, MATCH(AI414, Country!$O$31:$O$76, 0), 1)</f>
        <v>%</v>
      </c>
      <c r="D414" s="4" t="str">
        <f t="shared" si="322"/>
        <v>Peru</v>
      </c>
      <c r="E414" s="457"/>
      <c r="F414" s="486">
        <f t="shared" si="328"/>
        <v>0.10782122905027935</v>
      </c>
      <c r="G414" s="486">
        <f t="shared" si="332"/>
        <v>5.8749369641956539E-2</v>
      </c>
      <c r="H414" s="486">
        <f t="shared" si="333"/>
        <v>2.9292688735413241E-2</v>
      </c>
      <c r="I414" s="486">
        <f t="shared" si="334"/>
        <v>5.9463211476168398E-2</v>
      </c>
      <c r="J414" s="486">
        <f t="shared" si="335"/>
        <v>8.342432845599479E-2</v>
      </c>
      <c r="K414" s="486">
        <f t="shared" si="336"/>
        <v>6.6498689780286169E-2</v>
      </c>
      <c r="L414" s="483">
        <f t="shared" si="324"/>
        <v>0</v>
      </c>
      <c r="M414" s="482">
        <f t="shared" si="325"/>
        <v>62.008208870140287</v>
      </c>
      <c r="N414" s="482">
        <f t="shared" si="317"/>
        <v>38.46755208214546</v>
      </c>
      <c r="O414" s="482">
        <f t="shared" si="318"/>
        <v>21.37067587051575</v>
      </c>
      <c r="P414" s="482">
        <f t="shared" si="319"/>
        <v>70.00044233334242</v>
      </c>
      <c r="Q414" s="482">
        <f t="shared" si="320"/>
        <v>64.424012015813133</v>
      </c>
      <c r="R414" s="481">
        <f t="shared" si="321"/>
        <v>57.533481805858976</v>
      </c>
      <c r="S414" s="538">
        <v>3580</v>
      </c>
      <c r="T414" s="101">
        <v>3966</v>
      </c>
      <c r="U414" s="101">
        <v>4199</v>
      </c>
      <c r="V414" s="101">
        <v>4322</v>
      </c>
      <c r="W414" s="101">
        <v>4579</v>
      </c>
      <c r="X414" s="101">
        <v>4961</v>
      </c>
      <c r="Y414" s="101">
        <v>5290.9</v>
      </c>
      <c r="Z414" s="455"/>
      <c r="AA414" s="456"/>
      <c r="AB414" s="456"/>
      <c r="AC414" s="456"/>
      <c r="AD414" s="456"/>
      <c r="AE414" s="456"/>
      <c r="AF414" s="456"/>
      <c r="AG414" s="33" t="str">
        <f t="shared" si="329"/>
        <v>1.15 &gt; Peru</v>
      </c>
      <c r="AH414" s="84">
        <f t="shared" si="330"/>
        <v>400</v>
      </c>
      <c r="AI414" s="84">
        <f t="shared" si="331"/>
        <v>15</v>
      </c>
      <c r="AJ414" s="877" t="s">
        <v>1526</v>
      </c>
    </row>
    <row r="415" spans="1:36" x14ac:dyDescent="0.2">
      <c r="A415" s="492">
        <f>INDEX(Country!$F$31:$G$76, MATCH(AI415, Country!$O$31:$O$76, 0), 1)</f>
        <v>1.1500000000000001</v>
      </c>
      <c r="B415" s="2" t="str">
        <f>INDEX(Country!$F$31:$G$76, MATCH(AI415, Country!$O$31:$O$76, 0), 2)</f>
        <v>Growth rate of power demand</v>
      </c>
      <c r="C415" s="436" t="str">
        <f>INDEX(Country!$K$31:$K$76, MATCH(AI415, Country!$O$31:$O$76, 0), 1)</f>
        <v>%</v>
      </c>
      <c r="D415" s="4" t="str">
        <f t="shared" si="322"/>
        <v>Suriname</v>
      </c>
      <c r="E415" s="457"/>
      <c r="F415" s="486">
        <f t="shared" si="328"/>
        <v>5.934959349593516E-2</v>
      </c>
      <c r="G415" s="486">
        <f t="shared" si="332"/>
        <v>0.15272448196469668</v>
      </c>
      <c r="H415" s="486">
        <f t="shared" si="333"/>
        <v>6.5912117177097329E-2</v>
      </c>
      <c r="I415" s="486">
        <f t="shared" si="334"/>
        <v>8.4946908182385927E-2</v>
      </c>
      <c r="J415" s="486">
        <f t="shared" si="335"/>
        <v>4.7207829591249473E-2</v>
      </c>
      <c r="K415" s="486">
        <f t="shared" si="336"/>
        <v>0</v>
      </c>
      <c r="L415" s="483">
        <f t="shared" si="324"/>
        <v>0</v>
      </c>
      <c r="M415" s="482">
        <f t="shared" si="325"/>
        <v>34.13207234113171</v>
      </c>
      <c r="N415" s="482">
        <f t="shared" si="317"/>
        <v>100</v>
      </c>
      <c r="O415" s="482">
        <f t="shared" si="318"/>
        <v>48.086623418365058</v>
      </c>
      <c r="P415" s="482">
        <f t="shared" si="319"/>
        <v>99.999999999999986</v>
      </c>
      <c r="Q415" s="482">
        <f t="shared" si="320"/>
        <v>36.456005545568992</v>
      </c>
      <c r="R415" s="481">
        <f t="shared" si="321"/>
        <v>0</v>
      </c>
      <c r="S415" s="538">
        <v>123</v>
      </c>
      <c r="T415" s="101">
        <v>130.30000000000001</v>
      </c>
      <c r="U415" s="101">
        <v>150.19999999999999</v>
      </c>
      <c r="V415" s="101">
        <v>160.1</v>
      </c>
      <c r="W415" s="101">
        <v>173.7</v>
      </c>
      <c r="X415" s="101">
        <v>181.9</v>
      </c>
      <c r="Y415" s="101">
        <v>181.9</v>
      </c>
      <c r="Z415" s="455"/>
      <c r="AA415" s="456"/>
      <c r="AB415" s="456"/>
      <c r="AC415" s="456"/>
      <c r="AD415" s="456"/>
      <c r="AE415" s="456"/>
      <c r="AF415" s="456"/>
      <c r="AG415" s="33" t="str">
        <f t="shared" si="329"/>
        <v>1.15 &gt; Suriname</v>
      </c>
      <c r="AH415" s="84">
        <f t="shared" si="330"/>
        <v>401</v>
      </c>
      <c r="AI415" s="84">
        <f t="shared" si="331"/>
        <v>15</v>
      </c>
      <c r="AJ415" s="877" t="s">
        <v>1526</v>
      </c>
    </row>
    <row r="416" spans="1:36" x14ac:dyDescent="0.2">
      <c r="A416" s="492">
        <f>INDEX(Country!$F$31:$G$76, MATCH(AI416, Country!$O$31:$O$76, 0), 1)</f>
        <v>1.1500000000000001</v>
      </c>
      <c r="B416" s="2" t="str">
        <f>INDEX(Country!$F$31:$G$76, MATCH(AI416, Country!$O$31:$O$76, 0), 2)</f>
        <v>Growth rate of power demand</v>
      </c>
      <c r="C416" s="436" t="str">
        <f>INDEX(Country!$K$31:$K$76, MATCH(AI416, Country!$O$31:$O$76, 0), 1)</f>
        <v>%</v>
      </c>
      <c r="D416" s="4" t="str">
        <f t="shared" si="322"/>
        <v>Trinidad &amp; Tobago</v>
      </c>
      <c r="E416" s="457"/>
      <c r="F416" s="486">
        <f t="shared" si="328"/>
        <v>5.7943925233644888E-2</v>
      </c>
      <c r="G416" s="486">
        <f t="shared" si="332"/>
        <v>4.328621908127217E-2</v>
      </c>
      <c r="H416" s="486">
        <f t="shared" si="333"/>
        <v>8.4674005080431769E-4</v>
      </c>
      <c r="I416" s="486">
        <f t="shared" si="334"/>
        <v>3.384094754653133E-2</v>
      </c>
      <c r="J416" s="486">
        <f t="shared" si="335"/>
        <v>-3.2733224222586399E-3</v>
      </c>
      <c r="K416" s="486">
        <f t="shared" si="336"/>
        <v>0</v>
      </c>
      <c r="L416" s="483">
        <f t="shared" si="324"/>
        <v>0</v>
      </c>
      <c r="M416" s="482">
        <f t="shared" si="325"/>
        <v>33.323669654777831</v>
      </c>
      <c r="N416" s="482">
        <f t="shared" si="317"/>
        <v>28.342685157235028</v>
      </c>
      <c r="O416" s="482">
        <f t="shared" si="318"/>
        <v>0.61774483509418399</v>
      </c>
      <c r="P416" s="482">
        <f t="shared" si="319"/>
        <v>39.837762516174053</v>
      </c>
      <c r="Q416" s="482">
        <f t="shared" si="320"/>
        <v>-2.5278065399646321</v>
      </c>
      <c r="R416" s="481">
        <f t="shared" si="321"/>
        <v>0</v>
      </c>
      <c r="S416" s="538">
        <v>1070</v>
      </c>
      <c r="T416" s="101">
        <v>1132</v>
      </c>
      <c r="U416" s="101">
        <v>1181</v>
      </c>
      <c r="V416" s="101">
        <v>1182</v>
      </c>
      <c r="W416" s="101">
        <v>1222</v>
      </c>
      <c r="X416" s="101">
        <v>1218</v>
      </c>
      <c r="Y416" s="101">
        <v>1218</v>
      </c>
      <c r="Z416" s="455"/>
      <c r="AA416" s="456"/>
      <c r="AB416" s="456"/>
      <c r="AC416" s="456"/>
      <c r="AD416" s="456"/>
      <c r="AE416" s="456"/>
      <c r="AF416" s="456"/>
      <c r="AG416" s="33" t="str">
        <f t="shared" si="329"/>
        <v>1.15 &gt; Trinidad &amp; Tobago</v>
      </c>
      <c r="AH416" s="84">
        <f t="shared" si="330"/>
        <v>402</v>
      </c>
      <c r="AI416" s="84">
        <f t="shared" si="331"/>
        <v>15</v>
      </c>
      <c r="AJ416" s="877" t="s">
        <v>1526</v>
      </c>
    </row>
    <row r="417" spans="1:36" x14ac:dyDescent="0.2">
      <c r="A417" s="492">
        <f>INDEX(Country!$F$31:$G$76, MATCH(AI417, Country!$O$31:$O$76, 0), 1)</f>
        <v>1.1500000000000001</v>
      </c>
      <c r="B417" s="2" t="str">
        <f>INDEX(Country!$F$31:$G$76, MATCH(AI417, Country!$O$31:$O$76, 0), 2)</f>
        <v>Growth rate of power demand</v>
      </c>
      <c r="C417" s="436" t="str">
        <f>INDEX(Country!$K$31:$K$76, MATCH(AI417, Country!$O$31:$O$76, 0), 1)</f>
        <v>%</v>
      </c>
      <c r="D417" s="4" t="str">
        <f t="shared" si="322"/>
        <v>Uruguay</v>
      </c>
      <c r="E417" s="457"/>
      <c r="F417" s="486">
        <f t="shared" si="328"/>
        <v>0.17388218594748039</v>
      </c>
      <c r="G417" s="486">
        <f t="shared" si="332"/>
        <v>-0.10459492140266025</v>
      </c>
      <c r="H417" s="486">
        <f t="shared" si="333"/>
        <v>0.13706954760297108</v>
      </c>
      <c r="I417" s="486">
        <f t="shared" si="334"/>
        <v>8.3135391923989665E-3</v>
      </c>
      <c r="J417" s="486">
        <f t="shared" si="335"/>
        <v>2.7679623085983485E-2</v>
      </c>
      <c r="K417" s="486">
        <f t="shared" si="336"/>
        <v>-1.7191977077364307E-3</v>
      </c>
      <c r="L417" s="483">
        <f t="shared" si="324"/>
        <v>0</v>
      </c>
      <c r="M417" s="482">
        <f t="shared" si="325"/>
        <v>100</v>
      </c>
      <c r="N417" s="482">
        <f t="shared" si="317"/>
        <v>-68.486021400837416</v>
      </c>
      <c r="O417" s="482">
        <f t="shared" si="318"/>
        <v>100</v>
      </c>
      <c r="P417" s="482">
        <f t="shared" si="319"/>
        <v>9.786747240463793</v>
      </c>
      <c r="Q417" s="482">
        <f t="shared" si="320"/>
        <v>21.375447705583987</v>
      </c>
      <c r="R417" s="481">
        <f t="shared" si="321"/>
        <v>-1.4874192313492938</v>
      </c>
      <c r="S417" s="538">
        <v>1409</v>
      </c>
      <c r="T417" s="101">
        <v>1654</v>
      </c>
      <c r="U417" s="101">
        <v>1481</v>
      </c>
      <c r="V417" s="101">
        <v>1684</v>
      </c>
      <c r="W417" s="101">
        <v>1698</v>
      </c>
      <c r="X417" s="101">
        <v>1745</v>
      </c>
      <c r="Y417" s="101">
        <v>1742</v>
      </c>
      <c r="Z417" s="455"/>
      <c r="AA417" s="456"/>
      <c r="AB417" s="456"/>
      <c r="AC417" s="456"/>
      <c r="AD417" s="456"/>
      <c r="AE417" s="456"/>
      <c r="AF417" s="456"/>
      <c r="AG417" s="33" t="str">
        <f t="shared" si="329"/>
        <v>1.15 &gt; Uruguay</v>
      </c>
      <c r="AH417" s="84">
        <f t="shared" si="330"/>
        <v>403</v>
      </c>
      <c r="AI417" s="84">
        <f t="shared" si="331"/>
        <v>15</v>
      </c>
      <c r="AJ417" s="877" t="s">
        <v>1526</v>
      </c>
    </row>
    <row r="418" spans="1:36" x14ac:dyDescent="0.2">
      <c r="A418" s="491">
        <f>INDEX(Country!$F$31:$G$76, MATCH(AI418, Country!$O$31:$O$76, 0), 1)</f>
        <v>1.1500000000000001</v>
      </c>
      <c r="B418" s="386" t="str">
        <f>INDEX(Country!$F$31:$G$76, MATCH(AI418, Country!$O$31:$O$76, 0), 2)</f>
        <v>Growth rate of power demand</v>
      </c>
      <c r="C418" s="437" t="str">
        <f>INDEX(Country!$K$31:$K$76, MATCH(AI418, Country!$O$31:$O$76, 0), 1)</f>
        <v>%</v>
      </c>
      <c r="D418" s="86" t="str">
        <f t="shared" si="322"/>
        <v>Venezuela</v>
      </c>
      <c r="E418" s="460"/>
      <c r="F418" s="484">
        <f t="shared" si="328"/>
        <v>-2.4709940420194365E-2</v>
      </c>
      <c r="G418" s="484">
        <f t="shared" si="332"/>
        <v>5.1443637065140546E-2</v>
      </c>
      <c r="H418" s="484">
        <f t="shared" si="333"/>
        <v>6.0302122194361152E-2</v>
      </c>
      <c r="I418" s="484">
        <f t="shared" si="334"/>
        <v>-3.3569821768472008E-2</v>
      </c>
      <c r="J418" s="484">
        <f t="shared" si="335"/>
        <v>2.3992837958818347E-2</v>
      </c>
      <c r="K418" s="484">
        <f t="shared" si="336"/>
        <v>4.7094480387014137E-2</v>
      </c>
      <c r="L418" s="480">
        <f t="shared" si="324"/>
        <v>0</v>
      </c>
      <c r="M418" s="479">
        <f t="shared" si="325"/>
        <v>-14.210737164103623</v>
      </c>
      <c r="N418" s="479">
        <f t="shared" si="317"/>
        <v>33.683949294411157</v>
      </c>
      <c r="O418" s="479">
        <f t="shared" si="318"/>
        <v>43.993814270861478</v>
      </c>
      <c r="P418" s="479">
        <f t="shared" si="319"/>
        <v>-39.518591655385102</v>
      </c>
      <c r="Q418" s="479">
        <f t="shared" si="320"/>
        <v>18.528346701258908</v>
      </c>
      <c r="R418" s="478">
        <f t="shared" si="321"/>
        <v>40.745305500829673</v>
      </c>
      <c r="S418" s="539">
        <v>15945</v>
      </c>
      <c r="T418" s="369">
        <v>15551</v>
      </c>
      <c r="U418" s="369">
        <v>16351</v>
      </c>
      <c r="V418" s="369">
        <v>17337</v>
      </c>
      <c r="W418" s="369">
        <v>16755</v>
      </c>
      <c r="X418" s="369">
        <v>17157</v>
      </c>
      <c r="Y418" s="369">
        <v>17965</v>
      </c>
      <c r="Z418" s="455"/>
      <c r="AA418" s="456"/>
      <c r="AB418" s="456"/>
      <c r="AC418" s="456"/>
      <c r="AD418" s="456"/>
      <c r="AE418" s="456"/>
      <c r="AF418" s="456"/>
      <c r="AG418" s="90" t="str">
        <f t="shared" si="329"/>
        <v>1.15 &gt; Venezuela</v>
      </c>
      <c r="AH418" s="392">
        <f t="shared" si="330"/>
        <v>404</v>
      </c>
      <c r="AI418" s="392">
        <f t="shared" si="331"/>
        <v>15</v>
      </c>
      <c r="AJ418" s="878" t="s">
        <v>1526</v>
      </c>
    </row>
    <row r="419" spans="1:36" x14ac:dyDescent="0.2">
      <c r="A419" s="490">
        <f>INDEX(Country!$F$31:$G$76, MATCH(AI419, Country!$O$31:$O$76, 0), 1)</f>
        <v>1.1500000000000001</v>
      </c>
      <c r="B419" s="387" t="str">
        <f>INDEX(Country!$F$31:$G$76, MATCH(AI419, Country!$O$31:$O$76, 0), 2)</f>
        <v>Growth rate of power demand</v>
      </c>
      <c r="C419" s="438" t="str">
        <f>INDEX(Country!$K$31:$K$76, MATCH(AI419, Country!$O$31:$O$76, 0), 1)</f>
        <v>%</v>
      </c>
      <c r="D419" s="32" t="str">
        <f t="shared" si="322"/>
        <v>Benchmark</v>
      </c>
      <c r="E419" s="477">
        <f>IFERROR(MAX(E393:E418), 0)</f>
        <v>0</v>
      </c>
      <c r="F419" s="477">
        <f t="shared" ref="F419:K419" si="337">IFERROR(MAX(F393:F418), 0)</f>
        <v>0.17388218594748039</v>
      </c>
      <c r="G419" s="477">
        <f t="shared" si="337"/>
        <v>0.15272448196469668</v>
      </c>
      <c r="H419" s="477">
        <f t="shared" si="337"/>
        <v>0.13706954760297108</v>
      </c>
      <c r="I419" s="477">
        <f t="shared" si="337"/>
        <v>8.4946908182385927E-2</v>
      </c>
      <c r="J419" s="477">
        <f t="shared" si="337"/>
        <v>0.12949260042283295</v>
      </c>
      <c r="K419" s="477">
        <f t="shared" si="337"/>
        <v>0.11558259241927926</v>
      </c>
      <c r="L419" s="599">
        <f t="shared" si="324"/>
        <v>0</v>
      </c>
      <c r="M419" s="476">
        <f t="shared" si="325"/>
        <v>100</v>
      </c>
      <c r="N419" s="476">
        <f t="shared" si="317"/>
        <v>100</v>
      </c>
      <c r="O419" s="476">
        <f t="shared" si="318"/>
        <v>100</v>
      </c>
      <c r="P419" s="476">
        <f t="shared" si="319"/>
        <v>99.999999999999986</v>
      </c>
      <c r="Q419" s="476">
        <f t="shared" si="320"/>
        <v>100</v>
      </c>
      <c r="R419" s="600">
        <f t="shared" si="321"/>
        <v>100</v>
      </c>
      <c r="S419" s="393"/>
      <c r="T419" s="394"/>
      <c r="U419" s="376"/>
      <c r="V419" s="376"/>
      <c r="W419" s="376"/>
      <c r="X419" s="376"/>
      <c r="Y419" s="376"/>
      <c r="Z419" s="393"/>
      <c r="AA419" s="394"/>
      <c r="AB419" s="376"/>
      <c r="AC419" s="376"/>
      <c r="AD419" s="376"/>
      <c r="AE419" s="376"/>
      <c r="AF419" s="401"/>
      <c r="AG419" s="34" t="str">
        <f t="shared" si="329"/>
        <v>1.15 &gt; Benchmark</v>
      </c>
      <c r="AH419" s="85">
        <f t="shared" si="330"/>
        <v>405</v>
      </c>
      <c r="AI419" s="85">
        <f t="shared" si="331"/>
        <v>15</v>
      </c>
      <c r="AJ419" s="871" t="s">
        <v>1526</v>
      </c>
    </row>
    <row r="420" spans="1:36" x14ac:dyDescent="0.2">
      <c r="A420" s="587">
        <f>INDEX(Country!$F$31:$G$76, MATCH(AI420, Country!$O$31:$O$76, 0), 1)</f>
        <v>1.1600000000000001</v>
      </c>
      <c r="B420" s="588" t="str">
        <f>INDEX(Country!$F$31:$G$76, MATCH(AI420, Country!$O$31:$O$76, 0), 2)</f>
        <v>Electrification rate</v>
      </c>
      <c r="C420" s="589" t="str">
        <f>INDEX(Country!$K$31:$K$76, MATCH(AI420, Country!$O$31:$O$76, 0), 1)</f>
        <v>%</v>
      </c>
      <c r="D420" s="590" t="str">
        <f t="shared" si="322"/>
        <v>Argentina</v>
      </c>
      <c r="E420" s="607">
        <v>0.95</v>
      </c>
      <c r="F420" s="607">
        <v>0.95</v>
      </c>
      <c r="G420" s="607">
        <v>0.95</v>
      </c>
      <c r="H420" s="607">
        <v>0.97199999999999998</v>
      </c>
      <c r="I420" s="607">
        <v>0.97199999999999998</v>
      </c>
      <c r="J420" s="607">
        <v>0.97199999999999998</v>
      </c>
      <c r="K420" s="608">
        <v>0.97199999999999998</v>
      </c>
      <c r="L420" s="580">
        <f t="shared" ref="L420:L446" si="338">IFERROR(dbl_BenchmarkMax*( SUMIFS(E$15:E$1256, $D$15:$D$1256, "Benchmark", $B$15:$B$1256,$B420)/E420), 0)</f>
        <v>41.052631578947377</v>
      </c>
      <c r="M420" s="581">
        <f t="shared" ref="M420:M446" si="339">IFERROR(dbl_BenchmarkMax*( SUMIFS(F$15:F$1256, $D$15:$D$1256, "Benchmark", $B$15:$B$1256,$B420)/F420), 0)</f>
        <v>41.052631578947377</v>
      </c>
      <c r="N420" s="581">
        <f t="shared" ref="N420:N446" si="340">IFERROR(dbl_BenchmarkMax*( SUMIFS(G$15:G$1256, $D$15:$D$1256, "Benchmark", $B$15:$B$1256,$B420)/G420), 0)</f>
        <v>41.052631578947377</v>
      </c>
      <c r="O420" s="581">
        <f t="shared" ref="O420:O446" si="341">IFERROR(dbl_BenchmarkMax*( SUMIFS(H$15:H$1256, $D$15:$D$1256, "Benchmark", $B$15:$B$1256,$B420)/H420), 0)</f>
        <v>39.609053497942384</v>
      </c>
      <c r="P420" s="581">
        <f t="shared" ref="P420:P446" si="342">IFERROR(dbl_BenchmarkMax*( SUMIFS(I$15:I$1256, $D$15:$D$1256, "Benchmark", $B$15:$B$1256,$B420)/I420), 0)</f>
        <v>39.609053497942384</v>
      </c>
      <c r="Q420" s="581">
        <f t="shared" ref="Q420:Q446" si="343">IFERROR(dbl_BenchmarkMax*( SUMIFS(J$15:J$1256, $D$15:$D$1256, "Benchmark", $B$15:$B$1256,$B420)/J420), 0)</f>
        <v>12.345679012345679</v>
      </c>
      <c r="R420" s="582">
        <f t="shared" ref="R420:R446" si="344">IFERROR(dbl_BenchmarkMax*( SUMIFS(K$15:K$1256, $D$15:$D$1256, "Benchmark", $B$15:$B$1256,$B420)/K420), 0)</f>
        <v>15.432098765432098</v>
      </c>
      <c r="S420" s="455"/>
      <c r="T420" s="456"/>
      <c r="U420" s="456"/>
      <c r="V420" s="456"/>
      <c r="W420" s="456"/>
      <c r="X420" s="456"/>
      <c r="Y420" s="456"/>
      <c r="Z420" s="455"/>
      <c r="AA420" s="456"/>
      <c r="AB420" s="456"/>
      <c r="AC420" s="456"/>
      <c r="AD420" s="456"/>
      <c r="AE420" s="456"/>
      <c r="AF420" s="456"/>
      <c r="AG420" s="396" t="str">
        <f t="shared" si="329"/>
        <v>1.16 &gt; Argentina</v>
      </c>
      <c r="AH420" s="397">
        <f t="shared" si="330"/>
        <v>406</v>
      </c>
      <c r="AI420" s="397">
        <f t="shared" si="331"/>
        <v>16</v>
      </c>
      <c r="AJ420" s="879" t="s">
        <v>1526</v>
      </c>
    </row>
    <row r="421" spans="1:36" x14ac:dyDescent="0.2">
      <c r="A421" s="492">
        <f>INDEX(Country!$F$31:$G$76, MATCH(AI421, Country!$O$31:$O$76, 0), 1)</f>
        <v>1.1600000000000001</v>
      </c>
      <c r="B421" s="2" t="str">
        <f>INDEX(Country!$F$31:$G$76, MATCH(AI421, Country!$O$31:$O$76, 0), 2)</f>
        <v>Electrification rate</v>
      </c>
      <c r="C421" s="436" t="str">
        <f>INDEX(Country!$K$31:$K$76, MATCH(AI421, Country!$O$31:$O$76, 0), 1)</f>
        <v>%</v>
      </c>
      <c r="D421" s="4" t="str">
        <f t="shared" si="322"/>
        <v>Bahamas</v>
      </c>
      <c r="E421" s="36">
        <v>0.87659166666666666</v>
      </c>
      <c r="F421" s="36">
        <v>0.87659166666666666</v>
      </c>
      <c r="G421" s="36">
        <v>0.87659166666666666</v>
      </c>
      <c r="H421" s="36">
        <v>0.87659166666666666</v>
      </c>
      <c r="I421" s="36">
        <v>0.87659166666666666</v>
      </c>
      <c r="J421" s="36">
        <v>0.87659166666666666</v>
      </c>
      <c r="K421" s="37">
        <v>0.87659166666666666</v>
      </c>
      <c r="L421" s="457">
        <f t="shared" si="338"/>
        <v>44.49049823654115</v>
      </c>
      <c r="M421" s="458">
        <f t="shared" si="339"/>
        <v>44.49049823654115</v>
      </c>
      <c r="N421" s="458">
        <f t="shared" si="340"/>
        <v>44.49049823654115</v>
      </c>
      <c r="O421" s="458">
        <f t="shared" si="341"/>
        <v>43.920107233508574</v>
      </c>
      <c r="P421" s="458">
        <f t="shared" si="342"/>
        <v>43.920107233508574</v>
      </c>
      <c r="Q421" s="458">
        <f t="shared" si="343"/>
        <v>13.689384072781891</v>
      </c>
      <c r="R421" s="459">
        <f t="shared" si="344"/>
        <v>17.111730090977364</v>
      </c>
      <c r="S421" s="455"/>
      <c r="T421" s="456"/>
      <c r="U421" s="456"/>
      <c r="V421" s="456"/>
      <c r="W421" s="456"/>
      <c r="X421" s="456"/>
      <c r="Y421" s="456"/>
      <c r="Z421" s="455"/>
      <c r="AA421" s="456"/>
      <c r="AB421" s="456"/>
      <c r="AC421" s="456"/>
      <c r="AD421" s="456"/>
      <c r="AE421" s="456"/>
      <c r="AF421" s="456"/>
      <c r="AG421" s="33" t="str">
        <f t="shared" si="329"/>
        <v>1.16 &gt; Bahamas</v>
      </c>
      <c r="AH421" s="84">
        <f t="shared" si="330"/>
        <v>407</v>
      </c>
      <c r="AI421" s="84">
        <f t="shared" si="331"/>
        <v>16</v>
      </c>
      <c r="AJ421" s="877" t="s">
        <v>1526</v>
      </c>
    </row>
    <row r="422" spans="1:36" x14ac:dyDescent="0.2">
      <c r="A422" s="492">
        <f>INDEX(Country!$F$31:$G$76, MATCH(AI422, Country!$O$31:$O$76, 0), 1)</f>
        <v>1.1600000000000001</v>
      </c>
      <c r="B422" s="2" t="str">
        <f>INDEX(Country!$F$31:$G$76, MATCH(AI422, Country!$O$31:$O$76, 0), 2)</f>
        <v>Electrification rate</v>
      </c>
      <c r="C422" s="436" t="str">
        <f>INDEX(Country!$K$31:$K$76, MATCH(AI422, Country!$O$31:$O$76, 0), 1)</f>
        <v>%</v>
      </c>
      <c r="D422" s="4" t="str">
        <f t="shared" si="322"/>
        <v>Barbados</v>
      </c>
      <c r="E422" s="36">
        <v>0.87659166666666666</v>
      </c>
      <c r="F422" s="36">
        <v>0.87659166666666666</v>
      </c>
      <c r="G422" s="36">
        <v>0.87659166666666666</v>
      </c>
      <c r="H422" s="36">
        <v>0.98</v>
      </c>
      <c r="I422" s="36">
        <v>0.98</v>
      </c>
      <c r="J422" s="36">
        <v>0.98</v>
      </c>
      <c r="K422" s="37">
        <v>0.98</v>
      </c>
      <c r="L422" s="457">
        <f t="shared" si="338"/>
        <v>44.49049823654115</v>
      </c>
      <c r="M422" s="458">
        <f t="shared" si="339"/>
        <v>44.49049823654115</v>
      </c>
      <c r="N422" s="458">
        <f t="shared" si="340"/>
        <v>44.49049823654115</v>
      </c>
      <c r="O422" s="458">
        <f t="shared" si="341"/>
        <v>39.285714285714285</v>
      </c>
      <c r="P422" s="458">
        <f t="shared" si="342"/>
        <v>39.285714285714285</v>
      </c>
      <c r="Q422" s="458">
        <f t="shared" si="343"/>
        <v>12.244897959183673</v>
      </c>
      <c r="R422" s="459">
        <f t="shared" si="344"/>
        <v>15.306122448979592</v>
      </c>
      <c r="S422" s="455"/>
      <c r="T422" s="456"/>
      <c r="U422" s="456"/>
      <c r="V422" s="456"/>
      <c r="W422" s="456"/>
      <c r="X422" s="456"/>
      <c r="Y422" s="456"/>
      <c r="Z422" s="455"/>
      <c r="AA422" s="456"/>
      <c r="AB422" s="456"/>
      <c r="AC422" s="456"/>
      <c r="AD422" s="456"/>
      <c r="AE422" s="456"/>
      <c r="AF422" s="456"/>
      <c r="AG422" s="33" t="str">
        <f t="shared" si="329"/>
        <v>1.16 &gt; Barbados</v>
      </c>
      <c r="AH422" s="84">
        <f t="shared" si="330"/>
        <v>408</v>
      </c>
      <c r="AI422" s="84">
        <f t="shared" si="331"/>
        <v>16</v>
      </c>
      <c r="AJ422" s="877" t="s">
        <v>1526</v>
      </c>
    </row>
    <row r="423" spans="1:36" x14ac:dyDescent="0.2">
      <c r="A423" s="492">
        <f>INDEX(Country!$F$31:$G$76, MATCH(AI423, Country!$O$31:$O$76, 0), 1)</f>
        <v>1.1600000000000001</v>
      </c>
      <c r="B423" s="2" t="str">
        <f>INDEX(Country!$F$31:$G$76, MATCH(AI423, Country!$O$31:$O$76, 0), 2)</f>
        <v>Electrification rate</v>
      </c>
      <c r="C423" s="436" t="str">
        <f>INDEX(Country!$K$31:$K$76, MATCH(AI423, Country!$O$31:$O$76, 0), 1)</f>
        <v>%</v>
      </c>
      <c r="D423" s="4" t="str">
        <f t="shared" si="322"/>
        <v>Belize</v>
      </c>
      <c r="E423" s="42">
        <v>0.9</v>
      </c>
      <c r="F423" s="36">
        <v>0.9</v>
      </c>
      <c r="G423" s="36">
        <v>0.9</v>
      </c>
      <c r="H423" s="36">
        <v>0.9</v>
      </c>
      <c r="I423" s="36">
        <v>0.9</v>
      </c>
      <c r="J423" s="36">
        <v>0.9</v>
      </c>
      <c r="K423" s="37">
        <v>0.9</v>
      </c>
      <c r="L423" s="457">
        <f t="shared" si="338"/>
        <v>43.333333333333336</v>
      </c>
      <c r="M423" s="458">
        <f t="shared" si="339"/>
        <v>43.333333333333336</v>
      </c>
      <c r="N423" s="458">
        <f t="shared" si="340"/>
        <v>43.333333333333336</v>
      </c>
      <c r="O423" s="458">
        <f t="shared" si="341"/>
        <v>42.777777777777779</v>
      </c>
      <c r="P423" s="458">
        <f t="shared" si="342"/>
        <v>42.777777777777779</v>
      </c>
      <c r="Q423" s="458">
        <f t="shared" si="343"/>
        <v>13.333333333333334</v>
      </c>
      <c r="R423" s="459">
        <f t="shared" si="344"/>
        <v>16.666666666666664</v>
      </c>
      <c r="S423" s="455"/>
      <c r="T423" s="456"/>
      <c r="U423" s="456"/>
      <c r="V423" s="456"/>
      <c r="W423" s="456"/>
      <c r="X423" s="456"/>
      <c r="Y423" s="456"/>
      <c r="Z423" s="455"/>
      <c r="AA423" s="456"/>
      <c r="AB423" s="456"/>
      <c r="AC423" s="456"/>
      <c r="AD423" s="456"/>
      <c r="AE423" s="456"/>
      <c r="AF423" s="456"/>
      <c r="AG423" s="33" t="str">
        <f t="shared" si="329"/>
        <v>1.16 &gt; Belize</v>
      </c>
      <c r="AH423" s="84">
        <f t="shared" si="330"/>
        <v>409</v>
      </c>
      <c r="AI423" s="84">
        <f t="shared" si="331"/>
        <v>16</v>
      </c>
      <c r="AJ423" s="877" t="s">
        <v>1526</v>
      </c>
    </row>
    <row r="424" spans="1:36" x14ac:dyDescent="0.2">
      <c r="A424" s="492">
        <f>INDEX(Country!$F$31:$G$76, MATCH(AI424, Country!$O$31:$O$76, 0), 1)</f>
        <v>1.1600000000000001</v>
      </c>
      <c r="B424" s="2" t="str">
        <f>INDEX(Country!$F$31:$G$76, MATCH(AI424, Country!$O$31:$O$76, 0), 2)</f>
        <v>Electrification rate</v>
      </c>
      <c r="C424" s="436" t="str">
        <f>INDEX(Country!$K$31:$K$76, MATCH(AI424, Country!$O$31:$O$76, 0), 1)</f>
        <v>%</v>
      </c>
      <c r="D424" s="4" t="str">
        <f t="shared" si="322"/>
        <v>Bolivia</v>
      </c>
      <c r="E424" s="36">
        <v>0.76</v>
      </c>
      <c r="F424" s="36">
        <v>0.76</v>
      </c>
      <c r="G424" s="36">
        <v>0.76</v>
      </c>
      <c r="H424" s="42">
        <v>0.77500000000000002</v>
      </c>
      <c r="I424" s="36">
        <v>0.77500000000000002</v>
      </c>
      <c r="J424" s="36">
        <v>0.77500000000000002</v>
      </c>
      <c r="K424" s="37">
        <v>0.77500000000000002</v>
      </c>
      <c r="L424" s="457">
        <f t="shared" si="338"/>
        <v>51.315789473684212</v>
      </c>
      <c r="M424" s="458">
        <f t="shared" si="339"/>
        <v>51.315789473684212</v>
      </c>
      <c r="N424" s="458">
        <f t="shared" si="340"/>
        <v>51.315789473684212</v>
      </c>
      <c r="O424" s="458">
        <f t="shared" si="341"/>
        <v>49.677419354838712</v>
      </c>
      <c r="P424" s="458">
        <f t="shared" si="342"/>
        <v>49.677419354838712</v>
      </c>
      <c r="Q424" s="458">
        <f t="shared" si="343"/>
        <v>15.483870967741934</v>
      </c>
      <c r="R424" s="459">
        <f t="shared" si="344"/>
        <v>19.35483870967742</v>
      </c>
      <c r="S424" s="455"/>
      <c r="T424" s="456"/>
      <c r="U424" s="456"/>
      <c r="V424" s="456"/>
      <c r="W424" s="456"/>
      <c r="X424" s="456"/>
      <c r="Y424" s="456"/>
      <c r="Z424" s="455"/>
      <c r="AA424" s="456"/>
      <c r="AB424" s="456"/>
      <c r="AC424" s="456"/>
      <c r="AD424" s="456"/>
      <c r="AE424" s="456"/>
      <c r="AF424" s="456"/>
      <c r="AG424" s="33" t="str">
        <f t="shared" si="329"/>
        <v>1.16 &gt; Bolivia</v>
      </c>
      <c r="AH424" s="84">
        <f t="shared" si="330"/>
        <v>410</v>
      </c>
      <c r="AI424" s="84">
        <f t="shared" si="331"/>
        <v>16</v>
      </c>
      <c r="AJ424" s="877" t="s">
        <v>1526</v>
      </c>
    </row>
    <row r="425" spans="1:36" x14ac:dyDescent="0.2">
      <c r="A425" s="492">
        <f>INDEX(Country!$F$31:$G$76, MATCH(AI425, Country!$O$31:$O$76, 0), 1)</f>
        <v>1.1600000000000001</v>
      </c>
      <c r="B425" s="2" t="str">
        <f>INDEX(Country!$F$31:$G$76, MATCH(AI425, Country!$O$31:$O$76, 0), 2)</f>
        <v>Electrification rate</v>
      </c>
      <c r="C425" s="436" t="str">
        <f>INDEX(Country!$K$31:$K$76, MATCH(AI425, Country!$O$31:$O$76, 0), 1)</f>
        <v>%</v>
      </c>
      <c r="D425" s="4" t="str">
        <f t="shared" si="322"/>
        <v>Brazil</v>
      </c>
      <c r="E425" s="36">
        <v>0.97</v>
      </c>
      <c r="F425" s="36">
        <v>0.97</v>
      </c>
      <c r="G425" s="36">
        <v>0.97</v>
      </c>
      <c r="H425" s="36">
        <v>0.98299999999999998</v>
      </c>
      <c r="I425" s="36">
        <v>0.98299999999999998</v>
      </c>
      <c r="J425" s="36">
        <v>0.98299999999999998</v>
      </c>
      <c r="K425" s="37">
        <v>0.98299999999999998</v>
      </c>
      <c r="L425" s="457">
        <f t="shared" si="338"/>
        <v>40.206185567010309</v>
      </c>
      <c r="M425" s="458">
        <f t="shared" si="339"/>
        <v>40.206185567010309</v>
      </c>
      <c r="N425" s="458">
        <f t="shared" si="340"/>
        <v>40.206185567010309</v>
      </c>
      <c r="O425" s="458">
        <f t="shared" si="341"/>
        <v>39.165818921668368</v>
      </c>
      <c r="P425" s="458">
        <f t="shared" si="342"/>
        <v>39.165818921668368</v>
      </c>
      <c r="Q425" s="458">
        <f t="shared" si="343"/>
        <v>12.207527975584943</v>
      </c>
      <c r="R425" s="459">
        <f t="shared" si="344"/>
        <v>15.25940996948118</v>
      </c>
      <c r="S425" s="455"/>
      <c r="T425" s="456"/>
      <c r="U425" s="456"/>
      <c r="V425" s="456"/>
      <c r="W425" s="456"/>
      <c r="X425" s="456"/>
      <c r="Y425" s="456"/>
      <c r="Z425" s="455"/>
      <c r="AA425" s="456"/>
      <c r="AB425" s="456"/>
      <c r="AC425" s="456"/>
      <c r="AD425" s="456"/>
      <c r="AE425" s="456"/>
      <c r="AF425" s="456"/>
      <c r="AG425" s="33" t="str">
        <f t="shared" si="329"/>
        <v>1.16 &gt; Brazil</v>
      </c>
      <c r="AH425" s="84">
        <f t="shared" si="330"/>
        <v>411</v>
      </c>
      <c r="AI425" s="84">
        <f t="shared" si="331"/>
        <v>16</v>
      </c>
      <c r="AJ425" s="877" t="s">
        <v>1526</v>
      </c>
    </row>
    <row r="426" spans="1:36" x14ac:dyDescent="0.2">
      <c r="A426" s="492">
        <f>INDEX(Country!$F$31:$G$76, MATCH(AI426, Country!$O$31:$O$76, 0), 1)</f>
        <v>1.1600000000000001</v>
      </c>
      <c r="B426" s="2" t="str">
        <f>INDEX(Country!$F$31:$G$76, MATCH(AI426, Country!$O$31:$O$76, 0), 2)</f>
        <v>Electrification rate</v>
      </c>
      <c r="C426" s="436" t="str">
        <f>INDEX(Country!$K$31:$K$76, MATCH(AI426, Country!$O$31:$O$76, 0), 1)</f>
        <v>%</v>
      </c>
      <c r="D426" s="4" t="str">
        <f t="shared" si="322"/>
        <v>Chile</v>
      </c>
      <c r="E426" s="36">
        <v>0.97</v>
      </c>
      <c r="F426" s="36">
        <v>0.97</v>
      </c>
      <c r="G426" s="36">
        <v>0.97</v>
      </c>
      <c r="H426" s="36">
        <v>0.98499999999999999</v>
      </c>
      <c r="I426" s="36">
        <v>0.98499999999999999</v>
      </c>
      <c r="J426" s="36">
        <v>0.98499999999999999</v>
      </c>
      <c r="K426" s="37">
        <v>0.98499999999999999</v>
      </c>
      <c r="L426" s="457">
        <f t="shared" si="338"/>
        <v>40.206185567010309</v>
      </c>
      <c r="M426" s="458">
        <f t="shared" si="339"/>
        <v>40.206185567010309</v>
      </c>
      <c r="N426" s="458">
        <f t="shared" si="340"/>
        <v>40.206185567010309</v>
      </c>
      <c r="O426" s="458">
        <f t="shared" si="341"/>
        <v>39.086294416243653</v>
      </c>
      <c r="P426" s="458">
        <f t="shared" si="342"/>
        <v>39.086294416243653</v>
      </c>
      <c r="Q426" s="458">
        <f t="shared" si="343"/>
        <v>12.182741116751268</v>
      </c>
      <c r="R426" s="459">
        <f t="shared" si="344"/>
        <v>15.228426395939085</v>
      </c>
      <c r="S426" s="455"/>
      <c r="T426" s="456"/>
      <c r="U426" s="456"/>
      <c r="V426" s="456"/>
      <c r="W426" s="456"/>
      <c r="X426" s="456"/>
      <c r="Y426" s="456"/>
      <c r="Z426" s="455"/>
      <c r="AA426" s="456"/>
      <c r="AB426" s="456"/>
      <c r="AC426" s="456"/>
      <c r="AD426" s="456"/>
      <c r="AE426" s="456"/>
      <c r="AF426" s="456"/>
      <c r="AG426" s="33" t="str">
        <f t="shared" si="329"/>
        <v>1.16 &gt; Chile</v>
      </c>
      <c r="AH426" s="84">
        <f t="shared" si="330"/>
        <v>412</v>
      </c>
      <c r="AI426" s="84">
        <f t="shared" si="331"/>
        <v>16</v>
      </c>
      <c r="AJ426" s="877" t="s">
        <v>1526</v>
      </c>
    </row>
    <row r="427" spans="1:36" x14ac:dyDescent="0.2">
      <c r="A427" s="492">
        <f>INDEX(Country!$F$31:$G$76, MATCH(AI427, Country!$O$31:$O$76, 0), 1)</f>
        <v>1.1600000000000001</v>
      </c>
      <c r="B427" s="2" t="str">
        <f>INDEX(Country!$F$31:$G$76, MATCH(AI427, Country!$O$31:$O$76, 0), 2)</f>
        <v>Electrification rate</v>
      </c>
      <c r="C427" s="436" t="str">
        <f>INDEX(Country!$K$31:$K$76, MATCH(AI427, Country!$O$31:$O$76, 0), 1)</f>
        <v>%</v>
      </c>
      <c r="D427" s="4" t="str">
        <f t="shared" ref="D427:D490" si="345">D400</f>
        <v>Colombia</v>
      </c>
      <c r="E427" s="36">
        <v>0.93</v>
      </c>
      <c r="F427" s="36">
        <v>0.93</v>
      </c>
      <c r="G427" s="36">
        <v>0.93</v>
      </c>
      <c r="H427" s="36">
        <v>0.93</v>
      </c>
      <c r="I427" s="36">
        <v>0.96</v>
      </c>
      <c r="J427" s="36">
        <v>0.97099999999999997</v>
      </c>
      <c r="K427" s="37">
        <v>0.97499999999999998</v>
      </c>
      <c r="L427" s="457">
        <f t="shared" si="338"/>
        <v>41.935483870967744</v>
      </c>
      <c r="M427" s="458">
        <f t="shared" si="339"/>
        <v>41.935483870967744</v>
      </c>
      <c r="N427" s="458">
        <f t="shared" si="340"/>
        <v>41.935483870967744</v>
      </c>
      <c r="O427" s="458">
        <f t="shared" si="341"/>
        <v>41.397849462365585</v>
      </c>
      <c r="P427" s="458">
        <f t="shared" si="342"/>
        <v>40.104166666666671</v>
      </c>
      <c r="Q427" s="458">
        <f t="shared" si="343"/>
        <v>12.358393408856848</v>
      </c>
      <c r="R427" s="459">
        <f t="shared" si="344"/>
        <v>15.384615384615385</v>
      </c>
      <c r="S427" s="455"/>
      <c r="T427" s="456"/>
      <c r="U427" s="456"/>
      <c r="V427" s="456"/>
      <c r="W427" s="456"/>
      <c r="X427" s="456"/>
      <c r="Y427" s="456"/>
      <c r="Z427" s="455"/>
      <c r="AA427" s="456"/>
      <c r="AB427" s="456"/>
      <c r="AC427" s="456"/>
      <c r="AD427" s="456"/>
      <c r="AE427" s="456"/>
      <c r="AF427" s="456"/>
      <c r="AG427" s="33" t="str">
        <f t="shared" si="329"/>
        <v>1.16 &gt; Colombia</v>
      </c>
      <c r="AH427" s="84">
        <f t="shared" si="330"/>
        <v>413</v>
      </c>
      <c r="AI427" s="84">
        <f t="shared" si="331"/>
        <v>16</v>
      </c>
      <c r="AJ427" s="877" t="s">
        <v>1526</v>
      </c>
    </row>
    <row r="428" spans="1:36" x14ac:dyDescent="0.2">
      <c r="A428" s="492">
        <f>INDEX(Country!$F$31:$G$76, MATCH(AI428, Country!$O$31:$O$76, 0), 1)</f>
        <v>1.1600000000000001</v>
      </c>
      <c r="B428" s="2" t="str">
        <f>INDEX(Country!$F$31:$G$76, MATCH(AI428, Country!$O$31:$O$76, 0), 2)</f>
        <v>Electrification rate</v>
      </c>
      <c r="C428" s="436" t="str">
        <f>INDEX(Country!$K$31:$K$76, MATCH(AI428, Country!$O$31:$O$76, 0), 1)</f>
        <v>%</v>
      </c>
      <c r="D428" s="4" t="str">
        <f t="shared" si="345"/>
        <v>Costa Rica</v>
      </c>
      <c r="E428" s="36">
        <v>0.98980000000000001</v>
      </c>
      <c r="F428" s="36">
        <v>0.98980000000000001</v>
      </c>
      <c r="G428" s="36">
        <v>0.98980000000000001</v>
      </c>
      <c r="H428" s="36">
        <v>0.99299999999999999</v>
      </c>
      <c r="I428" s="36">
        <v>0.99299999999999999</v>
      </c>
      <c r="J428" s="36">
        <v>0.99299999999999999</v>
      </c>
      <c r="K428" s="37">
        <v>0.99299999999999999</v>
      </c>
      <c r="L428" s="457">
        <f t="shared" si="338"/>
        <v>39.401899373610831</v>
      </c>
      <c r="M428" s="458">
        <f t="shared" si="339"/>
        <v>39.401899373610831</v>
      </c>
      <c r="N428" s="458">
        <f t="shared" si="340"/>
        <v>39.401899373610831</v>
      </c>
      <c r="O428" s="458">
        <f t="shared" si="341"/>
        <v>38.771399798590132</v>
      </c>
      <c r="P428" s="458">
        <f t="shared" si="342"/>
        <v>38.771399798590132</v>
      </c>
      <c r="Q428" s="458">
        <f t="shared" si="343"/>
        <v>12.084592145015105</v>
      </c>
      <c r="R428" s="459">
        <f t="shared" si="344"/>
        <v>15.105740181268882</v>
      </c>
      <c r="S428" s="455"/>
      <c r="T428" s="456"/>
      <c r="U428" s="456"/>
      <c r="V428" s="456"/>
      <c r="W428" s="456"/>
      <c r="X428" s="456"/>
      <c r="Y428" s="456"/>
      <c r="Z428" s="455"/>
      <c r="AA428" s="456"/>
      <c r="AB428" s="456"/>
      <c r="AC428" s="456"/>
      <c r="AD428" s="456"/>
      <c r="AE428" s="456"/>
      <c r="AF428" s="456"/>
      <c r="AG428" s="33" t="str">
        <f t="shared" si="329"/>
        <v>1.16 &gt; Costa Rica</v>
      </c>
      <c r="AH428" s="84">
        <f t="shared" si="330"/>
        <v>414</v>
      </c>
      <c r="AI428" s="84">
        <f t="shared" si="331"/>
        <v>16</v>
      </c>
      <c r="AJ428" s="877" t="s">
        <v>1526</v>
      </c>
    </row>
    <row r="429" spans="1:36" x14ac:dyDescent="0.2">
      <c r="A429" s="492">
        <f>INDEX(Country!$F$31:$G$76, MATCH(AI429, Country!$O$31:$O$76, 0), 1)</f>
        <v>1.1600000000000001</v>
      </c>
      <c r="B429" s="2" t="str">
        <f>INDEX(Country!$F$31:$G$76, MATCH(AI429, Country!$O$31:$O$76, 0), 2)</f>
        <v>Electrification rate</v>
      </c>
      <c r="C429" s="436" t="str">
        <f>INDEX(Country!$K$31:$K$76, MATCH(AI429, Country!$O$31:$O$76, 0), 1)</f>
        <v>%</v>
      </c>
      <c r="D429" s="4" t="str">
        <f t="shared" si="345"/>
        <v>Dominican Republic</v>
      </c>
      <c r="E429" s="36">
        <v>0.96</v>
      </c>
      <c r="F429" s="36">
        <v>0.96</v>
      </c>
      <c r="G429" s="36">
        <v>0.96</v>
      </c>
      <c r="H429" s="36">
        <v>0.95899999999999996</v>
      </c>
      <c r="I429" s="36">
        <v>0.95899999999999996</v>
      </c>
      <c r="J429" s="36">
        <v>0.95899999999999996</v>
      </c>
      <c r="K429" s="37">
        <v>0.95899999999999996</v>
      </c>
      <c r="L429" s="457">
        <f t="shared" si="338"/>
        <v>40.625000000000007</v>
      </c>
      <c r="M429" s="458">
        <f t="shared" si="339"/>
        <v>40.625000000000007</v>
      </c>
      <c r="N429" s="458">
        <f t="shared" si="340"/>
        <v>40.625000000000007</v>
      </c>
      <c r="O429" s="458">
        <f t="shared" si="341"/>
        <v>40.145985401459853</v>
      </c>
      <c r="P429" s="458">
        <f t="shared" si="342"/>
        <v>40.145985401459853</v>
      </c>
      <c r="Q429" s="458">
        <f t="shared" si="343"/>
        <v>12.513034410844631</v>
      </c>
      <c r="R429" s="459">
        <f t="shared" si="344"/>
        <v>15.641293013555787</v>
      </c>
      <c r="S429" s="455"/>
      <c r="T429" s="456"/>
      <c r="U429" s="456"/>
      <c r="V429" s="456"/>
      <c r="W429" s="456"/>
      <c r="X429" s="456"/>
      <c r="Y429" s="456"/>
      <c r="Z429" s="455"/>
      <c r="AA429" s="456"/>
      <c r="AB429" s="456"/>
      <c r="AC429" s="456"/>
      <c r="AD429" s="456"/>
      <c r="AE429" s="456"/>
      <c r="AF429" s="456"/>
      <c r="AG429" s="33" t="str">
        <f t="shared" si="329"/>
        <v>1.16 &gt; Dominican Republic</v>
      </c>
      <c r="AH429" s="84">
        <f t="shared" si="330"/>
        <v>415</v>
      </c>
      <c r="AI429" s="84">
        <f t="shared" si="331"/>
        <v>16</v>
      </c>
      <c r="AJ429" s="877" t="s">
        <v>1526</v>
      </c>
    </row>
    <row r="430" spans="1:36" x14ac:dyDescent="0.2">
      <c r="A430" s="492">
        <f>INDEX(Country!$F$31:$G$76, MATCH(AI430, Country!$O$31:$O$76, 0), 1)</f>
        <v>1.1600000000000001</v>
      </c>
      <c r="B430" s="2" t="str">
        <f>INDEX(Country!$F$31:$G$76, MATCH(AI430, Country!$O$31:$O$76, 0), 2)</f>
        <v>Electrification rate</v>
      </c>
      <c r="C430" s="436" t="str">
        <f>INDEX(Country!$K$31:$K$76, MATCH(AI430, Country!$O$31:$O$76, 0), 1)</f>
        <v>%</v>
      </c>
      <c r="D430" s="4" t="str">
        <f t="shared" si="345"/>
        <v>Ecuador</v>
      </c>
      <c r="E430" s="36">
        <v>0.91</v>
      </c>
      <c r="F430" s="36">
        <v>0.91</v>
      </c>
      <c r="G430" s="36">
        <v>0.91</v>
      </c>
      <c r="H430" s="36">
        <v>0.92200000000000004</v>
      </c>
      <c r="I430" s="36">
        <v>0.92200000000000004</v>
      </c>
      <c r="J430" s="36">
        <v>0.92200000000000004</v>
      </c>
      <c r="K430" s="37">
        <v>0.92200000000000004</v>
      </c>
      <c r="L430" s="457">
        <f t="shared" si="338"/>
        <v>42.857142857142854</v>
      </c>
      <c r="M430" s="458">
        <f t="shared" si="339"/>
        <v>42.857142857142854</v>
      </c>
      <c r="N430" s="458">
        <f t="shared" si="340"/>
        <v>42.857142857142854</v>
      </c>
      <c r="O430" s="458">
        <f t="shared" si="341"/>
        <v>41.757049891540127</v>
      </c>
      <c r="P430" s="458">
        <f t="shared" si="342"/>
        <v>41.757049891540127</v>
      </c>
      <c r="Q430" s="458">
        <f t="shared" si="343"/>
        <v>13.015184381778742</v>
      </c>
      <c r="R430" s="459">
        <f t="shared" si="344"/>
        <v>16.268980477223426</v>
      </c>
      <c r="S430" s="455"/>
      <c r="T430" s="456"/>
      <c r="U430" s="456"/>
      <c r="V430" s="456"/>
      <c r="W430" s="456"/>
      <c r="X430" s="456"/>
      <c r="Y430" s="456"/>
      <c r="Z430" s="455"/>
      <c r="AA430" s="456"/>
      <c r="AB430" s="456"/>
      <c r="AC430" s="456"/>
      <c r="AD430" s="456"/>
      <c r="AE430" s="456"/>
      <c r="AF430" s="456"/>
      <c r="AG430" s="33" t="str">
        <f t="shared" si="329"/>
        <v>1.16 &gt; Ecuador</v>
      </c>
      <c r="AH430" s="84">
        <f t="shared" si="330"/>
        <v>416</v>
      </c>
      <c r="AI430" s="84">
        <f t="shared" si="331"/>
        <v>16</v>
      </c>
      <c r="AJ430" s="877" t="s">
        <v>1526</v>
      </c>
    </row>
    <row r="431" spans="1:36" x14ac:dyDescent="0.2">
      <c r="A431" s="492">
        <f>INDEX(Country!$F$31:$G$76, MATCH(AI431, Country!$O$31:$O$76, 0), 1)</f>
        <v>1.1600000000000001</v>
      </c>
      <c r="B431" s="2" t="str">
        <f>INDEX(Country!$F$31:$G$76, MATCH(AI431, Country!$O$31:$O$76, 0), 2)</f>
        <v>Electrification rate</v>
      </c>
      <c r="C431" s="436" t="str">
        <f>INDEX(Country!$K$31:$K$76, MATCH(AI431, Country!$O$31:$O$76, 0), 1)</f>
        <v>%</v>
      </c>
      <c r="D431" s="4" t="str">
        <f t="shared" si="345"/>
        <v>El Salvador</v>
      </c>
      <c r="E431" s="36">
        <v>0.85</v>
      </c>
      <c r="F431" s="36">
        <v>0.85</v>
      </c>
      <c r="G431" s="36">
        <v>0.85</v>
      </c>
      <c r="H431" s="36">
        <v>0.86399999999999999</v>
      </c>
      <c r="I431" s="36">
        <v>0.86399999999999999</v>
      </c>
      <c r="J431" s="36">
        <v>0.86399999999999999</v>
      </c>
      <c r="K431" s="37">
        <v>0.86399999999999999</v>
      </c>
      <c r="L431" s="457">
        <f t="shared" si="338"/>
        <v>45.882352941176471</v>
      </c>
      <c r="M431" s="458">
        <f t="shared" si="339"/>
        <v>45.882352941176471</v>
      </c>
      <c r="N431" s="458">
        <f t="shared" si="340"/>
        <v>45.882352941176471</v>
      </c>
      <c r="O431" s="458">
        <f t="shared" si="341"/>
        <v>44.560185185185183</v>
      </c>
      <c r="P431" s="458">
        <f t="shared" si="342"/>
        <v>44.560185185185183</v>
      </c>
      <c r="Q431" s="458">
        <f t="shared" si="343"/>
        <v>13.888888888888889</v>
      </c>
      <c r="R431" s="459">
        <f t="shared" si="344"/>
        <v>17.361111111111111</v>
      </c>
      <c r="S431" s="455"/>
      <c r="T431" s="456"/>
      <c r="U431" s="456"/>
      <c r="V431" s="456"/>
      <c r="W431" s="456"/>
      <c r="X431" s="456"/>
      <c r="Y431" s="456"/>
      <c r="Z431" s="455"/>
      <c r="AA431" s="456"/>
      <c r="AB431" s="456"/>
      <c r="AC431" s="456"/>
      <c r="AD431" s="456"/>
      <c r="AE431" s="456"/>
      <c r="AF431" s="456"/>
      <c r="AG431" s="33" t="str">
        <f t="shared" si="329"/>
        <v>1.16 &gt; El Salvador</v>
      </c>
      <c r="AH431" s="84">
        <f t="shared" si="330"/>
        <v>417</v>
      </c>
      <c r="AI431" s="84">
        <f t="shared" si="331"/>
        <v>16</v>
      </c>
      <c r="AJ431" s="877" t="s">
        <v>1526</v>
      </c>
    </row>
    <row r="432" spans="1:36" x14ac:dyDescent="0.2">
      <c r="A432" s="492">
        <f>INDEX(Country!$F$31:$G$76, MATCH(AI432, Country!$O$31:$O$76, 0), 1)</f>
        <v>1.1600000000000001</v>
      </c>
      <c r="B432" s="2" t="str">
        <f>INDEX(Country!$F$31:$G$76, MATCH(AI432, Country!$O$31:$O$76, 0), 2)</f>
        <v>Electrification rate</v>
      </c>
      <c r="C432" s="436" t="str">
        <f>INDEX(Country!$K$31:$K$76, MATCH(AI432, Country!$O$31:$O$76, 0), 1)</f>
        <v>%</v>
      </c>
      <c r="D432" s="4" t="str">
        <f t="shared" si="345"/>
        <v>Guatemala</v>
      </c>
      <c r="E432" s="36">
        <v>0.8</v>
      </c>
      <c r="F432" s="36">
        <v>0.8</v>
      </c>
      <c r="G432" s="36">
        <v>0.8</v>
      </c>
      <c r="H432" s="36">
        <v>0.80500000000000005</v>
      </c>
      <c r="I432" s="36">
        <v>0.80500000000000005</v>
      </c>
      <c r="J432" s="36">
        <v>0.80500000000000005</v>
      </c>
      <c r="K432" s="37">
        <v>0.80500000000000005</v>
      </c>
      <c r="L432" s="457">
        <f t="shared" si="338"/>
        <v>48.75</v>
      </c>
      <c r="M432" s="458">
        <f t="shared" si="339"/>
        <v>48.75</v>
      </c>
      <c r="N432" s="458">
        <f t="shared" si="340"/>
        <v>48.75</v>
      </c>
      <c r="O432" s="458">
        <f t="shared" si="341"/>
        <v>47.826086956521735</v>
      </c>
      <c r="P432" s="458">
        <f t="shared" si="342"/>
        <v>47.826086956521735</v>
      </c>
      <c r="Q432" s="458">
        <f t="shared" si="343"/>
        <v>14.906832298136644</v>
      </c>
      <c r="R432" s="459">
        <f t="shared" si="344"/>
        <v>18.633540372670808</v>
      </c>
      <c r="S432" s="455"/>
      <c r="T432" s="456"/>
      <c r="U432" s="456"/>
      <c r="V432" s="456"/>
      <c r="W432" s="456"/>
      <c r="X432" s="456"/>
      <c r="Y432" s="456"/>
      <c r="Z432" s="455"/>
      <c r="AA432" s="456"/>
      <c r="AB432" s="456"/>
      <c r="AC432" s="456"/>
      <c r="AD432" s="456"/>
      <c r="AE432" s="456"/>
      <c r="AF432" s="456"/>
      <c r="AG432" s="33" t="str">
        <f t="shared" si="329"/>
        <v>1.16 &gt; Guatemala</v>
      </c>
      <c r="AH432" s="84">
        <f t="shared" si="330"/>
        <v>418</v>
      </c>
      <c r="AI432" s="84">
        <f t="shared" si="331"/>
        <v>16</v>
      </c>
      <c r="AJ432" s="877" t="s">
        <v>1526</v>
      </c>
    </row>
    <row r="433" spans="1:36" x14ac:dyDescent="0.2">
      <c r="A433" s="492">
        <f>INDEX(Country!$F$31:$G$76, MATCH(AI433, Country!$O$31:$O$76, 0), 1)</f>
        <v>1.1600000000000001</v>
      </c>
      <c r="B433" s="2" t="str">
        <f>INDEX(Country!$F$31:$G$76, MATCH(AI433, Country!$O$31:$O$76, 0), 2)</f>
        <v>Electrification rate</v>
      </c>
      <c r="C433" s="436" t="str">
        <f>INDEX(Country!$K$31:$K$76, MATCH(AI433, Country!$O$31:$O$76, 0), 1)</f>
        <v>%</v>
      </c>
      <c r="D433" s="4" t="str">
        <f t="shared" si="345"/>
        <v>Guyana</v>
      </c>
      <c r="E433" s="36">
        <v>0.82</v>
      </c>
      <c r="F433" s="36">
        <v>0.82</v>
      </c>
      <c r="G433" s="36">
        <v>0.82</v>
      </c>
      <c r="H433" s="36">
        <v>0.82</v>
      </c>
      <c r="I433" s="36">
        <v>0.82</v>
      </c>
      <c r="J433" s="36">
        <v>0.82</v>
      </c>
      <c r="K433" s="37">
        <v>0.82</v>
      </c>
      <c r="L433" s="457">
        <f t="shared" si="338"/>
        <v>47.560975609756099</v>
      </c>
      <c r="M433" s="458">
        <f t="shared" si="339"/>
        <v>47.560975609756099</v>
      </c>
      <c r="N433" s="458">
        <f t="shared" si="340"/>
        <v>47.560975609756099</v>
      </c>
      <c r="O433" s="458">
        <f t="shared" si="341"/>
        <v>46.951219512195124</v>
      </c>
      <c r="P433" s="458">
        <f t="shared" si="342"/>
        <v>46.951219512195124</v>
      </c>
      <c r="Q433" s="458">
        <f t="shared" si="343"/>
        <v>14.634146341463413</v>
      </c>
      <c r="R433" s="459">
        <f t="shared" si="344"/>
        <v>18.292682926829269</v>
      </c>
      <c r="S433" s="455"/>
      <c r="T433" s="456"/>
      <c r="U433" s="456"/>
      <c r="V433" s="456"/>
      <c r="W433" s="456"/>
      <c r="X433" s="456"/>
      <c r="Y433" s="456"/>
      <c r="Z433" s="455"/>
      <c r="AA433" s="456"/>
      <c r="AB433" s="456"/>
      <c r="AC433" s="456"/>
      <c r="AD433" s="456"/>
      <c r="AE433" s="456"/>
      <c r="AF433" s="456"/>
      <c r="AG433" s="33" t="str">
        <f t="shared" si="329"/>
        <v>1.16 &gt; Guyana</v>
      </c>
      <c r="AH433" s="84">
        <f t="shared" si="330"/>
        <v>419</v>
      </c>
      <c r="AI433" s="84">
        <f t="shared" si="331"/>
        <v>16</v>
      </c>
      <c r="AJ433" s="877" t="s">
        <v>1526</v>
      </c>
    </row>
    <row r="434" spans="1:36" x14ac:dyDescent="0.2">
      <c r="A434" s="492">
        <f>INDEX(Country!$F$31:$G$76, MATCH(AI434, Country!$O$31:$O$76, 0), 1)</f>
        <v>1.1600000000000001</v>
      </c>
      <c r="B434" s="2" t="str">
        <f>INDEX(Country!$F$31:$G$76, MATCH(AI434, Country!$O$31:$O$76, 0), 2)</f>
        <v>Electrification rate</v>
      </c>
      <c r="C434" s="436" t="str">
        <f>INDEX(Country!$K$31:$K$76, MATCH(AI434, Country!$O$31:$O$76, 0), 1)</f>
        <v>%</v>
      </c>
      <c r="D434" s="4" t="str">
        <f t="shared" si="345"/>
        <v>Haiti</v>
      </c>
      <c r="E434" s="36">
        <v>0.39</v>
      </c>
      <c r="F434" s="36">
        <v>0.39</v>
      </c>
      <c r="G434" s="36">
        <v>0.39</v>
      </c>
      <c r="H434" s="36">
        <v>0.38500000000000001</v>
      </c>
      <c r="I434" s="36">
        <v>0.38500000000000001</v>
      </c>
      <c r="J434" s="36">
        <v>0.12</v>
      </c>
      <c r="K434" s="37">
        <v>0.15</v>
      </c>
      <c r="L434" s="457">
        <f t="shared" si="338"/>
        <v>100</v>
      </c>
      <c r="M434" s="458">
        <f t="shared" si="339"/>
        <v>100</v>
      </c>
      <c r="N434" s="458">
        <f t="shared" si="340"/>
        <v>100</v>
      </c>
      <c r="O434" s="458">
        <f t="shared" si="341"/>
        <v>100</v>
      </c>
      <c r="P434" s="458">
        <f t="shared" si="342"/>
        <v>100</v>
      </c>
      <c r="Q434" s="458">
        <f t="shared" si="343"/>
        <v>100</v>
      </c>
      <c r="R434" s="459">
        <f t="shared" si="344"/>
        <v>100</v>
      </c>
      <c r="S434" s="455"/>
      <c r="T434" s="456"/>
      <c r="U434" s="456"/>
      <c r="V434" s="456"/>
      <c r="W434" s="456"/>
      <c r="X434" s="456"/>
      <c r="Y434" s="456"/>
      <c r="Z434" s="455"/>
      <c r="AA434" s="456"/>
      <c r="AB434" s="456"/>
      <c r="AC434" s="456"/>
      <c r="AD434" s="456"/>
      <c r="AE434" s="456"/>
      <c r="AF434" s="456"/>
      <c r="AG434" s="33" t="str">
        <f t="shared" si="329"/>
        <v>1.16 &gt; Haiti</v>
      </c>
      <c r="AH434" s="84">
        <f t="shared" si="330"/>
        <v>420</v>
      </c>
      <c r="AI434" s="84">
        <f t="shared" si="331"/>
        <v>16</v>
      </c>
      <c r="AJ434" s="877" t="s">
        <v>1526</v>
      </c>
    </row>
    <row r="435" spans="1:36" x14ac:dyDescent="0.2">
      <c r="A435" s="492">
        <f>INDEX(Country!$F$31:$G$76, MATCH(AI435, Country!$O$31:$O$76, 0), 1)</f>
        <v>1.1600000000000001</v>
      </c>
      <c r="B435" s="2" t="str">
        <f>INDEX(Country!$F$31:$G$76, MATCH(AI435, Country!$O$31:$O$76, 0), 2)</f>
        <v>Electrification rate</v>
      </c>
      <c r="C435" s="436" t="str">
        <f>INDEX(Country!$K$31:$K$76, MATCH(AI435, Country!$O$31:$O$76, 0), 1)</f>
        <v>%</v>
      </c>
      <c r="D435" s="4" t="str">
        <f t="shared" si="345"/>
        <v>Honduras</v>
      </c>
      <c r="E435" s="36">
        <v>0.7</v>
      </c>
      <c r="F435" s="36">
        <v>0.7</v>
      </c>
      <c r="G435" s="36">
        <v>0.7</v>
      </c>
      <c r="H435" s="36">
        <v>0.70299999999999996</v>
      </c>
      <c r="I435" s="36">
        <v>0.70299999999999996</v>
      </c>
      <c r="J435" s="36">
        <v>0.70299999999999996</v>
      </c>
      <c r="K435" s="37">
        <v>0.70299999999999996</v>
      </c>
      <c r="L435" s="457">
        <f t="shared" si="338"/>
        <v>55.714285714285715</v>
      </c>
      <c r="M435" s="458">
        <f t="shared" si="339"/>
        <v>55.714285714285715</v>
      </c>
      <c r="N435" s="458">
        <f t="shared" si="340"/>
        <v>55.714285714285715</v>
      </c>
      <c r="O435" s="458">
        <f t="shared" si="341"/>
        <v>54.765291607396868</v>
      </c>
      <c r="P435" s="458">
        <f t="shared" si="342"/>
        <v>54.765291607396868</v>
      </c>
      <c r="Q435" s="458">
        <f t="shared" si="343"/>
        <v>17.069701280227598</v>
      </c>
      <c r="R435" s="459">
        <f t="shared" si="344"/>
        <v>21.337126600284495</v>
      </c>
      <c r="S435" s="455"/>
      <c r="T435" s="456"/>
      <c r="U435" s="456"/>
      <c r="V435" s="456"/>
      <c r="W435" s="456"/>
      <c r="X435" s="456"/>
      <c r="Y435" s="456"/>
      <c r="Z435" s="455"/>
      <c r="AA435" s="456"/>
      <c r="AB435" s="456"/>
      <c r="AC435" s="456"/>
      <c r="AD435" s="456"/>
      <c r="AE435" s="456"/>
      <c r="AF435" s="456"/>
      <c r="AG435" s="33" t="str">
        <f t="shared" si="329"/>
        <v>1.16 &gt; Honduras</v>
      </c>
      <c r="AH435" s="84">
        <f t="shared" si="330"/>
        <v>421</v>
      </c>
      <c r="AI435" s="84">
        <f t="shared" si="331"/>
        <v>16</v>
      </c>
      <c r="AJ435" s="877" t="s">
        <v>1526</v>
      </c>
    </row>
    <row r="436" spans="1:36" x14ac:dyDescent="0.2">
      <c r="A436" s="492">
        <f>INDEX(Country!$F$31:$G$76, MATCH(AI436, Country!$O$31:$O$76, 0), 1)</f>
        <v>1.1600000000000001</v>
      </c>
      <c r="B436" s="2" t="str">
        <f>INDEX(Country!$F$31:$G$76, MATCH(AI436, Country!$O$31:$O$76, 0), 2)</f>
        <v>Electrification rate</v>
      </c>
      <c r="C436" s="436" t="str">
        <f>INDEX(Country!$K$31:$K$76, MATCH(AI436, Country!$O$31:$O$76, 0), 1)</f>
        <v>%</v>
      </c>
      <c r="D436" s="4" t="str">
        <f t="shared" si="345"/>
        <v>Jamaica</v>
      </c>
      <c r="E436" s="36">
        <v>0.91</v>
      </c>
      <c r="F436" s="36">
        <v>0.91</v>
      </c>
      <c r="G436" s="36">
        <v>0.91</v>
      </c>
      <c r="H436" s="36">
        <v>0.92</v>
      </c>
      <c r="I436" s="36">
        <v>0.92</v>
      </c>
      <c r="J436" s="36">
        <v>0.92</v>
      </c>
      <c r="K436" s="37">
        <v>0.92</v>
      </c>
      <c r="L436" s="457">
        <f t="shared" si="338"/>
        <v>42.857142857142854</v>
      </c>
      <c r="M436" s="458">
        <f t="shared" si="339"/>
        <v>42.857142857142854</v>
      </c>
      <c r="N436" s="458">
        <f t="shared" si="340"/>
        <v>42.857142857142854</v>
      </c>
      <c r="O436" s="458">
        <f t="shared" si="341"/>
        <v>41.847826086956516</v>
      </c>
      <c r="P436" s="458">
        <f t="shared" si="342"/>
        <v>41.847826086956516</v>
      </c>
      <c r="Q436" s="458">
        <f t="shared" si="343"/>
        <v>13.043478260869565</v>
      </c>
      <c r="R436" s="459">
        <f t="shared" si="344"/>
        <v>16.304347826086953</v>
      </c>
      <c r="S436" s="455"/>
      <c r="T436" s="456"/>
      <c r="U436" s="456"/>
      <c r="V436" s="456"/>
      <c r="W436" s="456"/>
      <c r="X436" s="456"/>
      <c r="Y436" s="456"/>
      <c r="Z436" s="455"/>
      <c r="AA436" s="456"/>
      <c r="AB436" s="456"/>
      <c r="AC436" s="456"/>
      <c r="AD436" s="456"/>
      <c r="AE436" s="456"/>
      <c r="AF436" s="456"/>
      <c r="AG436" s="33" t="str">
        <f t="shared" si="329"/>
        <v>1.16 &gt; Jamaica</v>
      </c>
      <c r="AH436" s="84">
        <f t="shared" si="330"/>
        <v>422</v>
      </c>
      <c r="AI436" s="84">
        <f t="shared" si="331"/>
        <v>16</v>
      </c>
      <c r="AJ436" s="877" t="s">
        <v>1526</v>
      </c>
    </row>
    <row r="437" spans="1:36" x14ac:dyDescent="0.2">
      <c r="A437" s="492">
        <f>INDEX(Country!$F$31:$G$76, MATCH(AI437, Country!$O$31:$O$76, 0), 1)</f>
        <v>1.1600000000000001</v>
      </c>
      <c r="B437" s="2" t="str">
        <f>INDEX(Country!$F$31:$G$76, MATCH(AI437, Country!$O$31:$O$76, 0), 2)</f>
        <v>Electrification rate</v>
      </c>
      <c r="C437" s="436" t="str">
        <f>INDEX(Country!$K$31:$K$76, MATCH(AI437, Country!$O$31:$O$76, 0), 1)</f>
        <v>%</v>
      </c>
      <c r="D437" s="4" t="str">
        <f t="shared" si="345"/>
        <v>Mexico</v>
      </c>
      <c r="E437" s="36">
        <v>0.96840000000000004</v>
      </c>
      <c r="F437" s="36">
        <v>0.96840000000000004</v>
      </c>
      <c r="G437" s="36">
        <v>0.96840000000000004</v>
      </c>
      <c r="H437" s="36">
        <v>0.98</v>
      </c>
      <c r="I437" s="36">
        <v>0.98</v>
      </c>
      <c r="J437" s="36">
        <v>0.98</v>
      </c>
      <c r="K437" s="37">
        <v>0.98</v>
      </c>
      <c r="L437" s="457">
        <f t="shared" si="338"/>
        <v>40.272614622056999</v>
      </c>
      <c r="M437" s="458">
        <f t="shared" si="339"/>
        <v>40.272614622056999</v>
      </c>
      <c r="N437" s="458">
        <f t="shared" si="340"/>
        <v>40.272614622056999</v>
      </c>
      <c r="O437" s="458">
        <f t="shared" si="341"/>
        <v>39.285714285714285</v>
      </c>
      <c r="P437" s="458">
        <f t="shared" si="342"/>
        <v>39.285714285714285</v>
      </c>
      <c r="Q437" s="458">
        <f t="shared" si="343"/>
        <v>12.244897959183673</v>
      </c>
      <c r="R437" s="459">
        <f t="shared" si="344"/>
        <v>15.306122448979592</v>
      </c>
      <c r="S437" s="455"/>
      <c r="T437" s="456"/>
      <c r="U437" s="456"/>
      <c r="V437" s="456"/>
      <c r="W437" s="456"/>
      <c r="X437" s="456"/>
      <c r="Y437" s="456"/>
      <c r="Z437" s="455"/>
      <c r="AA437" s="456"/>
      <c r="AB437" s="456"/>
      <c r="AC437" s="456"/>
      <c r="AD437" s="456"/>
      <c r="AE437" s="456"/>
      <c r="AF437" s="456"/>
      <c r="AG437" s="33" t="str">
        <f t="shared" si="329"/>
        <v>1.16 &gt; Mexico</v>
      </c>
      <c r="AH437" s="84">
        <f t="shared" si="330"/>
        <v>423</v>
      </c>
      <c r="AI437" s="84">
        <f t="shared" si="331"/>
        <v>16</v>
      </c>
      <c r="AJ437" s="877" t="s">
        <v>1526</v>
      </c>
    </row>
    <row r="438" spans="1:36" x14ac:dyDescent="0.2">
      <c r="A438" s="492">
        <f>INDEX(Country!$F$31:$G$76, MATCH(AI438, Country!$O$31:$O$76, 0), 1)</f>
        <v>1.1600000000000001</v>
      </c>
      <c r="B438" s="2" t="str">
        <f>INDEX(Country!$F$31:$G$76, MATCH(AI438, Country!$O$31:$O$76, 0), 2)</f>
        <v>Electrification rate</v>
      </c>
      <c r="C438" s="436" t="str">
        <f>INDEX(Country!$K$31:$K$76, MATCH(AI438, Country!$O$31:$O$76, 0), 1)</f>
        <v>%</v>
      </c>
      <c r="D438" s="4" t="str">
        <f t="shared" si="345"/>
        <v>Nicaragua</v>
      </c>
      <c r="E438" s="36">
        <v>0.54</v>
      </c>
      <c r="F438" s="36">
        <v>0.60399999999999998</v>
      </c>
      <c r="G438" s="36">
        <v>0.63400000000000001</v>
      </c>
      <c r="H438" s="36">
        <v>0.65600000000000003</v>
      </c>
      <c r="I438" s="36">
        <v>0.69799999999999995</v>
      </c>
      <c r="J438" s="36">
        <v>0.72399999999999998</v>
      </c>
      <c r="K438" s="37">
        <v>0.751</v>
      </c>
      <c r="L438" s="457">
        <f t="shared" si="338"/>
        <v>72.222222222222214</v>
      </c>
      <c r="M438" s="458">
        <f t="shared" si="339"/>
        <v>64.569536423841072</v>
      </c>
      <c r="N438" s="458">
        <f t="shared" si="340"/>
        <v>61.514195583596219</v>
      </c>
      <c r="O438" s="458">
        <f t="shared" si="341"/>
        <v>58.689024390243901</v>
      </c>
      <c r="P438" s="458">
        <f t="shared" si="342"/>
        <v>55.157593123209168</v>
      </c>
      <c r="Q438" s="458">
        <f t="shared" si="343"/>
        <v>16.574585635359114</v>
      </c>
      <c r="R438" s="459">
        <f t="shared" si="344"/>
        <v>19.973368841544605</v>
      </c>
      <c r="S438" s="455"/>
      <c r="T438" s="456"/>
      <c r="U438" s="456"/>
      <c r="V438" s="456"/>
      <c r="W438" s="456"/>
      <c r="X438" s="456"/>
      <c r="Y438" s="456"/>
      <c r="Z438" s="455"/>
      <c r="AA438" s="456"/>
      <c r="AB438" s="456"/>
      <c r="AC438" s="456"/>
      <c r="AD438" s="456"/>
      <c r="AE438" s="456"/>
      <c r="AF438" s="456"/>
      <c r="AG438" s="33" t="str">
        <f t="shared" si="329"/>
        <v>1.16 &gt; Nicaragua</v>
      </c>
      <c r="AH438" s="84">
        <f t="shared" si="330"/>
        <v>424</v>
      </c>
      <c r="AI438" s="84">
        <f t="shared" si="331"/>
        <v>16</v>
      </c>
      <c r="AJ438" s="877" t="s">
        <v>1526</v>
      </c>
    </row>
    <row r="439" spans="1:36" x14ac:dyDescent="0.2">
      <c r="A439" s="492">
        <f>INDEX(Country!$F$31:$G$76, MATCH(AI439, Country!$O$31:$O$76, 0), 1)</f>
        <v>1.1600000000000001</v>
      </c>
      <c r="B439" s="2" t="str">
        <f>INDEX(Country!$F$31:$G$76, MATCH(AI439, Country!$O$31:$O$76, 0), 2)</f>
        <v>Electrification rate</v>
      </c>
      <c r="C439" s="436" t="str">
        <f>INDEX(Country!$K$31:$K$76, MATCH(AI439, Country!$O$31:$O$76, 0), 1)</f>
        <v>%</v>
      </c>
      <c r="D439" s="4" t="str">
        <f t="shared" si="345"/>
        <v>Panama</v>
      </c>
      <c r="E439" s="36">
        <v>0.85</v>
      </c>
      <c r="F439" s="36">
        <v>0.85</v>
      </c>
      <c r="G439" s="36">
        <v>0.85</v>
      </c>
      <c r="H439" s="36">
        <v>0.88100000000000001</v>
      </c>
      <c r="I439" s="36">
        <v>0.88100000000000001</v>
      </c>
      <c r="J439" s="36">
        <v>0.88100000000000001</v>
      </c>
      <c r="K439" s="37">
        <v>0.88100000000000001</v>
      </c>
      <c r="L439" s="457">
        <f t="shared" si="338"/>
        <v>45.882352941176471</v>
      </c>
      <c r="M439" s="458">
        <f t="shared" si="339"/>
        <v>45.882352941176471</v>
      </c>
      <c r="N439" s="458">
        <f t="shared" si="340"/>
        <v>45.882352941176471</v>
      </c>
      <c r="O439" s="458">
        <f t="shared" si="341"/>
        <v>43.700340522133942</v>
      </c>
      <c r="P439" s="458">
        <f t="shared" si="342"/>
        <v>43.700340522133942</v>
      </c>
      <c r="Q439" s="458">
        <f t="shared" si="343"/>
        <v>13.620885357548239</v>
      </c>
      <c r="R439" s="459">
        <f t="shared" si="344"/>
        <v>17.026106696935301</v>
      </c>
      <c r="S439" s="455"/>
      <c r="T439" s="456"/>
      <c r="U439" s="456"/>
      <c r="V439" s="456"/>
      <c r="W439" s="456"/>
      <c r="X439" s="456"/>
      <c r="Y439" s="456"/>
      <c r="Z439" s="455"/>
      <c r="AA439" s="456"/>
      <c r="AB439" s="456"/>
      <c r="AC439" s="456"/>
      <c r="AD439" s="456"/>
      <c r="AE439" s="456"/>
      <c r="AF439" s="456"/>
      <c r="AG439" s="33" t="str">
        <f t="shared" si="329"/>
        <v>1.16 &gt; Panama</v>
      </c>
      <c r="AH439" s="84">
        <f t="shared" si="330"/>
        <v>425</v>
      </c>
      <c r="AI439" s="84">
        <f t="shared" si="331"/>
        <v>16</v>
      </c>
      <c r="AJ439" s="877" t="s">
        <v>1526</v>
      </c>
    </row>
    <row r="440" spans="1:36" x14ac:dyDescent="0.2">
      <c r="A440" s="492">
        <f>INDEX(Country!$F$31:$G$76, MATCH(AI440, Country!$O$31:$O$76, 0), 1)</f>
        <v>1.1600000000000001</v>
      </c>
      <c r="B440" s="2" t="str">
        <f>INDEX(Country!$F$31:$G$76, MATCH(AI440, Country!$O$31:$O$76, 0), 2)</f>
        <v>Electrification rate</v>
      </c>
      <c r="C440" s="436" t="str">
        <f>INDEX(Country!$K$31:$K$76, MATCH(AI440, Country!$O$31:$O$76, 0), 1)</f>
        <v>%</v>
      </c>
      <c r="D440" s="4" t="str">
        <f t="shared" si="345"/>
        <v>Paraguay</v>
      </c>
      <c r="E440" s="36">
        <v>0.96799999999999997</v>
      </c>
      <c r="F440" s="36">
        <v>0.96799999999999997</v>
      </c>
      <c r="G440" s="36">
        <v>0.96799999999999997</v>
      </c>
      <c r="H440" s="36">
        <v>0.96699999999999997</v>
      </c>
      <c r="I440" s="36">
        <v>0.96699999999999997</v>
      </c>
      <c r="J440" s="36">
        <v>0.96699999999999997</v>
      </c>
      <c r="K440" s="37">
        <v>0.96699999999999997</v>
      </c>
      <c r="L440" s="457">
        <f t="shared" si="338"/>
        <v>40.289256198347111</v>
      </c>
      <c r="M440" s="458">
        <f t="shared" si="339"/>
        <v>40.289256198347111</v>
      </c>
      <c r="N440" s="458">
        <f t="shared" si="340"/>
        <v>40.289256198347111</v>
      </c>
      <c r="O440" s="458">
        <f t="shared" si="341"/>
        <v>39.813857290589453</v>
      </c>
      <c r="P440" s="458">
        <f t="shared" si="342"/>
        <v>39.813857290589453</v>
      </c>
      <c r="Q440" s="458">
        <f t="shared" si="343"/>
        <v>12.409513960703206</v>
      </c>
      <c r="R440" s="459">
        <f t="shared" si="344"/>
        <v>15.511892450879008</v>
      </c>
      <c r="S440" s="455"/>
      <c r="T440" s="456"/>
      <c r="U440" s="456"/>
      <c r="V440" s="456"/>
      <c r="W440" s="456"/>
      <c r="X440" s="456"/>
      <c r="Y440" s="456"/>
      <c r="Z440" s="455"/>
      <c r="AA440" s="456"/>
      <c r="AB440" s="456"/>
      <c r="AC440" s="456"/>
      <c r="AD440" s="456"/>
      <c r="AE440" s="456"/>
      <c r="AF440" s="456"/>
      <c r="AG440" s="33" t="str">
        <f t="shared" si="329"/>
        <v>1.16 &gt; Paraguay</v>
      </c>
      <c r="AH440" s="84">
        <f t="shared" si="330"/>
        <v>426</v>
      </c>
      <c r="AI440" s="84">
        <f t="shared" si="331"/>
        <v>16</v>
      </c>
      <c r="AJ440" s="877" t="s">
        <v>1526</v>
      </c>
    </row>
    <row r="441" spans="1:36" x14ac:dyDescent="0.2">
      <c r="A441" s="492">
        <f>INDEX(Country!$F$31:$G$76, MATCH(AI441, Country!$O$31:$O$76, 0), 1)</f>
        <v>1.1600000000000001</v>
      </c>
      <c r="B441" s="2" t="str">
        <f>INDEX(Country!$F$31:$G$76, MATCH(AI441, Country!$O$31:$O$76, 0), 2)</f>
        <v>Electrification rate</v>
      </c>
      <c r="C441" s="436" t="str">
        <f>INDEX(Country!$K$31:$K$76, MATCH(AI441, Country!$O$31:$O$76, 0), 1)</f>
        <v>%</v>
      </c>
      <c r="D441" s="4" t="str">
        <f t="shared" si="345"/>
        <v>Peru</v>
      </c>
      <c r="E441" s="36">
        <v>0.83200000000000007</v>
      </c>
      <c r="F441" s="36">
        <v>0.83200000000000007</v>
      </c>
      <c r="G441" s="36">
        <v>0.83200000000000007</v>
      </c>
      <c r="H441" s="36">
        <v>0.85699999999999998</v>
      </c>
      <c r="I441" s="36">
        <v>0.85699999999999998</v>
      </c>
      <c r="J441" s="36">
        <v>0.85699999999999998</v>
      </c>
      <c r="K441" s="37">
        <v>0.85699999999999998</v>
      </c>
      <c r="L441" s="457">
        <f t="shared" si="338"/>
        <v>46.875</v>
      </c>
      <c r="M441" s="458">
        <f t="shared" si="339"/>
        <v>46.875</v>
      </c>
      <c r="N441" s="458">
        <f t="shared" si="340"/>
        <v>46.875</v>
      </c>
      <c r="O441" s="458">
        <f t="shared" si="341"/>
        <v>44.924154025670951</v>
      </c>
      <c r="P441" s="458">
        <f t="shared" si="342"/>
        <v>44.924154025670951</v>
      </c>
      <c r="Q441" s="458">
        <f t="shared" si="343"/>
        <v>14.002333722287046</v>
      </c>
      <c r="R441" s="459">
        <f t="shared" si="344"/>
        <v>17.50291715285881</v>
      </c>
      <c r="S441" s="455"/>
      <c r="T441" s="456"/>
      <c r="U441" s="456"/>
      <c r="V441" s="456"/>
      <c r="W441" s="456"/>
      <c r="X441" s="456"/>
      <c r="Y441" s="456"/>
      <c r="Z441" s="455"/>
      <c r="AA441" s="456"/>
      <c r="AB441" s="456"/>
      <c r="AC441" s="456"/>
      <c r="AD441" s="456"/>
      <c r="AE441" s="456"/>
      <c r="AF441" s="456"/>
      <c r="AG441" s="33" t="str">
        <f t="shared" si="329"/>
        <v>1.16 &gt; Peru</v>
      </c>
      <c r="AH441" s="84">
        <f t="shared" si="330"/>
        <v>427</v>
      </c>
      <c r="AI441" s="84">
        <f t="shared" si="331"/>
        <v>16</v>
      </c>
      <c r="AJ441" s="877" t="s">
        <v>1526</v>
      </c>
    </row>
    <row r="442" spans="1:36" x14ac:dyDescent="0.2">
      <c r="A442" s="492">
        <f>INDEX(Country!$F$31:$G$76, MATCH(AI442, Country!$O$31:$O$76, 0), 1)</f>
        <v>1.1600000000000001</v>
      </c>
      <c r="B442" s="2" t="str">
        <f>INDEX(Country!$F$31:$G$76, MATCH(AI442, Country!$O$31:$O$76, 0), 2)</f>
        <v>Electrification rate</v>
      </c>
      <c r="C442" s="436" t="str">
        <f>INDEX(Country!$K$31:$K$76, MATCH(AI442, Country!$O$31:$O$76, 0), 1)</f>
        <v>%</v>
      </c>
      <c r="D442" s="4" t="str">
        <f t="shared" si="345"/>
        <v>Suriname</v>
      </c>
      <c r="E442" s="36">
        <v>0.85</v>
      </c>
      <c r="F442" s="36">
        <v>0.85</v>
      </c>
      <c r="G442" s="36">
        <v>0.85</v>
      </c>
      <c r="H442" s="36">
        <v>0.85</v>
      </c>
      <c r="I442" s="36">
        <v>0.85</v>
      </c>
      <c r="J442" s="36">
        <v>0.85</v>
      </c>
      <c r="K442" s="37">
        <v>0.85</v>
      </c>
      <c r="L442" s="457">
        <f t="shared" si="338"/>
        <v>45.882352941176471</v>
      </c>
      <c r="M442" s="458">
        <f t="shared" si="339"/>
        <v>45.882352941176471</v>
      </c>
      <c r="N442" s="458">
        <f t="shared" si="340"/>
        <v>45.882352941176471</v>
      </c>
      <c r="O442" s="458">
        <f t="shared" si="341"/>
        <v>45.294117647058826</v>
      </c>
      <c r="P442" s="458">
        <f t="shared" si="342"/>
        <v>45.294117647058826</v>
      </c>
      <c r="Q442" s="458">
        <f t="shared" si="343"/>
        <v>14.117647058823529</v>
      </c>
      <c r="R442" s="459">
        <f t="shared" si="344"/>
        <v>17.647058823529413</v>
      </c>
      <c r="S442" s="455"/>
      <c r="T442" s="456"/>
      <c r="U442" s="456"/>
      <c r="V442" s="456"/>
      <c r="W442" s="456"/>
      <c r="X442" s="456"/>
      <c r="Y442" s="456"/>
      <c r="Z442" s="455"/>
      <c r="AA442" s="456"/>
      <c r="AB442" s="456"/>
      <c r="AC442" s="456"/>
      <c r="AD442" s="456"/>
      <c r="AE442" s="456"/>
      <c r="AF442" s="456"/>
      <c r="AG442" s="33" t="str">
        <f t="shared" si="329"/>
        <v>1.16 &gt; Suriname</v>
      </c>
      <c r="AH442" s="84">
        <f t="shared" si="330"/>
        <v>428</v>
      </c>
      <c r="AI442" s="84">
        <f t="shared" si="331"/>
        <v>16</v>
      </c>
      <c r="AJ442" s="877" t="s">
        <v>1526</v>
      </c>
    </row>
    <row r="443" spans="1:36" x14ac:dyDescent="0.2">
      <c r="A443" s="492">
        <f>INDEX(Country!$F$31:$G$76, MATCH(AI443, Country!$O$31:$O$76, 0), 1)</f>
        <v>1.1600000000000001</v>
      </c>
      <c r="B443" s="2" t="str">
        <f>INDEX(Country!$F$31:$G$76, MATCH(AI443, Country!$O$31:$O$76, 0), 2)</f>
        <v>Electrification rate</v>
      </c>
      <c r="C443" s="436" t="str">
        <f>INDEX(Country!$K$31:$K$76, MATCH(AI443, Country!$O$31:$O$76, 0), 1)</f>
        <v>%</v>
      </c>
      <c r="D443" s="4" t="str">
        <f t="shared" si="345"/>
        <v>Trinidad &amp; Tobago</v>
      </c>
      <c r="E443" s="36">
        <v>0.97</v>
      </c>
      <c r="F443" s="36">
        <v>0.97</v>
      </c>
      <c r="G443" s="36">
        <v>0.97</v>
      </c>
      <c r="H443" s="36">
        <v>0.99</v>
      </c>
      <c r="I443" s="36">
        <v>0.99</v>
      </c>
      <c r="J443" s="36">
        <v>0.99</v>
      </c>
      <c r="K443" s="37">
        <v>0.99</v>
      </c>
      <c r="L443" s="457">
        <f t="shared" si="338"/>
        <v>40.206185567010309</v>
      </c>
      <c r="M443" s="458">
        <f t="shared" si="339"/>
        <v>40.206185567010309</v>
      </c>
      <c r="N443" s="458">
        <f t="shared" si="340"/>
        <v>40.206185567010309</v>
      </c>
      <c r="O443" s="458">
        <f t="shared" si="341"/>
        <v>38.888888888888893</v>
      </c>
      <c r="P443" s="458">
        <f t="shared" si="342"/>
        <v>38.888888888888893</v>
      </c>
      <c r="Q443" s="458">
        <f t="shared" si="343"/>
        <v>12.121212121212121</v>
      </c>
      <c r="R443" s="459">
        <f t="shared" si="344"/>
        <v>15.151515151515152</v>
      </c>
      <c r="S443" s="455"/>
      <c r="T443" s="456"/>
      <c r="U443" s="456"/>
      <c r="V443" s="456"/>
      <c r="W443" s="456"/>
      <c r="X443" s="456"/>
      <c r="Y443" s="456"/>
      <c r="Z443" s="455"/>
      <c r="AA443" s="456"/>
      <c r="AB443" s="456"/>
      <c r="AC443" s="456"/>
      <c r="AD443" s="456"/>
      <c r="AE443" s="456"/>
      <c r="AF443" s="456"/>
      <c r="AG443" s="33" t="str">
        <f t="shared" si="329"/>
        <v>1.16 &gt; Trinidad &amp; Tobago</v>
      </c>
      <c r="AH443" s="84">
        <f t="shared" si="330"/>
        <v>429</v>
      </c>
      <c r="AI443" s="84">
        <f t="shared" si="331"/>
        <v>16</v>
      </c>
      <c r="AJ443" s="877" t="s">
        <v>1526</v>
      </c>
    </row>
    <row r="444" spans="1:36" x14ac:dyDescent="0.2">
      <c r="A444" s="492">
        <f>INDEX(Country!$F$31:$G$76, MATCH(AI444, Country!$O$31:$O$76, 0), 1)</f>
        <v>1.1600000000000001</v>
      </c>
      <c r="B444" s="2" t="str">
        <f>INDEX(Country!$F$31:$G$76, MATCH(AI444, Country!$O$31:$O$76, 0), 2)</f>
        <v>Electrification rate</v>
      </c>
      <c r="C444" s="436" t="str">
        <f>INDEX(Country!$K$31:$K$76, MATCH(AI444, Country!$O$31:$O$76, 0), 1)</f>
        <v>%</v>
      </c>
      <c r="D444" s="4" t="str">
        <f t="shared" si="345"/>
        <v>Uruguay</v>
      </c>
      <c r="E444" s="36">
        <v>0.97</v>
      </c>
      <c r="F444" s="36">
        <v>0.97</v>
      </c>
      <c r="G444" s="36">
        <v>0.97</v>
      </c>
      <c r="H444" s="36">
        <v>0.98299999999999998</v>
      </c>
      <c r="I444" s="36">
        <v>0.98299999999999998</v>
      </c>
      <c r="J444" s="36">
        <v>0.98299999999999998</v>
      </c>
      <c r="K444" s="37">
        <v>0.98299999999999998</v>
      </c>
      <c r="L444" s="457">
        <f t="shared" si="338"/>
        <v>40.206185567010309</v>
      </c>
      <c r="M444" s="458">
        <f t="shared" si="339"/>
        <v>40.206185567010309</v>
      </c>
      <c r="N444" s="458">
        <f t="shared" si="340"/>
        <v>40.206185567010309</v>
      </c>
      <c r="O444" s="458">
        <f t="shared" si="341"/>
        <v>39.165818921668368</v>
      </c>
      <c r="P444" s="458">
        <f t="shared" si="342"/>
        <v>39.165818921668368</v>
      </c>
      <c r="Q444" s="458">
        <f t="shared" si="343"/>
        <v>12.207527975584943</v>
      </c>
      <c r="R444" s="459">
        <f t="shared" si="344"/>
        <v>15.25940996948118</v>
      </c>
      <c r="S444" s="455"/>
      <c r="T444" s="456"/>
      <c r="U444" s="456"/>
      <c r="V444" s="456"/>
      <c r="W444" s="456"/>
      <c r="X444" s="456"/>
      <c r="Y444" s="456"/>
      <c r="Z444" s="455"/>
      <c r="AA444" s="456"/>
      <c r="AB444" s="456"/>
      <c r="AC444" s="456"/>
      <c r="AD444" s="456"/>
      <c r="AE444" s="456"/>
      <c r="AF444" s="456"/>
      <c r="AG444" s="33" t="str">
        <f t="shared" si="329"/>
        <v>1.16 &gt; Uruguay</v>
      </c>
      <c r="AH444" s="84">
        <f t="shared" si="330"/>
        <v>430</v>
      </c>
      <c r="AI444" s="84">
        <f t="shared" si="331"/>
        <v>16</v>
      </c>
      <c r="AJ444" s="877" t="s">
        <v>1526</v>
      </c>
    </row>
    <row r="445" spans="1:36" x14ac:dyDescent="0.2">
      <c r="A445" s="491">
        <f>INDEX(Country!$F$31:$G$76, MATCH(AI445, Country!$O$31:$O$76, 0), 1)</f>
        <v>1.1600000000000001</v>
      </c>
      <c r="B445" s="386" t="str">
        <f>INDEX(Country!$F$31:$G$76, MATCH(AI445, Country!$O$31:$O$76, 0), 2)</f>
        <v>Electrification rate</v>
      </c>
      <c r="C445" s="437" t="str">
        <f>INDEX(Country!$K$31:$K$76, MATCH(AI445, Country!$O$31:$O$76, 0), 1)</f>
        <v>%</v>
      </c>
      <c r="D445" s="86" t="str">
        <f t="shared" si="345"/>
        <v>Venezuela</v>
      </c>
      <c r="E445" s="371">
        <v>0.98</v>
      </c>
      <c r="F445" s="371">
        <v>0.98</v>
      </c>
      <c r="G445" s="371">
        <v>0.98</v>
      </c>
      <c r="H445" s="371">
        <v>0.99</v>
      </c>
      <c r="I445" s="371">
        <v>0.99</v>
      </c>
      <c r="J445" s="371">
        <v>0.99</v>
      </c>
      <c r="K445" s="403">
        <v>0.99</v>
      </c>
      <c r="L445" s="460">
        <f t="shared" si="338"/>
        <v>39.795918367346935</v>
      </c>
      <c r="M445" s="461">
        <f t="shared" si="339"/>
        <v>39.795918367346935</v>
      </c>
      <c r="N445" s="461">
        <f t="shared" si="340"/>
        <v>39.795918367346935</v>
      </c>
      <c r="O445" s="461">
        <f t="shared" si="341"/>
        <v>38.888888888888893</v>
      </c>
      <c r="P445" s="461">
        <f t="shared" si="342"/>
        <v>38.888888888888893</v>
      </c>
      <c r="Q445" s="461">
        <f t="shared" si="343"/>
        <v>12.121212121212121</v>
      </c>
      <c r="R445" s="462">
        <f t="shared" si="344"/>
        <v>15.151515151515152</v>
      </c>
      <c r="S445" s="455"/>
      <c r="T445" s="456"/>
      <c r="U445" s="456"/>
      <c r="V445" s="456"/>
      <c r="W445" s="456"/>
      <c r="X445" s="456"/>
      <c r="Y445" s="456"/>
      <c r="Z445" s="455"/>
      <c r="AA445" s="456"/>
      <c r="AB445" s="456"/>
      <c r="AC445" s="456"/>
      <c r="AD445" s="456"/>
      <c r="AE445" s="456"/>
      <c r="AF445" s="456"/>
      <c r="AG445" s="90" t="str">
        <f t="shared" si="329"/>
        <v>1.16 &gt; Venezuela</v>
      </c>
      <c r="AH445" s="392">
        <f t="shared" si="330"/>
        <v>431</v>
      </c>
      <c r="AI445" s="392">
        <f t="shared" si="331"/>
        <v>16</v>
      </c>
      <c r="AJ445" s="878" t="s">
        <v>1526</v>
      </c>
    </row>
    <row r="446" spans="1:36" x14ac:dyDescent="0.2">
      <c r="A446" s="490">
        <f>INDEX(Country!$F$31:$G$76, MATCH(AI446, Country!$O$31:$O$76, 0), 1)</f>
        <v>1.1600000000000001</v>
      </c>
      <c r="B446" s="387" t="str">
        <f>INDEX(Country!$F$31:$G$76, MATCH(AI446, Country!$O$31:$O$76, 0), 2)</f>
        <v>Electrification rate</v>
      </c>
      <c r="C446" s="438" t="str">
        <f>INDEX(Country!$K$31:$K$76, MATCH(AI446, Country!$O$31:$O$76, 0), 1)</f>
        <v>%</v>
      </c>
      <c r="D446" s="32" t="str">
        <f t="shared" si="345"/>
        <v>Benchmark</v>
      </c>
      <c r="E446" s="372">
        <f t="shared" ref="E446:I446" si="346">IFERROR(SMALL(E420:E445, COUNTIF(E420:E445, "0")+1), 0)</f>
        <v>0.39</v>
      </c>
      <c r="F446" s="372">
        <f t="shared" si="346"/>
        <v>0.39</v>
      </c>
      <c r="G446" s="372">
        <f t="shared" si="346"/>
        <v>0.39</v>
      </c>
      <c r="H446" s="372">
        <f t="shared" si="346"/>
        <v>0.38500000000000001</v>
      </c>
      <c r="I446" s="372">
        <f t="shared" si="346"/>
        <v>0.38500000000000001</v>
      </c>
      <c r="J446" s="372">
        <f>IFERROR(SMALL(J420:J445, COUNTIF(J420:J445, "0")+1), 0)</f>
        <v>0.12</v>
      </c>
      <c r="K446" s="609">
        <f>IFERROR(SMALL(K420:K445, COUNTIF(K420:K445, "0")+1), 0)</f>
        <v>0.15</v>
      </c>
      <c r="L446" s="585">
        <f t="shared" si="338"/>
        <v>100</v>
      </c>
      <c r="M446" s="463">
        <f t="shared" si="339"/>
        <v>100</v>
      </c>
      <c r="N446" s="463">
        <f t="shared" si="340"/>
        <v>100</v>
      </c>
      <c r="O446" s="463">
        <f t="shared" si="341"/>
        <v>100</v>
      </c>
      <c r="P446" s="463">
        <f t="shared" si="342"/>
        <v>100</v>
      </c>
      <c r="Q446" s="463">
        <f t="shared" si="343"/>
        <v>100</v>
      </c>
      <c r="R446" s="586">
        <f t="shared" si="344"/>
        <v>100</v>
      </c>
      <c r="S446" s="393" t="s">
        <v>1525</v>
      </c>
      <c r="T446" s="394"/>
      <c r="U446" s="376"/>
      <c r="V446" s="376"/>
      <c r="W446" s="376"/>
      <c r="X446" s="376"/>
      <c r="Y446" s="376"/>
      <c r="Z446" s="440" t="s">
        <v>1241</v>
      </c>
      <c r="AA446" s="441"/>
      <c r="AB446" s="442"/>
      <c r="AC446" s="442"/>
      <c r="AD446" s="442"/>
      <c r="AE446" s="442"/>
      <c r="AF446" s="443"/>
      <c r="AG446" s="34" t="str">
        <f t="shared" si="329"/>
        <v>1.16 &gt; Benchmark</v>
      </c>
      <c r="AH446" s="85">
        <f t="shared" si="330"/>
        <v>432</v>
      </c>
      <c r="AI446" s="85">
        <f t="shared" si="331"/>
        <v>16</v>
      </c>
      <c r="AJ446" s="871" t="s">
        <v>1526</v>
      </c>
    </row>
    <row r="447" spans="1:36" x14ac:dyDescent="0.2">
      <c r="A447" s="587">
        <f>INDEX(Country!$F$31:$G$76, MATCH(AI447, Country!$O$31:$O$76, 0), 1)</f>
        <v>2.0099999999999998</v>
      </c>
      <c r="B447" s="588" t="str">
        <f>INDEX(Country!$F$31:$G$76, MATCH(AI447, Country!$O$31:$O$76, 0), 2)</f>
        <v>Clean energy investments</v>
      </c>
      <c r="C447" s="589" t="str">
        <f>INDEX(Country!$K$31:$K$76, MATCH(AI447, Country!$O$31:$O$76, 0), 1)</f>
        <v>USDm</v>
      </c>
      <c r="D447" s="590" t="str">
        <f t="shared" si="345"/>
        <v>Argentina</v>
      </c>
      <c r="E447" s="601">
        <f>E501+E528+E555+E582</f>
        <v>121.15051615307317</v>
      </c>
      <c r="F447" s="601">
        <f t="shared" ref="F447:K447" si="347">F501+F528+F555+F582</f>
        <v>497.7859683413343</v>
      </c>
      <c r="G447" s="601">
        <f t="shared" si="347"/>
        <v>1016.7610034095242</v>
      </c>
      <c r="H447" s="601">
        <f t="shared" si="347"/>
        <v>1158.7111234095241</v>
      </c>
      <c r="I447" s="601">
        <f t="shared" si="347"/>
        <v>1633.7515167653823</v>
      </c>
      <c r="J447" s="601">
        <f t="shared" si="347"/>
        <v>1799.9339642612047</v>
      </c>
      <c r="K447" s="610">
        <f t="shared" si="347"/>
        <v>2070.7925519187133</v>
      </c>
      <c r="L447" s="580">
        <f t="shared" ref="L447:L472" si="348">IFERROR(dbl_BenchmarkMax*Z447/L$473, 0)</f>
        <v>2.9963365962336828</v>
      </c>
      <c r="M447" s="581">
        <f t="shared" ref="M447:M472" si="349">IFERROR(dbl_BenchmarkMax*AA447/M$473, 0)</f>
        <v>2.139821777137159</v>
      </c>
      <c r="N447" s="581">
        <f t="shared" ref="N447:N472" si="350">IFERROR(dbl_BenchmarkMax*AB447/N$473, 0)</f>
        <v>2.413015097994335</v>
      </c>
      <c r="O447" s="581">
        <f t="shared" ref="O447:O472" si="351">IFERROR(dbl_BenchmarkMax*AC447/O$473, 0)</f>
        <v>2.8854697264279956</v>
      </c>
      <c r="P447" s="581">
        <f t="shared" ref="P447:P472" si="352">IFERROR(dbl_BenchmarkMax*AD447/P$473, 0)</f>
        <v>3.5148299277830182</v>
      </c>
      <c r="Q447" s="581">
        <f t="shared" ref="Q447:Q472" si="353">IFERROR(dbl_BenchmarkMax*AE447/Q$473, 0)</f>
        <v>3.4894657289353028</v>
      </c>
      <c r="R447" s="582">
        <f t="shared" ref="R447:R472" si="354">IFERROR(dbl_BenchmarkMax*AF447/R$473, 0)</f>
        <v>3.0594804456457001</v>
      </c>
      <c r="S447" s="455"/>
      <c r="T447" s="456"/>
      <c r="U447" s="456"/>
      <c r="V447" s="456"/>
      <c r="W447" s="456"/>
      <c r="X447" s="456"/>
      <c r="Y447" s="456"/>
      <c r="Z447" s="421">
        <f>IFERROR(E447/Levelisation!F1415, 0)</f>
        <v>0.57010129620705752</v>
      </c>
      <c r="AA447" s="471">
        <f>IFERROR(F447/Levelisation!G1415, 0)</f>
        <v>1.9140387368885199</v>
      </c>
      <c r="AB447" s="471">
        <f>IFERROR(G447/Levelisation!H1415, 0)</f>
        <v>3.1342334532745308</v>
      </c>
      <c r="AC447" s="5">
        <f>IFERROR(H447/Levelisation!I1415, 0)</f>
        <v>3.7895727194249278</v>
      </c>
      <c r="AD447" s="5">
        <f>IFERROR(I447/Levelisation!J1415, 0)</f>
        <v>4.4447962041145983</v>
      </c>
      <c r="AE447" s="5">
        <f>IFERROR(J447/Levelisation!J1415, 0)</f>
        <v>4.8969133738555213</v>
      </c>
      <c r="AF447" s="6">
        <f>IFERROR(K447/Levelisation!L1415, 0)</f>
        <v>4.3599854973717731</v>
      </c>
      <c r="AG447" s="396" t="str">
        <f t="shared" si="329"/>
        <v>2.01 &gt; Argentina</v>
      </c>
      <c r="AH447" s="397">
        <f t="shared" si="330"/>
        <v>433</v>
      </c>
      <c r="AI447" s="397">
        <f t="shared" si="331"/>
        <v>17</v>
      </c>
      <c r="AJ447" s="879" t="s">
        <v>1526</v>
      </c>
    </row>
    <row r="448" spans="1:36" x14ac:dyDescent="0.2">
      <c r="A448" s="492">
        <f>INDEX(Country!$F$31:$G$76, MATCH(AI448, Country!$O$31:$O$76, 0), 1)</f>
        <v>2.0099999999999998</v>
      </c>
      <c r="B448" s="2" t="str">
        <f>INDEX(Country!$F$31:$G$76, MATCH(AI448, Country!$O$31:$O$76, 0), 2)</f>
        <v>Clean energy investments</v>
      </c>
      <c r="C448" s="436" t="str">
        <f>INDEX(Country!$K$31:$K$76, MATCH(AI448, Country!$O$31:$O$76, 0), 1)</f>
        <v>USDm</v>
      </c>
      <c r="D448" s="4" t="str">
        <f t="shared" si="345"/>
        <v>Bahamas</v>
      </c>
      <c r="E448" s="5">
        <f t="shared" ref="E448" si="355">E502+E529+E556+E583</f>
        <v>2.6</v>
      </c>
      <c r="F448" s="5">
        <f t="shared" ref="F448:K448" si="356">F502+F529+F556+F583</f>
        <v>2.6</v>
      </c>
      <c r="G448" s="5">
        <f t="shared" si="356"/>
        <v>2.6</v>
      </c>
      <c r="H448" s="5">
        <f t="shared" si="356"/>
        <v>2.6</v>
      </c>
      <c r="I448" s="5">
        <f t="shared" si="356"/>
        <v>2.6</v>
      </c>
      <c r="J448" s="5">
        <f t="shared" si="356"/>
        <v>3.6</v>
      </c>
      <c r="K448" s="6">
        <f t="shared" si="356"/>
        <v>4.5999999999999996</v>
      </c>
      <c r="L448" s="457">
        <f t="shared" si="348"/>
        <v>1.7154245301884563</v>
      </c>
      <c r="M448" s="458">
        <f t="shared" si="349"/>
        <v>0.34940499063016717</v>
      </c>
      <c r="N448" s="458">
        <f t="shared" si="350"/>
        <v>0.24272027244023567</v>
      </c>
      <c r="O448" s="458">
        <f t="shared" si="351"/>
        <v>0.2565376573783788</v>
      </c>
      <c r="P448" s="458">
        <f t="shared" si="352"/>
        <v>0.26457505890077887</v>
      </c>
      <c r="Q448" s="458">
        <f t="shared" si="353"/>
        <v>0.33011260499695561</v>
      </c>
      <c r="R448" s="459">
        <f t="shared" si="354"/>
        <v>0.40133071618053706</v>
      </c>
      <c r="S448" s="455"/>
      <c r="T448" s="456"/>
      <c r="U448" s="456"/>
      <c r="V448" s="456"/>
      <c r="W448" s="456"/>
      <c r="X448" s="456"/>
      <c r="Y448" s="456"/>
      <c r="Z448" s="421">
        <f>IFERROR(E448/Levelisation!F1416, 0)</f>
        <v>0.32638714536781321</v>
      </c>
      <c r="AA448" s="471">
        <f>IFERROR(F448/Levelisation!G1416, 0)</f>
        <v>0.31253756461113114</v>
      </c>
      <c r="AB448" s="471">
        <f>IFERROR(G448/Levelisation!H1416, 0)</f>
        <v>0.31526615739056629</v>
      </c>
      <c r="AC448" s="5">
        <f>IFERROR(H448/Levelisation!I1416, 0)</f>
        <v>0.33691849164182974</v>
      </c>
      <c r="AD448" s="5">
        <f>IFERROR(I448/Levelisation!J1416, 0)</f>
        <v>0.33457727448204866</v>
      </c>
      <c r="AE448" s="5">
        <f>IFERROR(J448/Levelisation!J1416, 0)</f>
        <v>0.46326084159052888</v>
      </c>
      <c r="AF448" s="6">
        <f>IFERROR(K448/Levelisation!L1416, 0)</f>
        <v>0.57192589829665552</v>
      </c>
      <c r="AG448" s="33" t="str">
        <f t="shared" si="329"/>
        <v>2.01 &gt; Bahamas</v>
      </c>
      <c r="AH448" s="84">
        <f t="shared" si="330"/>
        <v>434</v>
      </c>
      <c r="AI448" s="84">
        <f t="shared" si="331"/>
        <v>17</v>
      </c>
      <c r="AJ448" s="877" t="s">
        <v>1526</v>
      </c>
    </row>
    <row r="449" spans="1:36" x14ac:dyDescent="0.2">
      <c r="A449" s="492">
        <f>INDEX(Country!$F$31:$G$76, MATCH(AI449, Country!$O$31:$O$76, 0), 1)</f>
        <v>2.0099999999999998</v>
      </c>
      <c r="B449" s="2" t="str">
        <f>INDEX(Country!$F$31:$G$76, MATCH(AI449, Country!$O$31:$O$76, 0), 2)</f>
        <v>Clean energy investments</v>
      </c>
      <c r="C449" s="436" t="str">
        <f>INDEX(Country!$K$31:$K$76, MATCH(AI449, Country!$O$31:$O$76, 0), 1)</f>
        <v>USDm</v>
      </c>
      <c r="D449" s="4" t="str">
        <f t="shared" si="345"/>
        <v>Barbados</v>
      </c>
      <c r="E449" s="5">
        <f t="shared" ref="E449" si="357">E503+E530+E557+E584</f>
        <v>0</v>
      </c>
      <c r="F449" s="5">
        <f t="shared" ref="F449:K449" si="358">F503+F530+F557+F584</f>
        <v>0</v>
      </c>
      <c r="G449" s="5">
        <f t="shared" si="358"/>
        <v>0</v>
      </c>
      <c r="H449" s="5">
        <f t="shared" si="358"/>
        <v>0</v>
      </c>
      <c r="I449" s="5">
        <f t="shared" si="358"/>
        <v>0</v>
      </c>
      <c r="J449" s="5">
        <f t="shared" si="358"/>
        <v>0</v>
      </c>
      <c r="K449" s="6">
        <f t="shared" si="358"/>
        <v>0</v>
      </c>
      <c r="L449" s="457">
        <f t="shared" si="348"/>
        <v>0</v>
      </c>
      <c r="M449" s="458">
        <f t="shared" si="349"/>
        <v>0</v>
      </c>
      <c r="N449" s="458">
        <f t="shared" si="350"/>
        <v>0</v>
      </c>
      <c r="O449" s="458">
        <f t="shared" si="351"/>
        <v>0</v>
      </c>
      <c r="P449" s="458">
        <f t="shared" si="352"/>
        <v>0</v>
      </c>
      <c r="Q449" s="458">
        <f t="shared" si="353"/>
        <v>0</v>
      </c>
      <c r="R449" s="459">
        <f t="shared" si="354"/>
        <v>0</v>
      </c>
      <c r="S449" s="455"/>
      <c r="T449" s="456"/>
      <c r="U449" s="456"/>
      <c r="V449" s="456"/>
      <c r="W449" s="456"/>
      <c r="X449" s="456"/>
      <c r="Y449" s="456"/>
      <c r="Z449" s="421">
        <f>IFERROR(E449/Levelisation!F1417, 0)</f>
        <v>0</v>
      </c>
      <c r="AA449" s="471">
        <f>IFERROR(F449/Levelisation!G1417, 0)</f>
        <v>0</v>
      </c>
      <c r="AB449" s="471">
        <f>IFERROR(G449/Levelisation!H1417, 0)</f>
        <v>0</v>
      </c>
      <c r="AC449" s="5">
        <f>IFERROR(H449/Levelisation!I1417, 0)</f>
        <v>0</v>
      </c>
      <c r="AD449" s="5">
        <f>IFERROR(I449/Levelisation!J1417, 0)</f>
        <v>0</v>
      </c>
      <c r="AE449" s="5">
        <f>IFERROR(J449/Levelisation!J1417, 0)</f>
        <v>0</v>
      </c>
      <c r="AF449" s="6">
        <f>IFERROR(K449/Levelisation!L1417, 0)</f>
        <v>0</v>
      </c>
      <c r="AG449" s="33" t="str">
        <f t="shared" si="329"/>
        <v>2.01 &gt; Barbados</v>
      </c>
      <c r="AH449" s="84">
        <f t="shared" si="330"/>
        <v>435</v>
      </c>
      <c r="AI449" s="84">
        <f t="shared" si="331"/>
        <v>17</v>
      </c>
      <c r="AJ449" s="877" t="s">
        <v>1526</v>
      </c>
    </row>
    <row r="450" spans="1:36" x14ac:dyDescent="0.2">
      <c r="A450" s="492">
        <f>INDEX(Country!$F$31:$G$76, MATCH(AI450, Country!$O$31:$O$76, 0), 1)</f>
        <v>2.0099999999999998</v>
      </c>
      <c r="B450" s="2" t="str">
        <f>INDEX(Country!$F$31:$G$76, MATCH(AI450, Country!$O$31:$O$76, 0), 2)</f>
        <v>Clean energy investments</v>
      </c>
      <c r="C450" s="436" t="str">
        <f>INDEX(Country!$K$31:$K$76, MATCH(AI450, Country!$O$31:$O$76, 0), 1)</f>
        <v>USDm</v>
      </c>
      <c r="D450" s="4" t="str">
        <f t="shared" si="345"/>
        <v>Belize</v>
      </c>
      <c r="E450" s="5">
        <f t="shared" ref="E450" si="359">E504+E531+E558+E585</f>
        <v>0</v>
      </c>
      <c r="F450" s="5">
        <f t="shared" ref="F450:K450" si="360">F504+F531+F558+F585</f>
        <v>114.67299225143825</v>
      </c>
      <c r="G450" s="5">
        <f t="shared" si="360"/>
        <v>177.16815919717453</v>
      </c>
      <c r="H450" s="5">
        <f t="shared" si="360"/>
        <v>177.16815919717453</v>
      </c>
      <c r="I450" s="5">
        <f t="shared" si="360"/>
        <v>177.16815919717453</v>
      </c>
      <c r="J450" s="5">
        <f t="shared" si="360"/>
        <v>177.16815919717453</v>
      </c>
      <c r="K450" s="6">
        <f t="shared" si="360"/>
        <v>177.16815919717453</v>
      </c>
      <c r="L450" s="457">
        <f t="shared" si="348"/>
        <v>0</v>
      </c>
      <c r="M450" s="458">
        <f t="shared" si="349"/>
        <v>100.00000000000001</v>
      </c>
      <c r="N450" s="458">
        <f t="shared" si="350"/>
        <v>100</v>
      </c>
      <c r="O450" s="458">
        <f t="shared" si="351"/>
        <v>100</v>
      </c>
      <c r="P450" s="458">
        <f t="shared" si="352"/>
        <v>100</v>
      </c>
      <c r="Q450" s="458">
        <f t="shared" si="353"/>
        <v>90.112295601483126</v>
      </c>
      <c r="R450" s="459">
        <f t="shared" si="354"/>
        <v>80.001346281847702</v>
      </c>
      <c r="S450" s="455"/>
      <c r="T450" s="456"/>
      <c r="U450" s="456"/>
      <c r="V450" s="456"/>
      <c r="W450" s="456"/>
      <c r="X450" s="456"/>
      <c r="Y450" s="456"/>
      <c r="Z450" s="421">
        <f>IFERROR(E450/Levelisation!F1418, 0)</f>
        <v>0</v>
      </c>
      <c r="AA450" s="471">
        <f>IFERROR(F450/Levelisation!G1418, 0)</f>
        <v>89.448511896597694</v>
      </c>
      <c r="AB450" s="471">
        <f>IFERROR(G450/Levelisation!H1418, 0)</f>
        <v>129.88867976332443</v>
      </c>
      <c r="AC450" s="5">
        <f>IFERROR(H450/Levelisation!I1418, 0)</f>
        <v>131.3329571513525</v>
      </c>
      <c r="AD450" s="5">
        <f>IFERROR(I450/Levelisation!J1418, 0)</f>
        <v>126.45835774245148</v>
      </c>
      <c r="AE450" s="5">
        <f>IFERROR(J450/Levelisation!J1418, 0)</f>
        <v>126.45835774245148</v>
      </c>
      <c r="AF450" s="6">
        <f>IFERROR(K450/Levelisation!L1418, 0)</f>
        <v>114.00782445120626</v>
      </c>
      <c r="AG450" s="33" t="str">
        <f t="shared" si="329"/>
        <v>2.01 &gt; Belize</v>
      </c>
      <c r="AH450" s="84">
        <f t="shared" si="330"/>
        <v>436</v>
      </c>
      <c r="AI450" s="84">
        <f t="shared" si="331"/>
        <v>17</v>
      </c>
      <c r="AJ450" s="877" t="s">
        <v>1526</v>
      </c>
    </row>
    <row r="451" spans="1:36" x14ac:dyDescent="0.2">
      <c r="A451" s="492">
        <f>INDEX(Country!$F$31:$G$76, MATCH(AI451, Country!$O$31:$O$76, 0), 1)</f>
        <v>2.0099999999999998</v>
      </c>
      <c r="B451" s="2" t="str">
        <f>INDEX(Country!$F$31:$G$76, MATCH(AI451, Country!$O$31:$O$76, 0), 2)</f>
        <v>Clean energy investments</v>
      </c>
      <c r="C451" s="436" t="str">
        <f>INDEX(Country!$K$31:$K$76, MATCH(AI451, Country!$O$31:$O$76, 0), 1)</f>
        <v>USDm</v>
      </c>
      <c r="D451" s="4" t="str">
        <f t="shared" si="345"/>
        <v>Bolivia</v>
      </c>
      <c r="E451" s="5">
        <f t="shared" ref="E451" si="361">E505+E532+E559+E586</f>
        <v>0</v>
      </c>
      <c r="F451" s="5">
        <f t="shared" ref="F451:K451" si="362">F505+F532+F559+F586</f>
        <v>0</v>
      </c>
      <c r="G451" s="5">
        <f t="shared" si="362"/>
        <v>0</v>
      </c>
      <c r="H451" s="5">
        <f t="shared" si="362"/>
        <v>0</v>
      </c>
      <c r="I451" s="5">
        <f t="shared" si="362"/>
        <v>0</v>
      </c>
      <c r="J451" s="5">
        <f t="shared" si="362"/>
        <v>0</v>
      </c>
      <c r="K451" s="6">
        <f t="shared" si="362"/>
        <v>0</v>
      </c>
      <c r="L451" s="457">
        <f t="shared" si="348"/>
        <v>0</v>
      </c>
      <c r="M451" s="458">
        <f t="shared" si="349"/>
        <v>0</v>
      </c>
      <c r="N451" s="458">
        <f t="shared" si="350"/>
        <v>0</v>
      </c>
      <c r="O451" s="458">
        <f t="shared" si="351"/>
        <v>0</v>
      </c>
      <c r="P451" s="458">
        <f t="shared" si="352"/>
        <v>0</v>
      </c>
      <c r="Q451" s="458">
        <f t="shared" si="353"/>
        <v>0</v>
      </c>
      <c r="R451" s="459">
        <f t="shared" si="354"/>
        <v>0</v>
      </c>
      <c r="S451" s="455"/>
      <c r="T451" s="456"/>
      <c r="U451" s="456"/>
      <c r="V451" s="456"/>
      <c r="W451" s="456"/>
      <c r="X451" s="456"/>
      <c r="Y451" s="456"/>
      <c r="Z451" s="421">
        <f>IFERROR(E451/Levelisation!F1419, 0)</f>
        <v>0</v>
      </c>
      <c r="AA451" s="471">
        <f>IFERROR(F451/Levelisation!G1419, 0)</f>
        <v>0</v>
      </c>
      <c r="AB451" s="471">
        <f>IFERROR(G451/Levelisation!H1419, 0)</f>
        <v>0</v>
      </c>
      <c r="AC451" s="5">
        <f>IFERROR(H451/Levelisation!I1419, 0)</f>
        <v>0</v>
      </c>
      <c r="AD451" s="5">
        <f>IFERROR(I451/Levelisation!J1419, 0)</f>
        <v>0</v>
      </c>
      <c r="AE451" s="5">
        <f>IFERROR(J451/Levelisation!J1419, 0)</f>
        <v>0</v>
      </c>
      <c r="AF451" s="6">
        <f>IFERROR(K451/Levelisation!L1419, 0)</f>
        <v>0</v>
      </c>
      <c r="AG451" s="33" t="str">
        <f t="shared" si="329"/>
        <v>2.01 &gt; Bolivia</v>
      </c>
      <c r="AH451" s="84">
        <f t="shared" si="330"/>
        <v>437</v>
      </c>
      <c r="AI451" s="84">
        <f t="shared" si="331"/>
        <v>17</v>
      </c>
      <c r="AJ451" s="877" t="s">
        <v>1526</v>
      </c>
    </row>
    <row r="452" spans="1:36" x14ac:dyDescent="0.2">
      <c r="A452" s="492">
        <f>INDEX(Country!$F$31:$G$76, MATCH(AI452, Country!$O$31:$O$76, 0), 1)</f>
        <v>2.0099999999999998</v>
      </c>
      <c r="B452" s="2" t="str">
        <f>INDEX(Country!$F$31:$G$76, MATCH(AI452, Country!$O$31:$O$76, 0), 2)</f>
        <v>Clean energy investments</v>
      </c>
      <c r="C452" s="436" t="str">
        <f>INDEX(Country!$K$31:$K$76, MATCH(AI452, Country!$O$31:$O$76, 0), 1)</f>
        <v>USDm</v>
      </c>
      <c r="D452" s="4" t="str">
        <f t="shared" si="345"/>
        <v>Brazil</v>
      </c>
      <c r="E452" s="5">
        <f t="shared" ref="E452" si="363">E506+E533+E560+E587</f>
        <v>5017.6019599128622</v>
      </c>
      <c r="F452" s="5">
        <f t="shared" ref="F452:J452" si="364">F506+F533+F560+F587</f>
        <v>17843.608124048733</v>
      </c>
      <c r="G452" s="5">
        <f t="shared" si="364"/>
        <v>33202.197298244333</v>
      </c>
      <c r="H452" s="5">
        <f t="shared" si="364"/>
        <v>44966.060479765241</v>
      </c>
      <c r="I452" s="5">
        <f t="shared" si="364"/>
        <v>58529.688374947451</v>
      </c>
      <c r="J452" s="5">
        <f t="shared" si="364"/>
        <v>73002.884314946132</v>
      </c>
      <c r="K452" s="6">
        <f>K506+K533+K560+K587</f>
        <v>82210.779189262335</v>
      </c>
      <c r="L452" s="457">
        <f t="shared" si="348"/>
        <v>24.212759565979042</v>
      </c>
      <c r="M452" s="458">
        <f t="shared" si="349"/>
        <v>14.601212391406978</v>
      </c>
      <c r="N452" s="458">
        <f t="shared" si="350"/>
        <v>15.488466247155012</v>
      </c>
      <c r="O452" s="458">
        <f t="shared" si="351"/>
        <v>21.1045941167339</v>
      </c>
      <c r="P452" s="458">
        <f t="shared" si="352"/>
        <v>21.59839602979045</v>
      </c>
      <c r="Q452" s="458">
        <f t="shared" si="353"/>
        <v>24.275565803251538</v>
      </c>
      <c r="R452" s="459">
        <f t="shared" si="354"/>
        <v>24.077444371630751</v>
      </c>
      <c r="S452" s="455"/>
      <c r="T452" s="456"/>
      <c r="U452" s="456"/>
      <c r="V452" s="456"/>
      <c r="W452" s="456"/>
      <c r="X452" s="456"/>
      <c r="Y452" s="456"/>
      <c r="Z452" s="421">
        <f>IFERROR(E452/Levelisation!F1420, 0)</f>
        <v>4.6068674763260598</v>
      </c>
      <c r="AA452" s="471">
        <f>IFERROR(F452/Levelisation!G1420, 0)</f>
        <v>13.060567202975166</v>
      </c>
      <c r="AB452" s="471">
        <f>IFERROR(G452/Levelisation!H1420, 0)</f>
        <v>20.117764324017767</v>
      </c>
      <c r="AC452" s="5">
        <f>IFERROR(H452/Levelisation!I1420, 0)</f>
        <v>27.717287548296994</v>
      </c>
      <c r="AD452" s="5">
        <f>IFERROR(I452/Levelisation!J1420, 0)</f>
        <v>27.312976917983846</v>
      </c>
      <c r="AE452" s="5">
        <f>IFERROR(J452/Levelisation!J1420, 0)</f>
        <v>34.066917996676572</v>
      </c>
      <c r="AF452" s="6">
        <f>IFERROR(K452/Levelisation!L1420, 0)</f>
        <v>34.312135716863637</v>
      </c>
      <c r="AG452" s="33" t="str">
        <f t="shared" si="329"/>
        <v>2.01 &gt; Brazil</v>
      </c>
      <c r="AH452" s="84">
        <f t="shared" si="330"/>
        <v>438</v>
      </c>
      <c r="AI452" s="84">
        <f t="shared" si="331"/>
        <v>17</v>
      </c>
      <c r="AJ452" s="877" t="s">
        <v>1526</v>
      </c>
    </row>
    <row r="453" spans="1:36" x14ac:dyDescent="0.2">
      <c r="A453" s="492">
        <f>INDEX(Country!$F$31:$G$76, MATCH(AI453, Country!$O$31:$O$76, 0), 1)</f>
        <v>2.0099999999999998</v>
      </c>
      <c r="B453" s="2" t="str">
        <f>INDEX(Country!$F$31:$G$76, MATCH(AI453, Country!$O$31:$O$76, 0), 2)</f>
        <v>Clean energy investments</v>
      </c>
      <c r="C453" s="436" t="str">
        <f>INDEX(Country!$K$31:$K$76, MATCH(AI453, Country!$O$31:$O$76, 0), 1)</f>
        <v>USDm</v>
      </c>
      <c r="D453" s="4" t="str">
        <f t="shared" si="345"/>
        <v>Chile</v>
      </c>
      <c r="E453" s="5">
        <f t="shared" ref="E453" si="365">E507+E534+E561+E588</f>
        <v>181.01642414744015</v>
      </c>
      <c r="F453" s="5">
        <f t="shared" ref="F453:K453" si="366">F507+F534+F561+F588</f>
        <v>478.70790691670476</v>
      </c>
      <c r="G453" s="5">
        <f t="shared" si="366"/>
        <v>1594.8247518467388</v>
      </c>
      <c r="H453" s="5">
        <f t="shared" si="366"/>
        <v>2374.2916011965567</v>
      </c>
      <c r="I453" s="5">
        <f t="shared" si="366"/>
        <v>3642.8809920377034</v>
      </c>
      <c r="J453" s="5">
        <f t="shared" si="366"/>
        <v>4145.2307864290779</v>
      </c>
      <c r="K453" s="6">
        <f t="shared" si="366"/>
        <v>6224.4300855157662</v>
      </c>
      <c r="L453" s="457">
        <f t="shared" si="348"/>
        <v>6.1495562715374747</v>
      </c>
      <c r="M453" s="458">
        <f t="shared" si="349"/>
        <v>3.0923649611808268</v>
      </c>
      <c r="N453" s="458">
        <f t="shared" si="350"/>
        <v>6.8394180246143499</v>
      </c>
      <c r="O453" s="458">
        <f t="shared" si="351"/>
        <v>10.504049310727346</v>
      </c>
      <c r="P453" s="458">
        <f t="shared" si="352"/>
        <v>13.256037907832223</v>
      </c>
      <c r="Q453" s="458">
        <f t="shared" si="353"/>
        <v>13.592568242978974</v>
      </c>
      <c r="R453" s="459">
        <f t="shared" si="354"/>
        <v>16.286985215150189</v>
      </c>
      <c r="S453" s="455"/>
      <c r="T453" s="456"/>
      <c r="U453" s="456"/>
      <c r="V453" s="456"/>
      <c r="W453" s="456"/>
      <c r="X453" s="456"/>
      <c r="Y453" s="456"/>
      <c r="Z453" s="421">
        <f>IFERROR(E453/Levelisation!F1421, 0)</f>
        <v>1.1700521249543665</v>
      </c>
      <c r="AA453" s="471">
        <f>IFERROR(F453/Levelisation!G1421, 0)</f>
        <v>2.7660744401880506</v>
      </c>
      <c r="AB453" s="471">
        <f>IFERROR(G453/Levelisation!H1421, 0)</f>
        <v>8.8836297756664226</v>
      </c>
      <c r="AC453" s="5">
        <f>IFERROR(H453/Levelisation!I1421, 0)</f>
        <v>13.795278580414484</v>
      </c>
      <c r="AD453" s="5">
        <f>IFERROR(I453/Levelisation!J1421, 0)</f>
        <v>16.763367839961454</v>
      </c>
      <c r="AE453" s="5">
        <f>IFERROR(J453/Levelisation!J1421, 0)</f>
        <v>19.075020184937223</v>
      </c>
      <c r="AF453" s="6">
        <f>IFERROR(K453/Levelisation!L1421, 0)</f>
        <v>23.210156297951599</v>
      </c>
      <c r="AG453" s="33" t="str">
        <f t="shared" si="329"/>
        <v>2.01 &gt; Chile</v>
      </c>
      <c r="AH453" s="84">
        <f t="shared" si="330"/>
        <v>439</v>
      </c>
      <c r="AI453" s="84">
        <f t="shared" si="331"/>
        <v>17</v>
      </c>
      <c r="AJ453" s="877" t="s">
        <v>1526</v>
      </c>
    </row>
    <row r="454" spans="1:36" x14ac:dyDescent="0.2">
      <c r="A454" s="492">
        <f>INDEX(Country!$F$31:$G$76, MATCH(AI454, Country!$O$31:$O$76, 0), 1)</f>
        <v>2.0099999999999998</v>
      </c>
      <c r="B454" s="2" t="str">
        <f>INDEX(Country!$F$31:$G$76, MATCH(AI454, Country!$O$31:$O$76, 0), 2)</f>
        <v>Clean energy investments</v>
      </c>
      <c r="C454" s="436" t="str">
        <f>INDEX(Country!$K$31:$K$76, MATCH(AI454, Country!$O$31:$O$76, 0), 1)</f>
        <v>USDm</v>
      </c>
      <c r="D454" s="4" t="str">
        <f t="shared" si="345"/>
        <v>Colombia</v>
      </c>
      <c r="E454" s="5">
        <f t="shared" ref="E454" si="367">E508+E535+E562+E589</f>
        <v>203.01954227092605</v>
      </c>
      <c r="F454" s="5">
        <f t="shared" ref="F454:K454" si="368">F508+F535+F562+F589</f>
        <v>528.0449870627358</v>
      </c>
      <c r="G454" s="5">
        <f t="shared" si="368"/>
        <v>812.37142367187641</v>
      </c>
      <c r="H454" s="5">
        <f t="shared" si="368"/>
        <v>924.89942367187643</v>
      </c>
      <c r="I454" s="5">
        <f t="shared" si="368"/>
        <v>1122.8873627585335</v>
      </c>
      <c r="J454" s="5">
        <f t="shared" si="368"/>
        <v>1193.8441117875291</v>
      </c>
      <c r="K454" s="6">
        <f t="shared" si="368"/>
        <v>1193.8441117875291</v>
      </c>
      <c r="L454" s="457">
        <f t="shared" si="348"/>
        <v>6.6402565828783144</v>
      </c>
      <c r="M454" s="458">
        <f t="shared" si="349"/>
        <v>2.803571390716491</v>
      </c>
      <c r="N454" s="458">
        <f t="shared" si="350"/>
        <v>2.6585477991796882</v>
      </c>
      <c r="O454" s="458">
        <f t="shared" si="351"/>
        <v>3.0407999975291258</v>
      </c>
      <c r="P454" s="458">
        <f t="shared" si="352"/>
        <v>3.1169602905329388</v>
      </c>
      <c r="Q454" s="458">
        <f t="shared" si="353"/>
        <v>2.9862540411961418</v>
      </c>
      <c r="R454" s="459">
        <f t="shared" si="354"/>
        <v>2.288787337925041</v>
      </c>
      <c r="S454" s="455"/>
      <c r="T454" s="456"/>
      <c r="U454" s="456"/>
      <c r="V454" s="456"/>
      <c r="W454" s="456"/>
      <c r="X454" s="456"/>
      <c r="Y454" s="456"/>
      <c r="Z454" s="421">
        <f>IFERROR(E454/Levelisation!F1422, 0)</f>
        <v>1.2634157623695543</v>
      </c>
      <c r="AA454" s="471">
        <f>IFERROR(F454/Levelisation!G1422, 0)</f>
        <v>2.5077528889546499</v>
      </c>
      <c r="AB454" s="471">
        <f>IFERROR(G454/Levelisation!H1422, 0)</f>
        <v>3.4531526372314145</v>
      </c>
      <c r="AC454" s="5">
        <f>IFERROR(H454/Levelisation!I1422, 0)</f>
        <v>3.993572557813255</v>
      </c>
      <c r="AD454" s="5">
        <f>IFERROR(I454/Levelisation!J1422, 0)</f>
        <v>3.9416567948922991</v>
      </c>
      <c r="AE454" s="5">
        <f>IFERROR(J454/Levelisation!J1422, 0)</f>
        <v>4.190735341173661</v>
      </c>
      <c r="AF454" s="6">
        <f>IFERROR(K454/Levelisation!L1422, 0)</f>
        <v>3.2616909234127345</v>
      </c>
      <c r="AG454" s="33" t="str">
        <f t="shared" si="329"/>
        <v>2.01 &gt; Colombia</v>
      </c>
      <c r="AH454" s="84">
        <f t="shared" si="330"/>
        <v>440</v>
      </c>
      <c r="AI454" s="84">
        <f t="shared" si="331"/>
        <v>17</v>
      </c>
      <c r="AJ454" s="877" t="s">
        <v>1526</v>
      </c>
    </row>
    <row r="455" spans="1:36" x14ac:dyDescent="0.2">
      <c r="A455" s="492">
        <f>INDEX(Country!$F$31:$G$76, MATCH(AI455, Country!$O$31:$O$76, 0), 1)</f>
        <v>2.0099999999999998</v>
      </c>
      <c r="B455" s="2" t="str">
        <f>INDEX(Country!$F$31:$G$76, MATCH(AI455, Country!$O$31:$O$76, 0), 2)</f>
        <v>Clean energy investments</v>
      </c>
      <c r="C455" s="436" t="str">
        <f>INDEX(Country!$K$31:$K$76, MATCH(AI455, Country!$O$31:$O$76, 0), 1)</f>
        <v>USDm</v>
      </c>
      <c r="D455" s="4" t="str">
        <f t="shared" si="345"/>
        <v>Costa Rica</v>
      </c>
      <c r="E455" s="5">
        <f t="shared" ref="E455" si="369">E509+E536+E563+E590</f>
        <v>192.4890613589094</v>
      </c>
      <c r="F455" s="5">
        <f t="shared" ref="F455:K455" si="370">F509+F536+F563+F590</f>
        <v>192.4890613589094</v>
      </c>
      <c r="G455" s="5">
        <f t="shared" si="370"/>
        <v>343.90958534533422</v>
      </c>
      <c r="H455" s="5">
        <f t="shared" si="370"/>
        <v>561.94159164902771</v>
      </c>
      <c r="I455" s="5">
        <f t="shared" si="370"/>
        <v>682.50056458633992</v>
      </c>
      <c r="J455" s="5">
        <f t="shared" si="370"/>
        <v>1074.2862954212844</v>
      </c>
      <c r="K455" s="6">
        <f t="shared" si="370"/>
        <v>1084.1748675608601</v>
      </c>
      <c r="L455" s="457">
        <f t="shared" si="348"/>
        <v>44.911808672784268</v>
      </c>
      <c r="M455" s="458">
        <f t="shared" si="349"/>
        <v>8.1754948651207382</v>
      </c>
      <c r="N455" s="458">
        <f t="shared" si="350"/>
        <v>8.8736698888914418</v>
      </c>
      <c r="O455" s="458">
        <f t="shared" si="351"/>
        <v>14.56200979950474</v>
      </c>
      <c r="P455" s="458">
        <f t="shared" si="352"/>
        <v>14.901535201384503</v>
      </c>
      <c r="Q455" s="458">
        <f t="shared" si="353"/>
        <v>21.136451967378527</v>
      </c>
      <c r="R455" s="459">
        <f t="shared" si="354"/>
        <v>16.856140717090877</v>
      </c>
      <c r="S455" s="455"/>
      <c r="T455" s="456"/>
      <c r="U455" s="456"/>
      <c r="V455" s="456"/>
      <c r="W455" s="456"/>
      <c r="X455" s="456"/>
      <c r="Y455" s="456"/>
      <c r="Z455" s="421">
        <f>IFERROR(E455/Levelisation!F1423, 0)</f>
        <v>8.5451949462358776</v>
      </c>
      <c r="AA455" s="471">
        <f>IFERROR(F455/Levelisation!G1423, 0)</f>
        <v>7.3128584970332575</v>
      </c>
      <c r="AB455" s="471">
        <f>IFERROR(G455/Levelisation!H1423, 0)</f>
        <v>11.525892665236752</v>
      </c>
      <c r="AC455" s="5">
        <f>IFERROR(H455/Levelisation!I1423, 0)</f>
        <v>19.124718090359313</v>
      </c>
      <c r="AD455" s="5">
        <f>IFERROR(I455/Levelisation!J1423, 0)</f>
        <v>18.844236694084152</v>
      </c>
      <c r="AE455" s="5">
        <f>IFERROR(J455/Levelisation!J1423, 0)</f>
        <v>29.661668104845223</v>
      </c>
      <c r="AF455" s="6">
        <f>IFERROR(K455/Levelisation!L1423, 0)</f>
        <v>24.021244905411887</v>
      </c>
      <c r="AG455" s="33" t="str">
        <f t="shared" si="329"/>
        <v>2.01 &gt; Costa Rica</v>
      </c>
      <c r="AH455" s="84">
        <f t="shared" si="330"/>
        <v>441</v>
      </c>
      <c r="AI455" s="84">
        <f t="shared" si="331"/>
        <v>17</v>
      </c>
      <c r="AJ455" s="877" t="s">
        <v>1526</v>
      </c>
    </row>
    <row r="456" spans="1:36" x14ac:dyDescent="0.2">
      <c r="A456" s="492">
        <f>INDEX(Country!$F$31:$G$76, MATCH(AI456, Country!$O$31:$O$76, 0), 1)</f>
        <v>2.0099999999999998</v>
      </c>
      <c r="B456" s="2" t="str">
        <f>INDEX(Country!$F$31:$G$76, MATCH(AI456, Country!$O$31:$O$76, 0), 2)</f>
        <v>Clean energy investments</v>
      </c>
      <c r="C456" s="436" t="str">
        <f>INDEX(Country!$K$31:$K$76, MATCH(AI456, Country!$O$31:$O$76, 0), 1)</f>
        <v>USDm</v>
      </c>
      <c r="D456" s="4" t="str">
        <f t="shared" si="345"/>
        <v>Dominican Republic</v>
      </c>
      <c r="E456" s="5">
        <f t="shared" ref="E456" si="371">E510+E537+E564+E591</f>
        <v>0</v>
      </c>
      <c r="F456" s="5">
        <f t="shared" ref="F456:K456" si="372">F510+F537+F564+F591</f>
        <v>37.510199999999998</v>
      </c>
      <c r="G456" s="5">
        <f t="shared" si="372"/>
        <v>37.510199999999998</v>
      </c>
      <c r="H456" s="5">
        <f t="shared" si="372"/>
        <v>245.5102</v>
      </c>
      <c r="I456" s="5">
        <f t="shared" si="372"/>
        <v>349.90437846666163</v>
      </c>
      <c r="J456" s="5">
        <f t="shared" si="372"/>
        <v>396.55688043602004</v>
      </c>
      <c r="K456" s="6">
        <f t="shared" si="372"/>
        <v>644.46042206804805</v>
      </c>
      <c r="L456" s="457">
        <f t="shared" si="348"/>
        <v>0</v>
      </c>
      <c r="M456" s="458">
        <f t="shared" si="349"/>
        <v>1.0231533350098669</v>
      </c>
      <c r="N456" s="458">
        <f t="shared" si="350"/>
        <v>0.63447423170916972</v>
      </c>
      <c r="O456" s="458">
        <f t="shared" si="351"/>
        <v>4.0017390066684611</v>
      </c>
      <c r="P456" s="458">
        <f t="shared" si="352"/>
        <v>5.3548408515878014</v>
      </c>
      <c r="Q456" s="458">
        <f t="shared" si="353"/>
        <v>5.468733170315164</v>
      </c>
      <c r="R456" s="459">
        <f t="shared" si="354"/>
        <v>7.6654264611396146</v>
      </c>
      <c r="S456" s="455"/>
      <c r="T456" s="456"/>
      <c r="U456" s="456"/>
      <c r="V456" s="456"/>
      <c r="W456" s="456"/>
      <c r="X456" s="456"/>
      <c r="Y456" s="456"/>
      <c r="Z456" s="421">
        <f>IFERROR(E456/Levelisation!F1424, 0)</f>
        <v>0</v>
      </c>
      <c r="AA456" s="471">
        <f>IFERROR(F456/Levelisation!G1424, 0)</f>
        <v>0.91519543258673697</v>
      </c>
      <c r="AB456" s="471">
        <f>IFERROR(G456/Levelisation!H1424, 0)</f>
        <v>0.8241102030055365</v>
      </c>
      <c r="AC456" s="5">
        <f>IFERROR(H456/Levelisation!I1424, 0)</f>
        <v>5.2556021749368496</v>
      </c>
      <c r="AD456" s="5">
        <f>IFERROR(I456/Levelisation!J1424, 0)</f>
        <v>6.7716438006398372</v>
      </c>
      <c r="AE456" s="5">
        <f>IFERROR(J456/Levelisation!J1424, 0)</f>
        <v>7.6745022533677822</v>
      </c>
      <c r="AF456" s="6">
        <f>IFERROR(K456/Levelisation!L1424, 0)</f>
        <v>10.923798597668453</v>
      </c>
      <c r="AG456" s="33" t="str">
        <f t="shared" si="329"/>
        <v>2.01 &gt; Dominican Republic</v>
      </c>
      <c r="AH456" s="84">
        <f t="shared" si="330"/>
        <v>442</v>
      </c>
      <c r="AI456" s="84">
        <f t="shared" si="331"/>
        <v>17</v>
      </c>
      <c r="AJ456" s="877" t="s">
        <v>1526</v>
      </c>
    </row>
    <row r="457" spans="1:36" x14ac:dyDescent="0.2">
      <c r="A457" s="492">
        <f>INDEX(Country!$F$31:$G$76, MATCH(AI457, Country!$O$31:$O$76, 0), 1)</f>
        <v>2.0099999999999998</v>
      </c>
      <c r="B457" s="2" t="str">
        <f>INDEX(Country!$F$31:$G$76, MATCH(AI457, Country!$O$31:$O$76, 0), 2)</f>
        <v>Clean energy investments</v>
      </c>
      <c r="C457" s="436" t="str">
        <f>INDEX(Country!$K$31:$K$76, MATCH(AI457, Country!$O$31:$O$76, 0), 1)</f>
        <v>USDm</v>
      </c>
      <c r="D457" s="4" t="str">
        <f t="shared" si="345"/>
        <v>Ecuador</v>
      </c>
      <c r="E457" s="5">
        <f t="shared" ref="E457" si="373">E511+E538+E565+E592</f>
        <v>130.80338899034757</v>
      </c>
      <c r="F457" s="5">
        <f t="shared" ref="F457:K457" si="374">F511+F538+F565+F592</f>
        <v>152.11838899034757</v>
      </c>
      <c r="G457" s="5">
        <f t="shared" si="374"/>
        <v>152.11838899034757</v>
      </c>
      <c r="H457" s="5">
        <f t="shared" si="374"/>
        <v>208.07038899034757</v>
      </c>
      <c r="I457" s="5">
        <f t="shared" si="374"/>
        <v>208.07038899034757</v>
      </c>
      <c r="J457" s="5">
        <f t="shared" si="374"/>
        <v>300.79301195461778</v>
      </c>
      <c r="K457" s="6">
        <f t="shared" si="374"/>
        <v>432.53076745851922</v>
      </c>
      <c r="L457" s="457">
        <f t="shared" si="348"/>
        <v>14.68997285621653</v>
      </c>
      <c r="M457" s="458">
        <f t="shared" si="349"/>
        <v>3.3340361322210379</v>
      </c>
      <c r="N457" s="458">
        <f t="shared" si="350"/>
        <v>1.9278730423890198</v>
      </c>
      <c r="O457" s="458">
        <f t="shared" si="351"/>
        <v>2.7382029414708464</v>
      </c>
      <c r="P457" s="458">
        <f t="shared" si="352"/>
        <v>2.5808056657033362</v>
      </c>
      <c r="Q457" s="458">
        <f t="shared" si="353"/>
        <v>3.3619931194034667</v>
      </c>
      <c r="R457" s="459">
        <f t="shared" si="354"/>
        <v>3.7504743683355839</v>
      </c>
      <c r="S457" s="455"/>
      <c r="T457" s="456"/>
      <c r="U457" s="456"/>
      <c r="V457" s="456"/>
      <c r="W457" s="456"/>
      <c r="X457" s="456"/>
      <c r="Y457" s="456"/>
      <c r="Z457" s="421">
        <f>IFERROR(E457/Levelisation!F1425, 0)</f>
        <v>2.7950039315016895</v>
      </c>
      <c r="AA457" s="471">
        <f>IFERROR(F457/Levelisation!G1425, 0)</f>
        <v>2.9822457063666006</v>
      </c>
      <c r="AB457" s="471">
        <f>IFERROR(G457/Levelisation!H1425, 0)</f>
        <v>2.5040888422721337</v>
      </c>
      <c r="AC457" s="5">
        <f>IFERROR(H457/Levelisation!I1425, 0)</f>
        <v>3.5961628958389804</v>
      </c>
      <c r="AD457" s="5">
        <f>IFERROR(I457/Levelisation!J1425, 0)</f>
        <v>3.2636444613725817</v>
      </c>
      <c r="AE457" s="5">
        <f>IFERROR(J457/Levelisation!J1425, 0)</f>
        <v>4.7180257231643159</v>
      </c>
      <c r="AF457" s="6">
        <f>IFERROR(K457/Levelisation!L1425, 0)</f>
        <v>5.3447028489690611</v>
      </c>
      <c r="AG457" s="33" t="str">
        <f t="shared" si="329"/>
        <v>2.01 &gt; Ecuador</v>
      </c>
      <c r="AH457" s="84">
        <f t="shared" si="330"/>
        <v>443</v>
      </c>
      <c r="AI457" s="84">
        <f t="shared" si="331"/>
        <v>17</v>
      </c>
      <c r="AJ457" s="877" t="s">
        <v>1526</v>
      </c>
    </row>
    <row r="458" spans="1:36" x14ac:dyDescent="0.2">
      <c r="A458" s="492">
        <f>INDEX(Country!$F$31:$G$76, MATCH(AI458, Country!$O$31:$O$76, 0), 1)</f>
        <v>2.0099999999999998</v>
      </c>
      <c r="B458" s="2" t="str">
        <f>INDEX(Country!$F$31:$G$76, MATCH(AI458, Country!$O$31:$O$76, 0), 2)</f>
        <v>Clean energy investments</v>
      </c>
      <c r="C458" s="436" t="str">
        <f>INDEX(Country!$K$31:$K$76, MATCH(AI458, Country!$O$31:$O$76, 0), 1)</f>
        <v>USDm</v>
      </c>
      <c r="D458" s="4" t="str">
        <f t="shared" si="345"/>
        <v>El Salvador</v>
      </c>
      <c r="E458" s="5">
        <f t="shared" ref="E458" si="375">E512+E539+E566+E593</f>
        <v>20.427999488379204</v>
      </c>
      <c r="F458" s="5">
        <f t="shared" ref="F458:K458" si="376">F512+F539+F566+F593</f>
        <v>20.427999488379204</v>
      </c>
      <c r="G458" s="5">
        <f t="shared" si="376"/>
        <v>21.697999488379203</v>
      </c>
      <c r="H458" s="5">
        <f t="shared" si="376"/>
        <v>21.787999488379203</v>
      </c>
      <c r="I458" s="5">
        <f t="shared" si="376"/>
        <v>21.787999488379203</v>
      </c>
      <c r="J458" s="5">
        <f t="shared" si="376"/>
        <v>21.897999488379202</v>
      </c>
      <c r="K458" s="6">
        <f t="shared" si="376"/>
        <v>22.007999488379202</v>
      </c>
      <c r="L458" s="457">
        <f t="shared" si="348"/>
        <v>5.7875810114298618</v>
      </c>
      <c r="M458" s="458">
        <f t="shared" si="349"/>
        <v>1.1359223404820347</v>
      </c>
      <c r="N458" s="458">
        <f t="shared" si="350"/>
        <v>0.77948175776257145</v>
      </c>
      <c r="O458" s="458">
        <f t="shared" si="351"/>
        <v>0.80295701297649158</v>
      </c>
      <c r="P458" s="458">
        <f t="shared" si="352"/>
        <v>0.80443490123260553</v>
      </c>
      <c r="Q458" s="458">
        <f t="shared" si="353"/>
        <v>0.72855449657577875</v>
      </c>
      <c r="R458" s="459">
        <f t="shared" si="354"/>
        <v>0.64844684681672671</v>
      </c>
      <c r="S458" s="455"/>
      <c r="T458" s="456"/>
      <c r="U458" s="456"/>
      <c r="V458" s="456"/>
      <c r="W458" s="456"/>
      <c r="X458" s="456"/>
      <c r="Y458" s="456"/>
      <c r="Z458" s="421">
        <f>IFERROR(E458/Levelisation!F1426, 0)</f>
        <v>1.1011805017723684</v>
      </c>
      <c r="AA458" s="471">
        <f>IFERROR(F458/Levelisation!G1426, 0)</f>
        <v>1.0160656298621837</v>
      </c>
      <c r="AB458" s="471">
        <f>IFERROR(G458/Levelisation!H1426, 0)</f>
        <v>1.0124585641537587</v>
      </c>
      <c r="AC458" s="5">
        <f>IFERROR(H458/Levelisation!I1426, 0)</f>
        <v>1.0545471897961958</v>
      </c>
      <c r="AD458" s="5">
        <f>IFERROR(I458/Levelisation!J1426, 0)</f>
        <v>1.0172751652058645</v>
      </c>
      <c r="AE458" s="5">
        <f>IFERROR(J458/Levelisation!J1426, 0)</f>
        <v>1.022411032233598</v>
      </c>
      <c r="AF458" s="6">
        <f>IFERROR(K458/Levelisation!L1426, 0)</f>
        <v>0.92408462749324838</v>
      </c>
      <c r="AG458" s="33" t="str">
        <f t="shared" si="329"/>
        <v>2.01 &gt; El Salvador</v>
      </c>
      <c r="AH458" s="84">
        <f t="shared" si="330"/>
        <v>444</v>
      </c>
      <c r="AI458" s="84">
        <f t="shared" si="331"/>
        <v>17</v>
      </c>
      <c r="AJ458" s="877" t="s">
        <v>1526</v>
      </c>
    </row>
    <row r="459" spans="1:36" x14ac:dyDescent="0.2">
      <c r="A459" s="492">
        <f>INDEX(Country!$F$31:$G$76, MATCH(AI459, Country!$O$31:$O$76, 0), 1)</f>
        <v>2.0099999999999998</v>
      </c>
      <c r="B459" s="2" t="str">
        <f>INDEX(Country!$F$31:$G$76, MATCH(AI459, Country!$O$31:$O$76, 0), 2)</f>
        <v>Clean energy investments</v>
      </c>
      <c r="C459" s="436" t="str">
        <f>INDEX(Country!$K$31:$K$76, MATCH(AI459, Country!$O$31:$O$76, 0), 1)</f>
        <v>USDm</v>
      </c>
      <c r="D459" s="4" t="str">
        <f t="shared" si="345"/>
        <v>Guatemala</v>
      </c>
      <c r="E459" s="5">
        <f t="shared" ref="E459" si="377">E513+E540+E567+E594</f>
        <v>154.01527349687987</v>
      </c>
      <c r="F459" s="5">
        <f t="shared" ref="F459:K459" si="378">F513+F540+F567+F594</f>
        <v>196.65709492140971</v>
      </c>
      <c r="G459" s="5">
        <f t="shared" si="378"/>
        <v>196.79709492140972</v>
      </c>
      <c r="H459" s="5">
        <f t="shared" si="378"/>
        <v>283.983945482553</v>
      </c>
      <c r="I459" s="5">
        <f t="shared" si="378"/>
        <v>337.65644096920948</v>
      </c>
      <c r="J459" s="5">
        <f t="shared" si="378"/>
        <v>446.38929409627008</v>
      </c>
      <c r="K459" s="6">
        <f t="shared" si="378"/>
        <v>446.38929409627008</v>
      </c>
      <c r="L459" s="457">
        <f t="shared" si="348"/>
        <v>26.776255801911514</v>
      </c>
      <c r="M459" s="458">
        <f t="shared" si="349"/>
        <v>6.4449059666768003</v>
      </c>
      <c r="N459" s="458">
        <f t="shared" si="350"/>
        <v>3.871326927974712</v>
      </c>
      <c r="O459" s="458">
        <f t="shared" si="351"/>
        <v>5.7304301142305842</v>
      </c>
      <c r="P459" s="458">
        <f t="shared" si="352"/>
        <v>6.4587209828922347</v>
      </c>
      <c r="Q459" s="458">
        <f t="shared" si="353"/>
        <v>7.6943034218304343</v>
      </c>
      <c r="R459" s="459">
        <f t="shared" si="354"/>
        <v>6.2798600091041443</v>
      </c>
      <c r="S459" s="455"/>
      <c r="T459" s="456"/>
      <c r="U459" s="456"/>
      <c r="V459" s="456"/>
      <c r="W459" s="456"/>
      <c r="X459" s="456"/>
      <c r="Y459" s="456"/>
      <c r="Z459" s="421">
        <f>IFERROR(E459/Levelisation!F1427, 0)</f>
        <v>5.0946139226912726</v>
      </c>
      <c r="AA459" s="471">
        <f>IFERROR(F459/Levelisation!G1427, 0)</f>
        <v>5.7648724803274325</v>
      </c>
      <c r="AB459" s="471">
        <f>IFERROR(G459/Levelisation!H1427, 0)</f>
        <v>5.0284154360684195</v>
      </c>
      <c r="AC459" s="5">
        <f>IFERROR(H459/Levelisation!I1427, 0)</f>
        <v>7.525943326510653</v>
      </c>
      <c r="AD459" s="5">
        <f>IFERROR(I459/Levelisation!J1427, 0)</f>
        <v>8.1675924861326408</v>
      </c>
      <c r="AE459" s="5">
        <f>IFERROR(J459/Levelisation!J1427, 0)</f>
        <v>10.797738179924774</v>
      </c>
      <c r="AF459" s="6">
        <f>IFERROR(K459/Levelisation!L1427, 0)</f>
        <v>8.949264115803329</v>
      </c>
      <c r="AG459" s="33" t="str">
        <f t="shared" si="329"/>
        <v>2.01 &gt; Guatemala</v>
      </c>
      <c r="AH459" s="84">
        <f t="shared" si="330"/>
        <v>445</v>
      </c>
      <c r="AI459" s="84">
        <f t="shared" si="331"/>
        <v>17</v>
      </c>
      <c r="AJ459" s="877" t="s">
        <v>1526</v>
      </c>
    </row>
    <row r="460" spans="1:36" x14ac:dyDescent="0.2">
      <c r="A460" s="492">
        <f>INDEX(Country!$F$31:$G$76, MATCH(AI460, Country!$O$31:$O$76, 0), 1)</f>
        <v>2.0099999999999998</v>
      </c>
      <c r="B460" s="2" t="str">
        <f>INDEX(Country!$F$31:$G$76, MATCH(AI460, Country!$O$31:$O$76, 0), 2)</f>
        <v>Clean energy investments</v>
      </c>
      <c r="C460" s="436" t="str">
        <f>INDEX(Country!$K$31:$K$76, MATCH(AI460, Country!$O$31:$O$76, 0), 1)</f>
        <v>USDm</v>
      </c>
      <c r="D460" s="4" t="str">
        <f t="shared" si="345"/>
        <v>Guyana</v>
      </c>
      <c r="E460" s="5">
        <f t="shared" ref="E460" si="379">E514+E541+E568+E595</f>
        <v>0</v>
      </c>
      <c r="F460" s="5">
        <f t="shared" ref="F460:K460" si="380">F514+F541+F568+F595</f>
        <v>0</v>
      </c>
      <c r="G460" s="5">
        <f t="shared" si="380"/>
        <v>32.96</v>
      </c>
      <c r="H460" s="5">
        <f t="shared" si="380"/>
        <v>32.96</v>
      </c>
      <c r="I460" s="5">
        <f t="shared" si="380"/>
        <v>40.06</v>
      </c>
      <c r="J460" s="5">
        <f t="shared" si="380"/>
        <v>40.06</v>
      </c>
      <c r="K460" s="6">
        <f t="shared" si="380"/>
        <v>40.06</v>
      </c>
      <c r="L460" s="457">
        <f t="shared" si="348"/>
        <v>0</v>
      </c>
      <c r="M460" s="458">
        <f t="shared" si="349"/>
        <v>0</v>
      </c>
      <c r="N460" s="458">
        <f t="shared" si="350"/>
        <v>13.195827093365731</v>
      </c>
      <c r="O460" s="458">
        <f t="shared" si="351"/>
        <v>12.399465704156995</v>
      </c>
      <c r="P460" s="458">
        <f t="shared" si="352"/>
        <v>14.023201565648719</v>
      </c>
      <c r="Q460" s="458">
        <f t="shared" si="353"/>
        <v>12.636628847629183</v>
      </c>
      <c r="R460" s="459">
        <f t="shared" si="354"/>
        <v>10.082792104876239</v>
      </c>
      <c r="S460" s="455"/>
      <c r="T460" s="456"/>
      <c r="U460" s="456"/>
      <c r="V460" s="456"/>
      <c r="W460" s="456"/>
      <c r="X460" s="456"/>
      <c r="Y460" s="456"/>
      <c r="Z460" s="421">
        <f>IFERROR(E460/Levelisation!F1428, 0)</f>
        <v>0</v>
      </c>
      <c r="AA460" s="471">
        <f>IFERROR(F460/Levelisation!G1428, 0)</f>
        <v>0</v>
      </c>
      <c r="AB460" s="471">
        <f>IFERROR(G460/Levelisation!H1428, 0)</f>
        <v>17.139885595423817</v>
      </c>
      <c r="AC460" s="5">
        <f>IFERROR(H460/Levelisation!I1428, 0)</f>
        <v>16.284584980237156</v>
      </c>
      <c r="AD460" s="5">
        <f>IFERROR(I460/Levelisation!J1428, 0)</f>
        <v>17.733510402833115</v>
      </c>
      <c r="AE460" s="5">
        <f>IFERROR(J460/Levelisation!J1428, 0)</f>
        <v>17.733510402833115</v>
      </c>
      <c r="AF460" s="6">
        <f>IFERROR(K460/Levelisation!L1428, 0)</f>
        <v>14.368723098995698</v>
      </c>
      <c r="AG460" s="33" t="str">
        <f t="shared" si="329"/>
        <v>2.01 &gt; Guyana</v>
      </c>
      <c r="AH460" s="84">
        <f t="shared" si="330"/>
        <v>446</v>
      </c>
      <c r="AI460" s="84">
        <f t="shared" si="331"/>
        <v>17</v>
      </c>
      <c r="AJ460" s="877" t="s">
        <v>1526</v>
      </c>
    </row>
    <row r="461" spans="1:36" x14ac:dyDescent="0.2">
      <c r="A461" s="492">
        <f>INDEX(Country!$F$31:$G$76, MATCH(AI461, Country!$O$31:$O$76, 0), 1)</f>
        <v>2.0099999999999998</v>
      </c>
      <c r="B461" s="2" t="str">
        <f>INDEX(Country!$F$31:$G$76, MATCH(AI461, Country!$O$31:$O$76, 0), 2)</f>
        <v>Clean energy investments</v>
      </c>
      <c r="C461" s="436" t="str">
        <f>INDEX(Country!$K$31:$K$76, MATCH(AI461, Country!$O$31:$O$76, 0), 1)</f>
        <v>USDm</v>
      </c>
      <c r="D461" s="4" t="str">
        <f t="shared" si="345"/>
        <v>Haiti</v>
      </c>
      <c r="E461" s="5">
        <f t="shared" ref="E461" si="381">E515+E542+E569+E596</f>
        <v>0</v>
      </c>
      <c r="F461" s="5">
        <f t="shared" ref="F461:K461" si="382">F515+F542+F569+F596</f>
        <v>0</v>
      </c>
      <c r="G461" s="5">
        <f t="shared" si="382"/>
        <v>0</v>
      </c>
      <c r="H461" s="5">
        <f t="shared" si="382"/>
        <v>0.83</v>
      </c>
      <c r="I461" s="5">
        <f t="shared" si="382"/>
        <v>0.83</v>
      </c>
      <c r="J461" s="5">
        <f t="shared" si="382"/>
        <v>0.83</v>
      </c>
      <c r="K461" s="6">
        <f t="shared" si="382"/>
        <v>0.83</v>
      </c>
      <c r="L461" s="457">
        <f t="shared" si="348"/>
        <v>0</v>
      </c>
      <c r="M461" s="458">
        <f t="shared" si="349"/>
        <v>0</v>
      </c>
      <c r="N461" s="458">
        <f t="shared" si="350"/>
        <v>0</v>
      </c>
      <c r="O461" s="458">
        <f t="shared" si="351"/>
        <v>9.6456273753805513E-2</v>
      </c>
      <c r="P461" s="458">
        <f t="shared" si="352"/>
        <v>0.10018967213789441</v>
      </c>
      <c r="Q461" s="458">
        <f t="shared" si="353"/>
        <v>9.0283213519056188E-2</v>
      </c>
      <c r="R461" s="459">
        <f t="shared" si="354"/>
        <v>7.3706146179262522E-2</v>
      </c>
      <c r="S461" s="455"/>
      <c r="T461" s="456"/>
      <c r="U461" s="456"/>
      <c r="V461" s="456"/>
      <c r="W461" s="456"/>
      <c r="X461" s="456"/>
      <c r="Y461" s="456"/>
      <c r="Z461" s="421">
        <f>IFERROR(E461/Levelisation!F1429, 0)</f>
        <v>0</v>
      </c>
      <c r="AA461" s="471">
        <f>IFERROR(F461/Levelisation!G1429, 0)</f>
        <v>0</v>
      </c>
      <c r="AB461" s="471">
        <f>IFERROR(G461/Levelisation!H1429, 0)</f>
        <v>0</v>
      </c>
      <c r="AC461" s="5">
        <f>IFERROR(H461/Levelisation!I1429, 0)</f>
        <v>0.12667887667887667</v>
      </c>
      <c r="AD461" s="5">
        <f>IFERROR(I461/Levelisation!J1429, 0)</f>
        <v>0.12669821401312775</v>
      </c>
      <c r="AE461" s="5">
        <f>IFERROR(J461/Levelisation!J1429, 0)</f>
        <v>0.12669821401312775</v>
      </c>
      <c r="AF461" s="6">
        <f>IFERROR(K461/Levelisation!L1429, 0)</f>
        <v>0.10503669956972918</v>
      </c>
      <c r="AG461" s="33" t="str">
        <f t="shared" si="329"/>
        <v>2.01 &gt; Haiti</v>
      </c>
      <c r="AH461" s="84">
        <f t="shared" si="330"/>
        <v>447</v>
      </c>
      <c r="AI461" s="84">
        <f t="shared" si="331"/>
        <v>17</v>
      </c>
      <c r="AJ461" s="877" t="s">
        <v>1526</v>
      </c>
    </row>
    <row r="462" spans="1:36" x14ac:dyDescent="0.2">
      <c r="A462" s="492">
        <f>INDEX(Country!$F$31:$G$76, MATCH(AI462, Country!$O$31:$O$76, 0), 1)</f>
        <v>2.0099999999999998</v>
      </c>
      <c r="B462" s="2" t="str">
        <f>INDEX(Country!$F$31:$G$76, MATCH(AI462, Country!$O$31:$O$76, 0), 2)</f>
        <v>Clean energy investments</v>
      </c>
      <c r="C462" s="436" t="str">
        <f>INDEX(Country!$K$31:$K$76, MATCH(AI462, Country!$O$31:$O$76, 0), 1)</f>
        <v>USDm</v>
      </c>
      <c r="D462" s="4" t="str">
        <f t="shared" si="345"/>
        <v>Honduras</v>
      </c>
      <c r="E462" s="5">
        <f t="shared" ref="E462" si="383">E516+E543+E570+E597</f>
        <v>42.648992248874585</v>
      </c>
      <c r="F462" s="5">
        <f t="shared" ref="F462:K462" si="384">F516+F543+F570+F597</f>
        <v>84.480992248874585</v>
      </c>
      <c r="G462" s="5">
        <f t="shared" si="384"/>
        <v>107.99499224887458</v>
      </c>
      <c r="H462" s="5">
        <f t="shared" si="384"/>
        <v>107.99499224887458</v>
      </c>
      <c r="I462" s="5">
        <f t="shared" si="384"/>
        <v>411.08778092388098</v>
      </c>
      <c r="J462" s="5">
        <f t="shared" si="384"/>
        <v>551.4676000550362</v>
      </c>
      <c r="K462" s="6">
        <f t="shared" si="384"/>
        <v>585.12964390811021</v>
      </c>
      <c r="L462" s="457">
        <f t="shared" si="348"/>
        <v>20.604323841896601</v>
      </c>
      <c r="M462" s="458">
        <f t="shared" si="349"/>
        <v>7.6673570278174337</v>
      </c>
      <c r="N462" s="458">
        <f t="shared" si="350"/>
        <v>6.008402094844973</v>
      </c>
      <c r="O462" s="458">
        <f t="shared" si="351"/>
        <v>5.656595244082343</v>
      </c>
      <c r="P462" s="458">
        <f t="shared" si="352"/>
        <v>20.595387061841016</v>
      </c>
      <c r="Q462" s="458">
        <f t="shared" si="353"/>
        <v>24.896565812511238</v>
      </c>
      <c r="R462" s="459">
        <f t="shared" si="354"/>
        <v>22.329563986010537</v>
      </c>
      <c r="S462" s="455"/>
      <c r="T462" s="456"/>
      <c r="U462" s="456"/>
      <c r="V462" s="456"/>
      <c r="W462" s="456"/>
      <c r="X462" s="456"/>
      <c r="Y462" s="456"/>
      <c r="Z462" s="421">
        <f>IFERROR(E462/Levelisation!F1430, 0)</f>
        <v>3.9203044626229051</v>
      </c>
      <c r="AA462" s="471">
        <f>IFERROR(F462/Levelisation!G1430, 0)</f>
        <v>6.8583367631818959</v>
      </c>
      <c r="AB462" s="471">
        <f>IFERROR(G462/Levelisation!H1430, 0)</f>
        <v>7.8042341558660633</v>
      </c>
      <c r="AC462" s="5">
        <f>IFERROR(H462/Levelisation!I1430, 0)</f>
        <v>7.4289738081361065</v>
      </c>
      <c r="AD462" s="5">
        <f>IFERROR(I462/Levelisation!J1430, 0)</f>
        <v>26.044588249105484</v>
      </c>
      <c r="AE462" s="5">
        <f>IFERROR(J462/Levelisation!J1430, 0)</f>
        <v>34.938393313167524</v>
      </c>
      <c r="AF462" s="6">
        <f>IFERROR(K462/Levelisation!L1430, 0)</f>
        <v>31.821277132266161</v>
      </c>
      <c r="AG462" s="33" t="str">
        <f t="shared" si="329"/>
        <v>2.01 &gt; Honduras</v>
      </c>
      <c r="AH462" s="84">
        <f t="shared" si="330"/>
        <v>448</v>
      </c>
      <c r="AI462" s="84">
        <f t="shared" si="331"/>
        <v>17</v>
      </c>
      <c r="AJ462" s="877" t="s">
        <v>1526</v>
      </c>
    </row>
    <row r="463" spans="1:36" x14ac:dyDescent="0.2">
      <c r="A463" s="492">
        <f>INDEX(Country!$F$31:$G$76, MATCH(AI463, Country!$O$31:$O$76, 0), 1)</f>
        <v>2.0099999999999998</v>
      </c>
      <c r="B463" s="2" t="str">
        <f>INDEX(Country!$F$31:$G$76, MATCH(AI463, Country!$O$31:$O$76, 0), 2)</f>
        <v>Clean energy investments</v>
      </c>
      <c r="C463" s="436" t="str">
        <f>INDEX(Country!$K$31:$K$76, MATCH(AI463, Country!$O$31:$O$76, 0), 1)</f>
        <v>USDm</v>
      </c>
      <c r="D463" s="4" t="str">
        <f t="shared" si="345"/>
        <v>Jamaica</v>
      </c>
      <c r="E463" s="5">
        <f t="shared" ref="E463" si="385">E517+E544+E571+E598</f>
        <v>20.070218328899301</v>
      </c>
      <c r="F463" s="5">
        <f t="shared" ref="F463:K463" si="386">F517+F544+F571+F598</f>
        <v>21.070218328899301</v>
      </c>
      <c r="G463" s="5">
        <f t="shared" si="386"/>
        <v>21.070218328899301</v>
      </c>
      <c r="H463" s="5">
        <f t="shared" si="386"/>
        <v>21.070218328899301</v>
      </c>
      <c r="I463" s="5">
        <f t="shared" si="386"/>
        <v>108.08070734856176</v>
      </c>
      <c r="J463" s="5">
        <f t="shared" si="386"/>
        <v>108.08070734856176</v>
      </c>
      <c r="K463" s="6">
        <f t="shared" si="386"/>
        <v>108.08070734856176</v>
      </c>
      <c r="L463" s="457">
        <f t="shared" si="348"/>
        <v>8.8323696100140783</v>
      </c>
      <c r="M463" s="458">
        <f t="shared" si="349"/>
        <v>1.829284355617063</v>
      </c>
      <c r="N463" s="458">
        <f t="shared" si="350"/>
        <v>1.1709919218058129</v>
      </c>
      <c r="O463" s="458">
        <f t="shared" si="351"/>
        <v>1.3068881884875336</v>
      </c>
      <c r="P463" s="458">
        <f t="shared" si="352"/>
        <v>6.3346745613879767</v>
      </c>
      <c r="Q463" s="458">
        <f t="shared" si="353"/>
        <v>5.7083206661498878</v>
      </c>
      <c r="R463" s="459">
        <f t="shared" si="354"/>
        <v>4.973583928731677</v>
      </c>
      <c r="S463" s="455"/>
      <c r="T463" s="456"/>
      <c r="U463" s="456"/>
      <c r="V463" s="456"/>
      <c r="W463" s="456"/>
      <c r="X463" s="456"/>
      <c r="Y463" s="456"/>
      <c r="Z463" s="421">
        <f>IFERROR(E463/Levelisation!F1431, 0)</f>
        <v>1.6805005717909489</v>
      </c>
      <c r="AA463" s="471">
        <f>IFERROR(F463/Levelisation!G1431, 0)</f>
        <v>1.6362676344567291</v>
      </c>
      <c r="AB463" s="471">
        <f>IFERROR(G463/Levelisation!H1431, 0)</f>
        <v>1.5209859473687506</v>
      </c>
      <c r="AC463" s="5">
        <f>IFERROR(H463/Levelisation!I1431, 0)</f>
        <v>1.7163749046024195</v>
      </c>
      <c r="AD463" s="5">
        <f>IFERROR(I463/Levelisation!J1431, 0)</f>
        <v>8.0107254186600763</v>
      </c>
      <c r="AE463" s="5">
        <f>IFERROR(J463/Levelisation!J1431, 0)</f>
        <v>8.0107254186600763</v>
      </c>
      <c r="AF463" s="6">
        <f>IFERROR(K463/Levelisation!L1431, 0)</f>
        <v>7.087724267070743</v>
      </c>
      <c r="AG463" s="33" t="str">
        <f t="shared" ref="AG463:AG526" si="387">A463&amp;" &gt; " &amp;D463</f>
        <v>2.01 &gt; Jamaica</v>
      </c>
      <c r="AH463" s="84">
        <f t="shared" si="330"/>
        <v>449</v>
      </c>
      <c r="AI463" s="84">
        <f t="shared" si="331"/>
        <v>17</v>
      </c>
      <c r="AJ463" s="877" t="s">
        <v>1526</v>
      </c>
    </row>
    <row r="464" spans="1:36" x14ac:dyDescent="0.2">
      <c r="A464" s="492">
        <f>INDEX(Country!$F$31:$G$76, MATCH(AI464, Country!$O$31:$O$76, 0), 1)</f>
        <v>2.0099999999999998</v>
      </c>
      <c r="B464" s="2" t="str">
        <f>INDEX(Country!$F$31:$G$76, MATCH(AI464, Country!$O$31:$O$76, 0), 2)</f>
        <v>Clean energy investments</v>
      </c>
      <c r="C464" s="436" t="str">
        <f>INDEX(Country!$K$31:$K$76, MATCH(AI464, Country!$O$31:$O$76, 0), 1)</f>
        <v>USDm</v>
      </c>
      <c r="D464" s="4" t="str">
        <f t="shared" si="345"/>
        <v>Mexico</v>
      </c>
      <c r="E464" s="5">
        <f t="shared" ref="E464" si="388">E518+E545+E572+E599</f>
        <v>189.31866687809182</v>
      </c>
      <c r="F464" s="5">
        <f t="shared" ref="F464:K464" si="389">F518+F545+F572+F599</f>
        <v>956.15758489188897</v>
      </c>
      <c r="G464" s="5">
        <f t="shared" si="389"/>
        <v>1552.067174891889</v>
      </c>
      <c r="H464" s="5">
        <f t="shared" si="389"/>
        <v>2053.2615762377063</v>
      </c>
      <c r="I464" s="5">
        <f t="shared" si="389"/>
        <v>4737.1725279892325</v>
      </c>
      <c r="J464" s="5">
        <f t="shared" si="389"/>
        <v>5269.3600879138285</v>
      </c>
      <c r="K464" s="6">
        <f t="shared" si="389"/>
        <v>8191.1846684561924</v>
      </c>
      <c r="L464" s="457">
        <f t="shared" si="348"/>
        <v>1.0455409936540343</v>
      </c>
      <c r="M464" s="458">
        <f t="shared" si="349"/>
        <v>1.0327675353648511</v>
      </c>
      <c r="N464" s="458">
        <f t="shared" si="350"/>
        <v>1.0925052380643108</v>
      </c>
      <c r="O464" s="458">
        <f t="shared" si="351"/>
        <v>1.7708896772950931</v>
      </c>
      <c r="P464" s="458">
        <f t="shared" si="352"/>
        <v>3.6223449744583673</v>
      </c>
      <c r="Q464" s="458">
        <f t="shared" si="353"/>
        <v>3.6308853611994727</v>
      </c>
      <c r="R464" s="459">
        <f t="shared" si="354"/>
        <v>4.8830378575357587</v>
      </c>
      <c r="S464" s="455"/>
      <c r="T464" s="456"/>
      <c r="U464" s="456"/>
      <c r="V464" s="456"/>
      <c r="W464" s="456"/>
      <c r="X464" s="456"/>
      <c r="Y464" s="456"/>
      <c r="Z464" s="421">
        <f>IFERROR(E464/Levelisation!F1432, 0)</f>
        <v>0.19893101344789407</v>
      </c>
      <c r="AA464" s="471">
        <f>IFERROR(F464/Levelisation!G1432, 0)</f>
        <v>0.92379519173502755</v>
      </c>
      <c r="AB464" s="471">
        <f>IFERROR(G464/Levelisation!H1432, 0)</f>
        <v>1.4190406300668978</v>
      </c>
      <c r="AC464" s="5">
        <f>IFERROR(H464/Levelisation!I1432, 0)</f>
        <v>2.3257617810796893</v>
      </c>
      <c r="AD464" s="5">
        <f>IFERROR(I464/Levelisation!J1432, 0)</f>
        <v>4.5807579664662752</v>
      </c>
      <c r="AE464" s="5">
        <f>IFERROR(J464/Levelisation!J1432, 0)</f>
        <v>5.0953734655588558</v>
      </c>
      <c r="AF464" s="6">
        <f>IFERROR(K464/Levelisation!L1432, 0)</f>
        <v>6.9586894311658263</v>
      </c>
      <c r="AG464" s="33" t="str">
        <f t="shared" si="387"/>
        <v>2.01 &gt; Mexico</v>
      </c>
      <c r="AH464" s="84">
        <f t="shared" si="330"/>
        <v>450</v>
      </c>
      <c r="AI464" s="84">
        <f t="shared" si="331"/>
        <v>17</v>
      </c>
      <c r="AJ464" s="877" t="s">
        <v>1526</v>
      </c>
    </row>
    <row r="465" spans="1:36" x14ac:dyDescent="0.2">
      <c r="A465" s="492">
        <f>INDEX(Country!$F$31:$G$76, MATCH(AI465, Country!$O$31:$O$76, 0), 1)</f>
        <v>2.0099999999999998</v>
      </c>
      <c r="B465" s="2" t="str">
        <f>INDEX(Country!$F$31:$G$76, MATCH(AI465, Country!$O$31:$O$76, 0), 2)</f>
        <v>Clean energy investments</v>
      </c>
      <c r="C465" s="436" t="str">
        <f>INDEX(Country!$K$31:$K$76, MATCH(AI465, Country!$O$31:$O$76, 0), 1)</f>
        <v>USDm</v>
      </c>
      <c r="D465" s="4" t="str">
        <f t="shared" si="345"/>
        <v>Nicaragua</v>
      </c>
      <c r="E465" s="5">
        <f t="shared" ref="E465" si="390">E519+E546+E573+E600</f>
        <v>129.1145794809554</v>
      </c>
      <c r="F465" s="5">
        <f t="shared" ref="F465:K465" si="391">F519+F546+F573+F600</f>
        <v>223.6745794809554</v>
      </c>
      <c r="G465" s="5">
        <f t="shared" si="391"/>
        <v>304.96857948095538</v>
      </c>
      <c r="H465" s="5">
        <f t="shared" si="391"/>
        <v>499.4485794809554</v>
      </c>
      <c r="I465" s="5">
        <f t="shared" si="391"/>
        <v>930.09967317088388</v>
      </c>
      <c r="J465" s="5">
        <f t="shared" si="391"/>
        <v>1205.0496668476376</v>
      </c>
      <c r="K465" s="6">
        <f t="shared" si="391"/>
        <v>1497.1825592341886</v>
      </c>
      <c r="L465" s="457">
        <f t="shared" si="348"/>
        <v>100</v>
      </c>
      <c r="M465" s="458">
        <f t="shared" si="349"/>
        <v>33.578566813633302</v>
      </c>
      <c r="N465" s="458">
        <f t="shared" si="350"/>
        <v>28.445877131035463</v>
      </c>
      <c r="O465" s="458">
        <f t="shared" si="351"/>
        <v>46.632971899507744</v>
      </c>
      <c r="P465" s="458">
        <f t="shared" si="352"/>
        <v>85.652588315124262</v>
      </c>
      <c r="Q465" s="458">
        <f t="shared" si="353"/>
        <v>100</v>
      </c>
      <c r="R465" s="459">
        <f t="shared" si="354"/>
        <v>100</v>
      </c>
      <c r="S465" s="455"/>
      <c r="T465" s="456"/>
      <c r="U465" s="456"/>
      <c r="V465" s="456"/>
      <c r="W465" s="456"/>
      <c r="X465" s="456"/>
      <c r="Y465" s="456"/>
      <c r="Z465" s="421">
        <f>IFERROR(E465/Levelisation!F1433, 0)</f>
        <v>19.026610592536901</v>
      </c>
      <c r="AA465" s="471">
        <f>IFERROR(F465/Levelisation!G1433, 0)</f>
        <v>30.035528330999785</v>
      </c>
      <c r="AB465" s="471">
        <f>IFERROR(G465/Levelisation!H1433, 0)</f>
        <v>36.947974252599394</v>
      </c>
      <c r="AC465" s="5">
        <f>IFERROR(H465/Levelisation!I1433, 0)</f>
        <v>61.244461003182764</v>
      </c>
      <c r="AD465" s="5">
        <f>IFERROR(I465/Levelisation!J1433, 0)</f>
        <v>108.31485654720903</v>
      </c>
      <c r="AE465" s="5">
        <f>IFERROR(J465/Levelisation!J1433, 0)</f>
        <v>140.33418735852308</v>
      </c>
      <c r="AF465" s="6">
        <f>IFERROR(K465/Levelisation!L1433, 0)</f>
        <v>142.50738237523211</v>
      </c>
      <c r="AG465" s="33" t="str">
        <f t="shared" si="387"/>
        <v>2.01 &gt; Nicaragua</v>
      </c>
      <c r="AH465" s="84">
        <f t="shared" ref="AH465:AH528" si="392">AH464+1</f>
        <v>451</v>
      </c>
      <c r="AI465" s="84">
        <f t="shared" ref="AI465:AI528" si="393">ROUNDUP(AH465/COUNTA($D$15:$D$41),0)</f>
        <v>17</v>
      </c>
      <c r="AJ465" s="877" t="s">
        <v>1526</v>
      </c>
    </row>
    <row r="466" spans="1:36" x14ac:dyDescent="0.2">
      <c r="A466" s="492">
        <f>INDEX(Country!$F$31:$G$76, MATCH(AI466, Country!$O$31:$O$76, 0), 1)</f>
        <v>2.0099999999999998</v>
      </c>
      <c r="B466" s="2" t="str">
        <f>INDEX(Country!$F$31:$G$76, MATCH(AI466, Country!$O$31:$O$76, 0), 2)</f>
        <v>Clean energy investments</v>
      </c>
      <c r="C466" s="436" t="str">
        <f>INDEX(Country!$K$31:$K$76, MATCH(AI466, Country!$O$31:$O$76, 0), 1)</f>
        <v>USDm</v>
      </c>
      <c r="D466" s="4" t="str">
        <f t="shared" si="345"/>
        <v>Panama</v>
      </c>
      <c r="E466" s="5">
        <f t="shared" ref="E466" si="394">E520+E547+E574+E601</f>
        <v>7.5967108794779437</v>
      </c>
      <c r="F466" s="5">
        <f t="shared" ref="F466:K466" si="395">F520+F547+F574+F601</f>
        <v>74.731710879477944</v>
      </c>
      <c r="G466" s="5">
        <f t="shared" si="395"/>
        <v>276.89921087947789</v>
      </c>
      <c r="H466" s="5">
        <f t="shared" si="395"/>
        <v>727.63521087947777</v>
      </c>
      <c r="I466" s="5">
        <f t="shared" si="395"/>
        <v>1042.019217313396</v>
      </c>
      <c r="J466" s="5">
        <f t="shared" si="395"/>
        <v>1172.560046240206</v>
      </c>
      <c r="K466" s="6">
        <f t="shared" si="395"/>
        <v>1331.9989473839057</v>
      </c>
      <c r="L466" s="457">
        <f t="shared" si="348"/>
        <v>2.3298575656977047</v>
      </c>
      <c r="M466" s="458">
        <f t="shared" si="349"/>
        <v>4.220833678443773</v>
      </c>
      <c r="N466" s="458">
        <f t="shared" si="350"/>
        <v>9.267974207013836</v>
      </c>
      <c r="O466" s="458">
        <f t="shared" si="351"/>
        <v>22.929211999657195</v>
      </c>
      <c r="P466" s="458">
        <f t="shared" si="352"/>
        <v>30.458797838915888</v>
      </c>
      <c r="Q466" s="458">
        <f t="shared" si="353"/>
        <v>30.885609442284984</v>
      </c>
      <c r="R466" s="459">
        <f t="shared" si="354"/>
        <v>25.782354035930837</v>
      </c>
      <c r="S466" s="455"/>
      <c r="T466" s="456"/>
      <c r="U466" s="456"/>
      <c r="V466" s="456"/>
      <c r="W466" s="456"/>
      <c r="X466" s="456"/>
      <c r="Y466" s="456"/>
      <c r="Z466" s="421">
        <f>IFERROR(E466/Levelisation!F1434, 0)</f>
        <v>0.44329292638606194</v>
      </c>
      <c r="AA466" s="471">
        <f>IFERROR(F466/Levelisation!G1434, 0)</f>
        <v>3.7754729149983803</v>
      </c>
      <c r="AB466" s="471">
        <f>IFERROR(G466/Levelisation!H1434, 0)</f>
        <v>12.038049338295709</v>
      </c>
      <c r="AC466" s="5">
        <f>IFERROR(H466/Levelisation!I1434, 0)</f>
        <v>30.113612170652559</v>
      </c>
      <c r="AD466" s="5">
        <f>IFERROR(I466/Levelisation!J1434, 0)</f>
        <v>38.517695535186334</v>
      </c>
      <c r="AE466" s="5">
        <f>IFERROR(J466/Levelisation!J1434, 0)</f>
        <v>43.343069021557902</v>
      </c>
      <c r="AF466" s="6">
        <f>IFERROR(K466/Levelisation!L1434, 0)</f>
        <v>36.741757851320045</v>
      </c>
      <c r="AG466" s="33" t="str">
        <f t="shared" si="387"/>
        <v>2.01 &gt; Panama</v>
      </c>
      <c r="AH466" s="84">
        <f t="shared" si="392"/>
        <v>452</v>
      </c>
      <c r="AI466" s="84">
        <f t="shared" si="393"/>
        <v>17</v>
      </c>
      <c r="AJ466" s="877" t="s">
        <v>1526</v>
      </c>
    </row>
    <row r="467" spans="1:36" x14ac:dyDescent="0.2">
      <c r="A467" s="492">
        <f>INDEX(Country!$F$31:$G$76, MATCH(AI467, Country!$O$31:$O$76, 0), 1)</f>
        <v>2.0099999999999998</v>
      </c>
      <c r="B467" s="2" t="str">
        <f>INDEX(Country!$F$31:$G$76, MATCH(AI467, Country!$O$31:$O$76, 0), 2)</f>
        <v>Clean energy investments</v>
      </c>
      <c r="C467" s="436" t="str">
        <f>INDEX(Country!$K$31:$K$76, MATCH(AI467, Country!$O$31:$O$76, 0), 1)</f>
        <v>USDm</v>
      </c>
      <c r="D467" s="4" t="str">
        <f t="shared" si="345"/>
        <v>Paraguay</v>
      </c>
      <c r="E467" s="5">
        <f t="shared" ref="E467" si="396">E521+E548+E575+E602</f>
        <v>8.0281051822200062</v>
      </c>
      <c r="F467" s="5">
        <f t="shared" ref="F467:K467" si="397">F521+F548+F575+F602</f>
        <v>140.04863733958456</v>
      </c>
      <c r="G467" s="5">
        <f t="shared" si="397"/>
        <v>140.04863733958456</v>
      </c>
      <c r="H467" s="5">
        <f t="shared" si="397"/>
        <v>140.04863733958456</v>
      </c>
      <c r="I467" s="5">
        <f t="shared" si="397"/>
        <v>140.04863733958456</v>
      </c>
      <c r="J467" s="5">
        <f t="shared" si="397"/>
        <v>160.87855883874278</v>
      </c>
      <c r="K467" s="6">
        <f t="shared" si="397"/>
        <v>161.24855883874278</v>
      </c>
      <c r="L467" s="457">
        <f t="shared" si="348"/>
        <v>3.9389553697165174</v>
      </c>
      <c r="M467" s="458">
        <f t="shared" si="349"/>
        <v>11.257477449281932</v>
      </c>
      <c r="N467" s="458">
        <f t="shared" si="350"/>
        <v>5.7903469243128916</v>
      </c>
      <c r="O467" s="458">
        <f t="shared" si="351"/>
        <v>6.6957380208760293</v>
      </c>
      <c r="P467" s="458">
        <f t="shared" si="352"/>
        <v>5.3415734220142648</v>
      </c>
      <c r="Q467" s="458">
        <f t="shared" si="353"/>
        <v>5.5293303211972633</v>
      </c>
      <c r="R467" s="459">
        <f t="shared" si="354"/>
        <v>4.3521297541338191</v>
      </c>
      <c r="S467" s="455"/>
      <c r="T467" s="456"/>
      <c r="U467" s="456"/>
      <c r="V467" s="456"/>
      <c r="W467" s="456"/>
      <c r="X467" s="456"/>
      <c r="Y467" s="456"/>
      <c r="Z467" s="421">
        <f>IFERROR(E467/Levelisation!F1435, 0)</f>
        <v>0.74944969960978403</v>
      </c>
      <c r="AA467" s="471">
        <f>IFERROR(F467/Levelisation!G1435, 0)</f>
        <v>10.069646055477751</v>
      </c>
      <c r="AB467" s="471">
        <f>IFERROR(G467/Levelisation!H1435, 0)</f>
        <v>7.5210051737062766</v>
      </c>
      <c r="AC467" s="5">
        <f>IFERROR(H467/Levelisation!I1435, 0)</f>
        <v>8.7937107459239332</v>
      </c>
      <c r="AD467" s="5">
        <f>IFERROR(I467/Levelisation!J1435, 0)</f>
        <v>6.7548660270865071</v>
      </c>
      <c r="AE467" s="5">
        <f>IFERROR(J467/Levelisation!J1435, 0)</f>
        <v>7.7595407726205936</v>
      </c>
      <c r="AF467" s="6">
        <f>IFERROR(K467/Levelisation!L1435, 0)</f>
        <v>6.2021061901897303</v>
      </c>
      <c r="AG467" s="33" t="str">
        <f t="shared" si="387"/>
        <v>2.01 &gt; Paraguay</v>
      </c>
      <c r="AH467" s="84">
        <f t="shared" si="392"/>
        <v>453</v>
      </c>
      <c r="AI467" s="84">
        <f t="shared" si="393"/>
        <v>17</v>
      </c>
      <c r="AJ467" s="877" t="s">
        <v>1526</v>
      </c>
    </row>
    <row r="468" spans="1:36" x14ac:dyDescent="0.2">
      <c r="A468" s="492">
        <f>INDEX(Country!$F$31:$G$76, MATCH(AI468, Country!$O$31:$O$76, 0), 1)</f>
        <v>2.0099999999999998</v>
      </c>
      <c r="B468" s="2" t="str">
        <f>INDEX(Country!$F$31:$G$76, MATCH(AI468, Country!$O$31:$O$76, 0), 2)</f>
        <v>Clean energy investments</v>
      </c>
      <c r="C468" s="436" t="str">
        <f>INDEX(Country!$K$31:$K$76, MATCH(AI468, Country!$O$31:$O$76, 0), 1)</f>
        <v>USDm</v>
      </c>
      <c r="D468" s="4" t="str">
        <f t="shared" si="345"/>
        <v>Peru</v>
      </c>
      <c r="E468" s="5">
        <f t="shared" ref="E468" si="398">E522+E549+E576+E603</f>
        <v>58.565546212531032</v>
      </c>
      <c r="F468" s="5">
        <f t="shared" ref="F468:K468" si="399">F522+F549+F576+F603</f>
        <v>251.20906172410298</v>
      </c>
      <c r="G468" s="5">
        <f t="shared" si="399"/>
        <v>286.22906172410296</v>
      </c>
      <c r="H468" s="5">
        <f t="shared" si="399"/>
        <v>527.85727300060239</v>
      </c>
      <c r="I468" s="5">
        <f t="shared" si="399"/>
        <v>1034.5507838516385</v>
      </c>
      <c r="J468" s="5">
        <f t="shared" si="399"/>
        <v>1323.6592747715176</v>
      </c>
      <c r="K468" s="6">
        <f t="shared" si="399"/>
        <v>2552.7231961322532</v>
      </c>
      <c r="L468" s="457">
        <f t="shared" si="348"/>
        <v>3.3340043027340078</v>
      </c>
      <c r="M468" s="458">
        <f t="shared" si="349"/>
        <v>2.6185497611213373</v>
      </c>
      <c r="N468" s="458">
        <f t="shared" si="350"/>
        <v>1.7369483631779759</v>
      </c>
      <c r="O468" s="458">
        <f t="shared" si="351"/>
        <v>3.1659191410393981</v>
      </c>
      <c r="P468" s="458">
        <f t="shared" si="352"/>
        <v>5.3163162761206904</v>
      </c>
      <c r="Q468" s="458">
        <f t="shared" si="353"/>
        <v>6.1294182389054948</v>
      </c>
      <c r="R468" s="459">
        <f t="shared" si="354"/>
        <v>9.0013311312780449</v>
      </c>
      <c r="S468" s="455"/>
      <c r="T468" s="456"/>
      <c r="U468" s="456"/>
      <c r="V468" s="456"/>
      <c r="W468" s="456"/>
      <c r="X468" s="456"/>
      <c r="Y468" s="456"/>
      <c r="Z468" s="421">
        <f>IFERROR(E468/Levelisation!F1436, 0)</f>
        <v>0.63434801581962474</v>
      </c>
      <c r="AA468" s="471">
        <f>IFERROR(F468/Levelisation!G1436, 0)</f>
        <v>2.3422537945949498</v>
      </c>
      <c r="AB468" s="471">
        <f>IFERROR(G468/Levelisation!H1436, 0)</f>
        <v>2.2560992971025464</v>
      </c>
      <c r="AC468" s="5">
        <f>IFERROR(H468/Levelisation!I1436, 0)</f>
        <v>4.1578952289477398</v>
      </c>
      <c r="AD468" s="5">
        <f>IFERROR(I468/Levelisation!J1436, 0)</f>
        <v>6.7229262551768771</v>
      </c>
      <c r="AE468" s="5">
        <f>IFERROR(J468/Levelisation!J1436, 0)</f>
        <v>8.6016692753731228</v>
      </c>
      <c r="AF468" s="6">
        <f>IFERROR(K468/Levelisation!L1436, 0)</f>
        <v>12.827561374111211</v>
      </c>
      <c r="AG468" s="33" t="str">
        <f t="shared" si="387"/>
        <v>2.01 &gt; Peru</v>
      </c>
      <c r="AH468" s="84">
        <f t="shared" si="392"/>
        <v>454</v>
      </c>
      <c r="AI468" s="84">
        <f t="shared" si="393"/>
        <v>17</v>
      </c>
      <c r="AJ468" s="877" t="s">
        <v>1526</v>
      </c>
    </row>
    <row r="469" spans="1:36" x14ac:dyDescent="0.2">
      <c r="A469" s="492">
        <f>INDEX(Country!$F$31:$G$76, MATCH(AI469, Country!$O$31:$O$76, 0), 1)</f>
        <v>2.0099999999999998</v>
      </c>
      <c r="B469" s="2" t="str">
        <f>INDEX(Country!$F$31:$G$76, MATCH(AI469, Country!$O$31:$O$76, 0), 2)</f>
        <v>Clean energy investments</v>
      </c>
      <c r="C469" s="436" t="str">
        <f>INDEX(Country!$K$31:$K$76, MATCH(AI469, Country!$O$31:$O$76, 0), 1)</f>
        <v>USDm</v>
      </c>
      <c r="D469" s="4" t="str">
        <f t="shared" si="345"/>
        <v>Suriname</v>
      </c>
      <c r="E469" s="5">
        <f t="shared" ref="E469" si="400">E523+E550+E577+E604</f>
        <v>0</v>
      </c>
      <c r="F469" s="5">
        <f t="shared" ref="F469:K469" si="401">F523+F550+F577+F604</f>
        <v>0</v>
      </c>
      <c r="G469" s="5">
        <f t="shared" si="401"/>
        <v>0</v>
      </c>
      <c r="H469" s="5">
        <f t="shared" si="401"/>
        <v>0</v>
      </c>
      <c r="I469" s="5">
        <f t="shared" si="401"/>
        <v>0</v>
      </c>
      <c r="J469" s="5">
        <f t="shared" si="401"/>
        <v>0</v>
      </c>
      <c r="K469" s="6">
        <f t="shared" si="401"/>
        <v>0</v>
      </c>
      <c r="L469" s="457">
        <f t="shared" si="348"/>
        <v>0</v>
      </c>
      <c r="M469" s="458">
        <f t="shared" si="349"/>
        <v>0</v>
      </c>
      <c r="N469" s="458">
        <f t="shared" si="350"/>
        <v>0</v>
      </c>
      <c r="O469" s="458">
        <f t="shared" si="351"/>
        <v>0</v>
      </c>
      <c r="P469" s="458">
        <f t="shared" si="352"/>
        <v>0</v>
      </c>
      <c r="Q469" s="458">
        <f t="shared" si="353"/>
        <v>0</v>
      </c>
      <c r="R469" s="459">
        <f t="shared" si="354"/>
        <v>0</v>
      </c>
      <c r="S469" s="455"/>
      <c r="T469" s="456"/>
      <c r="U469" s="456"/>
      <c r="V469" s="456"/>
      <c r="W469" s="456"/>
      <c r="X469" s="456"/>
      <c r="Y469" s="456"/>
      <c r="Z469" s="421">
        <f>IFERROR(E469/Levelisation!F1437, 0)</f>
        <v>0</v>
      </c>
      <c r="AA469" s="471">
        <f>IFERROR(F469/Levelisation!G1437, 0)</f>
        <v>0</v>
      </c>
      <c r="AB469" s="471">
        <f>IFERROR(G469/Levelisation!H1437, 0)</f>
        <v>0</v>
      </c>
      <c r="AC469" s="5">
        <f>IFERROR(H469/Levelisation!I1437, 0)</f>
        <v>0</v>
      </c>
      <c r="AD469" s="5">
        <f>IFERROR(I469/Levelisation!J1437, 0)</f>
        <v>0</v>
      </c>
      <c r="AE469" s="5">
        <f>IFERROR(J469/Levelisation!J1437, 0)</f>
        <v>0</v>
      </c>
      <c r="AF469" s="6">
        <f>IFERROR(K469/Levelisation!L1437, 0)</f>
        <v>0</v>
      </c>
      <c r="AG469" s="33" t="str">
        <f t="shared" si="387"/>
        <v>2.01 &gt; Suriname</v>
      </c>
      <c r="AH469" s="84">
        <f t="shared" si="392"/>
        <v>455</v>
      </c>
      <c r="AI469" s="84">
        <f t="shared" si="393"/>
        <v>17</v>
      </c>
      <c r="AJ469" s="877" t="s">
        <v>1526</v>
      </c>
    </row>
    <row r="470" spans="1:36" x14ac:dyDescent="0.2">
      <c r="A470" s="492">
        <f>INDEX(Country!$F$31:$G$76, MATCH(AI470, Country!$O$31:$O$76, 0), 1)</f>
        <v>2.0099999999999998</v>
      </c>
      <c r="B470" s="2" t="str">
        <f>INDEX(Country!$F$31:$G$76, MATCH(AI470, Country!$O$31:$O$76, 0), 2)</f>
        <v>Clean energy investments</v>
      </c>
      <c r="C470" s="436" t="str">
        <f>INDEX(Country!$K$31:$K$76, MATCH(AI470, Country!$O$31:$O$76, 0), 1)</f>
        <v>USDm</v>
      </c>
      <c r="D470" s="4" t="str">
        <f t="shared" si="345"/>
        <v>Trinidad &amp; Tobago</v>
      </c>
      <c r="E470" s="5">
        <f t="shared" ref="E470" si="402">E524+E551+E578+E605</f>
        <v>0.05</v>
      </c>
      <c r="F470" s="5">
        <f t="shared" ref="F470:K470" si="403">F524+F551+F578+F605</f>
        <v>0.05</v>
      </c>
      <c r="G470" s="5">
        <f t="shared" si="403"/>
        <v>222.56089999999998</v>
      </c>
      <c r="H470" s="5">
        <f t="shared" si="403"/>
        <v>222.61089999999996</v>
      </c>
      <c r="I470" s="5">
        <f t="shared" si="403"/>
        <v>222.61089999999996</v>
      </c>
      <c r="J470" s="5">
        <f t="shared" si="403"/>
        <v>222.61089999999996</v>
      </c>
      <c r="K470" s="6">
        <f t="shared" si="403"/>
        <v>222.61089999999996</v>
      </c>
      <c r="L470" s="457">
        <f t="shared" si="348"/>
        <v>1.4306159423570277E-2</v>
      </c>
      <c r="M470" s="458">
        <f t="shared" si="349"/>
        <v>2.5828518239572988E-3</v>
      </c>
      <c r="N470" s="458">
        <f t="shared" si="350"/>
        <v>6.1480953976448429</v>
      </c>
      <c r="O470" s="458">
        <f t="shared" si="351"/>
        <v>8.8396959992929833</v>
      </c>
      <c r="P470" s="458">
        <f t="shared" si="352"/>
        <v>8.5482904193050615</v>
      </c>
      <c r="Q470" s="458">
        <f t="shared" si="353"/>
        <v>7.7030607315174384</v>
      </c>
      <c r="R470" s="459">
        <f t="shared" si="354"/>
        <v>6.17992969089957</v>
      </c>
      <c r="S470" s="455"/>
      <c r="T470" s="456"/>
      <c r="U470" s="456"/>
      <c r="V470" s="456"/>
      <c r="W470" s="456"/>
      <c r="X470" s="456"/>
      <c r="Y470" s="456"/>
      <c r="Z470" s="421">
        <f>IFERROR(E470/Levelisation!F1438, 0)</f>
        <v>2.7219772442702381E-3</v>
      </c>
      <c r="AA470" s="471">
        <f>IFERROR(F470/Levelisation!G1438, 0)</f>
        <v>2.310322521023935E-3</v>
      </c>
      <c r="AB470" s="471">
        <f>IFERROR(G470/Levelisation!H1438, 0)</f>
        <v>7.9856799425905978</v>
      </c>
      <c r="AC470" s="5">
        <f>IFERROR(H470/Levelisation!I1438, 0)</f>
        <v>11.609434159061275</v>
      </c>
      <c r="AD470" s="5">
        <f>IFERROR(I470/Levelisation!J1438, 0)</f>
        <v>10.810027679308501</v>
      </c>
      <c r="AE470" s="5">
        <f>IFERROR(J470/Levelisation!J1438, 0)</f>
        <v>10.810027679308501</v>
      </c>
      <c r="AF470" s="6">
        <f>IFERROR(K470/Levelisation!L1438, 0)</f>
        <v>8.8068560351307497</v>
      </c>
      <c r="AG470" s="33" t="str">
        <f t="shared" si="387"/>
        <v>2.01 &gt; Trinidad &amp; Tobago</v>
      </c>
      <c r="AH470" s="84">
        <f t="shared" si="392"/>
        <v>456</v>
      </c>
      <c r="AI470" s="84">
        <f t="shared" si="393"/>
        <v>17</v>
      </c>
      <c r="AJ470" s="877" t="s">
        <v>1526</v>
      </c>
    </row>
    <row r="471" spans="1:36" x14ac:dyDescent="0.2">
      <c r="A471" s="492">
        <f>INDEX(Country!$F$31:$G$76, MATCH(AI471, Country!$O$31:$O$76, 0), 1)</f>
        <v>2.0099999999999998</v>
      </c>
      <c r="B471" s="2" t="str">
        <f>INDEX(Country!$F$31:$G$76, MATCH(AI471, Country!$O$31:$O$76, 0), 2)</f>
        <v>Clean energy investments</v>
      </c>
      <c r="C471" s="436" t="str">
        <f>INDEX(Country!$K$31:$K$76, MATCH(AI471, Country!$O$31:$O$76, 0), 1)</f>
        <v>USDm</v>
      </c>
      <c r="D471" s="4" t="str">
        <f t="shared" si="345"/>
        <v>Uruguay</v>
      </c>
      <c r="E471" s="5">
        <f t="shared" ref="E471" si="404">E525+E552+E579+E606</f>
        <v>24.104515615077624</v>
      </c>
      <c r="F471" s="5">
        <f t="shared" ref="F471:K471" si="405">F525+F552+F579+F606</f>
        <v>29.461079447765872</v>
      </c>
      <c r="G471" s="5">
        <f t="shared" si="405"/>
        <v>120.51307944776586</v>
      </c>
      <c r="H471" s="5">
        <f t="shared" si="405"/>
        <v>196.64107944776586</v>
      </c>
      <c r="I471" s="5">
        <f t="shared" si="405"/>
        <v>247.59692271796339</v>
      </c>
      <c r="J471" s="5">
        <f t="shared" si="405"/>
        <v>275.26891264688544</v>
      </c>
      <c r="K471" s="6">
        <f t="shared" si="405"/>
        <v>393.69306262681778</v>
      </c>
      <c r="L471" s="457">
        <f t="shared" si="348"/>
        <v>6.4706285927345357</v>
      </c>
      <c r="M471" s="458">
        <f t="shared" si="349"/>
        <v>1.4068751881809334</v>
      </c>
      <c r="N471" s="458">
        <f t="shared" si="350"/>
        <v>3.0554507923335663</v>
      </c>
      <c r="O471" s="458">
        <f t="shared" si="351"/>
        <v>4.9095694365781073</v>
      </c>
      <c r="P471" s="458">
        <f t="shared" si="352"/>
        <v>4.9678586575521875</v>
      </c>
      <c r="Q471" s="458">
        <f t="shared" si="353"/>
        <v>4.9769721338791753</v>
      </c>
      <c r="R471" s="459">
        <f t="shared" si="354"/>
        <v>5.5918857051803119</v>
      </c>
      <c r="S471" s="455"/>
      <c r="T471" s="456"/>
      <c r="U471" s="456"/>
      <c r="V471" s="456"/>
      <c r="W471" s="456"/>
      <c r="X471" s="456"/>
      <c r="Y471" s="456"/>
      <c r="Z471" s="421">
        <f>IFERROR(E471/Levelisation!F1439, 0)</f>
        <v>1.2311413052289506</v>
      </c>
      <c r="AA471" s="471">
        <f>IFERROR(F471/Levelisation!G1439, 0)</f>
        <v>1.2584289200703034</v>
      </c>
      <c r="AB471" s="471">
        <f>IFERROR(G471/Levelisation!H1439, 0)</f>
        <v>3.9686846949801047</v>
      </c>
      <c r="AC471" s="5">
        <f>IFERROR(H471/Levelisation!I1439, 0)</f>
        <v>6.447882724457024</v>
      </c>
      <c r="AD471" s="5">
        <f>IFERROR(I471/Levelisation!J1439, 0)</f>
        <v>6.2822724733066933</v>
      </c>
      <c r="AE471" s="5">
        <f>IFERROR(J471/Levelisation!J1439, 0)</f>
        <v>6.9843933991394866</v>
      </c>
      <c r="AF471" s="6">
        <f>IFERROR(K471/Levelisation!L1439, 0)</f>
        <v>7.9688499438672524</v>
      </c>
      <c r="AG471" s="33" t="str">
        <f t="shared" si="387"/>
        <v>2.01 &gt; Uruguay</v>
      </c>
      <c r="AH471" s="84">
        <f t="shared" si="392"/>
        <v>457</v>
      </c>
      <c r="AI471" s="84">
        <f t="shared" si="393"/>
        <v>17</v>
      </c>
      <c r="AJ471" s="877" t="s">
        <v>1526</v>
      </c>
    </row>
    <row r="472" spans="1:36" x14ac:dyDescent="0.2">
      <c r="A472" s="491">
        <f>INDEX(Country!$F$31:$G$76, MATCH(AI472, Country!$O$31:$O$76, 0), 1)</f>
        <v>2.0099999999999998</v>
      </c>
      <c r="B472" s="386" t="str">
        <f>INDEX(Country!$F$31:$G$76, MATCH(AI472, Country!$O$31:$O$76, 0), 2)</f>
        <v>Clean energy investments</v>
      </c>
      <c r="C472" s="437" t="str">
        <f>INDEX(Country!$K$31:$K$76, MATCH(AI472, Country!$O$31:$O$76, 0), 1)</f>
        <v>USDm</v>
      </c>
      <c r="D472" s="86" t="str">
        <f t="shared" si="345"/>
        <v>Venezuela</v>
      </c>
      <c r="E472" s="364">
        <f t="shared" ref="E472" si="406">E526+E553+E580+E607</f>
        <v>0</v>
      </c>
      <c r="F472" s="364">
        <f t="shared" ref="F472:K472" si="407">F526+F553+F580+F607</f>
        <v>0</v>
      </c>
      <c r="G472" s="364">
        <f t="shared" si="407"/>
        <v>165.32736</v>
      </c>
      <c r="H472" s="364">
        <f t="shared" si="407"/>
        <v>206.92735999999999</v>
      </c>
      <c r="I472" s="364">
        <f t="shared" si="407"/>
        <v>206.92735999999999</v>
      </c>
      <c r="J472" s="364">
        <f t="shared" si="407"/>
        <v>277.66645028964274</v>
      </c>
      <c r="K472" s="390">
        <f t="shared" si="407"/>
        <v>354.57756693078619</v>
      </c>
      <c r="L472" s="460">
        <f t="shared" si="348"/>
        <v>0</v>
      </c>
      <c r="M472" s="461">
        <f t="shared" si="349"/>
        <v>0</v>
      </c>
      <c r="N472" s="461">
        <f t="shared" si="350"/>
        <v>0.40330762582610952</v>
      </c>
      <c r="O472" s="461">
        <f t="shared" si="351"/>
        <v>0.47829467898104056</v>
      </c>
      <c r="P472" s="461">
        <f t="shared" si="352"/>
        <v>0.41551523115684691</v>
      </c>
      <c r="Q472" s="461">
        <f t="shared" si="353"/>
        <v>0.50243107530138353</v>
      </c>
      <c r="R472" s="462">
        <f t="shared" si="354"/>
        <v>0.65062201298128175</v>
      </c>
      <c r="S472" s="455"/>
      <c r="T472" s="456"/>
      <c r="U472" s="456"/>
      <c r="V472" s="456"/>
      <c r="W472" s="456"/>
      <c r="X472" s="456"/>
      <c r="Y472" s="456"/>
      <c r="Z472" s="422">
        <f>IFERROR(E472/Levelisation!F1440, 0)</f>
        <v>0</v>
      </c>
      <c r="AA472" s="470">
        <f>IFERROR(F472/Levelisation!G1440, 0)</f>
        <v>0</v>
      </c>
      <c r="AB472" s="470">
        <f>IFERROR(G472/Levelisation!H1440, 0)</f>
        <v>0.52385095057034214</v>
      </c>
      <c r="AC472" s="364">
        <f>IFERROR(H472/Levelisation!I1440, 0)</f>
        <v>0.62815854580336894</v>
      </c>
      <c r="AD472" s="364">
        <f>IFERROR(I472/Levelisation!J1440, 0)</f>
        <v>0.52545373749069968</v>
      </c>
      <c r="AE472" s="364">
        <f>IFERROR(J472/Levelisation!J1440, 0)</f>
        <v>0.70508256656088575</v>
      </c>
      <c r="AF472" s="390">
        <f>IFERROR(K472/Levelisation!L1440, 0)</f>
        <v>0.92718439985666745</v>
      </c>
      <c r="AG472" s="90" t="str">
        <f t="shared" si="387"/>
        <v>2.01 &gt; Venezuela</v>
      </c>
      <c r="AH472" s="392">
        <f t="shared" si="392"/>
        <v>458</v>
      </c>
      <c r="AI472" s="392">
        <f t="shared" si="393"/>
        <v>17</v>
      </c>
      <c r="AJ472" s="878" t="s">
        <v>1526</v>
      </c>
    </row>
    <row r="473" spans="1:36" x14ac:dyDescent="0.2">
      <c r="A473" s="490">
        <f>INDEX(Country!$F$31:$G$76, MATCH(AI473, Country!$O$31:$O$76, 0), 1)</f>
        <v>2.0099999999999998</v>
      </c>
      <c r="B473" s="387" t="str">
        <f>INDEX(Country!$F$31:$G$76, MATCH(AI473, Country!$O$31:$O$76, 0), 2)</f>
        <v>Clean energy investments</v>
      </c>
      <c r="C473" s="438" t="str">
        <f>INDEX(Country!$K$31:$K$76, MATCH(AI473, Country!$O$31:$O$76, 0), 1)</f>
        <v>USDm</v>
      </c>
      <c r="D473" s="32" t="str">
        <f t="shared" si="345"/>
        <v>Benchmark</v>
      </c>
      <c r="E473" s="365">
        <f>IFERROR(MAX(E447:E472), 0)</f>
        <v>5017.6019599128622</v>
      </c>
      <c r="F473" s="365">
        <f t="shared" ref="F473:K473" si="408">IFERROR(MAX(F447:F472), 0)</f>
        <v>17843.608124048733</v>
      </c>
      <c r="G473" s="365">
        <f t="shared" si="408"/>
        <v>33202.197298244333</v>
      </c>
      <c r="H473" s="365">
        <f t="shared" si="408"/>
        <v>44966.060479765241</v>
      </c>
      <c r="I473" s="365">
        <f t="shared" si="408"/>
        <v>58529.688374947451</v>
      </c>
      <c r="J473" s="365">
        <f t="shared" si="408"/>
        <v>73002.884314946132</v>
      </c>
      <c r="K473" s="593">
        <f t="shared" si="408"/>
        <v>82210.779189262335</v>
      </c>
      <c r="L473" s="585">
        <f t="shared" ref="L473:M473" si="409">MAX(Z447:Z472)</f>
        <v>19.026610592536901</v>
      </c>
      <c r="M473" s="463">
        <f t="shared" si="409"/>
        <v>89.448511896597694</v>
      </c>
      <c r="N473" s="463">
        <f t="shared" ref="N473" si="410">MAX(AB447:AB472)</f>
        <v>129.88867976332443</v>
      </c>
      <c r="O473" s="463">
        <f t="shared" ref="O473" si="411">MAX(AC447:AC472)</f>
        <v>131.3329571513525</v>
      </c>
      <c r="P473" s="463">
        <f t="shared" ref="P473" si="412">MAX(AD447:AD472)</f>
        <v>126.45835774245148</v>
      </c>
      <c r="Q473" s="463">
        <f t="shared" ref="Q473" si="413">MAX(AE447:AE472)</f>
        <v>140.33418735852308</v>
      </c>
      <c r="R473" s="586">
        <f t="shared" ref="R473" si="414">MAX(AF447:AF472)</f>
        <v>142.50738237523211</v>
      </c>
      <c r="S473" s="393"/>
      <c r="T473" s="394"/>
      <c r="U473" s="376"/>
      <c r="V473" s="376"/>
      <c r="W473" s="376"/>
      <c r="X473" s="376"/>
      <c r="Y473" s="376"/>
      <c r="Z473" s="393"/>
      <c r="AA473" s="394"/>
      <c r="AB473" s="376"/>
      <c r="AC473" s="376"/>
      <c r="AD473" s="376"/>
      <c r="AE473" s="376"/>
      <c r="AF473" s="401"/>
      <c r="AG473" s="34" t="str">
        <f t="shared" si="387"/>
        <v>2.01 &gt; Benchmark</v>
      </c>
      <c r="AH473" s="85">
        <f t="shared" si="392"/>
        <v>459</v>
      </c>
      <c r="AI473" s="85">
        <f t="shared" si="393"/>
        <v>17</v>
      </c>
      <c r="AJ473" s="871" t="s">
        <v>1526</v>
      </c>
    </row>
    <row r="474" spans="1:36" x14ac:dyDescent="0.2">
      <c r="A474" s="587">
        <f>INDEX(Country!$F$31:$G$76, MATCH(AI474, Country!$O$31:$O$76, 0), 1)</f>
        <v>2.0199999999999996</v>
      </c>
      <c r="B474" s="588" t="str">
        <f>INDEX(Country!$F$31:$G$76, MATCH(AI474, Country!$O$31:$O$76, 0), 2)</f>
        <v>Growth rate of clean energy investments</v>
      </c>
      <c r="C474" s="589" t="str">
        <f>INDEX(Country!$K$31:$K$76, MATCH(AI474, Country!$O$31:$O$76, 0), 1)</f>
        <v>%</v>
      </c>
      <c r="D474" s="590" t="str">
        <f t="shared" si="345"/>
        <v>Argentina</v>
      </c>
      <c r="E474" s="602"/>
      <c r="F474" s="594">
        <f>IF(E447&lt;&gt;0, F447/E447-1, 0)</f>
        <v>3.1088225139081027</v>
      </c>
      <c r="G474" s="594">
        <f t="shared" ref="G474:K489" si="415">IF(F447&lt;&gt;0, G447/F447-1, 0)</f>
        <v>1.0425666211473565</v>
      </c>
      <c r="H474" s="594">
        <f t="shared" si="415"/>
        <v>0.13961011439659465</v>
      </c>
      <c r="I474" s="594">
        <f t="shared" si="415"/>
        <v>0.40997310180128843</v>
      </c>
      <c r="J474" s="594">
        <f t="shared" si="415"/>
        <v>0.10171831260168762</v>
      </c>
      <c r="K474" s="611">
        <f t="shared" si="415"/>
        <v>0.150482513823047</v>
      </c>
      <c r="L474" s="595">
        <f t="shared" ref="L474:L500" si="416">IFERROR(dbl_BenchmarkMax*E474/ SUMIFS(E$15:E$1256, $D$15:$D$1256, "Benchmark", $B$15:$B$1256,$B474), 0)</f>
        <v>0</v>
      </c>
      <c r="M474" s="596">
        <f t="shared" ref="M474:M500" si="417">IFERROR(dbl_BenchmarkMax*F474/ SUMIFS(F$15:F$1256, $D$15:$D$1256, "Benchmark", $B$15:$B$1256,$B474), 0)</f>
        <v>18.904600463781442</v>
      </c>
      <c r="N474" s="596">
        <f t="shared" ref="N474:N500" si="418">IFERROR(dbl_BenchmarkMax*G474/ SUMIFS(G$15:G$1256, $D$15:$D$1256, "Benchmark", $B$15:$B$1256,$B474), 0)</f>
        <v>2.3427315721327738E-2</v>
      </c>
      <c r="O474" s="596">
        <f t="shared" ref="O474:O500" si="419">IFERROR(dbl_BenchmarkMax*H474/ SUMIFS(H$15:H$1256, $D$15:$D$1256, "Benchmark", $B$15:$B$1256,$B474), 0)</f>
        <v>2.5176939004995886</v>
      </c>
      <c r="P474" s="596">
        <f t="shared" ref="P474:P500" si="420">IFERROR(dbl_BenchmarkMax*I474/ SUMIFS(I$15:I$1256, $D$15:$D$1256, "Benchmark", $B$15:$B$1256,$B474), 0)</f>
        <v>9.9277947535465056</v>
      </c>
      <c r="Q474" s="596">
        <f t="shared" ref="Q474:Q500" si="421">IFERROR(dbl_BenchmarkMax*J474/ SUMIFS(J$15:J$1256, $D$15:$D$1256, "Benchmark", $B$15:$B$1256,$B474), 0)</f>
        <v>17.719585047539354</v>
      </c>
      <c r="R474" s="597">
        <f t="shared" ref="R474:R500" si="422">IFERROR(dbl_BenchmarkMax*K474/ SUMIFS(K$15:K$1256, $D$15:$D$1256, "Benchmark", $B$15:$B$1256,$B474), 0)</f>
        <v>16.206445543717727</v>
      </c>
      <c r="S474" s="455"/>
      <c r="T474" s="456"/>
      <c r="U474" s="456"/>
      <c r="V474" s="456"/>
      <c r="W474" s="456"/>
      <c r="X474" s="456"/>
      <c r="Y474" s="456"/>
      <c r="Z474" s="455"/>
      <c r="AA474" s="456"/>
      <c r="AB474" s="456"/>
      <c r="AC474" s="456"/>
      <c r="AD474" s="456"/>
      <c r="AE474" s="456"/>
      <c r="AF474" s="456"/>
      <c r="AG474" s="396" t="str">
        <f t="shared" si="387"/>
        <v>2.02 &gt; Argentina</v>
      </c>
      <c r="AH474" s="397">
        <f t="shared" si="392"/>
        <v>460</v>
      </c>
      <c r="AI474" s="397">
        <f t="shared" si="393"/>
        <v>18</v>
      </c>
      <c r="AJ474" s="879" t="s">
        <v>1526</v>
      </c>
    </row>
    <row r="475" spans="1:36" x14ac:dyDescent="0.2">
      <c r="A475" s="492">
        <f>INDEX(Country!$F$31:$G$76, MATCH(AI475, Country!$O$31:$O$76, 0), 1)</f>
        <v>2.0199999999999996</v>
      </c>
      <c r="B475" s="2" t="str">
        <f>INDEX(Country!$F$31:$G$76, MATCH(AI475, Country!$O$31:$O$76, 0), 2)</f>
        <v>Growth rate of clean energy investments</v>
      </c>
      <c r="C475" s="436" t="str">
        <f>INDEX(Country!$K$31:$K$76, MATCH(AI475, Country!$O$31:$O$76, 0), 1)</f>
        <v>%</v>
      </c>
      <c r="D475" s="4" t="str">
        <f t="shared" si="345"/>
        <v>Bahamas</v>
      </c>
      <c r="E475" s="551"/>
      <c r="F475" s="486">
        <f t="shared" ref="F475" si="423">IF(E448&lt;&gt;0, F448/E448-1, 0)</f>
        <v>0</v>
      </c>
      <c r="G475" s="486">
        <f t="shared" si="415"/>
        <v>0</v>
      </c>
      <c r="H475" s="486">
        <f t="shared" si="415"/>
        <v>0</v>
      </c>
      <c r="I475" s="486">
        <f t="shared" si="415"/>
        <v>0</v>
      </c>
      <c r="J475" s="486">
        <f t="shared" si="415"/>
        <v>0.38461538461538458</v>
      </c>
      <c r="K475" s="475">
        <f t="shared" si="415"/>
        <v>0.27777777777777768</v>
      </c>
      <c r="L475" s="483">
        <f t="shared" si="416"/>
        <v>0</v>
      </c>
      <c r="M475" s="482">
        <f t="shared" si="417"/>
        <v>0</v>
      </c>
      <c r="N475" s="482">
        <f t="shared" si="418"/>
        <v>0</v>
      </c>
      <c r="O475" s="482">
        <f t="shared" si="419"/>
        <v>0</v>
      </c>
      <c r="P475" s="482">
        <f t="shared" si="420"/>
        <v>0</v>
      </c>
      <c r="Q475" s="482">
        <f t="shared" si="421"/>
        <v>67.000964172220208</v>
      </c>
      <c r="R475" s="481">
        <f t="shared" si="422"/>
        <v>29.915704585478629</v>
      </c>
      <c r="S475" s="455"/>
      <c r="T475" s="456"/>
      <c r="U475" s="456"/>
      <c r="V475" s="456"/>
      <c r="W475" s="456"/>
      <c r="X475" s="456"/>
      <c r="Y475" s="456"/>
      <c r="Z475" s="455"/>
      <c r="AA475" s="456"/>
      <c r="AB475" s="456"/>
      <c r="AC475" s="456"/>
      <c r="AD475" s="456"/>
      <c r="AE475" s="456"/>
      <c r="AF475" s="456"/>
      <c r="AG475" s="33" t="str">
        <f t="shared" si="387"/>
        <v>2.02 &gt; Bahamas</v>
      </c>
      <c r="AH475" s="84">
        <f t="shared" si="392"/>
        <v>461</v>
      </c>
      <c r="AI475" s="84">
        <f t="shared" si="393"/>
        <v>18</v>
      </c>
      <c r="AJ475" s="877" t="s">
        <v>1526</v>
      </c>
    </row>
    <row r="476" spans="1:36" x14ac:dyDescent="0.2">
      <c r="A476" s="492">
        <f>INDEX(Country!$F$31:$G$76, MATCH(AI476, Country!$O$31:$O$76, 0), 1)</f>
        <v>2.0199999999999996</v>
      </c>
      <c r="B476" s="2" t="str">
        <f>INDEX(Country!$F$31:$G$76, MATCH(AI476, Country!$O$31:$O$76, 0), 2)</f>
        <v>Growth rate of clean energy investments</v>
      </c>
      <c r="C476" s="436" t="str">
        <f>INDEX(Country!$K$31:$K$76, MATCH(AI476, Country!$O$31:$O$76, 0), 1)</f>
        <v>%</v>
      </c>
      <c r="D476" s="4" t="str">
        <f t="shared" si="345"/>
        <v>Barbados</v>
      </c>
      <c r="E476" s="551"/>
      <c r="F476" s="486">
        <f t="shared" ref="F476" si="424">IF(E449&lt;&gt;0, F449/E449-1, 0)</f>
        <v>0</v>
      </c>
      <c r="G476" s="486">
        <f t="shared" si="415"/>
        <v>0</v>
      </c>
      <c r="H476" s="486">
        <f t="shared" si="415"/>
        <v>0</v>
      </c>
      <c r="I476" s="486">
        <f t="shared" si="415"/>
        <v>0</v>
      </c>
      <c r="J476" s="486">
        <f t="shared" si="415"/>
        <v>0</v>
      </c>
      <c r="K476" s="475">
        <f t="shared" si="415"/>
        <v>0</v>
      </c>
      <c r="L476" s="483">
        <f t="shared" si="416"/>
        <v>0</v>
      </c>
      <c r="M476" s="482">
        <f t="shared" si="417"/>
        <v>0</v>
      </c>
      <c r="N476" s="482">
        <f t="shared" si="418"/>
        <v>0</v>
      </c>
      <c r="O476" s="482">
        <f t="shared" si="419"/>
        <v>0</v>
      </c>
      <c r="P476" s="482">
        <f t="shared" si="420"/>
        <v>0</v>
      </c>
      <c r="Q476" s="482">
        <f t="shared" si="421"/>
        <v>0</v>
      </c>
      <c r="R476" s="481">
        <f t="shared" si="422"/>
        <v>0</v>
      </c>
      <c r="S476" s="455"/>
      <c r="T476" s="456"/>
      <c r="U476" s="456"/>
      <c r="V476" s="456"/>
      <c r="W476" s="456"/>
      <c r="X476" s="456"/>
      <c r="Y476" s="456"/>
      <c r="Z476" s="455"/>
      <c r="AA476" s="456"/>
      <c r="AB476" s="456"/>
      <c r="AC476" s="456"/>
      <c r="AD476" s="456"/>
      <c r="AE476" s="456"/>
      <c r="AF476" s="456"/>
      <c r="AG476" s="33" t="str">
        <f t="shared" si="387"/>
        <v>2.02 &gt; Barbados</v>
      </c>
      <c r="AH476" s="84">
        <f t="shared" si="392"/>
        <v>462</v>
      </c>
      <c r="AI476" s="84">
        <f t="shared" si="393"/>
        <v>18</v>
      </c>
      <c r="AJ476" s="877" t="s">
        <v>1526</v>
      </c>
    </row>
    <row r="477" spans="1:36" x14ac:dyDescent="0.2">
      <c r="A477" s="492">
        <f>INDEX(Country!$F$31:$G$76, MATCH(AI477, Country!$O$31:$O$76, 0), 1)</f>
        <v>2.0199999999999996</v>
      </c>
      <c r="B477" s="2" t="str">
        <f>INDEX(Country!$F$31:$G$76, MATCH(AI477, Country!$O$31:$O$76, 0), 2)</f>
        <v>Growth rate of clean energy investments</v>
      </c>
      <c r="C477" s="436" t="str">
        <f>INDEX(Country!$K$31:$K$76, MATCH(AI477, Country!$O$31:$O$76, 0), 1)</f>
        <v>%</v>
      </c>
      <c r="D477" s="4" t="str">
        <f t="shared" si="345"/>
        <v>Belize</v>
      </c>
      <c r="E477" s="551"/>
      <c r="F477" s="486">
        <f t="shared" ref="F477" si="425">IF(E450&lt;&gt;0, F450/E450-1, 0)</f>
        <v>0</v>
      </c>
      <c r="G477" s="486">
        <f t="shared" si="415"/>
        <v>0.54498592666620205</v>
      </c>
      <c r="H477" s="486">
        <f t="shared" si="415"/>
        <v>0</v>
      </c>
      <c r="I477" s="486">
        <f t="shared" si="415"/>
        <v>0</v>
      </c>
      <c r="J477" s="486">
        <f t="shared" si="415"/>
        <v>0</v>
      </c>
      <c r="K477" s="475">
        <f t="shared" si="415"/>
        <v>0</v>
      </c>
      <c r="L477" s="483">
        <f t="shared" si="416"/>
        <v>0</v>
      </c>
      <c r="M477" s="482">
        <f t="shared" si="417"/>
        <v>0</v>
      </c>
      <c r="N477" s="482">
        <f t="shared" si="418"/>
        <v>1.2246274826675955E-2</v>
      </c>
      <c r="O477" s="482">
        <f t="shared" si="419"/>
        <v>0</v>
      </c>
      <c r="P477" s="482">
        <f t="shared" si="420"/>
        <v>0</v>
      </c>
      <c r="Q477" s="482">
        <f t="shared" si="421"/>
        <v>0</v>
      </c>
      <c r="R477" s="481">
        <f t="shared" si="422"/>
        <v>0</v>
      </c>
      <c r="S477" s="455"/>
      <c r="T477" s="456"/>
      <c r="U477" s="456"/>
      <c r="V477" s="456"/>
      <c r="W477" s="456"/>
      <c r="X477" s="456"/>
      <c r="Y477" s="456"/>
      <c r="Z477" s="455"/>
      <c r="AA477" s="456"/>
      <c r="AB477" s="456"/>
      <c r="AC477" s="456"/>
      <c r="AD477" s="456"/>
      <c r="AE477" s="456"/>
      <c r="AF477" s="456"/>
      <c r="AG477" s="33" t="str">
        <f t="shared" si="387"/>
        <v>2.02 &gt; Belize</v>
      </c>
      <c r="AH477" s="84">
        <f t="shared" si="392"/>
        <v>463</v>
      </c>
      <c r="AI477" s="84">
        <f t="shared" si="393"/>
        <v>18</v>
      </c>
      <c r="AJ477" s="877" t="s">
        <v>1526</v>
      </c>
    </row>
    <row r="478" spans="1:36" x14ac:dyDescent="0.2">
      <c r="A478" s="492">
        <f>INDEX(Country!$F$31:$G$76, MATCH(AI478, Country!$O$31:$O$76, 0), 1)</f>
        <v>2.0199999999999996</v>
      </c>
      <c r="B478" s="2" t="str">
        <f>INDEX(Country!$F$31:$G$76, MATCH(AI478, Country!$O$31:$O$76, 0), 2)</f>
        <v>Growth rate of clean energy investments</v>
      </c>
      <c r="C478" s="436" t="str">
        <f>INDEX(Country!$K$31:$K$76, MATCH(AI478, Country!$O$31:$O$76, 0), 1)</f>
        <v>%</v>
      </c>
      <c r="D478" s="4" t="str">
        <f t="shared" si="345"/>
        <v>Bolivia</v>
      </c>
      <c r="E478" s="551"/>
      <c r="F478" s="486">
        <f t="shared" ref="F478" si="426">IF(E451&lt;&gt;0, F451/E451-1, 0)</f>
        <v>0</v>
      </c>
      <c r="G478" s="486">
        <f t="shared" si="415"/>
        <v>0</v>
      </c>
      <c r="H478" s="486">
        <f t="shared" si="415"/>
        <v>0</v>
      </c>
      <c r="I478" s="486">
        <f t="shared" si="415"/>
        <v>0</v>
      </c>
      <c r="J478" s="486">
        <f t="shared" si="415"/>
        <v>0</v>
      </c>
      <c r="K478" s="475">
        <f t="shared" si="415"/>
        <v>0</v>
      </c>
      <c r="L478" s="483">
        <f t="shared" si="416"/>
        <v>0</v>
      </c>
      <c r="M478" s="482">
        <f t="shared" si="417"/>
        <v>0</v>
      </c>
      <c r="N478" s="482">
        <f t="shared" si="418"/>
        <v>0</v>
      </c>
      <c r="O478" s="482">
        <f t="shared" si="419"/>
        <v>0</v>
      </c>
      <c r="P478" s="482">
        <f t="shared" si="420"/>
        <v>0</v>
      </c>
      <c r="Q478" s="482">
        <f t="shared" si="421"/>
        <v>0</v>
      </c>
      <c r="R478" s="481">
        <f t="shared" si="422"/>
        <v>0</v>
      </c>
      <c r="S478" s="455"/>
      <c r="T478" s="456"/>
      <c r="U478" s="456"/>
      <c r="V478" s="456"/>
      <c r="W478" s="456"/>
      <c r="X478" s="456"/>
      <c r="Y478" s="456"/>
      <c r="Z478" s="455"/>
      <c r="AA478" s="456"/>
      <c r="AB478" s="456"/>
      <c r="AC478" s="456"/>
      <c r="AD478" s="456"/>
      <c r="AE478" s="456"/>
      <c r="AF478" s="456"/>
      <c r="AG478" s="33" t="str">
        <f t="shared" si="387"/>
        <v>2.02 &gt; Bolivia</v>
      </c>
      <c r="AH478" s="84">
        <f t="shared" si="392"/>
        <v>464</v>
      </c>
      <c r="AI478" s="84">
        <f t="shared" si="393"/>
        <v>18</v>
      </c>
      <c r="AJ478" s="877" t="s">
        <v>1526</v>
      </c>
    </row>
    <row r="479" spans="1:36" x14ac:dyDescent="0.2">
      <c r="A479" s="492">
        <f>INDEX(Country!$F$31:$G$76, MATCH(AI479, Country!$O$31:$O$76, 0), 1)</f>
        <v>2.0199999999999996</v>
      </c>
      <c r="B479" s="2" t="str">
        <f>INDEX(Country!$F$31:$G$76, MATCH(AI479, Country!$O$31:$O$76, 0), 2)</f>
        <v>Growth rate of clean energy investments</v>
      </c>
      <c r="C479" s="436" t="str">
        <f>INDEX(Country!$K$31:$K$76, MATCH(AI479, Country!$O$31:$O$76, 0), 1)</f>
        <v>%</v>
      </c>
      <c r="D479" s="4" t="str">
        <f t="shared" si="345"/>
        <v>Brazil</v>
      </c>
      <c r="E479" s="551"/>
      <c r="F479" s="486">
        <f t="shared" ref="F479" si="427">IF(E452&lt;&gt;0, F452/E452-1, 0)</f>
        <v>2.5562023983980211</v>
      </c>
      <c r="G479" s="486">
        <f t="shared" si="415"/>
        <v>0.86073338236430175</v>
      </c>
      <c r="H479" s="486">
        <f t="shared" si="415"/>
        <v>0.35430977883331116</v>
      </c>
      <c r="I479" s="486">
        <f t="shared" si="415"/>
        <v>0.30164145469861325</v>
      </c>
      <c r="J479" s="486">
        <f t="shared" si="415"/>
        <v>0.24727956600899414</v>
      </c>
      <c r="K479" s="475">
        <f>IF(J452&lt;&gt;0, K452/J452-1, 0)</f>
        <v>0.12613056265820766</v>
      </c>
      <c r="L479" s="483">
        <f t="shared" si="416"/>
        <v>0</v>
      </c>
      <c r="M479" s="482">
        <f t="shared" si="417"/>
        <v>15.544144070652123</v>
      </c>
      <c r="N479" s="482">
        <f t="shared" si="418"/>
        <v>1.9341375689107859E-2</v>
      </c>
      <c r="O479" s="482">
        <f t="shared" si="419"/>
        <v>6.3895339740352251</v>
      </c>
      <c r="P479" s="482">
        <f t="shared" si="420"/>
        <v>7.3044656789715683</v>
      </c>
      <c r="Q479" s="482">
        <f t="shared" si="421"/>
        <v>43.076720290996022</v>
      </c>
      <c r="R479" s="481">
        <f t="shared" si="422"/>
        <v>13.583824746059317</v>
      </c>
      <c r="S479" s="455"/>
      <c r="T479" s="456"/>
      <c r="U479" s="456"/>
      <c r="V479" s="456"/>
      <c r="W479" s="456"/>
      <c r="X479" s="456"/>
      <c r="Y479" s="456"/>
      <c r="Z479" s="455"/>
      <c r="AA479" s="456"/>
      <c r="AB479" s="456"/>
      <c r="AC479" s="456"/>
      <c r="AD479" s="456"/>
      <c r="AE479" s="456"/>
      <c r="AF479" s="456"/>
      <c r="AG479" s="33" t="str">
        <f t="shared" si="387"/>
        <v>2.02 &gt; Brazil</v>
      </c>
      <c r="AH479" s="84">
        <f t="shared" si="392"/>
        <v>465</v>
      </c>
      <c r="AI479" s="84">
        <f t="shared" si="393"/>
        <v>18</v>
      </c>
      <c r="AJ479" s="877" t="s">
        <v>1526</v>
      </c>
    </row>
    <row r="480" spans="1:36" x14ac:dyDescent="0.2">
      <c r="A480" s="492">
        <f>INDEX(Country!$F$31:$G$76, MATCH(AI480, Country!$O$31:$O$76, 0), 1)</f>
        <v>2.0199999999999996</v>
      </c>
      <c r="B480" s="2" t="str">
        <f>INDEX(Country!$F$31:$G$76, MATCH(AI480, Country!$O$31:$O$76, 0), 2)</f>
        <v>Growth rate of clean energy investments</v>
      </c>
      <c r="C480" s="436" t="str">
        <f>INDEX(Country!$K$31:$K$76, MATCH(AI480, Country!$O$31:$O$76, 0), 1)</f>
        <v>%</v>
      </c>
      <c r="D480" s="4" t="str">
        <f t="shared" si="345"/>
        <v>Chile</v>
      </c>
      <c r="E480" s="551"/>
      <c r="F480" s="486">
        <f t="shared" ref="F480" si="428">IF(E453&lt;&gt;0, F453/E453-1, 0)</f>
        <v>1.6445550958778812</v>
      </c>
      <c r="G480" s="486">
        <f t="shared" si="415"/>
        <v>2.3315195525363204</v>
      </c>
      <c r="H480" s="486">
        <f t="shared" si="415"/>
        <v>0.48874764982624508</v>
      </c>
      <c r="I480" s="486">
        <f t="shared" si="415"/>
        <v>0.53430226944399917</v>
      </c>
      <c r="J480" s="486">
        <f t="shared" si="415"/>
        <v>0.13789904075630455</v>
      </c>
      <c r="K480" s="475">
        <f t="shared" si="415"/>
        <v>0.50158830863982384</v>
      </c>
      <c r="L480" s="483">
        <f t="shared" si="416"/>
        <v>0</v>
      </c>
      <c r="M480" s="482">
        <f t="shared" si="417"/>
        <v>10.00046058890776</v>
      </c>
      <c r="N480" s="482">
        <f t="shared" si="418"/>
        <v>5.2391131233038936E-2</v>
      </c>
      <c r="O480" s="482">
        <f t="shared" si="419"/>
        <v>8.8139529300540467</v>
      </c>
      <c r="P480" s="482">
        <f t="shared" si="420"/>
        <v>12.938515341831277</v>
      </c>
      <c r="Q480" s="482">
        <f t="shared" si="421"/>
        <v>24.022358591651408</v>
      </c>
      <c r="R480" s="481">
        <f t="shared" si="422"/>
        <v>54.019323593275878</v>
      </c>
      <c r="S480" s="455"/>
      <c r="T480" s="456"/>
      <c r="U480" s="456"/>
      <c r="V480" s="456"/>
      <c r="W480" s="456"/>
      <c r="X480" s="456"/>
      <c r="Y480" s="456"/>
      <c r="Z480" s="455"/>
      <c r="AA480" s="456"/>
      <c r="AB480" s="456"/>
      <c r="AC480" s="456"/>
      <c r="AD480" s="456"/>
      <c r="AE480" s="456"/>
      <c r="AF480" s="456"/>
      <c r="AG480" s="33" t="str">
        <f t="shared" si="387"/>
        <v>2.02 &gt; Chile</v>
      </c>
      <c r="AH480" s="84">
        <f t="shared" si="392"/>
        <v>466</v>
      </c>
      <c r="AI480" s="84">
        <f t="shared" si="393"/>
        <v>18</v>
      </c>
      <c r="AJ480" s="877" t="s">
        <v>1526</v>
      </c>
    </row>
    <row r="481" spans="1:36" x14ac:dyDescent="0.2">
      <c r="A481" s="492">
        <f>INDEX(Country!$F$31:$G$76, MATCH(AI481, Country!$O$31:$O$76, 0), 1)</f>
        <v>2.0199999999999996</v>
      </c>
      <c r="B481" s="2" t="str">
        <f>INDEX(Country!$F$31:$G$76, MATCH(AI481, Country!$O$31:$O$76, 0), 2)</f>
        <v>Growth rate of clean energy investments</v>
      </c>
      <c r="C481" s="436" t="str">
        <f>INDEX(Country!$K$31:$K$76, MATCH(AI481, Country!$O$31:$O$76, 0), 1)</f>
        <v>%</v>
      </c>
      <c r="D481" s="4" t="str">
        <f t="shared" si="345"/>
        <v>Colombia</v>
      </c>
      <c r="E481" s="551"/>
      <c r="F481" s="486">
        <f t="shared" ref="F481" si="429">IF(E454&lt;&gt;0, F454/E454-1, 0)</f>
        <v>1.600956445651271</v>
      </c>
      <c r="G481" s="486">
        <f t="shared" si="415"/>
        <v>0.53845116150181438</v>
      </c>
      <c r="H481" s="486">
        <f t="shared" si="415"/>
        <v>0.13851792015452657</v>
      </c>
      <c r="I481" s="486">
        <f t="shared" si="415"/>
        <v>0.21406429068864541</v>
      </c>
      <c r="J481" s="486">
        <f t="shared" si="415"/>
        <v>6.3191332792881472E-2</v>
      </c>
      <c r="K481" s="475">
        <f t="shared" si="415"/>
        <v>0</v>
      </c>
      <c r="L481" s="483">
        <f t="shared" si="416"/>
        <v>0</v>
      </c>
      <c r="M481" s="482">
        <f t="shared" si="417"/>
        <v>9.735339289892817</v>
      </c>
      <c r="N481" s="482">
        <f t="shared" si="418"/>
        <v>1.2099433364878181E-2</v>
      </c>
      <c r="O481" s="482">
        <f t="shared" si="419"/>
        <v>2.4979975425866936</v>
      </c>
      <c r="P481" s="482">
        <f t="shared" si="420"/>
        <v>5.1837214019237123</v>
      </c>
      <c r="Q481" s="482">
        <f t="shared" si="421"/>
        <v>11.008088583571807</v>
      </c>
      <c r="R481" s="481">
        <f t="shared" si="422"/>
        <v>0</v>
      </c>
      <c r="S481" s="455"/>
      <c r="T481" s="456"/>
      <c r="U481" s="456"/>
      <c r="V481" s="456"/>
      <c r="W481" s="456"/>
      <c r="X481" s="456"/>
      <c r="Y481" s="456"/>
      <c r="Z481" s="455"/>
      <c r="AA481" s="456"/>
      <c r="AB481" s="456"/>
      <c r="AC481" s="456"/>
      <c r="AD481" s="456"/>
      <c r="AE481" s="456"/>
      <c r="AF481" s="456"/>
      <c r="AG481" s="33" t="str">
        <f t="shared" si="387"/>
        <v>2.02 &gt; Colombia</v>
      </c>
      <c r="AH481" s="84">
        <f t="shared" si="392"/>
        <v>467</v>
      </c>
      <c r="AI481" s="84">
        <f t="shared" si="393"/>
        <v>18</v>
      </c>
      <c r="AJ481" s="877" t="s">
        <v>1526</v>
      </c>
    </row>
    <row r="482" spans="1:36" x14ac:dyDescent="0.2">
      <c r="A482" s="492">
        <f>INDEX(Country!$F$31:$G$76, MATCH(AI482, Country!$O$31:$O$76, 0), 1)</f>
        <v>2.0199999999999996</v>
      </c>
      <c r="B482" s="2" t="str">
        <f>INDEX(Country!$F$31:$G$76, MATCH(AI482, Country!$O$31:$O$76, 0), 2)</f>
        <v>Growth rate of clean energy investments</v>
      </c>
      <c r="C482" s="436" t="str">
        <f>INDEX(Country!$K$31:$K$76, MATCH(AI482, Country!$O$31:$O$76, 0), 1)</f>
        <v>%</v>
      </c>
      <c r="D482" s="4" t="str">
        <f t="shared" si="345"/>
        <v>Costa Rica</v>
      </c>
      <c r="E482" s="551"/>
      <c r="F482" s="486">
        <f t="shared" ref="F482" si="430">IF(E455&lt;&gt;0, F455/E455-1, 0)</f>
        <v>0</v>
      </c>
      <c r="G482" s="486">
        <f t="shared" si="415"/>
        <v>0.78664482499652588</v>
      </c>
      <c r="H482" s="486">
        <f t="shared" si="415"/>
        <v>0.63398060302610726</v>
      </c>
      <c r="I482" s="486">
        <f t="shared" si="415"/>
        <v>0.21454004246870162</v>
      </c>
      <c r="J482" s="486">
        <f t="shared" si="415"/>
        <v>0.57404455199594429</v>
      </c>
      <c r="K482" s="475">
        <f t="shared" si="415"/>
        <v>9.2047829165482487E-3</v>
      </c>
      <c r="L482" s="483">
        <f t="shared" si="416"/>
        <v>0</v>
      </c>
      <c r="M482" s="482">
        <f t="shared" si="417"/>
        <v>0</v>
      </c>
      <c r="N482" s="482">
        <f t="shared" si="418"/>
        <v>1.7676545845541188E-2</v>
      </c>
      <c r="O482" s="482">
        <f t="shared" si="419"/>
        <v>11.43304769982206</v>
      </c>
      <c r="P482" s="482">
        <f t="shared" si="420"/>
        <v>5.1952420748783057</v>
      </c>
      <c r="Q482" s="482">
        <f t="shared" si="421"/>
        <v>100</v>
      </c>
      <c r="R482" s="481">
        <f t="shared" si="422"/>
        <v>0.99132323941770439</v>
      </c>
      <c r="S482" s="455"/>
      <c r="T482" s="456"/>
      <c r="U482" s="456"/>
      <c r="V482" s="456"/>
      <c r="W482" s="456"/>
      <c r="X482" s="456"/>
      <c r="Y482" s="456"/>
      <c r="Z482" s="455"/>
      <c r="AA482" s="456"/>
      <c r="AB482" s="456"/>
      <c r="AC482" s="456"/>
      <c r="AD482" s="456"/>
      <c r="AE482" s="456"/>
      <c r="AF482" s="456"/>
      <c r="AG482" s="33" t="str">
        <f t="shared" si="387"/>
        <v>2.02 &gt; Costa Rica</v>
      </c>
      <c r="AH482" s="84">
        <f t="shared" si="392"/>
        <v>468</v>
      </c>
      <c r="AI482" s="84">
        <f t="shared" si="393"/>
        <v>18</v>
      </c>
      <c r="AJ482" s="877" t="s">
        <v>1526</v>
      </c>
    </row>
    <row r="483" spans="1:36" x14ac:dyDescent="0.2">
      <c r="A483" s="492">
        <f>INDEX(Country!$F$31:$G$76, MATCH(AI483, Country!$O$31:$O$76, 0), 1)</f>
        <v>2.0199999999999996</v>
      </c>
      <c r="B483" s="2" t="str">
        <f>INDEX(Country!$F$31:$G$76, MATCH(AI483, Country!$O$31:$O$76, 0), 2)</f>
        <v>Growth rate of clean energy investments</v>
      </c>
      <c r="C483" s="436" t="str">
        <f>INDEX(Country!$K$31:$K$76, MATCH(AI483, Country!$O$31:$O$76, 0), 1)</f>
        <v>%</v>
      </c>
      <c r="D483" s="4" t="str">
        <f t="shared" si="345"/>
        <v>Dominican Republic</v>
      </c>
      <c r="E483" s="551"/>
      <c r="F483" s="486">
        <f t="shared" ref="F483" si="431">IF(E456&lt;&gt;0, F456/E456-1, 0)</f>
        <v>0</v>
      </c>
      <c r="G483" s="486">
        <f t="shared" si="415"/>
        <v>0</v>
      </c>
      <c r="H483" s="486">
        <f t="shared" si="415"/>
        <v>5.5451583835863314</v>
      </c>
      <c r="I483" s="486">
        <f t="shared" si="415"/>
        <v>0.42521320281870834</v>
      </c>
      <c r="J483" s="486">
        <f t="shared" si="415"/>
        <v>0.13332928891543827</v>
      </c>
      <c r="K483" s="475">
        <f t="shared" si="415"/>
        <v>0.62513993291316616</v>
      </c>
      <c r="L483" s="483">
        <f t="shared" si="416"/>
        <v>0</v>
      </c>
      <c r="M483" s="482">
        <f t="shared" si="417"/>
        <v>0</v>
      </c>
      <c r="N483" s="482">
        <f t="shared" si="418"/>
        <v>0</v>
      </c>
      <c r="O483" s="482">
        <f t="shared" si="419"/>
        <v>100</v>
      </c>
      <c r="P483" s="482">
        <f t="shared" si="420"/>
        <v>10.296844806487771</v>
      </c>
      <c r="Q483" s="482">
        <f t="shared" si="421"/>
        <v>23.226296365300275</v>
      </c>
      <c r="R483" s="481">
        <f t="shared" si="422"/>
        <v>67.325405607418375</v>
      </c>
      <c r="S483" s="455"/>
      <c r="T483" s="456"/>
      <c r="U483" s="456"/>
      <c r="V483" s="456"/>
      <c r="W483" s="456"/>
      <c r="X483" s="456"/>
      <c r="Y483" s="456"/>
      <c r="Z483" s="455"/>
      <c r="AA483" s="456"/>
      <c r="AB483" s="456"/>
      <c r="AC483" s="456"/>
      <c r="AD483" s="456"/>
      <c r="AE483" s="456"/>
      <c r="AF483" s="456"/>
      <c r="AG483" s="33" t="str">
        <f t="shared" si="387"/>
        <v>2.02 &gt; Dominican Republic</v>
      </c>
      <c r="AH483" s="84">
        <f t="shared" si="392"/>
        <v>469</v>
      </c>
      <c r="AI483" s="84">
        <f t="shared" si="393"/>
        <v>18</v>
      </c>
      <c r="AJ483" s="877" t="s">
        <v>1526</v>
      </c>
    </row>
    <row r="484" spans="1:36" x14ac:dyDescent="0.2">
      <c r="A484" s="492">
        <f>INDEX(Country!$F$31:$G$76, MATCH(AI484, Country!$O$31:$O$76, 0), 1)</f>
        <v>2.0199999999999996</v>
      </c>
      <c r="B484" s="2" t="str">
        <f>INDEX(Country!$F$31:$G$76, MATCH(AI484, Country!$O$31:$O$76, 0), 2)</f>
        <v>Growth rate of clean energy investments</v>
      </c>
      <c r="C484" s="436" t="str">
        <f>INDEX(Country!$K$31:$K$76, MATCH(AI484, Country!$O$31:$O$76, 0), 1)</f>
        <v>%</v>
      </c>
      <c r="D484" s="4" t="str">
        <f t="shared" si="345"/>
        <v>Ecuador</v>
      </c>
      <c r="E484" s="551"/>
      <c r="F484" s="486">
        <f t="shared" ref="F484" si="432">IF(E457&lt;&gt;0, F457/E457-1, 0)</f>
        <v>0.16295449349231239</v>
      </c>
      <c r="G484" s="486">
        <f t="shared" si="415"/>
        <v>0</v>
      </c>
      <c r="H484" s="486">
        <f t="shared" si="415"/>
        <v>0.3678187783302802</v>
      </c>
      <c r="I484" s="486">
        <f t="shared" si="415"/>
        <v>0</v>
      </c>
      <c r="J484" s="486">
        <f t="shared" si="415"/>
        <v>0.44563103579612018</v>
      </c>
      <c r="K484" s="475">
        <f t="shared" si="415"/>
        <v>0.43796813844790194</v>
      </c>
      <c r="L484" s="483">
        <f t="shared" si="416"/>
        <v>0</v>
      </c>
      <c r="M484" s="482">
        <f t="shared" si="417"/>
        <v>0.99091845207252705</v>
      </c>
      <c r="N484" s="482">
        <f t="shared" si="418"/>
        <v>0</v>
      </c>
      <c r="O484" s="482">
        <f t="shared" si="419"/>
        <v>6.6331518937136904</v>
      </c>
      <c r="P484" s="482">
        <f t="shared" si="420"/>
        <v>0</v>
      </c>
      <c r="Q484" s="482">
        <f t="shared" si="421"/>
        <v>77.630043564853594</v>
      </c>
      <c r="R484" s="481">
        <f t="shared" si="422"/>
        <v>47.167651611573994</v>
      </c>
      <c r="S484" s="455"/>
      <c r="T484" s="456"/>
      <c r="U484" s="456"/>
      <c r="V484" s="456"/>
      <c r="W484" s="456"/>
      <c r="X484" s="456"/>
      <c r="Y484" s="456"/>
      <c r="Z484" s="455"/>
      <c r="AA484" s="456"/>
      <c r="AB484" s="456"/>
      <c r="AC484" s="456"/>
      <c r="AD484" s="456"/>
      <c r="AE484" s="456"/>
      <c r="AF484" s="456"/>
      <c r="AG484" s="33" t="str">
        <f t="shared" si="387"/>
        <v>2.02 &gt; Ecuador</v>
      </c>
      <c r="AH484" s="84">
        <f t="shared" si="392"/>
        <v>470</v>
      </c>
      <c r="AI484" s="84">
        <f t="shared" si="393"/>
        <v>18</v>
      </c>
      <c r="AJ484" s="877" t="s">
        <v>1526</v>
      </c>
    </row>
    <row r="485" spans="1:36" x14ac:dyDescent="0.2">
      <c r="A485" s="492">
        <f>INDEX(Country!$F$31:$G$76, MATCH(AI485, Country!$O$31:$O$76, 0), 1)</f>
        <v>2.0199999999999996</v>
      </c>
      <c r="B485" s="2" t="str">
        <f>INDEX(Country!$F$31:$G$76, MATCH(AI485, Country!$O$31:$O$76, 0), 2)</f>
        <v>Growth rate of clean energy investments</v>
      </c>
      <c r="C485" s="436" t="str">
        <f>INDEX(Country!$K$31:$K$76, MATCH(AI485, Country!$O$31:$O$76, 0), 1)</f>
        <v>%</v>
      </c>
      <c r="D485" s="4" t="str">
        <f t="shared" si="345"/>
        <v>El Salvador</v>
      </c>
      <c r="E485" s="551"/>
      <c r="F485" s="486">
        <f t="shared" ref="F485" si="433">IF(E458&lt;&gt;0, F458/E458-1, 0)</f>
        <v>0</v>
      </c>
      <c r="G485" s="486">
        <f t="shared" si="415"/>
        <v>6.2169572733857814E-2</v>
      </c>
      <c r="H485" s="486">
        <f t="shared" si="415"/>
        <v>4.1478478257039875E-3</v>
      </c>
      <c r="I485" s="486">
        <f t="shared" si="415"/>
        <v>0</v>
      </c>
      <c r="J485" s="486">
        <f t="shared" si="415"/>
        <v>5.0486507519273971E-3</v>
      </c>
      <c r="K485" s="475">
        <f t="shared" si="415"/>
        <v>5.0232899155182587E-3</v>
      </c>
      <c r="L485" s="483">
        <f t="shared" si="416"/>
        <v>0</v>
      </c>
      <c r="M485" s="482">
        <f t="shared" si="417"/>
        <v>0</v>
      </c>
      <c r="N485" s="482">
        <f t="shared" si="418"/>
        <v>1.397000612865658E-3</v>
      </c>
      <c r="O485" s="482">
        <f t="shared" si="419"/>
        <v>7.4801250726789281E-2</v>
      </c>
      <c r="P485" s="482">
        <f t="shared" si="420"/>
        <v>0</v>
      </c>
      <c r="Q485" s="482">
        <f t="shared" si="421"/>
        <v>0.8794876171846443</v>
      </c>
      <c r="R485" s="481">
        <f t="shared" si="422"/>
        <v>0.54099092577548946</v>
      </c>
      <c r="S485" s="455"/>
      <c r="T485" s="456"/>
      <c r="U485" s="456"/>
      <c r="V485" s="456"/>
      <c r="W485" s="456"/>
      <c r="X485" s="456"/>
      <c r="Y485" s="456"/>
      <c r="Z485" s="455"/>
      <c r="AA485" s="456"/>
      <c r="AB485" s="456"/>
      <c r="AC485" s="456"/>
      <c r="AD485" s="456"/>
      <c r="AE485" s="456"/>
      <c r="AF485" s="456"/>
      <c r="AG485" s="33" t="str">
        <f t="shared" si="387"/>
        <v>2.02 &gt; El Salvador</v>
      </c>
      <c r="AH485" s="84">
        <f t="shared" si="392"/>
        <v>471</v>
      </c>
      <c r="AI485" s="84">
        <f t="shared" si="393"/>
        <v>18</v>
      </c>
      <c r="AJ485" s="877" t="s">
        <v>1526</v>
      </c>
    </row>
    <row r="486" spans="1:36" x14ac:dyDescent="0.2">
      <c r="A486" s="492">
        <f>INDEX(Country!$F$31:$G$76, MATCH(AI486, Country!$O$31:$O$76, 0), 1)</f>
        <v>2.0199999999999996</v>
      </c>
      <c r="B486" s="2" t="str">
        <f>INDEX(Country!$F$31:$G$76, MATCH(AI486, Country!$O$31:$O$76, 0), 2)</f>
        <v>Growth rate of clean energy investments</v>
      </c>
      <c r="C486" s="436" t="str">
        <f>INDEX(Country!$K$31:$K$76, MATCH(AI486, Country!$O$31:$O$76, 0), 1)</f>
        <v>%</v>
      </c>
      <c r="D486" s="4" t="str">
        <f t="shared" si="345"/>
        <v>Guatemala</v>
      </c>
      <c r="E486" s="551"/>
      <c r="F486" s="486">
        <f t="shared" ref="F486" si="434">IF(E459&lt;&gt;0, F459/E459-1, 0)</f>
        <v>0.27686748499910108</v>
      </c>
      <c r="G486" s="486">
        <f t="shared" si="415"/>
        <v>7.1189905482915705E-4</v>
      </c>
      <c r="H486" s="486">
        <f t="shared" si="415"/>
        <v>0.44302915444946511</v>
      </c>
      <c r="I486" s="486">
        <f t="shared" si="415"/>
        <v>0.18899834423898421</v>
      </c>
      <c r="J486" s="486">
        <f t="shared" si="415"/>
        <v>0.32202215013270186</v>
      </c>
      <c r="K486" s="475">
        <f t="shared" si="415"/>
        <v>0</v>
      </c>
      <c r="L486" s="483">
        <f t="shared" si="416"/>
        <v>0</v>
      </c>
      <c r="M486" s="482">
        <f t="shared" si="417"/>
        <v>1.6836178848757295</v>
      </c>
      <c r="N486" s="482">
        <f t="shared" si="418"/>
        <v>1.5996947898488506E-5</v>
      </c>
      <c r="O486" s="482">
        <f t="shared" si="419"/>
        <v>7.9894770140530413</v>
      </c>
      <c r="P486" s="482">
        <f t="shared" si="420"/>
        <v>4.5767314053550106</v>
      </c>
      <c r="Q486" s="482">
        <f t="shared" si="421"/>
        <v>56.097065813626429</v>
      </c>
      <c r="R486" s="481">
        <f t="shared" si="422"/>
        <v>0</v>
      </c>
      <c r="S486" s="455"/>
      <c r="T486" s="456"/>
      <c r="U486" s="456"/>
      <c r="V486" s="456"/>
      <c r="W486" s="456"/>
      <c r="X486" s="456"/>
      <c r="Y486" s="456"/>
      <c r="Z486" s="455"/>
      <c r="AA486" s="456"/>
      <c r="AB486" s="456"/>
      <c r="AC486" s="456"/>
      <c r="AD486" s="456"/>
      <c r="AE486" s="456"/>
      <c r="AF486" s="456"/>
      <c r="AG486" s="33" t="str">
        <f t="shared" si="387"/>
        <v>2.02 &gt; Guatemala</v>
      </c>
      <c r="AH486" s="84">
        <f t="shared" si="392"/>
        <v>472</v>
      </c>
      <c r="AI486" s="84">
        <f t="shared" si="393"/>
        <v>18</v>
      </c>
      <c r="AJ486" s="877" t="s">
        <v>1526</v>
      </c>
    </row>
    <row r="487" spans="1:36" x14ac:dyDescent="0.2">
      <c r="A487" s="492">
        <f>INDEX(Country!$F$31:$G$76, MATCH(AI487, Country!$O$31:$O$76, 0), 1)</f>
        <v>2.0199999999999996</v>
      </c>
      <c r="B487" s="2" t="str">
        <f>INDEX(Country!$F$31:$G$76, MATCH(AI487, Country!$O$31:$O$76, 0), 2)</f>
        <v>Growth rate of clean energy investments</v>
      </c>
      <c r="C487" s="436" t="str">
        <f>INDEX(Country!$K$31:$K$76, MATCH(AI487, Country!$O$31:$O$76, 0), 1)</f>
        <v>%</v>
      </c>
      <c r="D487" s="4" t="str">
        <f t="shared" si="345"/>
        <v>Guyana</v>
      </c>
      <c r="E487" s="551"/>
      <c r="F487" s="486">
        <f t="shared" ref="F487" si="435">IF(E460&lt;&gt;0, F460/E460-1, 0)</f>
        <v>0</v>
      </c>
      <c r="G487" s="486">
        <f t="shared" si="415"/>
        <v>0</v>
      </c>
      <c r="H487" s="486">
        <f t="shared" si="415"/>
        <v>0</v>
      </c>
      <c r="I487" s="486">
        <f t="shared" si="415"/>
        <v>0.21541262135922334</v>
      </c>
      <c r="J487" s="486">
        <f t="shared" si="415"/>
        <v>0</v>
      </c>
      <c r="K487" s="475">
        <f t="shared" si="415"/>
        <v>0</v>
      </c>
      <c r="L487" s="483">
        <f t="shared" si="416"/>
        <v>0</v>
      </c>
      <c r="M487" s="482">
        <f t="shared" si="417"/>
        <v>0</v>
      </c>
      <c r="N487" s="482">
        <f t="shared" si="418"/>
        <v>0</v>
      </c>
      <c r="O487" s="482">
        <f t="shared" si="419"/>
        <v>0</v>
      </c>
      <c r="P487" s="482">
        <f t="shared" si="420"/>
        <v>5.2163722029118649</v>
      </c>
      <c r="Q487" s="482">
        <f t="shared" si="421"/>
        <v>0</v>
      </c>
      <c r="R487" s="481">
        <f t="shared" si="422"/>
        <v>0</v>
      </c>
      <c r="S487" s="455"/>
      <c r="T487" s="456"/>
      <c r="U487" s="456"/>
      <c r="V487" s="456"/>
      <c r="W487" s="456"/>
      <c r="X487" s="456"/>
      <c r="Y487" s="456"/>
      <c r="Z487" s="455"/>
      <c r="AA487" s="456"/>
      <c r="AB487" s="456"/>
      <c r="AC487" s="456"/>
      <c r="AD487" s="456"/>
      <c r="AE487" s="456"/>
      <c r="AF487" s="456"/>
      <c r="AG487" s="33" t="str">
        <f t="shared" si="387"/>
        <v>2.02 &gt; Guyana</v>
      </c>
      <c r="AH487" s="84">
        <f t="shared" si="392"/>
        <v>473</v>
      </c>
      <c r="AI487" s="84">
        <f t="shared" si="393"/>
        <v>18</v>
      </c>
      <c r="AJ487" s="877" t="s">
        <v>1526</v>
      </c>
    </row>
    <row r="488" spans="1:36" x14ac:dyDescent="0.2">
      <c r="A488" s="492">
        <f>INDEX(Country!$F$31:$G$76, MATCH(AI488, Country!$O$31:$O$76, 0), 1)</f>
        <v>2.0199999999999996</v>
      </c>
      <c r="B488" s="2" t="str">
        <f>INDEX(Country!$F$31:$G$76, MATCH(AI488, Country!$O$31:$O$76, 0), 2)</f>
        <v>Growth rate of clean energy investments</v>
      </c>
      <c r="C488" s="436" t="str">
        <f>INDEX(Country!$K$31:$K$76, MATCH(AI488, Country!$O$31:$O$76, 0), 1)</f>
        <v>%</v>
      </c>
      <c r="D488" s="4" t="str">
        <f t="shared" si="345"/>
        <v>Haiti</v>
      </c>
      <c r="E488" s="551"/>
      <c r="F488" s="486">
        <f t="shared" ref="F488" si="436">IF(E461&lt;&gt;0, F461/E461-1, 0)</f>
        <v>0</v>
      </c>
      <c r="G488" s="486">
        <f t="shared" si="415"/>
        <v>0</v>
      </c>
      <c r="H488" s="486">
        <f t="shared" si="415"/>
        <v>0</v>
      </c>
      <c r="I488" s="486">
        <f t="shared" si="415"/>
        <v>0</v>
      </c>
      <c r="J488" s="486">
        <f t="shared" si="415"/>
        <v>0</v>
      </c>
      <c r="K488" s="475">
        <f t="shared" si="415"/>
        <v>0</v>
      </c>
      <c r="L488" s="483">
        <f t="shared" si="416"/>
        <v>0</v>
      </c>
      <c r="M488" s="482">
        <f t="shared" si="417"/>
        <v>0</v>
      </c>
      <c r="N488" s="482">
        <f t="shared" si="418"/>
        <v>0</v>
      </c>
      <c r="O488" s="482">
        <f t="shared" si="419"/>
        <v>0</v>
      </c>
      <c r="P488" s="482">
        <f t="shared" si="420"/>
        <v>0</v>
      </c>
      <c r="Q488" s="482">
        <f t="shared" si="421"/>
        <v>0</v>
      </c>
      <c r="R488" s="481">
        <f t="shared" si="422"/>
        <v>0</v>
      </c>
      <c r="S488" s="455"/>
      <c r="T488" s="456"/>
      <c r="U488" s="456"/>
      <c r="V488" s="456"/>
      <c r="W488" s="456"/>
      <c r="X488" s="456"/>
      <c r="Y488" s="456"/>
      <c r="Z488" s="455"/>
      <c r="AA488" s="456"/>
      <c r="AB488" s="456"/>
      <c r="AC488" s="456"/>
      <c r="AD488" s="456"/>
      <c r="AE488" s="456"/>
      <c r="AF488" s="456"/>
      <c r="AG488" s="33" t="str">
        <f t="shared" si="387"/>
        <v>2.02 &gt; Haiti</v>
      </c>
      <c r="AH488" s="84">
        <f t="shared" si="392"/>
        <v>474</v>
      </c>
      <c r="AI488" s="84">
        <f t="shared" si="393"/>
        <v>18</v>
      </c>
      <c r="AJ488" s="877" t="s">
        <v>1526</v>
      </c>
    </row>
    <row r="489" spans="1:36" x14ac:dyDescent="0.2">
      <c r="A489" s="492">
        <f>INDEX(Country!$F$31:$G$76, MATCH(AI489, Country!$O$31:$O$76, 0), 1)</f>
        <v>2.0199999999999996</v>
      </c>
      <c r="B489" s="2" t="str">
        <f>INDEX(Country!$F$31:$G$76, MATCH(AI489, Country!$O$31:$O$76, 0), 2)</f>
        <v>Growth rate of clean energy investments</v>
      </c>
      <c r="C489" s="436" t="str">
        <f>INDEX(Country!$K$31:$K$76, MATCH(AI489, Country!$O$31:$O$76, 0), 1)</f>
        <v>%</v>
      </c>
      <c r="D489" s="4" t="str">
        <f t="shared" si="345"/>
        <v>Honduras</v>
      </c>
      <c r="E489" s="551"/>
      <c r="F489" s="486">
        <f t="shared" ref="F489" si="437">IF(E462&lt;&gt;0, F462/E462-1, 0)</f>
        <v>0.98084380882654632</v>
      </c>
      <c r="G489" s="486">
        <f t="shared" si="415"/>
        <v>0.27833479903656366</v>
      </c>
      <c r="H489" s="486">
        <f t="shared" si="415"/>
        <v>0</v>
      </c>
      <c r="I489" s="486">
        <f t="shared" si="415"/>
        <v>2.8065448440102547</v>
      </c>
      <c r="J489" s="486">
        <f t="shared" si="415"/>
        <v>0.34148380381354282</v>
      </c>
      <c r="K489" s="475">
        <f t="shared" si="415"/>
        <v>6.1040836940764231E-2</v>
      </c>
      <c r="L489" s="483">
        <f t="shared" si="416"/>
        <v>0</v>
      </c>
      <c r="M489" s="482">
        <f t="shared" si="417"/>
        <v>5.9644641147203172</v>
      </c>
      <c r="N489" s="482">
        <f t="shared" si="418"/>
        <v>6.2544081893642902E-3</v>
      </c>
      <c r="O489" s="482">
        <f t="shared" si="419"/>
        <v>0</v>
      </c>
      <c r="P489" s="482">
        <f t="shared" si="420"/>
        <v>67.962510358698935</v>
      </c>
      <c r="Q489" s="482">
        <f t="shared" si="421"/>
        <v>59.487334672232102</v>
      </c>
      <c r="R489" s="481">
        <f t="shared" si="422"/>
        <v>6.5738867240529881</v>
      </c>
      <c r="S489" s="455"/>
      <c r="T489" s="456"/>
      <c r="U489" s="456"/>
      <c r="V489" s="456"/>
      <c r="W489" s="456"/>
      <c r="X489" s="456"/>
      <c r="Y489" s="456"/>
      <c r="Z489" s="455"/>
      <c r="AA489" s="456"/>
      <c r="AB489" s="456"/>
      <c r="AC489" s="456"/>
      <c r="AD489" s="456"/>
      <c r="AE489" s="456"/>
      <c r="AF489" s="456"/>
      <c r="AG489" s="33" t="str">
        <f t="shared" si="387"/>
        <v>2.02 &gt; Honduras</v>
      </c>
      <c r="AH489" s="84">
        <f t="shared" si="392"/>
        <v>475</v>
      </c>
      <c r="AI489" s="84">
        <f t="shared" si="393"/>
        <v>18</v>
      </c>
      <c r="AJ489" s="877" t="s">
        <v>1526</v>
      </c>
    </row>
    <row r="490" spans="1:36" x14ac:dyDescent="0.2">
      <c r="A490" s="492">
        <f>INDEX(Country!$F$31:$G$76, MATCH(AI490, Country!$O$31:$O$76, 0), 1)</f>
        <v>2.0199999999999996</v>
      </c>
      <c r="B490" s="2" t="str">
        <f>INDEX(Country!$F$31:$G$76, MATCH(AI490, Country!$O$31:$O$76, 0), 2)</f>
        <v>Growth rate of clean energy investments</v>
      </c>
      <c r="C490" s="436" t="str">
        <f>INDEX(Country!$K$31:$K$76, MATCH(AI490, Country!$O$31:$O$76, 0), 1)</f>
        <v>%</v>
      </c>
      <c r="D490" s="4" t="str">
        <f t="shared" si="345"/>
        <v>Jamaica</v>
      </c>
      <c r="E490" s="551"/>
      <c r="F490" s="486">
        <f t="shared" ref="F490" si="438">IF(E463&lt;&gt;0, F463/E463-1, 0)</f>
        <v>4.9825068348164914E-2</v>
      </c>
      <c r="G490" s="486">
        <f t="shared" ref="G490:G499" si="439">IF(F463&lt;&gt;0, G463/F463-1, 0)</f>
        <v>0</v>
      </c>
      <c r="H490" s="486">
        <f t="shared" ref="H490:H499" si="440">IF(G463&lt;&gt;0, H463/G463-1, 0)</f>
        <v>0</v>
      </c>
      <c r="I490" s="486">
        <f t="shared" ref="I490:I499" si="441">IF(H463&lt;&gt;0, I463/H463-1, 0)</f>
        <v>4.1295485249111721</v>
      </c>
      <c r="J490" s="486">
        <f t="shared" ref="J490:J499" si="442">IF(I463&lt;&gt;0, J463/I463-1, 0)</f>
        <v>0</v>
      </c>
      <c r="K490" s="475">
        <f t="shared" ref="K490:K499" si="443">IF(J463&lt;&gt;0, K463/J463-1, 0)</f>
        <v>0</v>
      </c>
      <c r="L490" s="483">
        <f t="shared" si="416"/>
        <v>0</v>
      </c>
      <c r="M490" s="482">
        <f t="shared" si="417"/>
        <v>0.30298384870436634</v>
      </c>
      <c r="N490" s="482">
        <f t="shared" si="418"/>
        <v>0</v>
      </c>
      <c r="O490" s="482">
        <f t="shared" si="419"/>
        <v>0</v>
      </c>
      <c r="P490" s="482">
        <f t="shared" si="420"/>
        <v>100</v>
      </c>
      <c r="Q490" s="482">
        <f t="shared" si="421"/>
        <v>0</v>
      </c>
      <c r="R490" s="481">
        <f t="shared" si="422"/>
        <v>0</v>
      </c>
      <c r="S490" s="455"/>
      <c r="T490" s="456"/>
      <c r="U490" s="456"/>
      <c r="V490" s="456"/>
      <c r="W490" s="456"/>
      <c r="X490" s="456"/>
      <c r="Y490" s="456"/>
      <c r="Z490" s="455"/>
      <c r="AA490" s="456"/>
      <c r="AB490" s="456"/>
      <c r="AC490" s="456"/>
      <c r="AD490" s="456"/>
      <c r="AE490" s="456"/>
      <c r="AF490" s="456"/>
      <c r="AG490" s="33" t="str">
        <f t="shared" si="387"/>
        <v>2.02 &gt; Jamaica</v>
      </c>
      <c r="AH490" s="84">
        <f t="shared" si="392"/>
        <v>476</v>
      </c>
      <c r="AI490" s="84">
        <f t="shared" si="393"/>
        <v>18</v>
      </c>
      <c r="AJ490" s="877" t="s">
        <v>1526</v>
      </c>
    </row>
    <row r="491" spans="1:36" x14ac:dyDescent="0.2">
      <c r="A491" s="492">
        <f>INDEX(Country!$F$31:$G$76, MATCH(AI491, Country!$O$31:$O$76, 0), 1)</f>
        <v>2.0199999999999996</v>
      </c>
      <c r="B491" s="2" t="str">
        <f>INDEX(Country!$F$31:$G$76, MATCH(AI491, Country!$O$31:$O$76, 0), 2)</f>
        <v>Growth rate of clean energy investments</v>
      </c>
      <c r="C491" s="436" t="str">
        <f>INDEX(Country!$K$31:$K$76, MATCH(AI491, Country!$O$31:$O$76, 0), 1)</f>
        <v>%</v>
      </c>
      <c r="D491" s="4" t="str">
        <f t="shared" ref="D491:D555" si="444">D464</f>
        <v>Mexico</v>
      </c>
      <c r="E491" s="551"/>
      <c r="F491" s="486">
        <f t="shared" ref="F491" si="445">IF(E464&lt;&gt;0, F464/E464-1, 0)</f>
        <v>4.0505193209900883</v>
      </c>
      <c r="G491" s="486">
        <f t="shared" si="439"/>
        <v>0.6232336587774685</v>
      </c>
      <c r="H491" s="486">
        <f t="shared" si="440"/>
        <v>0.32292056004646108</v>
      </c>
      <c r="I491" s="486">
        <f t="shared" si="441"/>
        <v>1.3071451698177641</v>
      </c>
      <c r="J491" s="486">
        <f t="shared" si="442"/>
        <v>0.11234287051615821</v>
      </c>
      <c r="K491" s="475">
        <f t="shared" si="443"/>
        <v>0.55449324619967877</v>
      </c>
      <c r="L491" s="483">
        <f t="shared" si="416"/>
        <v>0</v>
      </c>
      <c r="M491" s="482">
        <f t="shared" si="417"/>
        <v>24.631013540198659</v>
      </c>
      <c r="N491" s="482">
        <f t="shared" si="418"/>
        <v>1.4004564692728955E-2</v>
      </c>
      <c r="O491" s="482">
        <f t="shared" si="419"/>
        <v>5.8234686497378672</v>
      </c>
      <c r="P491" s="482">
        <f t="shared" si="420"/>
        <v>31.653464341985934</v>
      </c>
      <c r="Q491" s="482">
        <f t="shared" si="421"/>
        <v>19.570409670389473</v>
      </c>
      <c r="R491" s="481">
        <f t="shared" si="422"/>
        <v>59.717002132629595</v>
      </c>
      <c r="S491" s="455"/>
      <c r="T491" s="456"/>
      <c r="U491" s="456"/>
      <c r="V491" s="456"/>
      <c r="W491" s="456"/>
      <c r="X491" s="456"/>
      <c r="Y491" s="456"/>
      <c r="Z491" s="455"/>
      <c r="AA491" s="456"/>
      <c r="AB491" s="456"/>
      <c r="AC491" s="456"/>
      <c r="AD491" s="456"/>
      <c r="AE491" s="456"/>
      <c r="AF491" s="456"/>
      <c r="AG491" s="33" t="str">
        <f t="shared" si="387"/>
        <v>2.02 &gt; Mexico</v>
      </c>
      <c r="AH491" s="84">
        <f t="shared" si="392"/>
        <v>477</v>
      </c>
      <c r="AI491" s="84">
        <f t="shared" si="393"/>
        <v>18</v>
      </c>
      <c r="AJ491" s="877" t="s">
        <v>1526</v>
      </c>
    </row>
    <row r="492" spans="1:36" x14ac:dyDescent="0.2">
      <c r="A492" s="492">
        <f>INDEX(Country!$F$31:$G$76, MATCH(AI492, Country!$O$31:$O$76, 0), 1)</f>
        <v>2.0199999999999996</v>
      </c>
      <c r="B492" s="2" t="str">
        <f>INDEX(Country!$F$31:$G$76, MATCH(AI492, Country!$O$31:$O$76, 0), 2)</f>
        <v>Growth rate of clean energy investments</v>
      </c>
      <c r="C492" s="436" t="str">
        <f>INDEX(Country!$K$31:$K$76, MATCH(AI492, Country!$O$31:$O$76, 0), 1)</f>
        <v>%</v>
      </c>
      <c r="D492" s="4" t="str">
        <f t="shared" si="444"/>
        <v>Nicaragua</v>
      </c>
      <c r="E492" s="551"/>
      <c r="F492" s="486">
        <f t="shared" ref="F492" si="446">IF(E465&lt;&gt;0, F465/E465-1, 0)</f>
        <v>0.73237275279162217</v>
      </c>
      <c r="G492" s="486">
        <f t="shared" si="439"/>
        <v>0.36344764876118485</v>
      </c>
      <c r="H492" s="486">
        <f t="shared" si="440"/>
        <v>0.63770503942077372</v>
      </c>
      <c r="I492" s="486">
        <f t="shared" si="441"/>
        <v>0.86225311550085149</v>
      </c>
      <c r="J492" s="486">
        <f t="shared" si="442"/>
        <v>0.29561347198348931</v>
      </c>
      <c r="K492" s="475">
        <f t="shared" si="443"/>
        <v>0.2424239435298623</v>
      </c>
      <c r="L492" s="483">
        <f t="shared" si="416"/>
        <v>0</v>
      </c>
      <c r="M492" s="482">
        <f t="shared" si="417"/>
        <v>4.4535235511661826</v>
      </c>
      <c r="N492" s="482">
        <f t="shared" si="418"/>
        <v>8.1669628040959997E-3</v>
      </c>
      <c r="O492" s="482">
        <f t="shared" si="419"/>
        <v>11.500213254654376</v>
      </c>
      <c r="P492" s="482">
        <f t="shared" si="420"/>
        <v>20.880081933881595</v>
      </c>
      <c r="Q492" s="482">
        <f t="shared" si="421"/>
        <v>51.49660787749761</v>
      </c>
      <c r="R492" s="481">
        <f t="shared" si="422"/>
        <v>26.108219084710022</v>
      </c>
      <c r="S492" s="455"/>
      <c r="T492" s="456"/>
      <c r="U492" s="456"/>
      <c r="V492" s="456"/>
      <c r="W492" s="456"/>
      <c r="X492" s="456"/>
      <c r="Y492" s="456"/>
      <c r="Z492" s="455"/>
      <c r="AA492" s="456"/>
      <c r="AB492" s="456"/>
      <c r="AC492" s="456"/>
      <c r="AD492" s="456"/>
      <c r="AE492" s="456"/>
      <c r="AF492" s="456"/>
      <c r="AG492" s="33" t="str">
        <f t="shared" si="387"/>
        <v>2.02 &gt; Nicaragua</v>
      </c>
      <c r="AH492" s="84">
        <f t="shared" si="392"/>
        <v>478</v>
      </c>
      <c r="AI492" s="84">
        <f t="shared" si="393"/>
        <v>18</v>
      </c>
      <c r="AJ492" s="877" t="s">
        <v>1526</v>
      </c>
    </row>
    <row r="493" spans="1:36" x14ac:dyDescent="0.2">
      <c r="A493" s="492">
        <f>INDEX(Country!$F$31:$G$76, MATCH(AI493, Country!$O$31:$O$76, 0), 1)</f>
        <v>2.0199999999999996</v>
      </c>
      <c r="B493" s="2" t="str">
        <f>INDEX(Country!$F$31:$G$76, MATCH(AI493, Country!$O$31:$O$76, 0), 2)</f>
        <v>Growth rate of clean energy investments</v>
      </c>
      <c r="C493" s="436" t="str">
        <f>INDEX(Country!$K$31:$K$76, MATCH(AI493, Country!$O$31:$O$76, 0), 1)</f>
        <v>%</v>
      </c>
      <c r="D493" s="4" t="str">
        <f t="shared" si="444"/>
        <v>Panama</v>
      </c>
      <c r="E493" s="551"/>
      <c r="F493" s="486">
        <f t="shared" ref="F493" si="447">IF(E466&lt;&gt;0, F466/E466-1, 0)</f>
        <v>8.8373772630153873</v>
      </c>
      <c r="G493" s="486">
        <f t="shared" si="439"/>
        <v>2.7052438331840349</v>
      </c>
      <c r="H493" s="486">
        <f t="shared" si="440"/>
        <v>1.6277980661930651</v>
      </c>
      <c r="I493" s="486">
        <f t="shared" si="441"/>
        <v>0.43206266235237401</v>
      </c>
      <c r="J493" s="486">
        <f t="shared" si="442"/>
        <v>0.12527679601090203</v>
      </c>
      <c r="K493" s="475">
        <f t="shared" si="443"/>
        <v>0.13597504166625662</v>
      </c>
      <c r="L493" s="483">
        <f t="shared" si="416"/>
        <v>0</v>
      </c>
      <c r="M493" s="482">
        <f t="shared" si="417"/>
        <v>53.739666885965811</v>
      </c>
      <c r="N493" s="482">
        <f t="shared" si="418"/>
        <v>6.0789018272453962E-2</v>
      </c>
      <c r="O493" s="482">
        <f t="shared" si="419"/>
        <v>29.355303376209186</v>
      </c>
      <c r="P493" s="482">
        <f t="shared" si="420"/>
        <v>10.462709415956502</v>
      </c>
      <c r="Q493" s="482">
        <f t="shared" si="421"/>
        <v>21.823531914956163</v>
      </c>
      <c r="R493" s="481">
        <f t="shared" si="422"/>
        <v>14.644041038949176</v>
      </c>
      <c r="S493" s="455"/>
      <c r="T493" s="456"/>
      <c r="U493" s="456"/>
      <c r="V493" s="456"/>
      <c r="W493" s="456"/>
      <c r="X493" s="456"/>
      <c r="Y493" s="456"/>
      <c r="Z493" s="455"/>
      <c r="AA493" s="456"/>
      <c r="AB493" s="456"/>
      <c r="AC493" s="456"/>
      <c r="AD493" s="456"/>
      <c r="AE493" s="456"/>
      <c r="AF493" s="456"/>
      <c r="AG493" s="33" t="str">
        <f t="shared" si="387"/>
        <v>2.02 &gt; Panama</v>
      </c>
      <c r="AH493" s="84">
        <f t="shared" si="392"/>
        <v>479</v>
      </c>
      <c r="AI493" s="84">
        <f t="shared" si="393"/>
        <v>18</v>
      </c>
      <c r="AJ493" s="877" t="s">
        <v>1526</v>
      </c>
    </row>
    <row r="494" spans="1:36" x14ac:dyDescent="0.2">
      <c r="A494" s="492">
        <f>INDEX(Country!$F$31:$G$76, MATCH(AI494, Country!$O$31:$O$76, 0), 1)</f>
        <v>2.0199999999999996</v>
      </c>
      <c r="B494" s="2" t="str">
        <f>INDEX(Country!$F$31:$G$76, MATCH(AI494, Country!$O$31:$O$76, 0), 2)</f>
        <v>Growth rate of clean energy investments</v>
      </c>
      <c r="C494" s="436" t="str">
        <f>INDEX(Country!$K$31:$K$76, MATCH(AI494, Country!$O$31:$O$76, 0), 1)</f>
        <v>%</v>
      </c>
      <c r="D494" s="4" t="str">
        <f t="shared" si="444"/>
        <v>Paraguay</v>
      </c>
      <c r="E494" s="551"/>
      <c r="F494" s="486">
        <f t="shared" ref="F494" si="448">IF(E467&lt;&gt;0, F467/E467-1, 0)</f>
        <v>16.444793529829788</v>
      </c>
      <c r="G494" s="486">
        <f t="shared" si="439"/>
        <v>0</v>
      </c>
      <c r="H494" s="486">
        <f t="shared" si="440"/>
        <v>0</v>
      </c>
      <c r="I494" s="486">
        <f t="shared" si="441"/>
        <v>0</v>
      </c>
      <c r="J494" s="486">
        <f t="shared" si="442"/>
        <v>0.14873348213057302</v>
      </c>
      <c r="K494" s="475">
        <f t="shared" si="443"/>
        <v>2.2998714227100425E-3</v>
      </c>
      <c r="L494" s="483">
        <f t="shared" si="416"/>
        <v>0</v>
      </c>
      <c r="M494" s="482">
        <f t="shared" si="417"/>
        <v>100</v>
      </c>
      <c r="N494" s="482">
        <f t="shared" si="418"/>
        <v>0</v>
      </c>
      <c r="O494" s="482">
        <f t="shared" si="419"/>
        <v>0</v>
      </c>
      <c r="P494" s="482">
        <f t="shared" si="420"/>
        <v>0</v>
      </c>
      <c r="Q494" s="482">
        <f t="shared" si="421"/>
        <v>25.909745439344199</v>
      </c>
      <c r="R494" s="481">
        <f t="shared" si="422"/>
        <v>0.24768818663896117</v>
      </c>
      <c r="S494" s="455"/>
      <c r="T494" s="456"/>
      <c r="U494" s="456"/>
      <c r="V494" s="456"/>
      <c r="W494" s="456"/>
      <c r="X494" s="456"/>
      <c r="Y494" s="456"/>
      <c r="Z494" s="455"/>
      <c r="AA494" s="456"/>
      <c r="AB494" s="456"/>
      <c r="AC494" s="456"/>
      <c r="AD494" s="456"/>
      <c r="AE494" s="456"/>
      <c r="AF494" s="456"/>
      <c r="AG494" s="33" t="str">
        <f t="shared" si="387"/>
        <v>2.02 &gt; Paraguay</v>
      </c>
      <c r="AH494" s="84">
        <f t="shared" si="392"/>
        <v>480</v>
      </c>
      <c r="AI494" s="84">
        <f t="shared" si="393"/>
        <v>18</v>
      </c>
      <c r="AJ494" s="877" t="s">
        <v>1526</v>
      </c>
    </row>
    <row r="495" spans="1:36" x14ac:dyDescent="0.2">
      <c r="A495" s="492">
        <f>INDEX(Country!$F$31:$G$76, MATCH(AI495, Country!$O$31:$O$76, 0), 1)</f>
        <v>2.0199999999999996</v>
      </c>
      <c r="B495" s="2" t="str">
        <f>INDEX(Country!$F$31:$G$76, MATCH(AI495, Country!$O$31:$O$76, 0), 2)</f>
        <v>Growth rate of clean energy investments</v>
      </c>
      <c r="C495" s="436" t="str">
        <f>INDEX(Country!$K$31:$K$76, MATCH(AI495, Country!$O$31:$O$76, 0), 1)</f>
        <v>%</v>
      </c>
      <c r="D495" s="4" t="str">
        <f t="shared" si="444"/>
        <v>Peru</v>
      </c>
      <c r="E495" s="551"/>
      <c r="F495" s="486">
        <f t="shared" ref="F495" si="449">IF(E468&lt;&gt;0, F468/E468-1, 0)</f>
        <v>3.2893659834142008</v>
      </c>
      <c r="G495" s="486">
        <f t="shared" si="439"/>
        <v>0.1394057991365838</v>
      </c>
      <c r="H495" s="486">
        <f t="shared" si="440"/>
        <v>0.84417777084217116</v>
      </c>
      <c r="I495" s="486">
        <f t="shared" si="441"/>
        <v>0.95990627915523263</v>
      </c>
      <c r="J495" s="486">
        <f t="shared" si="442"/>
        <v>0.27945316501866313</v>
      </c>
      <c r="K495" s="475">
        <f t="shared" si="443"/>
        <v>0.92853496725801232</v>
      </c>
      <c r="L495" s="483">
        <f t="shared" si="416"/>
        <v>0</v>
      </c>
      <c r="M495" s="482">
        <f t="shared" si="417"/>
        <v>20.002476634610854</v>
      </c>
      <c r="N495" s="482">
        <f t="shared" si="418"/>
        <v>3.1325611270410533E-3</v>
      </c>
      <c r="O495" s="482">
        <f t="shared" si="419"/>
        <v>15.223690874925005</v>
      </c>
      <c r="P495" s="482">
        <f t="shared" si="420"/>
        <v>23.244823819472625</v>
      </c>
      <c r="Q495" s="482">
        <f t="shared" si="421"/>
        <v>48.68144189279537</v>
      </c>
      <c r="R495" s="481">
        <f t="shared" si="422"/>
        <v>100</v>
      </c>
      <c r="S495" s="455"/>
      <c r="T495" s="456"/>
      <c r="U495" s="456"/>
      <c r="V495" s="456"/>
      <c r="W495" s="456"/>
      <c r="X495" s="456"/>
      <c r="Y495" s="456"/>
      <c r="Z495" s="455"/>
      <c r="AA495" s="456"/>
      <c r="AB495" s="456"/>
      <c r="AC495" s="456"/>
      <c r="AD495" s="456"/>
      <c r="AE495" s="456"/>
      <c r="AF495" s="456"/>
      <c r="AG495" s="33" t="str">
        <f t="shared" si="387"/>
        <v>2.02 &gt; Peru</v>
      </c>
      <c r="AH495" s="84">
        <f t="shared" si="392"/>
        <v>481</v>
      </c>
      <c r="AI495" s="84">
        <f t="shared" si="393"/>
        <v>18</v>
      </c>
      <c r="AJ495" s="877" t="s">
        <v>1526</v>
      </c>
    </row>
    <row r="496" spans="1:36" x14ac:dyDescent="0.2">
      <c r="A496" s="492">
        <f>INDEX(Country!$F$31:$G$76, MATCH(AI496, Country!$O$31:$O$76, 0), 1)</f>
        <v>2.0199999999999996</v>
      </c>
      <c r="B496" s="2" t="str">
        <f>INDEX(Country!$F$31:$G$76, MATCH(AI496, Country!$O$31:$O$76, 0), 2)</f>
        <v>Growth rate of clean energy investments</v>
      </c>
      <c r="C496" s="436" t="str">
        <f>INDEX(Country!$K$31:$K$76, MATCH(AI496, Country!$O$31:$O$76, 0), 1)</f>
        <v>%</v>
      </c>
      <c r="D496" s="4" t="str">
        <f t="shared" si="444"/>
        <v>Suriname</v>
      </c>
      <c r="E496" s="551"/>
      <c r="F496" s="486">
        <f t="shared" ref="F496" si="450">IF(E469&lt;&gt;0, F469/E469-1, 0)</f>
        <v>0</v>
      </c>
      <c r="G496" s="486">
        <f t="shared" si="439"/>
        <v>0</v>
      </c>
      <c r="H496" s="486">
        <f t="shared" si="440"/>
        <v>0</v>
      </c>
      <c r="I496" s="486">
        <f t="shared" si="441"/>
        <v>0</v>
      </c>
      <c r="J496" s="486">
        <f t="shared" si="442"/>
        <v>0</v>
      </c>
      <c r="K496" s="475">
        <f t="shared" si="443"/>
        <v>0</v>
      </c>
      <c r="L496" s="483">
        <f t="shared" si="416"/>
        <v>0</v>
      </c>
      <c r="M496" s="482">
        <f t="shared" si="417"/>
        <v>0</v>
      </c>
      <c r="N496" s="482">
        <f t="shared" si="418"/>
        <v>0</v>
      </c>
      <c r="O496" s="482">
        <f t="shared" si="419"/>
        <v>0</v>
      </c>
      <c r="P496" s="482">
        <f t="shared" si="420"/>
        <v>0</v>
      </c>
      <c r="Q496" s="482">
        <f t="shared" si="421"/>
        <v>0</v>
      </c>
      <c r="R496" s="481">
        <f t="shared" si="422"/>
        <v>0</v>
      </c>
      <c r="S496" s="455"/>
      <c r="T496" s="456"/>
      <c r="U496" s="456"/>
      <c r="V496" s="456"/>
      <c r="W496" s="456"/>
      <c r="X496" s="456"/>
      <c r="Y496" s="456"/>
      <c r="Z496" s="455"/>
      <c r="AA496" s="456"/>
      <c r="AB496" s="456"/>
      <c r="AC496" s="456"/>
      <c r="AD496" s="456"/>
      <c r="AE496" s="456"/>
      <c r="AF496" s="456"/>
      <c r="AG496" s="33" t="str">
        <f t="shared" si="387"/>
        <v>2.02 &gt; Suriname</v>
      </c>
      <c r="AH496" s="84">
        <f t="shared" si="392"/>
        <v>482</v>
      </c>
      <c r="AI496" s="84">
        <f t="shared" si="393"/>
        <v>18</v>
      </c>
      <c r="AJ496" s="877" t="s">
        <v>1526</v>
      </c>
    </row>
    <row r="497" spans="1:36" x14ac:dyDescent="0.2">
      <c r="A497" s="492">
        <f>INDEX(Country!$F$31:$G$76, MATCH(AI497, Country!$O$31:$O$76, 0), 1)</f>
        <v>2.0199999999999996</v>
      </c>
      <c r="B497" s="2" t="str">
        <f>INDEX(Country!$F$31:$G$76, MATCH(AI497, Country!$O$31:$O$76, 0), 2)</f>
        <v>Growth rate of clean energy investments</v>
      </c>
      <c r="C497" s="436" t="str">
        <f>INDEX(Country!$K$31:$K$76, MATCH(AI497, Country!$O$31:$O$76, 0), 1)</f>
        <v>%</v>
      </c>
      <c r="D497" s="4" t="str">
        <f t="shared" si="444"/>
        <v>Trinidad &amp; Tobago</v>
      </c>
      <c r="E497" s="551"/>
      <c r="F497" s="486">
        <f t="shared" ref="F497" si="451">IF(E470&lt;&gt;0, F470/E470-1, 0)</f>
        <v>0</v>
      </c>
      <c r="G497" s="486">
        <f t="shared" si="439"/>
        <v>4450.2179999999989</v>
      </c>
      <c r="H497" s="486">
        <f t="shared" si="440"/>
        <v>2.2465761056844613E-4</v>
      </c>
      <c r="I497" s="486">
        <f t="shared" si="441"/>
        <v>0</v>
      </c>
      <c r="J497" s="486">
        <f t="shared" si="442"/>
        <v>0</v>
      </c>
      <c r="K497" s="475">
        <f t="shared" si="443"/>
        <v>0</v>
      </c>
      <c r="L497" s="483">
        <f t="shared" si="416"/>
        <v>0</v>
      </c>
      <c r="M497" s="482">
        <f t="shared" si="417"/>
        <v>0</v>
      </c>
      <c r="N497" s="482">
        <f t="shared" si="418"/>
        <v>100</v>
      </c>
      <c r="O497" s="482">
        <f t="shared" si="419"/>
        <v>4.0514191845887155E-3</v>
      </c>
      <c r="P497" s="482">
        <f t="shared" si="420"/>
        <v>0</v>
      </c>
      <c r="Q497" s="482">
        <f t="shared" si="421"/>
        <v>0</v>
      </c>
      <c r="R497" s="481">
        <f t="shared" si="422"/>
        <v>0</v>
      </c>
      <c r="S497" s="455"/>
      <c r="T497" s="456"/>
      <c r="U497" s="456"/>
      <c r="V497" s="456"/>
      <c r="W497" s="456"/>
      <c r="X497" s="456"/>
      <c r="Y497" s="456"/>
      <c r="Z497" s="455"/>
      <c r="AA497" s="456"/>
      <c r="AB497" s="456"/>
      <c r="AC497" s="456"/>
      <c r="AD497" s="456"/>
      <c r="AE497" s="456"/>
      <c r="AF497" s="456"/>
      <c r="AG497" s="33" t="str">
        <f t="shared" si="387"/>
        <v>2.02 &gt; Trinidad &amp; Tobago</v>
      </c>
      <c r="AH497" s="84">
        <f t="shared" si="392"/>
        <v>483</v>
      </c>
      <c r="AI497" s="84">
        <f t="shared" si="393"/>
        <v>18</v>
      </c>
      <c r="AJ497" s="877" t="s">
        <v>1526</v>
      </c>
    </row>
    <row r="498" spans="1:36" x14ac:dyDescent="0.2">
      <c r="A498" s="492">
        <f>INDEX(Country!$F$31:$G$76, MATCH(AI498, Country!$O$31:$O$76, 0), 1)</f>
        <v>2.0199999999999996</v>
      </c>
      <c r="B498" s="2" t="str">
        <f>INDEX(Country!$F$31:$G$76, MATCH(AI498, Country!$O$31:$O$76, 0), 2)</f>
        <v>Growth rate of clean energy investments</v>
      </c>
      <c r="C498" s="436" t="str">
        <f>INDEX(Country!$K$31:$K$76, MATCH(AI498, Country!$O$31:$O$76, 0), 1)</f>
        <v>%</v>
      </c>
      <c r="D498" s="4" t="str">
        <f t="shared" si="444"/>
        <v>Uruguay</v>
      </c>
      <c r="E498" s="551"/>
      <c r="F498" s="486">
        <f t="shared" ref="F498" si="452">IF(E471&lt;&gt;0, F471/E471-1, 0)</f>
        <v>0.22222242165022643</v>
      </c>
      <c r="G498" s="486">
        <f t="shared" si="439"/>
        <v>3.0905860106529381</v>
      </c>
      <c r="H498" s="486">
        <f t="shared" si="440"/>
        <v>0.63169906825753519</v>
      </c>
      <c r="I498" s="486">
        <f t="shared" si="441"/>
        <v>0.25913122229240515</v>
      </c>
      <c r="J498" s="486">
        <f t="shared" si="442"/>
        <v>0.11176225304077425</v>
      </c>
      <c r="K498" s="475">
        <f t="shared" si="443"/>
        <v>0.4302125831835093</v>
      </c>
      <c r="L498" s="483">
        <f t="shared" si="416"/>
        <v>0</v>
      </c>
      <c r="M498" s="482">
        <f t="shared" si="417"/>
        <v>1.3513238779625258</v>
      </c>
      <c r="N498" s="482">
        <f t="shared" si="418"/>
        <v>6.9447968855749068E-2</v>
      </c>
      <c r="O498" s="482">
        <f t="shared" si="419"/>
        <v>11.391903072189326</v>
      </c>
      <c r="P498" s="482">
        <f t="shared" si="420"/>
        <v>6.2750496992399221</v>
      </c>
      <c r="Q498" s="482">
        <f t="shared" si="421"/>
        <v>19.469264650657962</v>
      </c>
      <c r="R498" s="481">
        <f t="shared" si="422"/>
        <v>46.332405170904671</v>
      </c>
      <c r="S498" s="455"/>
      <c r="T498" s="456"/>
      <c r="U498" s="456"/>
      <c r="V498" s="456"/>
      <c r="W498" s="456"/>
      <c r="X498" s="456"/>
      <c r="Y498" s="456"/>
      <c r="Z498" s="455"/>
      <c r="AA498" s="456"/>
      <c r="AB498" s="456"/>
      <c r="AC498" s="456"/>
      <c r="AD498" s="456"/>
      <c r="AE498" s="456"/>
      <c r="AF498" s="456"/>
      <c r="AG498" s="33" t="str">
        <f t="shared" si="387"/>
        <v>2.02 &gt; Uruguay</v>
      </c>
      <c r="AH498" s="84">
        <f t="shared" si="392"/>
        <v>484</v>
      </c>
      <c r="AI498" s="84">
        <f t="shared" si="393"/>
        <v>18</v>
      </c>
      <c r="AJ498" s="877" t="s">
        <v>1526</v>
      </c>
    </row>
    <row r="499" spans="1:36" x14ac:dyDescent="0.2">
      <c r="A499" s="491">
        <f>INDEX(Country!$F$31:$G$76, MATCH(AI499, Country!$O$31:$O$76, 0), 1)</f>
        <v>2.0199999999999996</v>
      </c>
      <c r="B499" s="386" t="str">
        <f>INDEX(Country!$F$31:$G$76, MATCH(AI499, Country!$O$31:$O$76, 0), 2)</f>
        <v>Growth rate of clean energy investments</v>
      </c>
      <c r="C499" s="437" t="str">
        <f>INDEX(Country!$K$31:$K$76, MATCH(AI499, Country!$O$31:$O$76, 0), 1)</f>
        <v>%</v>
      </c>
      <c r="D499" s="86" t="str">
        <f t="shared" si="444"/>
        <v>Venezuela</v>
      </c>
      <c r="E499" s="552"/>
      <c r="F499" s="484">
        <f t="shared" ref="F499" si="453">IF(E472&lt;&gt;0, F472/E472-1, 0)</f>
        <v>0</v>
      </c>
      <c r="G499" s="484">
        <f t="shared" si="439"/>
        <v>0</v>
      </c>
      <c r="H499" s="484">
        <f t="shared" si="440"/>
        <v>0.25162199408494756</v>
      </c>
      <c r="I499" s="484">
        <f t="shared" si="441"/>
        <v>0</v>
      </c>
      <c r="J499" s="484">
        <f t="shared" si="442"/>
        <v>0.34185469862295026</v>
      </c>
      <c r="K499" s="474">
        <f t="shared" si="443"/>
        <v>0.2769910320851332</v>
      </c>
      <c r="L499" s="480">
        <f t="shared" si="416"/>
        <v>0</v>
      </c>
      <c r="M499" s="479">
        <f t="shared" si="417"/>
        <v>0</v>
      </c>
      <c r="N499" s="479">
        <f t="shared" si="418"/>
        <v>0</v>
      </c>
      <c r="O499" s="479">
        <f t="shared" si="419"/>
        <v>4.5376881358294234</v>
      </c>
      <c r="P499" s="479">
        <f t="shared" si="420"/>
        <v>0</v>
      </c>
      <c r="Q499" s="479">
        <f t="shared" si="421"/>
        <v>59.551945477807699</v>
      </c>
      <c r="R499" s="478">
        <f t="shared" si="422"/>
        <v>29.83097479926845</v>
      </c>
      <c r="S499" s="455"/>
      <c r="T499" s="456"/>
      <c r="U499" s="456"/>
      <c r="V499" s="456"/>
      <c r="W499" s="456"/>
      <c r="X499" s="456"/>
      <c r="Y499" s="456"/>
      <c r="Z499" s="455"/>
      <c r="AA499" s="456"/>
      <c r="AB499" s="456"/>
      <c r="AC499" s="456"/>
      <c r="AD499" s="456"/>
      <c r="AE499" s="456"/>
      <c r="AF499" s="456"/>
      <c r="AG499" s="90" t="str">
        <f t="shared" si="387"/>
        <v>2.02 &gt; Venezuela</v>
      </c>
      <c r="AH499" s="392">
        <f t="shared" si="392"/>
        <v>485</v>
      </c>
      <c r="AI499" s="392">
        <f t="shared" si="393"/>
        <v>18</v>
      </c>
      <c r="AJ499" s="878" t="s">
        <v>1526</v>
      </c>
    </row>
    <row r="500" spans="1:36" x14ac:dyDescent="0.2">
      <c r="A500" s="490">
        <f>INDEX(Country!$F$31:$G$76, MATCH(AI500, Country!$O$31:$O$76, 0), 1)</f>
        <v>2.0199999999999996</v>
      </c>
      <c r="B500" s="387" t="str">
        <f>INDEX(Country!$F$31:$G$76, MATCH(AI500, Country!$O$31:$O$76, 0), 2)</f>
        <v>Growth rate of clean energy investments</v>
      </c>
      <c r="C500" s="438" t="str">
        <f>INDEX(Country!$K$31:$K$76, MATCH(AI500, Country!$O$31:$O$76, 0), 1)</f>
        <v>%</v>
      </c>
      <c r="D500" s="32" t="str">
        <f t="shared" si="444"/>
        <v>Benchmark</v>
      </c>
      <c r="E500" s="366">
        <f>IFERROR(MAX(E474:E499), 0)</f>
        <v>0</v>
      </c>
      <c r="F500" s="366">
        <f t="shared" ref="F500:K500" si="454">IFERROR(MAX(F474:F499), 0)</f>
        <v>16.444793529829788</v>
      </c>
      <c r="G500" s="366">
        <f t="shared" si="454"/>
        <v>4450.2179999999989</v>
      </c>
      <c r="H500" s="366">
        <f t="shared" si="454"/>
        <v>5.5451583835863314</v>
      </c>
      <c r="I500" s="366">
        <f t="shared" si="454"/>
        <v>4.1295485249111721</v>
      </c>
      <c r="J500" s="366">
        <f t="shared" ref="J500" si="455">IFERROR(MAX(J474:J499), 0)</f>
        <v>0.57404455199594429</v>
      </c>
      <c r="K500" s="598">
        <f t="shared" si="454"/>
        <v>0.92853496725801232</v>
      </c>
      <c r="L500" s="585">
        <f t="shared" si="416"/>
        <v>0</v>
      </c>
      <c r="M500" s="463">
        <f t="shared" si="417"/>
        <v>100</v>
      </c>
      <c r="N500" s="463">
        <f t="shared" si="418"/>
        <v>100</v>
      </c>
      <c r="O500" s="463">
        <f t="shared" si="419"/>
        <v>100</v>
      </c>
      <c r="P500" s="463">
        <f t="shared" si="420"/>
        <v>100</v>
      </c>
      <c r="Q500" s="463">
        <f t="shared" si="421"/>
        <v>100</v>
      </c>
      <c r="R500" s="586">
        <f t="shared" si="422"/>
        <v>100</v>
      </c>
      <c r="S500" s="393" t="s">
        <v>1550</v>
      </c>
      <c r="T500" s="394"/>
      <c r="U500" s="376"/>
      <c r="V500" s="376"/>
      <c r="W500" s="376"/>
      <c r="X500" s="376"/>
      <c r="Y500" s="376"/>
      <c r="Z500" s="393"/>
      <c r="AA500" s="394"/>
      <c r="AB500" s="376"/>
      <c r="AC500" s="376"/>
      <c r="AD500" s="376"/>
      <c r="AE500" s="376"/>
      <c r="AF500" s="401"/>
      <c r="AG500" s="34" t="str">
        <f t="shared" si="387"/>
        <v>2.02 &gt; Benchmark</v>
      </c>
      <c r="AH500" s="85">
        <f t="shared" si="392"/>
        <v>486</v>
      </c>
      <c r="AI500" s="85">
        <f t="shared" si="393"/>
        <v>18</v>
      </c>
      <c r="AJ500" s="871" t="s">
        <v>1526</v>
      </c>
    </row>
    <row r="501" spans="1:36" x14ac:dyDescent="0.2">
      <c r="A501" s="587">
        <f>INDEX(Country!$F$31:$G$76, MATCH(AI501, Country!$O$31:$O$76, 0), 1)</f>
        <v>2.0299999999999994</v>
      </c>
      <c r="B501" s="588" t="str">
        <f>INDEX(Country!$F$31:$G$76, MATCH(AI501, Country!$O$31:$O$76, 0), 2)</f>
        <v>Asset finance investments</v>
      </c>
      <c r="C501" s="589" t="str">
        <f>INDEX(Country!$K$31:$K$76, MATCH(AI501, Country!$O$31:$O$76, 0), 1)</f>
        <v>USDm</v>
      </c>
      <c r="D501" s="590" t="str">
        <f t="shared" si="444"/>
        <v>Argentina</v>
      </c>
      <c r="E501" s="5">
        <f>S501</f>
        <v>121.15051615307317</v>
      </c>
      <c r="F501" s="601">
        <f t="shared" ref="F501:F526" si="456">E501+T501</f>
        <v>451.21801615307317</v>
      </c>
      <c r="G501" s="601">
        <f t="shared" ref="G501:G526" si="457">F501+U501</f>
        <v>915.07851615307322</v>
      </c>
      <c r="H501" s="601">
        <f t="shared" ref="H501:H526" si="458">G501+V501</f>
        <v>1057.0286361530732</v>
      </c>
      <c r="I501" s="601">
        <f t="shared" ref="I501:I526" si="459">H501+W501</f>
        <v>1479.0295078984363</v>
      </c>
      <c r="J501" s="601">
        <f t="shared" ref="J501:J526" si="460">I501+X501</f>
        <v>1645.2119553942587</v>
      </c>
      <c r="K501" s="610">
        <f t="shared" ref="K501:K526" si="461">J501+Y501</f>
        <v>1915.4420693557852</v>
      </c>
      <c r="L501" s="580"/>
      <c r="M501" s="581"/>
      <c r="N501" s="581"/>
      <c r="O501" s="581"/>
      <c r="P501" s="581"/>
      <c r="Q501" s="581"/>
      <c r="R501" s="582"/>
      <c r="S501" s="420">
        <f>SUMIFS(Investment!$H$6:$H$1303, Investment!$A$6:$A$1303, S$10, Investment!$E$6:$E$1303, $D501, Investment!$G$6:$G$1303, $B501)</f>
        <v>121.15051615307317</v>
      </c>
      <c r="T501" s="367">
        <f>SUMIFS(Investment!$H$6:$H$1303, Investment!$A$6:$A$1303, T$10, Investment!$E$6:$E$1303, $D501, Investment!$G$6:$G$1303, $B501)</f>
        <v>330.0675</v>
      </c>
      <c r="U501" s="367">
        <f>SUMIFS(Investment!$H$6:$H$1303, Investment!$A$6:$A$1303, U$10, Investment!$E$6:$E$1303, $D501, Investment!$G$6:$G$1303, $B501)</f>
        <v>463.8605</v>
      </c>
      <c r="V501" s="367">
        <f>SUMIFS(Investment!$H$6:$H$1303, Investment!$A$6:$A$1303, V$10, Investment!$E$6:$E$1303, $D501, Investment!$G$6:$G$1303, $B501)</f>
        <v>141.95012</v>
      </c>
      <c r="W501" s="367">
        <f>SUMIFS(Investment!$H$6:$H$1303, Investment!$A$6:$A$1303, W$10, Investment!$E$6:$E$1303, $D501, Investment!$G$6:$G$1303, $B501)</f>
        <v>422.00087174536304</v>
      </c>
      <c r="X501" s="367">
        <f>SUMIFS(Investment!$H$6:$H$1303, Investment!$A$6:$A$1303, X$10, Investment!$E$6:$E$1303, $D501, Investment!$G$6:$G$1303, $B501)</f>
        <v>166.18244749582234</v>
      </c>
      <c r="Y501" s="367">
        <f>SUMIFS(Investment!$H$6:$H$1303, Investment!$A$6:$A$1303, Y$10, Investment!$E$6:$E$1303, $D501, Investment!$G$6:$G$1303, $B501)</f>
        <v>270.23011396152646</v>
      </c>
      <c r="Z501" s="455"/>
      <c r="AA501" s="456"/>
      <c r="AB501" s="456"/>
      <c r="AC501" s="456"/>
      <c r="AD501" s="456"/>
      <c r="AE501" s="456"/>
      <c r="AF501" s="456"/>
      <c r="AG501" s="396" t="str">
        <f t="shared" si="387"/>
        <v>2.03 &gt; Argentina</v>
      </c>
      <c r="AH501" s="397">
        <f t="shared" si="392"/>
        <v>487</v>
      </c>
      <c r="AI501" s="397">
        <f t="shared" si="393"/>
        <v>19</v>
      </c>
      <c r="AJ501" s="879" t="s">
        <v>1526</v>
      </c>
    </row>
    <row r="502" spans="1:36" x14ac:dyDescent="0.2">
      <c r="A502" s="492">
        <f>INDEX(Country!$F$31:$G$76, MATCH(AI502, Country!$O$31:$O$76, 0), 1)</f>
        <v>2.0299999999999994</v>
      </c>
      <c r="B502" s="2" t="str">
        <f>INDEX(Country!$F$31:$G$76, MATCH(AI502, Country!$O$31:$O$76, 0), 2)</f>
        <v>Asset finance investments</v>
      </c>
      <c r="C502" s="436" t="str">
        <f>INDEX(Country!$K$31:$K$76, MATCH(AI502, Country!$O$31:$O$76, 0), 1)</f>
        <v>USDm</v>
      </c>
      <c r="D502" s="4" t="str">
        <f t="shared" si="444"/>
        <v>Bahamas</v>
      </c>
      <c r="E502" s="5">
        <f t="shared" ref="E502:E526" si="462">S502</f>
        <v>0</v>
      </c>
      <c r="F502" s="5">
        <f t="shared" si="456"/>
        <v>0</v>
      </c>
      <c r="G502" s="5">
        <f t="shared" si="457"/>
        <v>0</v>
      </c>
      <c r="H502" s="5">
        <f t="shared" si="458"/>
        <v>0</v>
      </c>
      <c r="I502" s="5">
        <f t="shared" si="459"/>
        <v>0</v>
      </c>
      <c r="J502" s="5">
        <f t="shared" si="460"/>
        <v>0</v>
      </c>
      <c r="K502" s="6">
        <f t="shared" si="461"/>
        <v>0</v>
      </c>
      <c r="L502" s="457"/>
      <c r="M502" s="458"/>
      <c r="N502" s="458"/>
      <c r="O502" s="458"/>
      <c r="P502" s="458"/>
      <c r="Q502" s="458"/>
      <c r="R502" s="459"/>
      <c r="S502" s="421">
        <f>SUMIFS(Investment!$H$6:$H$1303, Investment!$A$6:$A$1303, S$10, Investment!$E$6:$E$1303, $D502, Investment!$G$6:$G$1303, $B502)</f>
        <v>0</v>
      </c>
      <c r="T502" s="5">
        <f>SUMIFS(Investment!$H$6:$H$1303, Investment!$A$6:$A$1303, T$10, Investment!$E$6:$E$1303, $D502, Investment!$G$6:$G$1303, $B502)</f>
        <v>0</v>
      </c>
      <c r="U502" s="5">
        <f>SUMIFS(Investment!$H$6:$H$1303, Investment!$A$6:$A$1303, U$10, Investment!$E$6:$E$1303, $D502, Investment!$G$6:$G$1303, $B502)</f>
        <v>0</v>
      </c>
      <c r="V502" s="5">
        <f>SUMIFS(Investment!$H$6:$H$1303, Investment!$A$6:$A$1303, V$10, Investment!$E$6:$E$1303, $D502, Investment!$G$6:$G$1303, $B502)</f>
        <v>0</v>
      </c>
      <c r="W502" s="5">
        <f>SUMIFS(Investment!$H$6:$H$1303, Investment!$A$6:$A$1303, W$10, Investment!$E$6:$E$1303, $D502, Investment!$G$6:$G$1303, $B502)</f>
        <v>0</v>
      </c>
      <c r="X502" s="5">
        <f>SUMIFS(Investment!$H$6:$H$1303, Investment!$A$6:$A$1303, X$10, Investment!$E$6:$E$1303, $D502, Investment!$G$6:$G$1303, $B502)</f>
        <v>0</v>
      </c>
      <c r="Y502" s="5">
        <f>SUMIFS(Investment!$H$6:$H$1303, Investment!$A$6:$A$1303, Y$10, Investment!$E$6:$E$1303, $D502, Investment!$G$6:$G$1303, $B502)</f>
        <v>0</v>
      </c>
      <c r="Z502" s="455"/>
      <c r="AA502" s="456"/>
      <c r="AB502" s="456"/>
      <c r="AC502" s="456"/>
      <c r="AD502" s="456"/>
      <c r="AE502" s="456"/>
      <c r="AF502" s="456"/>
      <c r="AG502" s="33" t="str">
        <f t="shared" si="387"/>
        <v>2.03 &gt; Bahamas</v>
      </c>
      <c r="AH502" s="84">
        <f t="shared" si="392"/>
        <v>488</v>
      </c>
      <c r="AI502" s="84">
        <f t="shared" si="393"/>
        <v>19</v>
      </c>
      <c r="AJ502" s="877" t="s">
        <v>1526</v>
      </c>
    </row>
    <row r="503" spans="1:36" x14ac:dyDescent="0.2">
      <c r="A503" s="492">
        <f>INDEX(Country!$F$31:$G$76, MATCH(AI503, Country!$O$31:$O$76, 0), 1)</f>
        <v>2.0299999999999994</v>
      </c>
      <c r="B503" s="2" t="str">
        <f>INDEX(Country!$F$31:$G$76, MATCH(AI503, Country!$O$31:$O$76, 0), 2)</f>
        <v>Asset finance investments</v>
      </c>
      <c r="C503" s="436" t="str">
        <f>INDEX(Country!$K$31:$K$76, MATCH(AI503, Country!$O$31:$O$76, 0), 1)</f>
        <v>USDm</v>
      </c>
      <c r="D503" s="4" t="str">
        <f t="shared" si="444"/>
        <v>Barbados</v>
      </c>
      <c r="E503" s="5">
        <f t="shared" si="462"/>
        <v>0</v>
      </c>
      <c r="F503" s="5">
        <f t="shared" si="456"/>
        <v>0</v>
      </c>
      <c r="G503" s="5">
        <f t="shared" si="457"/>
        <v>0</v>
      </c>
      <c r="H503" s="5">
        <f t="shared" si="458"/>
        <v>0</v>
      </c>
      <c r="I503" s="5">
        <f t="shared" si="459"/>
        <v>0</v>
      </c>
      <c r="J503" s="5">
        <f t="shared" si="460"/>
        <v>0</v>
      </c>
      <c r="K503" s="6">
        <f t="shared" si="461"/>
        <v>0</v>
      </c>
      <c r="L503" s="457"/>
      <c r="M503" s="458"/>
      <c r="N503" s="458"/>
      <c r="O503" s="458"/>
      <c r="P503" s="458"/>
      <c r="Q503" s="458"/>
      <c r="R503" s="459"/>
      <c r="S503" s="421">
        <f>SUMIFS(Investment!$H$6:$H$1303, Investment!$A$6:$A$1303, S$10, Investment!$E$6:$E$1303, $D503, Investment!$G$6:$G$1303, $B503)</f>
        <v>0</v>
      </c>
      <c r="T503" s="5">
        <f>SUMIFS(Investment!$H$6:$H$1303, Investment!$A$6:$A$1303, T$10, Investment!$E$6:$E$1303, $D503, Investment!$G$6:$G$1303, $B503)</f>
        <v>0</v>
      </c>
      <c r="U503" s="5">
        <f>SUMIFS(Investment!$H$6:$H$1303, Investment!$A$6:$A$1303, U$10, Investment!$E$6:$E$1303, $D503, Investment!$G$6:$G$1303, $B503)</f>
        <v>0</v>
      </c>
      <c r="V503" s="5">
        <f>SUMIFS(Investment!$H$6:$H$1303, Investment!$A$6:$A$1303, V$10, Investment!$E$6:$E$1303, $D503, Investment!$G$6:$G$1303, $B503)</f>
        <v>0</v>
      </c>
      <c r="W503" s="5">
        <f>SUMIFS(Investment!$H$6:$H$1303, Investment!$A$6:$A$1303, W$10, Investment!$E$6:$E$1303, $D503, Investment!$G$6:$G$1303, $B503)</f>
        <v>0</v>
      </c>
      <c r="X503" s="5">
        <f>SUMIFS(Investment!$H$6:$H$1303, Investment!$A$6:$A$1303, X$10, Investment!$E$6:$E$1303, $D503, Investment!$G$6:$G$1303, $B503)</f>
        <v>0</v>
      </c>
      <c r="Y503" s="5">
        <f>SUMIFS(Investment!$H$6:$H$1303, Investment!$A$6:$A$1303, Y$10, Investment!$E$6:$E$1303, $D503, Investment!$G$6:$G$1303, $B503)</f>
        <v>0</v>
      </c>
      <c r="Z503" s="455"/>
      <c r="AA503" s="456"/>
      <c r="AB503" s="456"/>
      <c r="AC503" s="456"/>
      <c r="AD503" s="456"/>
      <c r="AE503" s="456"/>
      <c r="AF503" s="456"/>
      <c r="AG503" s="33" t="str">
        <f t="shared" si="387"/>
        <v>2.03 &gt; Barbados</v>
      </c>
      <c r="AH503" s="84">
        <f t="shared" si="392"/>
        <v>489</v>
      </c>
      <c r="AI503" s="84">
        <f t="shared" si="393"/>
        <v>19</v>
      </c>
      <c r="AJ503" s="877" t="s">
        <v>1526</v>
      </c>
    </row>
    <row r="504" spans="1:36" x14ac:dyDescent="0.2">
      <c r="A504" s="492">
        <f>INDEX(Country!$F$31:$G$76, MATCH(AI504, Country!$O$31:$O$76, 0), 1)</f>
        <v>2.0299999999999994</v>
      </c>
      <c r="B504" s="2" t="str">
        <f>INDEX(Country!$F$31:$G$76, MATCH(AI504, Country!$O$31:$O$76, 0), 2)</f>
        <v>Asset finance investments</v>
      </c>
      <c r="C504" s="436" t="str">
        <f>INDEX(Country!$K$31:$K$76, MATCH(AI504, Country!$O$31:$O$76, 0), 1)</f>
        <v>USDm</v>
      </c>
      <c r="D504" s="4" t="str">
        <f t="shared" si="444"/>
        <v>Belize</v>
      </c>
      <c r="E504" s="5">
        <f t="shared" si="462"/>
        <v>0</v>
      </c>
      <c r="F504" s="5">
        <f t="shared" si="456"/>
        <v>114.67299225143825</v>
      </c>
      <c r="G504" s="5">
        <f t="shared" si="457"/>
        <v>114.67299225143825</v>
      </c>
      <c r="H504" s="5">
        <f t="shared" si="458"/>
        <v>114.67299225143825</v>
      </c>
      <c r="I504" s="5">
        <f t="shared" si="459"/>
        <v>114.67299225143825</v>
      </c>
      <c r="J504" s="5">
        <f t="shared" si="460"/>
        <v>114.67299225143825</v>
      </c>
      <c r="K504" s="6">
        <f t="shared" si="461"/>
        <v>114.67299225143825</v>
      </c>
      <c r="L504" s="457"/>
      <c r="M504" s="458"/>
      <c r="N504" s="458"/>
      <c r="O504" s="458"/>
      <c r="P504" s="458"/>
      <c r="Q504" s="458"/>
      <c r="R504" s="459"/>
      <c r="S504" s="421">
        <f>SUMIFS(Investment!$H$6:$H$1303, Investment!$A$6:$A$1303, S$10, Investment!$E$6:$E$1303, $D504, Investment!$G$6:$G$1303, $B504)</f>
        <v>0</v>
      </c>
      <c r="T504" s="5">
        <f>SUMIFS(Investment!$H$6:$H$1303, Investment!$A$6:$A$1303, T$10, Investment!$E$6:$E$1303, $D504, Investment!$G$6:$G$1303, $B504)</f>
        <v>114.67299225143825</v>
      </c>
      <c r="U504" s="5">
        <f>SUMIFS(Investment!$H$6:$H$1303, Investment!$A$6:$A$1303, U$10, Investment!$E$6:$E$1303, $D504, Investment!$G$6:$G$1303, $B504)</f>
        <v>0</v>
      </c>
      <c r="V504" s="5">
        <f>SUMIFS(Investment!$H$6:$H$1303, Investment!$A$6:$A$1303, V$10, Investment!$E$6:$E$1303, $D504, Investment!$G$6:$G$1303, $B504)</f>
        <v>0</v>
      </c>
      <c r="W504" s="5">
        <f>SUMIFS(Investment!$H$6:$H$1303, Investment!$A$6:$A$1303, W$10, Investment!$E$6:$E$1303, $D504, Investment!$G$6:$G$1303, $B504)</f>
        <v>0</v>
      </c>
      <c r="X504" s="5">
        <f>SUMIFS(Investment!$H$6:$H$1303, Investment!$A$6:$A$1303, X$10, Investment!$E$6:$E$1303, $D504, Investment!$G$6:$G$1303, $B504)</f>
        <v>0</v>
      </c>
      <c r="Y504" s="5">
        <f>SUMIFS(Investment!$H$6:$H$1303, Investment!$A$6:$A$1303, Y$10, Investment!$E$6:$E$1303, $D504, Investment!$G$6:$G$1303, $B504)</f>
        <v>0</v>
      </c>
      <c r="Z504" s="455"/>
      <c r="AA504" s="456"/>
      <c r="AB504" s="456"/>
      <c r="AC504" s="456"/>
      <c r="AD504" s="456"/>
      <c r="AE504" s="456"/>
      <c r="AF504" s="456"/>
      <c r="AG504" s="33" t="str">
        <f t="shared" si="387"/>
        <v>2.03 &gt; Belize</v>
      </c>
      <c r="AH504" s="84">
        <f t="shared" si="392"/>
        <v>490</v>
      </c>
      <c r="AI504" s="84">
        <f t="shared" si="393"/>
        <v>19</v>
      </c>
      <c r="AJ504" s="877" t="s">
        <v>1526</v>
      </c>
    </row>
    <row r="505" spans="1:36" x14ac:dyDescent="0.2">
      <c r="A505" s="492">
        <f>INDEX(Country!$F$31:$G$76, MATCH(AI505, Country!$O$31:$O$76, 0), 1)</f>
        <v>2.0299999999999994</v>
      </c>
      <c r="B505" s="2" t="str">
        <f>INDEX(Country!$F$31:$G$76, MATCH(AI505, Country!$O$31:$O$76, 0), 2)</f>
        <v>Asset finance investments</v>
      </c>
      <c r="C505" s="436" t="str">
        <f>INDEX(Country!$K$31:$K$76, MATCH(AI505, Country!$O$31:$O$76, 0), 1)</f>
        <v>USDm</v>
      </c>
      <c r="D505" s="4" t="str">
        <f t="shared" si="444"/>
        <v>Bolivia</v>
      </c>
      <c r="E505" s="5">
        <f t="shared" si="462"/>
        <v>0</v>
      </c>
      <c r="F505" s="5">
        <f t="shared" si="456"/>
        <v>0</v>
      </c>
      <c r="G505" s="5">
        <f t="shared" si="457"/>
        <v>0</v>
      </c>
      <c r="H505" s="5">
        <f t="shared" si="458"/>
        <v>0</v>
      </c>
      <c r="I505" s="5">
        <f t="shared" si="459"/>
        <v>0</v>
      </c>
      <c r="J505" s="5">
        <f t="shared" si="460"/>
        <v>0</v>
      </c>
      <c r="K505" s="6">
        <f t="shared" si="461"/>
        <v>0</v>
      </c>
      <c r="L505" s="457"/>
      <c r="M505" s="458"/>
      <c r="N505" s="458"/>
      <c r="O505" s="458"/>
      <c r="P505" s="458"/>
      <c r="Q505" s="458"/>
      <c r="R505" s="459"/>
      <c r="S505" s="421">
        <f>SUMIFS(Investment!$H$6:$H$1303, Investment!$A$6:$A$1303, S$10, Investment!$E$6:$E$1303, $D505, Investment!$G$6:$G$1303, $B505)</f>
        <v>0</v>
      </c>
      <c r="T505" s="5">
        <f>SUMIFS(Investment!$H$6:$H$1303, Investment!$A$6:$A$1303, T$10, Investment!$E$6:$E$1303, $D505, Investment!$G$6:$G$1303, $B505)</f>
        <v>0</v>
      </c>
      <c r="U505" s="5">
        <f>SUMIFS(Investment!$H$6:$H$1303, Investment!$A$6:$A$1303, U$10, Investment!$E$6:$E$1303, $D505, Investment!$G$6:$G$1303, $B505)</f>
        <v>0</v>
      </c>
      <c r="V505" s="5">
        <f>SUMIFS(Investment!$H$6:$H$1303, Investment!$A$6:$A$1303, V$10, Investment!$E$6:$E$1303, $D505, Investment!$G$6:$G$1303, $B505)</f>
        <v>0</v>
      </c>
      <c r="W505" s="5">
        <f>SUMIFS(Investment!$H$6:$H$1303, Investment!$A$6:$A$1303, W$10, Investment!$E$6:$E$1303, $D505, Investment!$G$6:$G$1303, $B505)</f>
        <v>0</v>
      </c>
      <c r="X505" s="5">
        <f>SUMIFS(Investment!$H$6:$H$1303, Investment!$A$6:$A$1303, X$10, Investment!$E$6:$E$1303, $D505, Investment!$G$6:$G$1303, $B505)</f>
        <v>0</v>
      </c>
      <c r="Y505" s="5">
        <f>SUMIFS(Investment!$H$6:$H$1303, Investment!$A$6:$A$1303, Y$10, Investment!$E$6:$E$1303, $D505, Investment!$G$6:$G$1303, $B505)</f>
        <v>0</v>
      </c>
      <c r="Z505" s="455"/>
      <c r="AA505" s="456"/>
      <c r="AB505" s="456"/>
      <c r="AC505" s="456"/>
      <c r="AD505" s="456"/>
      <c r="AE505" s="456"/>
      <c r="AF505" s="456"/>
      <c r="AG505" s="33" t="str">
        <f t="shared" si="387"/>
        <v>2.03 &gt; Bolivia</v>
      </c>
      <c r="AH505" s="84">
        <f t="shared" si="392"/>
        <v>491</v>
      </c>
      <c r="AI505" s="84">
        <f t="shared" si="393"/>
        <v>19</v>
      </c>
      <c r="AJ505" s="877" t="s">
        <v>1526</v>
      </c>
    </row>
    <row r="506" spans="1:36" x14ac:dyDescent="0.2">
      <c r="A506" s="492">
        <f>INDEX(Country!$F$31:$G$76, MATCH(AI506, Country!$O$31:$O$76, 0), 1)</f>
        <v>2.0299999999999994</v>
      </c>
      <c r="B506" s="2" t="str">
        <f>INDEX(Country!$F$31:$G$76, MATCH(AI506, Country!$O$31:$O$76, 0), 2)</f>
        <v>Asset finance investments</v>
      </c>
      <c r="C506" s="436" t="str">
        <f>INDEX(Country!$K$31:$K$76, MATCH(AI506, Country!$O$31:$O$76, 0), 1)</f>
        <v>USDm</v>
      </c>
      <c r="D506" s="4" t="str">
        <f t="shared" si="444"/>
        <v>Brazil</v>
      </c>
      <c r="E506" s="5">
        <f t="shared" si="462"/>
        <v>4668.7384029128625</v>
      </c>
      <c r="F506" s="5">
        <f t="shared" si="456"/>
        <v>14484.593920235522</v>
      </c>
      <c r="G506" s="5">
        <f t="shared" si="457"/>
        <v>28457.040015592695</v>
      </c>
      <c r="H506" s="5">
        <f t="shared" si="458"/>
        <v>38161.422361793404</v>
      </c>
      <c r="I506" s="5">
        <f t="shared" si="459"/>
        <v>49176.242178762863</v>
      </c>
      <c r="J506" s="5">
        <f t="shared" si="460"/>
        <v>60179.449937766243</v>
      </c>
      <c r="K506" s="6">
        <f>J506+Y506</f>
        <v>67604.56476744989</v>
      </c>
      <c r="L506" s="457"/>
      <c r="M506" s="458"/>
      <c r="N506" s="458"/>
      <c r="O506" s="458"/>
      <c r="P506" s="458"/>
      <c r="Q506" s="458"/>
      <c r="R506" s="459"/>
      <c r="S506" s="421">
        <f>SUMIFS(Investment!$H$6:$H$1303, Investment!$A$6:$A$1303, S$10, Investment!$E$6:$E$1303, $D506, Investment!$G$6:$G$1303, $B506)</f>
        <v>4668.7384029128625</v>
      </c>
      <c r="T506" s="5">
        <f>SUMIFS(Investment!$H$6:$H$1303, Investment!$A$6:$A$1303, T$10, Investment!$E$6:$E$1303, $D506, Investment!$G$6:$G$1303, $B506)</f>
        <v>9815.8555173226596</v>
      </c>
      <c r="U506" s="5">
        <f>SUMIFS(Investment!$H$6:$H$1303, Investment!$A$6:$A$1303, U$10, Investment!$E$6:$E$1303, $D506, Investment!$G$6:$G$1303, $B506)</f>
        <v>13972.446095357172</v>
      </c>
      <c r="V506" s="5">
        <f>SUMIFS(Investment!$H$6:$H$1303, Investment!$A$6:$A$1303, V$10, Investment!$E$6:$E$1303, $D506, Investment!$G$6:$G$1303, $B506)</f>
        <v>9704.3823462007094</v>
      </c>
      <c r="W506" s="5">
        <f>SUMIFS(Investment!$H$6:$H$1303, Investment!$A$6:$A$1303, W$10, Investment!$E$6:$E$1303, $D506, Investment!$G$6:$G$1303, $B506)</f>
        <v>11014.819816969461</v>
      </c>
      <c r="X506" s="5">
        <f>SUMIFS(Investment!$H$6:$H$1303, Investment!$A$6:$A$1303, X$10, Investment!$E$6:$E$1303, $D506, Investment!$G$6:$G$1303, $B506)</f>
        <v>11003.20775900338</v>
      </c>
      <c r="Y506" s="5">
        <f>SUMIFS(Investment!$H$6:$H$1303, Investment!$A$6:$A$1303, Y$10, Investment!$E$6:$E$1303, $D506, Investment!$G$6:$G$1303, $B506)</f>
        <v>7425.1148296836482</v>
      </c>
      <c r="Z506" s="455"/>
      <c r="AA506" s="456"/>
      <c r="AB506" s="456"/>
      <c r="AC506" s="456"/>
      <c r="AD506" s="456"/>
      <c r="AE506" s="456"/>
      <c r="AF506" s="456"/>
      <c r="AG506" s="33" t="str">
        <f t="shared" si="387"/>
        <v>2.03 &gt; Brazil</v>
      </c>
      <c r="AH506" s="84">
        <f t="shared" si="392"/>
        <v>492</v>
      </c>
      <c r="AI506" s="84">
        <f t="shared" si="393"/>
        <v>19</v>
      </c>
      <c r="AJ506" s="877" t="s">
        <v>1526</v>
      </c>
    </row>
    <row r="507" spans="1:36" x14ac:dyDescent="0.2">
      <c r="A507" s="492">
        <f>INDEX(Country!$F$31:$G$76, MATCH(AI507, Country!$O$31:$O$76, 0), 1)</f>
        <v>2.0299999999999994</v>
      </c>
      <c r="B507" s="2" t="str">
        <f>INDEX(Country!$F$31:$G$76, MATCH(AI507, Country!$O$31:$O$76, 0), 2)</f>
        <v>Asset finance investments</v>
      </c>
      <c r="C507" s="436" t="str">
        <f>INDEX(Country!$K$31:$K$76, MATCH(AI507, Country!$O$31:$O$76, 0), 1)</f>
        <v>USDm</v>
      </c>
      <c r="D507" s="4" t="str">
        <f t="shared" si="444"/>
        <v>Chile</v>
      </c>
      <c r="E507" s="5">
        <f t="shared" si="462"/>
        <v>181.01642414744015</v>
      </c>
      <c r="F507" s="5">
        <f t="shared" si="456"/>
        <v>478.70790691670476</v>
      </c>
      <c r="G507" s="5">
        <f t="shared" si="457"/>
        <v>1574.2247518467389</v>
      </c>
      <c r="H507" s="5">
        <f t="shared" si="458"/>
        <v>2295.3464329549524</v>
      </c>
      <c r="I507" s="5">
        <f t="shared" si="459"/>
        <v>3355.5274668627762</v>
      </c>
      <c r="J507" s="5">
        <f t="shared" si="460"/>
        <v>3719.3225004963483</v>
      </c>
      <c r="K507" s="6">
        <f t="shared" si="461"/>
        <v>5775.5705894879256</v>
      </c>
      <c r="L507" s="457"/>
      <c r="M507" s="458"/>
      <c r="N507" s="458"/>
      <c r="O507" s="458"/>
      <c r="P507" s="458"/>
      <c r="Q507" s="458"/>
      <c r="R507" s="459"/>
      <c r="S507" s="421">
        <f>SUMIFS(Investment!$H$6:$H$1303, Investment!$A$6:$A$1303, S$10, Investment!$E$6:$E$1303, $D507, Investment!$G$6:$G$1303, $B507)</f>
        <v>181.01642414744015</v>
      </c>
      <c r="T507" s="5">
        <f>SUMIFS(Investment!$H$6:$H$1303, Investment!$A$6:$A$1303, T$10, Investment!$E$6:$E$1303, $D507, Investment!$G$6:$G$1303, $B507)</f>
        <v>297.69148276926461</v>
      </c>
      <c r="U507" s="5">
        <f>SUMIFS(Investment!$H$6:$H$1303, Investment!$A$6:$A$1303, U$10, Investment!$E$6:$E$1303, $D507, Investment!$G$6:$G$1303, $B507)</f>
        <v>1095.516844930034</v>
      </c>
      <c r="V507" s="5">
        <f>SUMIFS(Investment!$H$6:$H$1303, Investment!$A$6:$A$1303, V$10, Investment!$E$6:$E$1303, $D507, Investment!$G$6:$G$1303, $B507)</f>
        <v>721.12168110821347</v>
      </c>
      <c r="W507" s="5">
        <f>SUMIFS(Investment!$H$6:$H$1303, Investment!$A$6:$A$1303, W$10, Investment!$E$6:$E$1303, $D507, Investment!$G$6:$G$1303, $B507)</f>
        <v>1060.1810339078238</v>
      </c>
      <c r="X507" s="5">
        <f>SUMIFS(Investment!$H$6:$H$1303, Investment!$A$6:$A$1303, X$10, Investment!$E$6:$E$1303, $D507, Investment!$G$6:$G$1303, $B507)</f>
        <v>363.79503363357202</v>
      </c>
      <c r="Y507" s="5">
        <f>SUMIFS(Investment!$H$6:$H$1303, Investment!$A$6:$A$1303, Y$10, Investment!$E$6:$E$1303, $D507, Investment!$G$6:$G$1303, $B507)</f>
        <v>2056.2480889915773</v>
      </c>
      <c r="Z507" s="455"/>
      <c r="AA507" s="456"/>
      <c r="AB507" s="456"/>
      <c r="AC507" s="456"/>
      <c r="AD507" s="456"/>
      <c r="AE507" s="456"/>
      <c r="AF507" s="456"/>
      <c r="AG507" s="33" t="str">
        <f t="shared" si="387"/>
        <v>2.03 &gt; Chile</v>
      </c>
      <c r="AH507" s="84">
        <f t="shared" si="392"/>
        <v>493</v>
      </c>
      <c r="AI507" s="84">
        <f t="shared" si="393"/>
        <v>19</v>
      </c>
      <c r="AJ507" s="877" t="s">
        <v>1526</v>
      </c>
    </row>
    <row r="508" spans="1:36" x14ac:dyDescent="0.2">
      <c r="A508" s="492">
        <f>INDEX(Country!$F$31:$G$76, MATCH(AI508, Country!$O$31:$O$76, 0), 1)</f>
        <v>2.0299999999999994</v>
      </c>
      <c r="B508" s="2" t="str">
        <f>INDEX(Country!$F$31:$G$76, MATCH(AI508, Country!$O$31:$O$76, 0), 2)</f>
        <v>Asset finance investments</v>
      </c>
      <c r="C508" s="436" t="str">
        <f>INDEX(Country!$K$31:$K$76, MATCH(AI508, Country!$O$31:$O$76, 0), 1)</f>
        <v>USDm</v>
      </c>
      <c r="D508" s="4" t="str">
        <f t="shared" si="444"/>
        <v>Colombia</v>
      </c>
      <c r="E508" s="5">
        <f t="shared" si="462"/>
        <v>203.01954227092605</v>
      </c>
      <c r="F508" s="5">
        <f>E508+T508</f>
        <v>528.0449870627358</v>
      </c>
      <c r="G508" s="5">
        <f t="shared" si="457"/>
        <v>779.4679870627358</v>
      </c>
      <c r="H508" s="5">
        <f t="shared" si="458"/>
        <v>891.99598706273582</v>
      </c>
      <c r="I508" s="5">
        <f t="shared" si="459"/>
        <v>1089.983926149393</v>
      </c>
      <c r="J508" s="5">
        <f t="shared" si="460"/>
        <v>1160.9406751783886</v>
      </c>
      <c r="K508" s="6">
        <f t="shared" si="461"/>
        <v>1160.9406751783886</v>
      </c>
      <c r="L508" s="457"/>
      <c r="M508" s="458"/>
      <c r="N508" s="458"/>
      <c r="O508" s="458"/>
      <c r="P508" s="458"/>
      <c r="Q508" s="458"/>
      <c r="R508" s="459"/>
      <c r="S508" s="421">
        <f>SUMIFS(Investment!$H$6:$H$1303, Investment!$A$6:$A$1303, S$10, Investment!$E$6:$E$1303, $D508, Investment!$G$6:$G$1303, $B508)</f>
        <v>203.01954227092605</v>
      </c>
      <c r="T508" s="5">
        <f>SUMIFS(Investment!$H$6:$H$1303, Investment!$A$6:$A$1303, T$10, Investment!$E$6:$E$1303, $D508, Investment!$G$6:$G$1303, $B508)</f>
        <v>325.02544479180972</v>
      </c>
      <c r="U508" s="5">
        <f>SUMIFS(Investment!$H$6:$H$1303, Investment!$A$6:$A$1303, U$10, Investment!$E$6:$E$1303, $D508, Investment!$G$6:$G$1303, $B508)</f>
        <v>251.423</v>
      </c>
      <c r="V508" s="5">
        <f>SUMIFS(Investment!$H$6:$H$1303, Investment!$A$6:$A$1303, V$10, Investment!$E$6:$E$1303, $D508, Investment!$G$6:$G$1303, $B508)</f>
        <v>112.52799999999999</v>
      </c>
      <c r="W508" s="5">
        <f>SUMIFS(Investment!$H$6:$H$1303, Investment!$A$6:$A$1303, W$10, Investment!$E$6:$E$1303, $D508, Investment!$G$6:$G$1303, $B508)</f>
        <v>197.98793908665712</v>
      </c>
      <c r="X508" s="5">
        <f>SUMIFS(Investment!$H$6:$H$1303, Investment!$A$6:$A$1303, X$10, Investment!$E$6:$E$1303, $D508, Investment!$G$6:$G$1303, $B508)</f>
        <v>70.956749028995532</v>
      </c>
      <c r="Y508" s="5">
        <f>SUMIFS(Investment!$H$6:$H$1303, Investment!$A$6:$A$1303, Y$10, Investment!$E$6:$E$1303, $D508, Investment!$G$6:$G$1303, $B508)</f>
        <v>0</v>
      </c>
      <c r="Z508" s="455"/>
      <c r="AA508" s="456"/>
      <c r="AB508" s="456"/>
      <c r="AC508" s="456"/>
      <c r="AD508" s="456"/>
      <c r="AE508" s="456"/>
      <c r="AF508" s="456"/>
      <c r="AG508" s="33" t="str">
        <f t="shared" si="387"/>
        <v>2.03 &gt; Colombia</v>
      </c>
      <c r="AH508" s="84">
        <f t="shared" si="392"/>
        <v>494</v>
      </c>
      <c r="AI508" s="84">
        <f t="shared" si="393"/>
        <v>19</v>
      </c>
      <c r="AJ508" s="877" t="s">
        <v>1526</v>
      </c>
    </row>
    <row r="509" spans="1:36" x14ac:dyDescent="0.2">
      <c r="A509" s="492">
        <f>INDEX(Country!$F$31:$G$76, MATCH(AI509, Country!$O$31:$O$76, 0), 1)</f>
        <v>2.0299999999999994</v>
      </c>
      <c r="B509" s="2" t="str">
        <f>INDEX(Country!$F$31:$G$76, MATCH(AI509, Country!$O$31:$O$76, 0), 2)</f>
        <v>Asset finance investments</v>
      </c>
      <c r="C509" s="436" t="str">
        <f>INDEX(Country!$K$31:$K$76, MATCH(AI509, Country!$O$31:$O$76, 0), 1)</f>
        <v>USDm</v>
      </c>
      <c r="D509" s="4" t="str">
        <f t="shared" si="444"/>
        <v>Costa Rica</v>
      </c>
      <c r="E509" s="5">
        <f t="shared" si="462"/>
        <v>192.4890613589094</v>
      </c>
      <c r="F509" s="5">
        <f t="shared" si="456"/>
        <v>192.4890613589094</v>
      </c>
      <c r="G509" s="5">
        <f t="shared" si="457"/>
        <v>343.77958534533423</v>
      </c>
      <c r="H509" s="5">
        <f t="shared" si="458"/>
        <v>561.7115916490277</v>
      </c>
      <c r="I509" s="5">
        <f t="shared" si="459"/>
        <v>636.94700850195738</v>
      </c>
      <c r="J509" s="5">
        <f t="shared" si="460"/>
        <v>1028.7327393369019</v>
      </c>
      <c r="K509" s="6">
        <f t="shared" si="461"/>
        <v>1038.6213114764776</v>
      </c>
      <c r="L509" s="457"/>
      <c r="M509" s="458"/>
      <c r="N509" s="458"/>
      <c r="O509" s="458"/>
      <c r="P509" s="458"/>
      <c r="Q509" s="458"/>
      <c r="R509" s="459"/>
      <c r="S509" s="421">
        <f>SUMIFS(Investment!$H$6:$H$1303, Investment!$A$6:$A$1303, S$10, Investment!$E$6:$E$1303, $D509, Investment!$G$6:$G$1303, $B509)</f>
        <v>192.4890613589094</v>
      </c>
      <c r="T509" s="5">
        <f>SUMIFS(Investment!$H$6:$H$1303, Investment!$A$6:$A$1303, T$10, Investment!$E$6:$E$1303, $D509, Investment!$G$6:$G$1303, $B509)</f>
        <v>0</v>
      </c>
      <c r="U509" s="5">
        <f>SUMIFS(Investment!$H$6:$H$1303, Investment!$A$6:$A$1303, U$10, Investment!$E$6:$E$1303, $D509, Investment!$G$6:$G$1303, $B509)</f>
        <v>151.29052398642483</v>
      </c>
      <c r="V509" s="5">
        <f>SUMIFS(Investment!$H$6:$H$1303, Investment!$A$6:$A$1303, V$10, Investment!$E$6:$E$1303, $D509, Investment!$G$6:$G$1303, $B509)</f>
        <v>217.93200630369344</v>
      </c>
      <c r="W509" s="5">
        <f>SUMIFS(Investment!$H$6:$H$1303, Investment!$A$6:$A$1303, W$10, Investment!$E$6:$E$1303, $D509, Investment!$G$6:$G$1303, $B509)</f>
        <v>75.235416852929717</v>
      </c>
      <c r="X509" s="5">
        <f>SUMIFS(Investment!$H$6:$H$1303, Investment!$A$6:$A$1303, X$10, Investment!$E$6:$E$1303, $D509, Investment!$G$6:$G$1303, $B509)</f>
        <v>391.78573083494462</v>
      </c>
      <c r="Y509" s="5">
        <f>SUMIFS(Investment!$H$6:$H$1303, Investment!$A$6:$A$1303, Y$10, Investment!$E$6:$E$1303, $D509, Investment!$G$6:$G$1303, $B509)</f>
        <v>9.8885721395755883</v>
      </c>
      <c r="Z509" s="455"/>
      <c r="AA509" s="456"/>
      <c r="AB509" s="456"/>
      <c r="AC509" s="456"/>
      <c r="AD509" s="456"/>
      <c r="AE509" s="456"/>
      <c r="AF509" s="456"/>
      <c r="AG509" s="33" t="str">
        <f t="shared" si="387"/>
        <v>2.03 &gt; Costa Rica</v>
      </c>
      <c r="AH509" s="84">
        <f t="shared" si="392"/>
        <v>495</v>
      </c>
      <c r="AI509" s="84">
        <f t="shared" si="393"/>
        <v>19</v>
      </c>
      <c r="AJ509" s="877" t="s">
        <v>1526</v>
      </c>
    </row>
    <row r="510" spans="1:36" x14ac:dyDescent="0.2">
      <c r="A510" s="492">
        <f>INDEX(Country!$F$31:$G$76, MATCH(AI510, Country!$O$31:$O$76, 0), 1)</f>
        <v>2.0299999999999994</v>
      </c>
      <c r="B510" s="2" t="str">
        <f>INDEX(Country!$F$31:$G$76, MATCH(AI510, Country!$O$31:$O$76, 0), 2)</f>
        <v>Asset finance investments</v>
      </c>
      <c r="C510" s="436" t="str">
        <f>INDEX(Country!$K$31:$K$76, MATCH(AI510, Country!$O$31:$O$76, 0), 1)</f>
        <v>USDm</v>
      </c>
      <c r="D510" s="4" t="str">
        <f t="shared" si="444"/>
        <v>Dominican Republic</v>
      </c>
      <c r="E510" s="5">
        <f t="shared" si="462"/>
        <v>0</v>
      </c>
      <c r="F510" s="5">
        <f t="shared" si="456"/>
        <v>37.510199999999998</v>
      </c>
      <c r="G510" s="5">
        <f t="shared" si="457"/>
        <v>37.510199999999998</v>
      </c>
      <c r="H510" s="5">
        <f t="shared" si="458"/>
        <v>245.5102</v>
      </c>
      <c r="I510" s="5">
        <f t="shared" si="459"/>
        <v>349.71437846666163</v>
      </c>
      <c r="J510" s="5">
        <f t="shared" si="460"/>
        <v>396.33688043602001</v>
      </c>
      <c r="K510" s="6">
        <f t="shared" si="461"/>
        <v>644.21042206804805</v>
      </c>
      <c r="L510" s="457"/>
      <c r="M510" s="458"/>
      <c r="N510" s="458"/>
      <c r="O510" s="458"/>
      <c r="P510" s="458"/>
      <c r="Q510" s="458"/>
      <c r="R510" s="459"/>
      <c r="S510" s="421">
        <f>SUMIFS(Investment!$H$6:$H$1303, Investment!$A$6:$A$1303, S$10, Investment!$E$6:$E$1303, $D510, Investment!$G$6:$G$1303, $B510)</f>
        <v>0</v>
      </c>
      <c r="T510" s="5">
        <f>SUMIFS(Investment!$H$6:$H$1303, Investment!$A$6:$A$1303, T$10, Investment!$E$6:$E$1303, $D510, Investment!$G$6:$G$1303, $B510)</f>
        <v>37.510199999999998</v>
      </c>
      <c r="U510" s="5">
        <f>SUMIFS(Investment!$H$6:$H$1303, Investment!$A$6:$A$1303, U$10, Investment!$E$6:$E$1303, $D510, Investment!$G$6:$G$1303, $B510)</f>
        <v>0</v>
      </c>
      <c r="V510" s="5">
        <f>SUMIFS(Investment!$H$6:$H$1303, Investment!$A$6:$A$1303, V$10, Investment!$E$6:$E$1303, $D510, Investment!$G$6:$G$1303, $B510)</f>
        <v>208</v>
      </c>
      <c r="W510" s="5">
        <f>SUMIFS(Investment!$H$6:$H$1303, Investment!$A$6:$A$1303, W$10, Investment!$E$6:$E$1303, $D510, Investment!$G$6:$G$1303, $B510)</f>
        <v>104.20417846666163</v>
      </c>
      <c r="X510" s="5">
        <f>SUMIFS(Investment!$H$6:$H$1303, Investment!$A$6:$A$1303, X$10, Investment!$E$6:$E$1303, $D510, Investment!$G$6:$G$1303, $B510)</f>
        <v>46.62250196935841</v>
      </c>
      <c r="Y510" s="5">
        <f>SUMIFS(Investment!$H$6:$H$1303, Investment!$A$6:$A$1303, Y$10, Investment!$E$6:$E$1303, $D510, Investment!$G$6:$G$1303, $B510)</f>
        <v>247.87354163202809</v>
      </c>
      <c r="Z510" s="455"/>
      <c r="AA510" s="456"/>
      <c r="AB510" s="456"/>
      <c r="AC510" s="456"/>
      <c r="AD510" s="456"/>
      <c r="AE510" s="456"/>
      <c r="AF510" s="456"/>
      <c r="AG510" s="33" t="str">
        <f t="shared" si="387"/>
        <v>2.03 &gt; Dominican Republic</v>
      </c>
      <c r="AH510" s="84">
        <f t="shared" si="392"/>
        <v>496</v>
      </c>
      <c r="AI510" s="84">
        <f t="shared" si="393"/>
        <v>19</v>
      </c>
      <c r="AJ510" s="877" t="s">
        <v>1526</v>
      </c>
    </row>
    <row r="511" spans="1:36" x14ac:dyDescent="0.2">
      <c r="A511" s="492">
        <f>INDEX(Country!$F$31:$G$76, MATCH(AI511, Country!$O$31:$O$76, 0), 1)</f>
        <v>2.0299999999999994</v>
      </c>
      <c r="B511" s="2" t="str">
        <f>INDEX(Country!$F$31:$G$76, MATCH(AI511, Country!$O$31:$O$76, 0), 2)</f>
        <v>Asset finance investments</v>
      </c>
      <c r="C511" s="436" t="str">
        <f>INDEX(Country!$K$31:$K$76, MATCH(AI511, Country!$O$31:$O$76, 0), 1)</f>
        <v>USDm</v>
      </c>
      <c r="D511" s="4" t="str">
        <f t="shared" si="444"/>
        <v>Ecuador</v>
      </c>
      <c r="E511" s="5">
        <f t="shared" si="462"/>
        <v>130.80338899034757</v>
      </c>
      <c r="F511" s="5">
        <f t="shared" si="456"/>
        <v>152.11838899034757</v>
      </c>
      <c r="G511" s="5">
        <f t="shared" si="457"/>
        <v>152.11838899034757</v>
      </c>
      <c r="H511" s="5">
        <f t="shared" si="458"/>
        <v>208.07038899034757</v>
      </c>
      <c r="I511" s="5">
        <f t="shared" si="459"/>
        <v>208.07038899034757</v>
      </c>
      <c r="J511" s="5">
        <f t="shared" si="460"/>
        <v>300.79301195461778</v>
      </c>
      <c r="K511" s="6">
        <f t="shared" si="461"/>
        <v>432.53076745851922</v>
      </c>
      <c r="L511" s="457"/>
      <c r="M511" s="458"/>
      <c r="N511" s="458"/>
      <c r="O511" s="458"/>
      <c r="P511" s="458"/>
      <c r="Q511" s="458"/>
      <c r="R511" s="459"/>
      <c r="S511" s="421">
        <f>SUMIFS(Investment!$H$6:$H$1303, Investment!$A$6:$A$1303, S$10, Investment!$E$6:$E$1303, $D511, Investment!$G$6:$G$1303, $B511)</f>
        <v>130.80338899034757</v>
      </c>
      <c r="T511" s="5">
        <f>SUMIFS(Investment!$H$6:$H$1303, Investment!$A$6:$A$1303, T$10, Investment!$E$6:$E$1303, $D511, Investment!$G$6:$G$1303, $B511)</f>
        <v>21.315000000000005</v>
      </c>
      <c r="U511" s="5">
        <f>SUMIFS(Investment!$H$6:$H$1303, Investment!$A$6:$A$1303, U$10, Investment!$E$6:$E$1303, $D511, Investment!$G$6:$G$1303, $B511)</f>
        <v>0</v>
      </c>
      <c r="V511" s="5">
        <f>SUMIFS(Investment!$H$6:$H$1303, Investment!$A$6:$A$1303, V$10, Investment!$E$6:$E$1303, $D511, Investment!$G$6:$G$1303, $B511)</f>
        <v>55.951999999999998</v>
      </c>
      <c r="W511" s="5">
        <f>SUMIFS(Investment!$H$6:$H$1303, Investment!$A$6:$A$1303, W$10, Investment!$E$6:$E$1303, $D511, Investment!$G$6:$G$1303, $B511)</f>
        <v>0</v>
      </c>
      <c r="X511" s="5">
        <f>SUMIFS(Investment!$H$6:$H$1303, Investment!$A$6:$A$1303, X$10, Investment!$E$6:$E$1303, $D511, Investment!$G$6:$G$1303, $B511)</f>
        <v>92.722622964270229</v>
      </c>
      <c r="Y511" s="5">
        <f>SUMIFS(Investment!$H$6:$H$1303, Investment!$A$6:$A$1303, Y$10, Investment!$E$6:$E$1303, $D511, Investment!$G$6:$G$1303, $B511)</f>
        <v>131.73775550390147</v>
      </c>
      <c r="Z511" s="455"/>
      <c r="AA511" s="456"/>
      <c r="AB511" s="456"/>
      <c r="AC511" s="456"/>
      <c r="AD511" s="456"/>
      <c r="AE511" s="456"/>
      <c r="AF511" s="456"/>
      <c r="AG511" s="33" t="str">
        <f t="shared" si="387"/>
        <v>2.03 &gt; Ecuador</v>
      </c>
      <c r="AH511" s="84">
        <f t="shared" si="392"/>
        <v>497</v>
      </c>
      <c r="AI511" s="84">
        <f t="shared" si="393"/>
        <v>19</v>
      </c>
      <c r="AJ511" s="877" t="s">
        <v>1526</v>
      </c>
    </row>
    <row r="512" spans="1:36" x14ac:dyDescent="0.2">
      <c r="A512" s="492">
        <f>INDEX(Country!$F$31:$G$76, MATCH(AI512, Country!$O$31:$O$76, 0), 1)</f>
        <v>2.0299999999999994</v>
      </c>
      <c r="B512" s="2" t="str">
        <f>INDEX(Country!$F$31:$G$76, MATCH(AI512, Country!$O$31:$O$76, 0), 2)</f>
        <v>Asset finance investments</v>
      </c>
      <c r="C512" s="436" t="str">
        <f>INDEX(Country!$K$31:$K$76, MATCH(AI512, Country!$O$31:$O$76, 0), 1)</f>
        <v>USDm</v>
      </c>
      <c r="D512" s="4" t="str">
        <f t="shared" si="444"/>
        <v>El Salvador</v>
      </c>
      <c r="E512" s="5">
        <f>S512</f>
        <v>20.287999488379203</v>
      </c>
      <c r="F512" s="5">
        <f t="shared" si="456"/>
        <v>20.287999488379203</v>
      </c>
      <c r="G512" s="5">
        <f t="shared" si="457"/>
        <v>20.287999488379203</v>
      </c>
      <c r="H512" s="5">
        <f t="shared" si="458"/>
        <v>20.287999488379203</v>
      </c>
      <c r="I512" s="5">
        <f t="shared" si="459"/>
        <v>20.287999488379203</v>
      </c>
      <c r="J512" s="5">
        <f t="shared" si="460"/>
        <v>20.287999488379203</v>
      </c>
      <c r="K512" s="6">
        <f t="shared" si="461"/>
        <v>20.287999488379203</v>
      </c>
      <c r="L512" s="457"/>
      <c r="M512" s="458"/>
      <c r="N512" s="458"/>
      <c r="O512" s="458"/>
      <c r="P512" s="458"/>
      <c r="Q512" s="458"/>
      <c r="R512" s="459"/>
      <c r="S512" s="421">
        <f>SUMIFS(Investment!$H$6:$H$1303, Investment!$A$6:$A$1303, S$10, Investment!$E$6:$E$1303, $D512, Investment!$G$6:$G$1303, $B512)</f>
        <v>20.287999488379203</v>
      </c>
      <c r="T512" s="5">
        <f>SUMIFS(Investment!$H$6:$H$1303, Investment!$A$6:$A$1303, T$10, Investment!$E$6:$E$1303, $D512, Investment!$G$6:$G$1303, $B512)</f>
        <v>0</v>
      </c>
      <c r="U512" s="5">
        <f>SUMIFS(Investment!$H$6:$H$1303, Investment!$A$6:$A$1303, U$10, Investment!$E$6:$E$1303, $D512, Investment!$G$6:$G$1303, $B512)</f>
        <v>0</v>
      </c>
      <c r="V512" s="5">
        <f>SUMIFS(Investment!$H$6:$H$1303, Investment!$A$6:$A$1303, V$10, Investment!$E$6:$E$1303, $D512, Investment!$G$6:$G$1303, $B512)</f>
        <v>0</v>
      </c>
      <c r="W512" s="5">
        <f>SUMIFS(Investment!$H$6:$H$1303, Investment!$A$6:$A$1303, W$10, Investment!$E$6:$E$1303, $D512, Investment!$G$6:$G$1303, $B512)</f>
        <v>0</v>
      </c>
      <c r="X512" s="5">
        <f>SUMIFS(Investment!$H$6:$H$1303, Investment!$A$6:$A$1303, X$10, Investment!$E$6:$E$1303, $D512, Investment!$G$6:$G$1303, $B512)</f>
        <v>0</v>
      </c>
      <c r="Y512" s="5">
        <f>SUMIFS(Investment!$H$6:$H$1303, Investment!$A$6:$A$1303, Y$10, Investment!$E$6:$E$1303, $D512, Investment!$G$6:$G$1303, $B512)</f>
        <v>0</v>
      </c>
      <c r="Z512" s="455"/>
      <c r="AA512" s="456"/>
      <c r="AB512" s="456"/>
      <c r="AC512" s="456"/>
      <c r="AD512" s="456"/>
      <c r="AE512" s="456"/>
      <c r="AF512" s="456"/>
      <c r="AG512" s="33" t="str">
        <f t="shared" si="387"/>
        <v>2.03 &gt; El Salvador</v>
      </c>
      <c r="AH512" s="84">
        <f t="shared" si="392"/>
        <v>498</v>
      </c>
      <c r="AI512" s="84">
        <f t="shared" si="393"/>
        <v>19</v>
      </c>
      <c r="AJ512" s="877" t="s">
        <v>1526</v>
      </c>
    </row>
    <row r="513" spans="1:36" x14ac:dyDescent="0.2">
      <c r="A513" s="492">
        <f>INDEX(Country!$F$31:$G$76, MATCH(AI513, Country!$O$31:$O$76, 0), 1)</f>
        <v>2.0299999999999994</v>
      </c>
      <c r="B513" s="2" t="str">
        <f>INDEX(Country!$F$31:$G$76, MATCH(AI513, Country!$O$31:$O$76, 0), 2)</f>
        <v>Asset finance investments</v>
      </c>
      <c r="C513" s="436" t="str">
        <f>INDEX(Country!$K$31:$K$76, MATCH(AI513, Country!$O$31:$O$76, 0), 1)</f>
        <v>USDm</v>
      </c>
      <c r="D513" s="4" t="str">
        <f t="shared" si="444"/>
        <v>Guatemala</v>
      </c>
      <c r="E513" s="5">
        <f t="shared" si="462"/>
        <v>154.01527349687987</v>
      </c>
      <c r="F513" s="5">
        <f t="shared" si="456"/>
        <v>180.94777349687988</v>
      </c>
      <c r="G513" s="5">
        <f t="shared" si="457"/>
        <v>180.94777349687988</v>
      </c>
      <c r="H513" s="5">
        <f t="shared" si="458"/>
        <v>268.13462405802312</v>
      </c>
      <c r="I513" s="5">
        <f t="shared" si="459"/>
        <v>301.1849022332575</v>
      </c>
      <c r="J513" s="5">
        <f t="shared" si="460"/>
        <v>409.9177553603181</v>
      </c>
      <c r="K513" s="6">
        <f t="shared" si="461"/>
        <v>409.9177553603181</v>
      </c>
      <c r="L513" s="457"/>
      <c r="M513" s="458"/>
      <c r="N513" s="458"/>
      <c r="O513" s="458"/>
      <c r="P513" s="458"/>
      <c r="Q513" s="458"/>
      <c r="R513" s="459"/>
      <c r="S513" s="421">
        <f>SUMIFS(Investment!$H$6:$H$1303, Investment!$A$6:$A$1303, S$10, Investment!$E$6:$E$1303, $D513, Investment!$G$6:$G$1303, $B513)</f>
        <v>154.01527349687987</v>
      </c>
      <c r="T513" s="5">
        <f>SUMIFS(Investment!$H$6:$H$1303, Investment!$A$6:$A$1303, T$10, Investment!$E$6:$E$1303, $D513, Investment!$G$6:$G$1303, $B513)</f>
        <v>26.932500000000001</v>
      </c>
      <c r="U513" s="5">
        <f>SUMIFS(Investment!$H$6:$H$1303, Investment!$A$6:$A$1303, U$10, Investment!$E$6:$E$1303, $D513, Investment!$G$6:$G$1303, $B513)</f>
        <v>0</v>
      </c>
      <c r="V513" s="5">
        <f>SUMIFS(Investment!$H$6:$H$1303, Investment!$A$6:$A$1303, V$10, Investment!$E$6:$E$1303, $D513, Investment!$G$6:$G$1303, $B513)</f>
        <v>87.186850561143245</v>
      </c>
      <c r="W513" s="5">
        <f>SUMIFS(Investment!$H$6:$H$1303, Investment!$A$6:$A$1303, W$10, Investment!$E$6:$E$1303, $D513, Investment!$G$6:$G$1303, $B513)</f>
        <v>33.050278175234368</v>
      </c>
      <c r="X513" s="5">
        <f>SUMIFS(Investment!$H$6:$H$1303, Investment!$A$6:$A$1303, X$10, Investment!$E$6:$E$1303, $D513, Investment!$G$6:$G$1303, $B513)</f>
        <v>108.73285312706061</v>
      </c>
      <c r="Y513" s="5">
        <f>SUMIFS(Investment!$H$6:$H$1303, Investment!$A$6:$A$1303, Y$10, Investment!$E$6:$E$1303, $D513, Investment!$G$6:$G$1303, $B513)</f>
        <v>0</v>
      </c>
      <c r="Z513" s="455"/>
      <c r="AA513" s="456"/>
      <c r="AB513" s="456"/>
      <c r="AC513" s="456"/>
      <c r="AD513" s="456"/>
      <c r="AE513" s="456"/>
      <c r="AF513" s="456"/>
      <c r="AG513" s="33" t="str">
        <f t="shared" si="387"/>
        <v>2.03 &gt; Guatemala</v>
      </c>
      <c r="AH513" s="84">
        <f t="shared" si="392"/>
        <v>499</v>
      </c>
      <c r="AI513" s="84">
        <f t="shared" si="393"/>
        <v>19</v>
      </c>
      <c r="AJ513" s="877" t="s">
        <v>1526</v>
      </c>
    </row>
    <row r="514" spans="1:36" x14ac:dyDescent="0.2">
      <c r="A514" s="492">
        <f>INDEX(Country!$F$31:$G$76, MATCH(AI514, Country!$O$31:$O$76, 0), 1)</f>
        <v>2.0299999999999994</v>
      </c>
      <c r="B514" s="2" t="str">
        <f>INDEX(Country!$F$31:$G$76, MATCH(AI514, Country!$O$31:$O$76, 0), 2)</f>
        <v>Asset finance investments</v>
      </c>
      <c r="C514" s="436" t="str">
        <f>INDEX(Country!$K$31:$K$76, MATCH(AI514, Country!$O$31:$O$76, 0), 1)</f>
        <v>USDm</v>
      </c>
      <c r="D514" s="4" t="str">
        <f t="shared" si="444"/>
        <v>Guyana</v>
      </c>
      <c r="E514" s="5">
        <f t="shared" si="462"/>
        <v>0</v>
      </c>
      <c r="F514" s="5">
        <f t="shared" si="456"/>
        <v>0</v>
      </c>
      <c r="G514" s="5">
        <f t="shared" si="457"/>
        <v>32.96</v>
      </c>
      <c r="H514" s="5">
        <f t="shared" si="458"/>
        <v>32.96</v>
      </c>
      <c r="I514" s="5">
        <f t="shared" si="459"/>
        <v>32.96</v>
      </c>
      <c r="J514" s="5">
        <f t="shared" si="460"/>
        <v>32.96</v>
      </c>
      <c r="K514" s="6">
        <f t="shared" si="461"/>
        <v>32.96</v>
      </c>
      <c r="L514" s="457"/>
      <c r="M514" s="458"/>
      <c r="N514" s="458"/>
      <c r="O514" s="458"/>
      <c r="P514" s="458"/>
      <c r="Q514" s="458"/>
      <c r="R514" s="459"/>
      <c r="S514" s="421">
        <f>SUMIFS(Investment!$H$6:$H$1303, Investment!$A$6:$A$1303, S$10, Investment!$E$6:$E$1303, $D514, Investment!$G$6:$G$1303, $B514)</f>
        <v>0</v>
      </c>
      <c r="T514" s="5">
        <f>SUMIFS(Investment!$H$6:$H$1303, Investment!$A$6:$A$1303, T$10, Investment!$E$6:$E$1303, $D514, Investment!$G$6:$G$1303, $B514)</f>
        <v>0</v>
      </c>
      <c r="U514" s="5">
        <f>SUMIFS(Investment!$H$6:$H$1303, Investment!$A$6:$A$1303, U$10, Investment!$E$6:$E$1303, $D514, Investment!$G$6:$G$1303, $B514)</f>
        <v>32.96</v>
      </c>
      <c r="V514" s="5">
        <f>SUMIFS(Investment!$H$6:$H$1303, Investment!$A$6:$A$1303, V$10, Investment!$E$6:$E$1303, $D514, Investment!$G$6:$G$1303, $B514)</f>
        <v>0</v>
      </c>
      <c r="W514" s="5">
        <f>SUMIFS(Investment!$H$6:$H$1303, Investment!$A$6:$A$1303, W$10, Investment!$E$6:$E$1303, $D514, Investment!$G$6:$G$1303, $B514)</f>
        <v>0</v>
      </c>
      <c r="X514" s="5">
        <f>SUMIFS(Investment!$H$6:$H$1303, Investment!$A$6:$A$1303, X$10, Investment!$E$6:$E$1303, $D514, Investment!$G$6:$G$1303, $B514)</f>
        <v>0</v>
      </c>
      <c r="Y514" s="5">
        <f>SUMIFS(Investment!$H$6:$H$1303, Investment!$A$6:$A$1303, Y$10, Investment!$E$6:$E$1303, $D514, Investment!$G$6:$G$1303, $B514)</f>
        <v>0</v>
      </c>
      <c r="Z514" s="455"/>
      <c r="AA514" s="456"/>
      <c r="AB514" s="456"/>
      <c r="AC514" s="456"/>
      <c r="AD514" s="456"/>
      <c r="AE514" s="456"/>
      <c r="AF514" s="456"/>
      <c r="AG514" s="33" t="str">
        <f t="shared" si="387"/>
        <v>2.03 &gt; Guyana</v>
      </c>
      <c r="AH514" s="84">
        <f t="shared" si="392"/>
        <v>500</v>
      </c>
      <c r="AI514" s="84">
        <f t="shared" si="393"/>
        <v>19</v>
      </c>
      <c r="AJ514" s="877" t="s">
        <v>1526</v>
      </c>
    </row>
    <row r="515" spans="1:36" x14ac:dyDescent="0.2">
      <c r="A515" s="492">
        <f>INDEX(Country!$F$31:$G$76, MATCH(AI515, Country!$O$31:$O$76, 0), 1)</f>
        <v>2.0299999999999994</v>
      </c>
      <c r="B515" s="2" t="str">
        <f>INDEX(Country!$F$31:$G$76, MATCH(AI515, Country!$O$31:$O$76, 0), 2)</f>
        <v>Asset finance investments</v>
      </c>
      <c r="C515" s="436" t="str">
        <f>INDEX(Country!$K$31:$K$76, MATCH(AI515, Country!$O$31:$O$76, 0), 1)</f>
        <v>USDm</v>
      </c>
      <c r="D515" s="4" t="str">
        <f t="shared" si="444"/>
        <v>Haiti</v>
      </c>
      <c r="E515" s="5">
        <f t="shared" si="462"/>
        <v>0</v>
      </c>
      <c r="F515" s="5">
        <f t="shared" si="456"/>
        <v>0</v>
      </c>
      <c r="G515" s="5">
        <f t="shared" si="457"/>
        <v>0</v>
      </c>
      <c r="H515" s="5">
        <f t="shared" si="458"/>
        <v>0</v>
      </c>
      <c r="I515" s="5">
        <f t="shared" si="459"/>
        <v>0</v>
      </c>
      <c r="J515" s="5">
        <f t="shared" si="460"/>
        <v>0</v>
      </c>
      <c r="K515" s="6">
        <f t="shared" si="461"/>
        <v>0</v>
      </c>
      <c r="L515" s="457"/>
      <c r="M515" s="458"/>
      <c r="N515" s="458"/>
      <c r="O515" s="458"/>
      <c r="P515" s="458"/>
      <c r="Q515" s="458"/>
      <c r="R515" s="459"/>
      <c r="S515" s="421">
        <f>SUMIFS(Investment!$H$6:$H$1303, Investment!$A$6:$A$1303, S$10, Investment!$E$6:$E$1303, $D515, Investment!$G$6:$G$1303, $B515)</f>
        <v>0</v>
      </c>
      <c r="T515" s="5">
        <f>SUMIFS(Investment!$H$6:$H$1303, Investment!$A$6:$A$1303, T$10, Investment!$E$6:$E$1303, $D515, Investment!$G$6:$G$1303, $B515)</f>
        <v>0</v>
      </c>
      <c r="U515" s="5">
        <f>SUMIFS(Investment!$H$6:$H$1303, Investment!$A$6:$A$1303, U$10, Investment!$E$6:$E$1303, $D515, Investment!$G$6:$G$1303, $B515)</f>
        <v>0</v>
      </c>
      <c r="V515" s="5">
        <f>SUMIFS(Investment!$H$6:$H$1303, Investment!$A$6:$A$1303, V$10, Investment!$E$6:$E$1303, $D515, Investment!$G$6:$G$1303, $B515)</f>
        <v>0</v>
      </c>
      <c r="W515" s="5">
        <f>SUMIFS(Investment!$H$6:$H$1303, Investment!$A$6:$A$1303, W$10, Investment!$E$6:$E$1303, $D515, Investment!$G$6:$G$1303, $B515)</f>
        <v>0</v>
      </c>
      <c r="X515" s="5">
        <f>SUMIFS(Investment!$H$6:$H$1303, Investment!$A$6:$A$1303, X$10, Investment!$E$6:$E$1303, $D515, Investment!$G$6:$G$1303, $B515)</f>
        <v>0</v>
      </c>
      <c r="Y515" s="5">
        <f>SUMIFS(Investment!$H$6:$H$1303, Investment!$A$6:$A$1303, Y$10, Investment!$E$6:$E$1303, $D515, Investment!$G$6:$G$1303, $B515)</f>
        <v>0</v>
      </c>
      <c r="Z515" s="455"/>
      <c r="AA515" s="456"/>
      <c r="AB515" s="456"/>
      <c r="AC515" s="456"/>
      <c r="AD515" s="456"/>
      <c r="AE515" s="456"/>
      <c r="AF515" s="456"/>
      <c r="AG515" s="33" t="str">
        <f t="shared" si="387"/>
        <v>2.03 &gt; Haiti</v>
      </c>
      <c r="AH515" s="84">
        <f t="shared" si="392"/>
        <v>501</v>
      </c>
      <c r="AI515" s="84">
        <f t="shared" si="393"/>
        <v>19</v>
      </c>
      <c r="AJ515" s="877" t="s">
        <v>1526</v>
      </c>
    </row>
    <row r="516" spans="1:36" x14ac:dyDescent="0.2">
      <c r="A516" s="492">
        <f>INDEX(Country!$F$31:$G$76, MATCH(AI516, Country!$O$31:$O$76, 0), 1)</f>
        <v>2.0299999999999994</v>
      </c>
      <c r="B516" s="2" t="str">
        <f>INDEX(Country!$F$31:$G$76, MATCH(AI516, Country!$O$31:$O$76, 0), 2)</f>
        <v>Asset finance investments</v>
      </c>
      <c r="C516" s="436" t="str">
        <f>INDEX(Country!$K$31:$K$76, MATCH(AI516, Country!$O$31:$O$76, 0), 1)</f>
        <v>USDm</v>
      </c>
      <c r="D516" s="4" t="str">
        <f t="shared" si="444"/>
        <v>Honduras</v>
      </c>
      <c r="E516" s="5">
        <f t="shared" si="462"/>
        <v>42.608992248874586</v>
      </c>
      <c r="F516" s="5">
        <f t="shared" si="456"/>
        <v>84.440992248874579</v>
      </c>
      <c r="G516" s="5">
        <f t="shared" si="457"/>
        <v>107.92499224887459</v>
      </c>
      <c r="H516" s="5">
        <f t="shared" si="458"/>
        <v>107.92499224887459</v>
      </c>
      <c r="I516" s="5">
        <f t="shared" si="459"/>
        <v>411.01778092388099</v>
      </c>
      <c r="J516" s="5">
        <f t="shared" si="460"/>
        <v>551.16760005503625</v>
      </c>
      <c r="K516" s="6">
        <f t="shared" si="461"/>
        <v>584.59964390811024</v>
      </c>
      <c r="L516" s="457"/>
      <c r="M516" s="458"/>
      <c r="N516" s="458"/>
      <c r="O516" s="458"/>
      <c r="P516" s="458"/>
      <c r="Q516" s="458"/>
      <c r="R516" s="459"/>
      <c r="S516" s="421">
        <f>SUMIFS(Investment!$H$6:$H$1303, Investment!$A$6:$A$1303, S$10, Investment!$E$6:$E$1303, $D516, Investment!$G$6:$G$1303, $B516)</f>
        <v>42.608992248874586</v>
      </c>
      <c r="T516" s="5">
        <f>SUMIFS(Investment!$H$6:$H$1303, Investment!$A$6:$A$1303, T$10, Investment!$E$6:$E$1303, $D516, Investment!$G$6:$G$1303, $B516)</f>
        <v>41.832000000000001</v>
      </c>
      <c r="U516" s="5">
        <f>SUMIFS(Investment!$H$6:$H$1303, Investment!$A$6:$A$1303, U$10, Investment!$E$6:$E$1303, $D516, Investment!$G$6:$G$1303, $B516)</f>
        <v>23.484000000000002</v>
      </c>
      <c r="V516" s="5">
        <f>SUMIFS(Investment!$H$6:$H$1303, Investment!$A$6:$A$1303, V$10, Investment!$E$6:$E$1303, $D516, Investment!$G$6:$G$1303, $B516)</f>
        <v>0</v>
      </c>
      <c r="W516" s="5">
        <f>SUMIFS(Investment!$H$6:$H$1303, Investment!$A$6:$A$1303, W$10, Investment!$E$6:$E$1303, $D516, Investment!$G$6:$G$1303, $B516)</f>
        <v>303.09278867500643</v>
      </c>
      <c r="X516" s="5">
        <f>SUMIFS(Investment!$H$6:$H$1303, Investment!$A$6:$A$1303, X$10, Investment!$E$6:$E$1303, $D516, Investment!$G$6:$G$1303, $B516)</f>
        <v>140.14981913115528</v>
      </c>
      <c r="Y516" s="5">
        <f>SUMIFS(Investment!$H$6:$H$1303, Investment!$A$6:$A$1303, Y$10, Investment!$E$6:$E$1303, $D516, Investment!$G$6:$G$1303, $B516)</f>
        <v>33.432043853073978</v>
      </c>
      <c r="Z516" s="455"/>
      <c r="AA516" s="456"/>
      <c r="AB516" s="456"/>
      <c r="AC516" s="456"/>
      <c r="AD516" s="456"/>
      <c r="AE516" s="456"/>
      <c r="AF516" s="456"/>
      <c r="AG516" s="33" t="str">
        <f t="shared" si="387"/>
        <v>2.03 &gt; Honduras</v>
      </c>
      <c r="AH516" s="84">
        <f t="shared" si="392"/>
        <v>502</v>
      </c>
      <c r="AI516" s="84">
        <f t="shared" si="393"/>
        <v>19</v>
      </c>
      <c r="AJ516" s="877" t="s">
        <v>1526</v>
      </c>
    </row>
    <row r="517" spans="1:36" x14ac:dyDescent="0.2">
      <c r="A517" s="492">
        <f>INDEX(Country!$F$31:$G$76, MATCH(AI517, Country!$O$31:$O$76, 0), 1)</f>
        <v>2.0299999999999994</v>
      </c>
      <c r="B517" s="2" t="str">
        <f>INDEX(Country!$F$31:$G$76, MATCH(AI517, Country!$O$31:$O$76, 0), 2)</f>
        <v>Asset finance investments</v>
      </c>
      <c r="C517" s="436" t="str">
        <f>INDEX(Country!$K$31:$K$76, MATCH(AI517, Country!$O$31:$O$76, 0), 1)</f>
        <v>USDm</v>
      </c>
      <c r="D517" s="4" t="str">
        <f t="shared" si="444"/>
        <v>Jamaica</v>
      </c>
      <c r="E517" s="5">
        <f t="shared" si="462"/>
        <v>20.070218328899301</v>
      </c>
      <c r="F517" s="5">
        <f t="shared" si="456"/>
        <v>20.070218328899301</v>
      </c>
      <c r="G517" s="5">
        <f t="shared" si="457"/>
        <v>20.070218328899301</v>
      </c>
      <c r="H517" s="5">
        <f t="shared" si="458"/>
        <v>20.070218328899301</v>
      </c>
      <c r="I517" s="5">
        <f t="shared" si="459"/>
        <v>107.08070734856176</v>
      </c>
      <c r="J517" s="5">
        <f t="shared" si="460"/>
        <v>107.08070734856176</v>
      </c>
      <c r="K517" s="6">
        <f t="shared" si="461"/>
        <v>107.08070734856176</v>
      </c>
      <c r="L517" s="457"/>
      <c r="M517" s="458"/>
      <c r="N517" s="458"/>
      <c r="O517" s="458"/>
      <c r="P517" s="458"/>
      <c r="Q517" s="458"/>
      <c r="R517" s="459"/>
      <c r="S517" s="421">
        <f>SUMIFS(Investment!$H$6:$H$1303, Investment!$A$6:$A$1303, S$10, Investment!$E$6:$E$1303, $D517, Investment!$G$6:$G$1303, $B517)</f>
        <v>20.070218328899301</v>
      </c>
      <c r="T517" s="5">
        <f>SUMIFS(Investment!$H$6:$H$1303, Investment!$A$6:$A$1303, T$10, Investment!$E$6:$E$1303, $D517, Investment!$G$6:$G$1303, $B517)</f>
        <v>0</v>
      </c>
      <c r="U517" s="5">
        <f>SUMIFS(Investment!$H$6:$H$1303, Investment!$A$6:$A$1303, U$10, Investment!$E$6:$E$1303, $D517, Investment!$G$6:$G$1303, $B517)</f>
        <v>0</v>
      </c>
      <c r="V517" s="5">
        <f>SUMIFS(Investment!$H$6:$H$1303, Investment!$A$6:$A$1303, V$10, Investment!$E$6:$E$1303, $D517, Investment!$G$6:$G$1303, $B517)</f>
        <v>0</v>
      </c>
      <c r="W517" s="5">
        <f>SUMIFS(Investment!$H$6:$H$1303, Investment!$A$6:$A$1303, W$10, Investment!$E$6:$E$1303, $D517, Investment!$G$6:$G$1303, $B517)</f>
        <v>87.010489019662458</v>
      </c>
      <c r="X517" s="5">
        <f>SUMIFS(Investment!$H$6:$H$1303, Investment!$A$6:$A$1303, X$10, Investment!$E$6:$E$1303, $D517, Investment!$G$6:$G$1303, $B517)</f>
        <v>0</v>
      </c>
      <c r="Y517" s="5">
        <f>SUMIFS(Investment!$H$6:$H$1303, Investment!$A$6:$A$1303, Y$10, Investment!$E$6:$E$1303, $D517, Investment!$G$6:$G$1303, $B517)</f>
        <v>0</v>
      </c>
      <c r="Z517" s="455"/>
      <c r="AA517" s="456"/>
      <c r="AB517" s="456"/>
      <c r="AC517" s="456"/>
      <c r="AD517" s="456"/>
      <c r="AE517" s="456"/>
      <c r="AF517" s="456"/>
      <c r="AG517" s="33" t="str">
        <f t="shared" si="387"/>
        <v>2.03 &gt; Jamaica</v>
      </c>
      <c r="AH517" s="84">
        <f t="shared" si="392"/>
        <v>503</v>
      </c>
      <c r="AI517" s="84">
        <f t="shared" si="393"/>
        <v>19</v>
      </c>
      <c r="AJ517" s="877" t="s">
        <v>1526</v>
      </c>
    </row>
    <row r="518" spans="1:36" x14ac:dyDescent="0.2">
      <c r="A518" s="492">
        <f>INDEX(Country!$F$31:$G$76, MATCH(AI518, Country!$O$31:$O$76, 0), 1)</f>
        <v>2.0299999999999994</v>
      </c>
      <c r="B518" s="2" t="str">
        <f>INDEX(Country!$F$31:$G$76, MATCH(AI518, Country!$O$31:$O$76, 0), 2)</f>
        <v>Asset finance investments</v>
      </c>
      <c r="C518" s="436" t="str">
        <f>INDEX(Country!$K$31:$K$76, MATCH(AI518, Country!$O$31:$O$76, 0), 1)</f>
        <v>USDm</v>
      </c>
      <c r="D518" s="4" t="str">
        <f t="shared" si="444"/>
        <v>Mexico</v>
      </c>
      <c r="E518" s="5">
        <f t="shared" si="462"/>
        <v>189.31866687809182</v>
      </c>
      <c r="F518" s="5">
        <f t="shared" si="456"/>
        <v>714.35991263772735</v>
      </c>
      <c r="G518" s="5">
        <f t="shared" si="457"/>
        <v>1310.2695026377273</v>
      </c>
      <c r="H518" s="5">
        <f t="shared" si="458"/>
        <v>1811.4639039835449</v>
      </c>
      <c r="I518" s="5">
        <f t="shared" si="459"/>
        <v>4495.3748557350709</v>
      </c>
      <c r="J518" s="5">
        <f t="shared" si="460"/>
        <v>5006.425575481122</v>
      </c>
      <c r="K518" s="6">
        <f t="shared" si="461"/>
        <v>7928.2501560234859</v>
      </c>
      <c r="L518" s="457"/>
      <c r="M518" s="458"/>
      <c r="N518" s="458"/>
      <c r="O518" s="458"/>
      <c r="P518" s="458"/>
      <c r="Q518" s="458"/>
      <c r="R518" s="459"/>
      <c r="S518" s="421">
        <f>SUMIFS(Investment!$H$6:$H$1303, Investment!$A$6:$A$1303, S$10, Investment!$E$6:$E$1303, $D518, Investment!$G$6:$G$1303, $B518)</f>
        <v>189.31866687809182</v>
      </c>
      <c r="T518" s="5">
        <f>SUMIFS(Investment!$H$6:$H$1303, Investment!$A$6:$A$1303, T$10, Investment!$E$6:$E$1303, $D518, Investment!$G$6:$G$1303, $B518)</f>
        <v>525.04124575963556</v>
      </c>
      <c r="U518" s="5">
        <f>SUMIFS(Investment!$H$6:$H$1303, Investment!$A$6:$A$1303, U$10, Investment!$E$6:$E$1303, $D518, Investment!$G$6:$G$1303, $B518)</f>
        <v>595.90958999999998</v>
      </c>
      <c r="V518" s="5">
        <f>SUMIFS(Investment!$H$6:$H$1303, Investment!$A$6:$A$1303, V$10, Investment!$E$6:$E$1303, $D518, Investment!$G$6:$G$1303, $B518)</f>
        <v>501.19440134581765</v>
      </c>
      <c r="W518" s="5">
        <f>SUMIFS(Investment!$H$6:$H$1303, Investment!$A$6:$A$1303, W$10, Investment!$E$6:$E$1303, $D518, Investment!$G$6:$G$1303, $B518)</f>
        <v>2683.9109517515262</v>
      </c>
      <c r="X518" s="5">
        <f>SUMIFS(Investment!$H$6:$H$1303, Investment!$A$6:$A$1303, X$10, Investment!$E$6:$E$1303, $D518, Investment!$G$6:$G$1303, $B518)</f>
        <v>511.05071974605141</v>
      </c>
      <c r="Y518" s="5">
        <f>SUMIFS(Investment!$H$6:$H$1303, Investment!$A$6:$A$1303, Y$10, Investment!$E$6:$E$1303, $D518, Investment!$G$6:$G$1303, $B518)</f>
        <v>2921.8245805423639</v>
      </c>
      <c r="Z518" s="455"/>
      <c r="AA518" s="456"/>
      <c r="AB518" s="456"/>
      <c r="AC518" s="456"/>
      <c r="AD518" s="456"/>
      <c r="AE518" s="456"/>
      <c r="AF518" s="456"/>
      <c r="AG518" s="33" t="str">
        <f t="shared" si="387"/>
        <v>2.03 &gt; Mexico</v>
      </c>
      <c r="AH518" s="84">
        <f t="shared" si="392"/>
        <v>504</v>
      </c>
      <c r="AI518" s="84">
        <f t="shared" si="393"/>
        <v>19</v>
      </c>
      <c r="AJ518" s="877" t="s">
        <v>1526</v>
      </c>
    </row>
    <row r="519" spans="1:36" x14ac:dyDescent="0.2">
      <c r="A519" s="492">
        <f>INDEX(Country!$F$31:$G$76, MATCH(AI519, Country!$O$31:$O$76, 0), 1)</f>
        <v>2.0299999999999994</v>
      </c>
      <c r="B519" s="2" t="str">
        <f>INDEX(Country!$F$31:$G$76, MATCH(AI519, Country!$O$31:$O$76, 0), 2)</f>
        <v>Asset finance investments</v>
      </c>
      <c r="C519" s="436" t="str">
        <f>INDEX(Country!$K$31:$K$76, MATCH(AI519, Country!$O$31:$O$76, 0), 1)</f>
        <v>USDm</v>
      </c>
      <c r="D519" s="4" t="str">
        <f t="shared" si="444"/>
        <v>Nicaragua</v>
      </c>
      <c r="E519" s="5">
        <f t="shared" si="462"/>
        <v>129.1145794809554</v>
      </c>
      <c r="F519" s="5">
        <f t="shared" si="456"/>
        <v>223.6145794809554</v>
      </c>
      <c r="G519" s="5">
        <f t="shared" si="457"/>
        <v>304.77857948095539</v>
      </c>
      <c r="H519" s="5">
        <f t="shared" si="458"/>
        <v>499.2585794809554</v>
      </c>
      <c r="I519" s="5">
        <f t="shared" si="459"/>
        <v>929.67967317088392</v>
      </c>
      <c r="J519" s="5">
        <f t="shared" si="460"/>
        <v>1204.6296668476375</v>
      </c>
      <c r="K519" s="6">
        <f t="shared" si="461"/>
        <v>1496.7625592341885</v>
      </c>
      <c r="L519" s="457"/>
      <c r="M519" s="458"/>
      <c r="N519" s="458"/>
      <c r="O519" s="458"/>
      <c r="P519" s="458"/>
      <c r="Q519" s="458"/>
      <c r="R519" s="459"/>
      <c r="S519" s="421">
        <f>SUMIFS(Investment!$H$6:$H$1303, Investment!$A$6:$A$1303, S$10, Investment!$E$6:$E$1303, $D519, Investment!$G$6:$G$1303, $B519)</f>
        <v>129.1145794809554</v>
      </c>
      <c r="T519" s="5">
        <f>SUMIFS(Investment!$H$6:$H$1303, Investment!$A$6:$A$1303, T$10, Investment!$E$6:$E$1303, $D519, Investment!$G$6:$G$1303, $B519)</f>
        <v>94.5</v>
      </c>
      <c r="U519" s="5">
        <f>SUMIFS(Investment!$H$6:$H$1303, Investment!$A$6:$A$1303, U$10, Investment!$E$6:$E$1303, $D519, Investment!$G$6:$G$1303, $B519)</f>
        <v>81.164000000000001</v>
      </c>
      <c r="V519" s="5">
        <f>SUMIFS(Investment!$H$6:$H$1303, Investment!$A$6:$A$1303, V$10, Investment!$E$6:$E$1303, $D519, Investment!$G$6:$G$1303, $B519)</f>
        <v>194.48000000000002</v>
      </c>
      <c r="W519" s="5">
        <f>SUMIFS(Investment!$H$6:$H$1303, Investment!$A$6:$A$1303, W$10, Investment!$E$6:$E$1303, $D519, Investment!$G$6:$G$1303, $B519)</f>
        <v>430.42109368992851</v>
      </c>
      <c r="X519" s="5">
        <f>SUMIFS(Investment!$H$6:$H$1303, Investment!$A$6:$A$1303, X$10, Investment!$E$6:$E$1303, $D519, Investment!$G$6:$G$1303, $B519)</f>
        <v>274.94999367675371</v>
      </c>
      <c r="Y519" s="5">
        <f>SUMIFS(Investment!$H$6:$H$1303, Investment!$A$6:$A$1303, Y$10, Investment!$E$6:$E$1303, $D519, Investment!$G$6:$G$1303, $B519)</f>
        <v>292.13289238655096</v>
      </c>
      <c r="Z519" s="455"/>
      <c r="AA519" s="456"/>
      <c r="AB519" s="456"/>
      <c r="AC519" s="456"/>
      <c r="AD519" s="456"/>
      <c r="AE519" s="456"/>
      <c r="AF519" s="456"/>
      <c r="AG519" s="33" t="str">
        <f t="shared" si="387"/>
        <v>2.03 &gt; Nicaragua</v>
      </c>
      <c r="AH519" s="84">
        <f t="shared" si="392"/>
        <v>505</v>
      </c>
      <c r="AI519" s="84">
        <f t="shared" si="393"/>
        <v>19</v>
      </c>
      <c r="AJ519" s="877" t="s">
        <v>1526</v>
      </c>
    </row>
    <row r="520" spans="1:36" x14ac:dyDescent="0.2">
      <c r="A520" s="492">
        <f>INDEX(Country!$F$31:$G$76, MATCH(AI520, Country!$O$31:$O$76, 0), 1)</f>
        <v>2.0299999999999994</v>
      </c>
      <c r="B520" s="2" t="str">
        <f>INDEX(Country!$F$31:$G$76, MATCH(AI520, Country!$O$31:$O$76, 0), 2)</f>
        <v>Asset finance investments</v>
      </c>
      <c r="C520" s="436" t="str">
        <f>INDEX(Country!$K$31:$K$76, MATCH(AI520, Country!$O$31:$O$76, 0), 1)</f>
        <v>USDm</v>
      </c>
      <c r="D520" s="4" t="str">
        <f t="shared" si="444"/>
        <v>Panama</v>
      </c>
      <c r="E520" s="5">
        <f t="shared" si="462"/>
        <v>7.5167108794779436</v>
      </c>
      <c r="F520" s="5">
        <f t="shared" si="456"/>
        <v>74.61171087947794</v>
      </c>
      <c r="G520" s="5">
        <f t="shared" si="457"/>
        <v>276.74921087947791</v>
      </c>
      <c r="H520" s="5">
        <f t="shared" si="458"/>
        <v>727.48521087947779</v>
      </c>
      <c r="I520" s="5">
        <f t="shared" si="459"/>
        <v>1041.8692173133959</v>
      </c>
      <c r="J520" s="5">
        <f t="shared" si="460"/>
        <v>1172.4100462402059</v>
      </c>
      <c r="K520" s="6">
        <f t="shared" si="461"/>
        <v>1309.7513259565335</v>
      </c>
      <c r="L520" s="457"/>
      <c r="M520" s="458"/>
      <c r="N520" s="458"/>
      <c r="O520" s="458"/>
      <c r="P520" s="458"/>
      <c r="Q520" s="458"/>
      <c r="R520" s="459"/>
      <c r="S520" s="421">
        <f>SUMIFS(Investment!$H$6:$H$1303, Investment!$A$6:$A$1303, S$10, Investment!$E$6:$E$1303, $D520, Investment!$G$6:$G$1303, $B520)</f>
        <v>7.5167108794779436</v>
      </c>
      <c r="T520" s="5">
        <f>SUMIFS(Investment!$H$6:$H$1303, Investment!$A$6:$A$1303, T$10, Investment!$E$6:$E$1303, $D520, Investment!$G$6:$G$1303, $B520)</f>
        <v>67.094999999999999</v>
      </c>
      <c r="U520" s="5">
        <f>SUMIFS(Investment!$H$6:$H$1303, Investment!$A$6:$A$1303, U$10, Investment!$E$6:$E$1303, $D520, Investment!$G$6:$G$1303, $B520)</f>
        <v>202.13749999999999</v>
      </c>
      <c r="V520" s="5">
        <f>SUMIFS(Investment!$H$6:$H$1303, Investment!$A$6:$A$1303, V$10, Investment!$E$6:$E$1303, $D520, Investment!$G$6:$G$1303, $B520)</f>
        <v>450.73599999999993</v>
      </c>
      <c r="W520" s="5">
        <f>SUMIFS(Investment!$H$6:$H$1303, Investment!$A$6:$A$1303, W$10, Investment!$E$6:$E$1303, $D520, Investment!$G$6:$G$1303, $B520)</f>
        <v>314.38400643391822</v>
      </c>
      <c r="X520" s="5">
        <f>SUMIFS(Investment!$H$6:$H$1303, Investment!$A$6:$A$1303, X$10, Investment!$E$6:$E$1303, $D520, Investment!$G$6:$G$1303, $B520)</f>
        <v>130.54082892681001</v>
      </c>
      <c r="Y520" s="5">
        <f>SUMIFS(Investment!$H$6:$H$1303, Investment!$A$6:$A$1303, Y$10, Investment!$E$6:$E$1303, $D520, Investment!$G$6:$G$1303, $B520)</f>
        <v>137.34127971632759</v>
      </c>
      <c r="Z520" s="455"/>
      <c r="AA520" s="456"/>
      <c r="AB520" s="456"/>
      <c r="AC520" s="456"/>
      <c r="AD520" s="456"/>
      <c r="AE520" s="456"/>
      <c r="AF520" s="456"/>
      <c r="AG520" s="33" t="str">
        <f t="shared" si="387"/>
        <v>2.03 &gt; Panama</v>
      </c>
      <c r="AH520" s="84">
        <f t="shared" si="392"/>
        <v>506</v>
      </c>
      <c r="AI520" s="84">
        <f t="shared" si="393"/>
        <v>19</v>
      </c>
      <c r="AJ520" s="877" t="s">
        <v>1526</v>
      </c>
    </row>
    <row r="521" spans="1:36" x14ac:dyDescent="0.2">
      <c r="A521" s="492">
        <f>INDEX(Country!$F$31:$G$76, MATCH(AI521, Country!$O$31:$O$76, 0), 1)</f>
        <v>2.0299999999999994</v>
      </c>
      <c r="B521" s="2" t="str">
        <f>INDEX(Country!$F$31:$G$76, MATCH(AI521, Country!$O$31:$O$76, 0), 2)</f>
        <v>Asset finance investments</v>
      </c>
      <c r="C521" s="436" t="str">
        <f>INDEX(Country!$K$31:$K$76, MATCH(AI521, Country!$O$31:$O$76, 0), 1)</f>
        <v>USDm</v>
      </c>
      <c r="D521" s="4" t="str">
        <f t="shared" si="444"/>
        <v>Paraguay</v>
      </c>
      <c r="E521" s="5">
        <f t="shared" si="462"/>
        <v>8.0281051822200062</v>
      </c>
      <c r="F521" s="5">
        <f t="shared" si="456"/>
        <v>140.04863733958456</v>
      </c>
      <c r="G521" s="5">
        <f t="shared" si="457"/>
        <v>140.04863733958456</v>
      </c>
      <c r="H521" s="5">
        <f t="shared" si="458"/>
        <v>140.04863733958456</v>
      </c>
      <c r="I521" s="5">
        <f t="shared" si="459"/>
        <v>140.04863733958456</v>
      </c>
      <c r="J521" s="5">
        <f t="shared" si="460"/>
        <v>160.50855883874277</v>
      </c>
      <c r="K521" s="6">
        <f t="shared" si="461"/>
        <v>160.50855883874277</v>
      </c>
      <c r="L521" s="457"/>
      <c r="M521" s="458"/>
      <c r="N521" s="458"/>
      <c r="O521" s="458"/>
      <c r="P521" s="458"/>
      <c r="Q521" s="458"/>
      <c r="R521" s="459"/>
      <c r="S521" s="421">
        <f>SUMIFS(Investment!$H$6:$H$1303, Investment!$A$6:$A$1303, S$10, Investment!$E$6:$E$1303, $D521, Investment!$G$6:$G$1303, $B521)</f>
        <v>8.0281051822200062</v>
      </c>
      <c r="T521" s="5">
        <f>SUMIFS(Investment!$H$6:$H$1303, Investment!$A$6:$A$1303, T$10, Investment!$E$6:$E$1303, $D521, Investment!$G$6:$G$1303, $B521)</f>
        <v>132.02053215736456</v>
      </c>
      <c r="U521" s="5">
        <f>SUMIFS(Investment!$H$6:$H$1303, Investment!$A$6:$A$1303, U$10, Investment!$E$6:$E$1303, $D521, Investment!$G$6:$G$1303, $B521)</f>
        <v>0</v>
      </c>
      <c r="V521" s="5">
        <f>SUMIFS(Investment!$H$6:$H$1303, Investment!$A$6:$A$1303, V$10, Investment!$E$6:$E$1303, $D521, Investment!$G$6:$G$1303, $B521)</f>
        <v>0</v>
      </c>
      <c r="W521" s="5">
        <f>SUMIFS(Investment!$H$6:$H$1303, Investment!$A$6:$A$1303, W$10, Investment!$E$6:$E$1303, $D521, Investment!$G$6:$G$1303, $B521)</f>
        <v>0</v>
      </c>
      <c r="X521" s="5">
        <f>SUMIFS(Investment!$H$6:$H$1303, Investment!$A$6:$A$1303, X$10, Investment!$E$6:$E$1303, $D521, Investment!$G$6:$G$1303, $B521)</f>
        <v>20.459921499158217</v>
      </c>
      <c r="Y521" s="5">
        <f>SUMIFS(Investment!$H$6:$H$1303, Investment!$A$6:$A$1303, Y$10, Investment!$E$6:$E$1303, $D521, Investment!$G$6:$G$1303, $B521)</f>
        <v>0</v>
      </c>
      <c r="Z521" s="455"/>
      <c r="AA521" s="456"/>
      <c r="AB521" s="456"/>
      <c r="AC521" s="456"/>
      <c r="AD521" s="456"/>
      <c r="AE521" s="456"/>
      <c r="AF521" s="456"/>
      <c r="AG521" s="33" t="str">
        <f t="shared" si="387"/>
        <v>2.03 &gt; Paraguay</v>
      </c>
      <c r="AH521" s="84">
        <f t="shared" si="392"/>
        <v>507</v>
      </c>
      <c r="AI521" s="84">
        <f t="shared" si="393"/>
        <v>19</v>
      </c>
      <c r="AJ521" s="877" t="s">
        <v>1526</v>
      </c>
    </row>
    <row r="522" spans="1:36" x14ac:dyDescent="0.2">
      <c r="A522" s="492">
        <f>INDEX(Country!$F$31:$G$76, MATCH(AI522, Country!$O$31:$O$76, 0), 1)</f>
        <v>2.0299999999999994</v>
      </c>
      <c r="B522" s="2" t="str">
        <f>INDEX(Country!$F$31:$G$76, MATCH(AI522, Country!$O$31:$O$76, 0), 2)</f>
        <v>Asset finance investments</v>
      </c>
      <c r="C522" s="436" t="str">
        <f>INDEX(Country!$K$31:$K$76, MATCH(AI522, Country!$O$31:$O$76, 0), 1)</f>
        <v>USDm</v>
      </c>
      <c r="D522" s="4" t="str">
        <f t="shared" si="444"/>
        <v>Peru</v>
      </c>
      <c r="E522" s="5">
        <f t="shared" si="462"/>
        <v>8.7516267444852236</v>
      </c>
      <c r="F522" s="5">
        <f t="shared" si="456"/>
        <v>143.85770318660184</v>
      </c>
      <c r="G522" s="5">
        <f t="shared" si="457"/>
        <v>178.87770318660182</v>
      </c>
      <c r="H522" s="5">
        <f t="shared" si="458"/>
        <v>399.57610318660181</v>
      </c>
      <c r="I522" s="5">
        <f t="shared" si="459"/>
        <v>901.76625842919964</v>
      </c>
      <c r="J522" s="5">
        <f t="shared" si="460"/>
        <v>1134.5174547686661</v>
      </c>
      <c r="K522" s="6">
        <f t="shared" si="461"/>
        <v>2363.5813761294016</v>
      </c>
      <c r="L522" s="457"/>
      <c r="M522" s="458"/>
      <c r="N522" s="458"/>
      <c r="O522" s="458"/>
      <c r="P522" s="458"/>
      <c r="Q522" s="458"/>
      <c r="R522" s="459"/>
      <c r="S522" s="421">
        <f>SUMIFS(Investment!$H$6:$H$1303, Investment!$A$6:$A$1303, S$10, Investment!$E$6:$E$1303, $D522, Investment!$G$6:$G$1303, $B522)</f>
        <v>8.7516267444852236</v>
      </c>
      <c r="T522" s="5">
        <f>SUMIFS(Investment!$H$6:$H$1303, Investment!$A$6:$A$1303, T$10, Investment!$E$6:$E$1303, $D522, Investment!$G$6:$G$1303, $B522)</f>
        <v>135.1060764421166</v>
      </c>
      <c r="U522" s="5">
        <f>SUMIFS(Investment!$H$6:$H$1303, Investment!$A$6:$A$1303, U$10, Investment!$E$6:$E$1303, $D522, Investment!$G$6:$G$1303, $B522)</f>
        <v>35.019999999999996</v>
      </c>
      <c r="V522" s="5">
        <f>SUMIFS(Investment!$H$6:$H$1303, Investment!$A$6:$A$1303, V$10, Investment!$E$6:$E$1303, $D522, Investment!$G$6:$G$1303, $B522)</f>
        <v>220.69840000000002</v>
      </c>
      <c r="W522" s="5">
        <f>SUMIFS(Investment!$H$6:$H$1303, Investment!$A$6:$A$1303, W$10, Investment!$E$6:$E$1303, $D522, Investment!$G$6:$G$1303, $B522)</f>
        <v>502.19015524259783</v>
      </c>
      <c r="X522" s="5">
        <f>SUMIFS(Investment!$H$6:$H$1303, Investment!$A$6:$A$1303, X$10, Investment!$E$6:$E$1303, $D522, Investment!$G$6:$G$1303, $B522)</f>
        <v>232.7511963394665</v>
      </c>
      <c r="Y522" s="5">
        <f>SUMIFS(Investment!$H$6:$H$1303, Investment!$A$6:$A$1303, Y$10, Investment!$E$6:$E$1303, $D522, Investment!$G$6:$G$1303, $B522)</f>
        <v>1229.0639213607355</v>
      </c>
      <c r="Z522" s="455"/>
      <c r="AA522" s="456"/>
      <c r="AB522" s="456"/>
      <c r="AC522" s="456"/>
      <c r="AD522" s="456"/>
      <c r="AE522" s="456"/>
      <c r="AF522" s="456"/>
      <c r="AG522" s="33" t="str">
        <f t="shared" si="387"/>
        <v>2.03 &gt; Peru</v>
      </c>
      <c r="AH522" s="84">
        <f t="shared" si="392"/>
        <v>508</v>
      </c>
      <c r="AI522" s="84">
        <f t="shared" si="393"/>
        <v>19</v>
      </c>
      <c r="AJ522" s="877" t="s">
        <v>1526</v>
      </c>
    </row>
    <row r="523" spans="1:36" x14ac:dyDescent="0.2">
      <c r="A523" s="492">
        <f>INDEX(Country!$F$31:$G$76, MATCH(AI523, Country!$O$31:$O$76, 0), 1)</f>
        <v>2.0299999999999994</v>
      </c>
      <c r="B523" s="2" t="str">
        <f>INDEX(Country!$F$31:$G$76, MATCH(AI523, Country!$O$31:$O$76, 0), 2)</f>
        <v>Asset finance investments</v>
      </c>
      <c r="C523" s="436" t="str">
        <f>INDEX(Country!$K$31:$K$76, MATCH(AI523, Country!$O$31:$O$76, 0), 1)</f>
        <v>USDm</v>
      </c>
      <c r="D523" s="4" t="str">
        <f t="shared" si="444"/>
        <v>Suriname</v>
      </c>
      <c r="E523" s="5">
        <f t="shared" si="462"/>
        <v>0</v>
      </c>
      <c r="F523" s="5">
        <f t="shared" si="456"/>
        <v>0</v>
      </c>
      <c r="G523" s="5">
        <f t="shared" si="457"/>
        <v>0</v>
      </c>
      <c r="H523" s="5">
        <f t="shared" si="458"/>
        <v>0</v>
      </c>
      <c r="I523" s="5">
        <f t="shared" si="459"/>
        <v>0</v>
      </c>
      <c r="J523" s="5">
        <f t="shared" si="460"/>
        <v>0</v>
      </c>
      <c r="K523" s="6">
        <f t="shared" si="461"/>
        <v>0</v>
      </c>
      <c r="L523" s="457"/>
      <c r="M523" s="458"/>
      <c r="N523" s="458"/>
      <c r="O523" s="458"/>
      <c r="P523" s="458"/>
      <c r="Q523" s="458"/>
      <c r="R523" s="459"/>
      <c r="S523" s="421">
        <f>SUMIFS(Investment!$H$6:$H$1303, Investment!$A$6:$A$1303, S$10, Investment!$E$6:$E$1303, $D523, Investment!$G$6:$G$1303, $B523)</f>
        <v>0</v>
      </c>
      <c r="T523" s="5">
        <f>SUMIFS(Investment!$H$6:$H$1303, Investment!$A$6:$A$1303, T$10, Investment!$E$6:$E$1303, $D523, Investment!$G$6:$G$1303, $B523)</f>
        <v>0</v>
      </c>
      <c r="U523" s="5">
        <f>SUMIFS(Investment!$H$6:$H$1303, Investment!$A$6:$A$1303, U$10, Investment!$E$6:$E$1303, $D523, Investment!$G$6:$G$1303, $B523)</f>
        <v>0</v>
      </c>
      <c r="V523" s="5">
        <f>SUMIFS(Investment!$H$6:$H$1303, Investment!$A$6:$A$1303, V$10, Investment!$E$6:$E$1303, $D523, Investment!$G$6:$G$1303, $B523)</f>
        <v>0</v>
      </c>
      <c r="W523" s="5">
        <f>SUMIFS(Investment!$H$6:$H$1303, Investment!$A$6:$A$1303, W$10, Investment!$E$6:$E$1303, $D523, Investment!$G$6:$G$1303, $B523)</f>
        <v>0</v>
      </c>
      <c r="X523" s="5">
        <f>SUMIFS(Investment!$H$6:$H$1303, Investment!$A$6:$A$1303, X$10, Investment!$E$6:$E$1303, $D523, Investment!$G$6:$G$1303, $B523)</f>
        <v>0</v>
      </c>
      <c r="Y523" s="5">
        <f>SUMIFS(Investment!$H$6:$H$1303, Investment!$A$6:$A$1303, Y$10, Investment!$E$6:$E$1303, $D523, Investment!$G$6:$G$1303, $B523)</f>
        <v>0</v>
      </c>
      <c r="Z523" s="455"/>
      <c r="AA523" s="456"/>
      <c r="AB523" s="456"/>
      <c r="AC523" s="456"/>
      <c r="AD523" s="456"/>
      <c r="AE523" s="456"/>
      <c r="AF523" s="456"/>
      <c r="AG523" s="33" t="str">
        <f t="shared" si="387"/>
        <v>2.03 &gt; Suriname</v>
      </c>
      <c r="AH523" s="84">
        <f t="shared" si="392"/>
        <v>509</v>
      </c>
      <c r="AI523" s="84">
        <f t="shared" si="393"/>
        <v>19</v>
      </c>
      <c r="AJ523" s="877" t="s">
        <v>1526</v>
      </c>
    </row>
    <row r="524" spans="1:36" x14ac:dyDescent="0.2">
      <c r="A524" s="492">
        <f>INDEX(Country!$F$31:$G$76, MATCH(AI524, Country!$O$31:$O$76, 0), 1)</f>
        <v>2.0299999999999994</v>
      </c>
      <c r="B524" s="2" t="str">
        <f>INDEX(Country!$F$31:$G$76, MATCH(AI524, Country!$O$31:$O$76, 0), 2)</f>
        <v>Asset finance investments</v>
      </c>
      <c r="C524" s="436" t="str">
        <f>INDEX(Country!$K$31:$K$76, MATCH(AI524, Country!$O$31:$O$76, 0), 1)</f>
        <v>USDm</v>
      </c>
      <c r="D524" s="4" t="str">
        <f t="shared" si="444"/>
        <v>Trinidad &amp; Tobago</v>
      </c>
      <c r="E524" s="5">
        <f t="shared" si="462"/>
        <v>0</v>
      </c>
      <c r="F524" s="5">
        <f t="shared" si="456"/>
        <v>0</v>
      </c>
      <c r="G524" s="5">
        <f t="shared" si="457"/>
        <v>222.51089999999996</v>
      </c>
      <c r="H524" s="5">
        <f t="shared" si="458"/>
        <v>222.51089999999996</v>
      </c>
      <c r="I524" s="5">
        <f t="shared" si="459"/>
        <v>222.51089999999996</v>
      </c>
      <c r="J524" s="5">
        <f t="shared" si="460"/>
        <v>222.51089999999996</v>
      </c>
      <c r="K524" s="6">
        <f t="shared" si="461"/>
        <v>222.51089999999996</v>
      </c>
      <c r="L524" s="457"/>
      <c r="M524" s="458"/>
      <c r="N524" s="458"/>
      <c r="O524" s="458"/>
      <c r="P524" s="458"/>
      <c r="Q524" s="458"/>
      <c r="R524" s="459"/>
      <c r="S524" s="421">
        <f>SUMIFS(Investment!$H$6:$H$1303, Investment!$A$6:$A$1303, S$10, Investment!$E$6:$E$1303, $D524, Investment!$G$6:$G$1303, $B524)</f>
        <v>0</v>
      </c>
      <c r="T524" s="5">
        <f>SUMIFS(Investment!$H$6:$H$1303, Investment!$A$6:$A$1303, T$10, Investment!$E$6:$E$1303, $D524, Investment!$G$6:$G$1303, $B524)</f>
        <v>0</v>
      </c>
      <c r="U524" s="5">
        <f>SUMIFS(Investment!$H$6:$H$1303, Investment!$A$6:$A$1303, U$10, Investment!$E$6:$E$1303, $D524, Investment!$G$6:$G$1303, $B524)</f>
        <v>222.51089999999996</v>
      </c>
      <c r="V524" s="5">
        <f>SUMIFS(Investment!$H$6:$H$1303, Investment!$A$6:$A$1303, V$10, Investment!$E$6:$E$1303, $D524, Investment!$G$6:$G$1303, $B524)</f>
        <v>0</v>
      </c>
      <c r="W524" s="5">
        <f>SUMIFS(Investment!$H$6:$H$1303, Investment!$A$6:$A$1303, W$10, Investment!$E$6:$E$1303, $D524, Investment!$G$6:$G$1303, $B524)</f>
        <v>0</v>
      </c>
      <c r="X524" s="5">
        <f>SUMIFS(Investment!$H$6:$H$1303, Investment!$A$6:$A$1303, X$10, Investment!$E$6:$E$1303, $D524, Investment!$G$6:$G$1303, $B524)</f>
        <v>0</v>
      </c>
      <c r="Y524" s="5">
        <f>SUMIFS(Investment!$H$6:$H$1303, Investment!$A$6:$A$1303, Y$10, Investment!$E$6:$E$1303, $D524, Investment!$G$6:$G$1303, $B524)</f>
        <v>0</v>
      </c>
      <c r="Z524" s="455"/>
      <c r="AA524" s="456"/>
      <c r="AB524" s="456"/>
      <c r="AC524" s="456"/>
      <c r="AD524" s="456"/>
      <c r="AE524" s="456"/>
      <c r="AF524" s="456"/>
      <c r="AG524" s="33" t="str">
        <f t="shared" si="387"/>
        <v>2.03 &gt; Trinidad &amp; Tobago</v>
      </c>
      <c r="AH524" s="84">
        <f t="shared" si="392"/>
        <v>510</v>
      </c>
      <c r="AI524" s="84">
        <f t="shared" si="393"/>
        <v>19</v>
      </c>
      <c r="AJ524" s="877" t="s">
        <v>1526</v>
      </c>
    </row>
    <row r="525" spans="1:36" x14ac:dyDescent="0.2">
      <c r="A525" s="492">
        <f>INDEX(Country!$F$31:$G$76, MATCH(AI525, Country!$O$31:$O$76, 0), 1)</f>
        <v>2.0299999999999994</v>
      </c>
      <c r="B525" s="2" t="str">
        <f>INDEX(Country!$F$31:$G$76, MATCH(AI525, Country!$O$31:$O$76, 0), 2)</f>
        <v>Asset finance investments</v>
      </c>
      <c r="C525" s="436" t="str">
        <f>INDEX(Country!$K$31:$K$76, MATCH(AI525, Country!$O$31:$O$76, 0), 1)</f>
        <v>USDm</v>
      </c>
      <c r="D525" s="4" t="str">
        <f t="shared" si="444"/>
        <v>Uruguay</v>
      </c>
      <c r="E525" s="5">
        <f t="shared" si="462"/>
        <v>24.104515615077624</v>
      </c>
      <c r="F525" s="5">
        <f t="shared" si="456"/>
        <v>29.461079447765872</v>
      </c>
      <c r="G525" s="5">
        <f t="shared" si="457"/>
        <v>120.51307944776586</v>
      </c>
      <c r="H525" s="5">
        <f t="shared" si="458"/>
        <v>196.64107944776586</v>
      </c>
      <c r="I525" s="5">
        <f t="shared" si="459"/>
        <v>247.59692271796339</v>
      </c>
      <c r="J525" s="5">
        <f t="shared" si="460"/>
        <v>275.24891264688546</v>
      </c>
      <c r="K525" s="6">
        <f t="shared" si="461"/>
        <v>393.65306262681776</v>
      </c>
      <c r="L525" s="457"/>
      <c r="M525" s="458"/>
      <c r="N525" s="458"/>
      <c r="O525" s="458"/>
      <c r="P525" s="458"/>
      <c r="Q525" s="458"/>
      <c r="R525" s="459"/>
      <c r="S525" s="421">
        <f>SUMIFS(Investment!$H$6:$H$1303, Investment!$A$6:$A$1303, S$10, Investment!$E$6:$E$1303, $D525, Investment!$G$6:$G$1303, $B525)</f>
        <v>24.104515615077624</v>
      </c>
      <c r="T525" s="5">
        <f>SUMIFS(Investment!$H$6:$H$1303, Investment!$A$6:$A$1303, T$10, Investment!$E$6:$E$1303, $D525, Investment!$G$6:$G$1303, $B525)</f>
        <v>5.3565638326882485</v>
      </c>
      <c r="U525" s="5">
        <f>SUMIFS(Investment!$H$6:$H$1303, Investment!$A$6:$A$1303, U$10, Investment!$E$6:$E$1303, $D525, Investment!$G$6:$G$1303, $B525)</f>
        <v>91.051999999999992</v>
      </c>
      <c r="V525" s="5">
        <f>SUMIFS(Investment!$H$6:$H$1303, Investment!$A$6:$A$1303, V$10, Investment!$E$6:$E$1303, $D525, Investment!$G$6:$G$1303, $B525)</f>
        <v>76.128</v>
      </c>
      <c r="W525" s="5">
        <f>SUMIFS(Investment!$H$6:$H$1303, Investment!$A$6:$A$1303, W$10, Investment!$E$6:$E$1303, $D525, Investment!$G$6:$G$1303, $B525)</f>
        <v>50.955843270197541</v>
      </c>
      <c r="X525" s="5">
        <f>SUMIFS(Investment!$H$6:$H$1303, Investment!$A$6:$A$1303, X$10, Investment!$E$6:$E$1303, $D525, Investment!$G$6:$G$1303, $B525)</f>
        <v>27.651989928922067</v>
      </c>
      <c r="Y525" s="5">
        <f>SUMIFS(Investment!$H$6:$H$1303, Investment!$A$6:$A$1303, Y$10, Investment!$E$6:$E$1303, $D525, Investment!$G$6:$G$1303, $B525)</f>
        <v>118.40414997993231</v>
      </c>
      <c r="Z525" s="455"/>
      <c r="AA525" s="456"/>
      <c r="AB525" s="456"/>
      <c r="AC525" s="456"/>
      <c r="AD525" s="456"/>
      <c r="AE525" s="456"/>
      <c r="AF525" s="456"/>
      <c r="AG525" s="33" t="str">
        <f t="shared" si="387"/>
        <v>2.03 &gt; Uruguay</v>
      </c>
      <c r="AH525" s="84">
        <f t="shared" si="392"/>
        <v>511</v>
      </c>
      <c r="AI525" s="84">
        <f t="shared" si="393"/>
        <v>19</v>
      </c>
      <c r="AJ525" s="877" t="s">
        <v>1526</v>
      </c>
    </row>
    <row r="526" spans="1:36" x14ac:dyDescent="0.2">
      <c r="A526" s="491">
        <f>INDEX(Country!$F$31:$G$76, MATCH(AI526, Country!$O$31:$O$76, 0), 1)</f>
        <v>2.0299999999999994</v>
      </c>
      <c r="B526" s="386" t="str">
        <f>INDEX(Country!$F$31:$G$76, MATCH(AI526, Country!$O$31:$O$76, 0), 2)</f>
        <v>Asset finance investments</v>
      </c>
      <c r="C526" s="437" t="str">
        <f>INDEX(Country!$K$31:$K$76, MATCH(AI526, Country!$O$31:$O$76, 0), 1)</f>
        <v>USDm</v>
      </c>
      <c r="D526" s="86" t="str">
        <f t="shared" si="444"/>
        <v>Venezuela</v>
      </c>
      <c r="E526" s="364">
        <f t="shared" si="462"/>
        <v>0</v>
      </c>
      <c r="F526" s="364">
        <f t="shared" si="456"/>
        <v>0</v>
      </c>
      <c r="G526" s="364">
        <f t="shared" si="457"/>
        <v>165.32736</v>
      </c>
      <c r="H526" s="364">
        <f t="shared" si="458"/>
        <v>206.92735999999999</v>
      </c>
      <c r="I526" s="364">
        <f t="shared" si="459"/>
        <v>206.92735999999999</v>
      </c>
      <c r="J526" s="364">
        <f t="shared" si="460"/>
        <v>277.66645028964274</v>
      </c>
      <c r="K526" s="390">
        <f t="shared" si="461"/>
        <v>354.57756693078619</v>
      </c>
      <c r="L526" s="460"/>
      <c r="M526" s="461"/>
      <c r="N526" s="461"/>
      <c r="O526" s="461"/>
      <c r="P526" s="461"/>
      <c r="Q526" s="461"/>
      <c r="R526" s="462"/>
      <c r="S526" s="422">
        <f>SUMIFS(Investment!$H$6:$H$1303, Investment!$A$6:$A$1303, S$10, Investment!$E$6:$E$1303, $D526, Investment!$G$6:$G$1303, $B526)</f>
        <v>0</v>
      </c>
      <c r="T526" s="364">
        <f>SUMIFS(Investment!$H$6:$H$1303, Investment!$A$6:$A$1303, T$10, Investment!$E$6:$E$1303, $D526, Investment!$G$6:$G$1303, $B526)</f>
        <v>0</v>
      </c>
      <c r="U526" s="364">
        <f>SUMIFS(Investment!$H$6:$H$1303, Investment!$A$6:$A$1303, U$10, Investment!$E$6:$E$1303, $D526, Investment!$G$6:$G$1303, $B526)</f>
        <v>165.32736</v>
      </c>
      <c r="V526" s="364">
        <f>SUMIFS(Investment!$H$6:$H$1303, Investment!$A$6:$A$1303, V$10, Investment!$E$6:$E$1303, $D526, Investment!$G$6:$G$1303, $B526)</f>
        <v>41.6</v>
      </c>
      <c r="W526" s="364">
        <f>SUMIFS(Investment!$H$6:$H$1303, Investment!$A$6:$A$1303, W$10, Investment!$E$6:$E$1303, $D526, Investment!$G$6:$G$1303, $B526)</f>
        <v>0</v>
      </c>
      <c r="X526" s="364">
        <f>SUMIFS(Investment!$H$6:$H$1303, Investment!$A$6:$A$1303, X$10, Investment!$E$6:$E$1303, $D526, Investment!$G$6:$G$1303, $B526)</f>
        <v>70.739090289642775</v>
      </c>
      <c r="Y526" s="364">
        <f>SUMIFS(Investment!$H$6:$H$1303, Investment!$A$6:$A$1303, Y$10, Investment!$E$6:$E$1303, $D526, Investment!$G$6:$G$1303, $B526)</f>
        <v>76.911116641143465</v>
      </c>
      <c r="Z526" s="455"/>
      <c r="AA526" s="456"/>
      <c r="AB526" s="456"/>
      <c r="AC526" s="456"/>
      <c r="AD526" s="456"/>
      <c r="AE526" s="456"/>
      <c r="AF526" s="456"/>
      <c r="AG526" s="90" t="str">
        <f t="shared" si="387"/>
        <v>2.03 &gt; Venezuela</v>
      </c>
      <c r="AH526" s="392">
        <f t="shared" si="392"/>
        <v>512</v>
      </c>
      <c r="AI526" s="392">
        <f t="shared" si="393"/>
        <v>19</v>
      </c>
      <c r="AJ526" s="878" t="s">
        <v>1526</v>
      </c>
    </row>
    <row r="527" spans="1:36" x14ac:dyDescent="0.2">
      <c r="A527" s="490">
        <f>INDEX(Country!$F$31:$G$76, MATCH(AI527, Country!$O$31:$O$76, 0), 1)</f>
        <v>2.0299999999999994</v>
      </c>
      <c r="B527" s="387" t="str">
        <f>INDEX(Country!$F$31:$G$76, MATCH(AI527, Country!$O$31:$O$76, 0), 2)</f>
        <v>Asset finance investments</v>
      </c>
      <c r="C527" s="438" t="str">
        <f>INDEX(Country!$K$31:$K$76, MATCH(AI527, Country!$O$31:$O$76, 0), 1)</f>
        <v>USDm</v>
      </c>
      <c r="D527" s="32" t="str">
        <f t="shared" si="444"/>
        <v>Benchmark</v>
      </c>
      <c r="E527" s="365">
        <f>IFERROR(MAX(E501:E526), 0)</f>
        <v>4668.7384029128625</v>
      </c>
      <c r="F527" s="365">
        <f t="shared" ref="F527:K527" si="463">IFERROR(MAX(F501:F526), 0)</f>
        <v>14484.593920235522</v>
      </c>
      <c r="G527" s="365">
        <f t="shared" si="463"/>
        <v>28457.040015592695</v>
      </c>
      <c r="H527" s="365">
        <f t="shared" si="463"/>
        <v>38161.422361793404</v>
      </c>
      <c r="I527" s="365">
        <f t="shared" si="463"/>
        <v>49176.242178762863</v>
      </c>
      <c r="J527" s="365">
        <f t="shared" si="463"/>
        <v>60179.449937766243</v>
      </c>
      <c r="K527" s="593">
        <f t="shared" si="463"/>
        <v>67604.56476744989</v>
      </c>
      <c r="L527" s="585">
        <v>0</v>
      </c>
      <c r="M527" s="463">
        <v>0</v>
      </c>
      <c r="N527" s="463">
        <v>0</v>
      </c>
      <c r="O527" s="463">
        <v>0</v>
      </c>
      <c r="P527" s="463">
        <v>0</v>
      </c>
      <c r="Q527" s="463">
        <v>0</v>
      </c>
      <c r="R527" s="586">
        <v>0</v>
      </c>
      <c r="S527" s="393" t="s">
        <v>1551</v>
      </c>
      <c r="T527" s="394"/>
      <c r="U527" s="376"/>
      <c r="V527" s="376"/>
      <c r="W527" s="376"/>
      <c r="X527" s="376"/>
      <c r="Y527" s="376"/>
      <c r="Z527" s="393"/>
      <c r="AA527" s="394"/>
      <c r="AB527" s="376"/>
      <c r="AC527" s="376"/>
      <c r="AD527" s="376"/>
      <c r="AE527" s="376"/>
      <c r="AF527" s="401"/>
      <c r="AG527" s="34" t="str">
        <f t="shared" ref="AG527:AG590" si="464">A527&amp;" &gt; " &amp;D527</f>
        <v>2.03 &gt; Benchmark</v>
      </c>
      <c r="AH527" s="85">
        <f t="shared" si="392"/>
        <v>513</v>
      </c>
      <c r="AI527" s="85">
        <f t="shared" si="393"/>
        <v>19</v>
      </c>
      <c r="AJ527" s="871" t="s">
        <v>1526</v>
      </c>
    </row>
    <row r="528" spans="1:36" x14ac:dyDescent="0.2">
      <c r="A528" s="587">
        <f>INDEX(Country!$F$31:$G$76, MATCH(AI528, Country!$O$31:$O$76, 0), 1)</f>
        <v>2.0399999999999991</v>
      </c>
      <c r="B528" s="588" t="str">
        <f>INDEX(Country!$F$31:$G$76, MATCH(AI528, Country!$O$31:$O$76, 0), 2)</f>
        <v>Corporate finance investments</v>
      </c>
      <c r="C528" s="589" t="str">
        <f>INDEX(Country!$K$31:$K$76, MATCH(AI528, Country!$O$31:$O$76, 0), 1)</f>
        <v>USDm</v>
      </c>
      <c r="D528" s="590" t="str">
        <f t="shared" si="444"/>
        <v>Argentina</v>
      </c>
      <c r="E528" s="5">
        <f>S528</f>
        <v>0</v>
      </c>
      <c r="F528" s="601">
        <f t="shared" ref="F528:F553" si="465">E528+T528</f>
        <v>46.567952188261103</v>
      </c>
      <c r="G528" s="601">
        <f t="shared" ref="G528:G553" si="466">F528+U528</f>
        <v>46.567952188261103</v>
      </c>
      <c r="H528" s="601">
        <f t="shared" ref="H528:H553" si="467">G528+V528</f>
        <v>46.567952188261103</v>
      </c>
      <c r="I528" s="601">
        <f t="shared" ref="I528:I553" si="468">H528+W528</f>
        <v>99.60747379875616</v>
      </c>
      <c r="J528" s="601">
        <f t="shared" ref="J528:J553" si="469">I528+X528</f>
        <v>99.60747379875616</v>
      </c>
      <c r="K528" s="610">
        <f t="shared" ref="K528:K553" si="470">J528+Y528</f>
        <v>99.60747379875616</v>
      </c>
      <c r="L528" s="580"/>
      <c r="M528" s="581"/>
      <c r="N528" s="581"/>
      <c r="O528" s="581"/>
      <c r="P528" s="581"/>
      <c r="Q528" s="581"/>
      <c r="R528" s="582"/>
      <c r="S528" s="420">
        <f>SUMIFS(Investment!$H$6:$H$1303, Investment!$A$6:$A$1303, S$10, Investment!$E$6:$E$1303, $D528, Investment!$G$6:$G$1303, $B528)</f>
        <v>0</v>
      </c>
      <c r="T528" s="367">
        <f>SUMIFS(Investment!$H$6:$H$1303, Investment!$A$6:$A$1303, T$10, Investment!$E$6:$E$1303, $D528, Investment!$G$6:$G$1303, $B528)</f>
        <v>46.567952188261103</v>
      </c>
      <c r="U528" s="367">
        <f>SUMIFS(Investment!$H$6:$H$1303, Investment!$A$6:$A$1303, U$10, Investment!$E$6:$E$1303, $D528, Investment!$G$6:$G$1303, $B528)</f>
        <v>0</v>
      </c>
      <c r="V528" s="367">
        <f>SUMIFS(Investment!$H$6:$H$1303, Investment!$A$6:$A$1303, V$10, Investment!$E$6:$E$1303, $D528, Investment!$G$6:$G$1303, $B528)</f>
        <v>0</v>
      </c>
      <c r="W528" s="367">
        <f>SUMIFS(Investment!$H$6:$H$1303, Investment!$A$6:$A$1303, W$10, Investment!$E$6:$E$1303, $D528, Investment!$G$6:$G$1303, $B528)</f>
        <v>53.039521610495051</v>
      </c>
      <c r="X528" s="367">
        <f>SUMIFS(Investment!$H$6:$H$1303, Investment!$A$6:$A$1303, X$10, Investment!$E$6:$E$1303, $D528, Investment!$G$6:$G$1303, $B528)</f>
        <v>0</v>
      </c>
      <c r="Y528" s="367">
        <f>SUMIFS(Investment!$H$6:$H$1303, Investment!$A$6:$A$1303, Y$10, Investment!$E$6:$E$1303, $D528, Investment!$G$6:$G$1303, $B528)</f>
        <v>0</v>
      </c>
      <c r="Z528" s="455"/>
      <c r="AA528" s="456"/>
      <c r="AB528" s="456"/>
      <c r="AC528" s="456"/>
      <c r="AD528" s="456"/>
      <c r="AE528" s="456"/>
      <c r="AF528" s="456"/>
      <c r="AG528" s="396" t="str">
        <f t="shared" si="464"/>
        <v>2.04 &gt; Argentina</v>
      </c>
      <c r="AH528" s="397">
        <f t="shared" si="392"/>
        <v>514</v>
      </c>
      <c r="AI528" s="397">
        <f t="shared" si="393"/>
        <v>20</v>
      </c>
      <c r="AJ528" s="879" t="s">
        <v>1526</v>
      </c>
    </row>
    <row r="529" spans="1:36" x14ac:dyDescent="0.2">
      <c r="A529" s="492">
        <f>INDEX(Country!$F$31:$G$76, MATCH(AI529, Country!$O$31:$O$76, 0), 1)</f>
        <v>2.0399999999999991</v>
      </c>
      <c r="B529" s="2" t="str">
        <f>INDEX(Country!$F$31:$G$76, MATCH(AI529, Country!$O$31:$O$76, 0), 2)</f>
        <v>Corporate finance investments</v>
      </c>
      <c r="C529" s="436" t="str">
        <f>INDEX(Country!$K$31:$K$76, MATCH(AI529, Country!$O$31:$O$76, 0), 1)</f>
        <v>USDm</v>
      </c>
      <c r="D529" s="4" t="str">
        <f t="shared" si="444"/>
        <v>Bahamas</v>
      </c>
      <c r="E529" s="5">
        <f t="shared" ref="E529:E553" si="471">S529</f>
        <v>0</v>
      </c>
      <c r="F529" s="5">
        <f t="shared" si="465"/>
        <v>0</v>
      </c>
      <c r="G529" s="5">
        <f t="shared" si="466"/>
        <v>0</v>
      </c>
      <c r="H529" s="5">
        <f t="shared" si="467"/>
        <v>0</v>
      </c>
      <c r="I529" s="5">
        <f t="shared" si="468"/>
        <v>0</v>
      </c>
      <c r="J529" s="5">
        <f t="shared" si="469"/>
        <v>0</v>
      </c>
      <c r="K529" s="6">
        <f t="shared" si="470"/>
        <v>0</v>
      </c>
      <c r="L529" s="457"/>
      <c r="M529" s="458"/>
      <c r="N529" s="458"/>
      <c r="O529" s="458"/>
      <c r="P529" s="458"/>
      <c r="Q529" s="458"/>
      <c r="R529" s="459"/>
      <c r="S529" s="421">
        <f>SUMIFS(Investment!$H$6:$H$1303, Investment!$A$6:$A$1303, S$10, Investment!$E$6:$E$1303, $D529, Investment!$G$6:$G$1303, $B529)</f>
        <v>0</v>
      </c>
      <c r="T529" s="5">
        <f>SUMIFS(Investment!$H$6:$H$1303, Investment!$A$6:$A$1303, T$10, Investment!$E$6:$E$1303, $D529, Investment!$G$6:$G$1303, $B529)</f>
        <v>0</v>
      </c>
      <c r="U529" s="5">
        <f>SUMIFS(Investment!$H$6:$H$1303, Investment!$A$6:$A$1303, U$10, Investment!$E$6:$E$1303, $D529, Investment!$G$6:$G$1303, $B529)</f>
        <v>0</v>
      </c>
      <c r="V529" s="5">
        <f>SUMIFS(Investment!$H$6:$H$1303, Investment!$A$6:$A$1303, V$10, Investment!$E$6:$E$1303, $D529, Investment!$G$6:$G$1303, $B529)</f>
        <v>0</v>
      </c>
      <c r="W529" s="5">
        <f>SUMIFS(Investment!$H$6:$H$1303, Investment!$A$6:$A$1303, W$10, Investment!$E$6:$E$1303, $D529, Investment!$G$6:$G$1303, $B529)</f>
        <v>0</v>
      </c>
      <c r="X529" s="5">
        <f>SUMIFS(Investment!$H$6:$H$1303, Investment!$A$6:$A$1303, X$10, Investment!$E$6:$E$1303, $D529, Investment!$G$6:$G$1303, $B529)</f>
        <v>0</v>
      </c>
      <c r="Y529" s="5">
        <f>SUMIFS(Investment!$H$6:$H$1303, Investment!$A$6:$A$1303, Y$10, Investment!$E$6:$E$1303, $D529, Investment!$G$6:$G$1303, $B529)</f>
        <v>0</v>
      </c>
      <c r="Z529" s="455"/>
      <c r="AA529" s="456"/>
      <c r="AB529" s="456"/>
      <c r="AC529" s="456"/>
      <c r="AD529" s="456"/>
      <c r="AE529" s="456"/>
      <c r="AF529" s="456"/>
      <c r="AG529" s="33" t="str">
        <f t="shared" si="464"/>
        <v>2.04 &gt; Bahamas</v>
      </c>
      <c r="AH529" s="84">
        <f t="shared" ref="AH529:AH592" si="472">AH528+1</f>
        <v>515</v>
      </c>
      <c r="AI529" s="84">
        <f t="shared" ref="AI529:AI592" si="473">ROUNDUP(AH529/COUNTA($D$15:$D$41),0)</f>
        <v>20</v>
      </c>
      <c r="AJ529" s="877" t="s">
        <v>1526</v>
      </c>
    </row>
    <row r="530" spans="1:36" x14ac:dyDescent="0.2">
      <c r="A530" s="492">
        <f>INDEX(Country!$F$31:$G$76, MATCH(AI530, Country!$O$31:$O$76, 0), 1)</f>
        <v>2.0399999999999991</v>
      </c>
      <c r="B530" s="2" t="str">
        <f>INDEX(Country!$F$31:$G$76, MATCH(AI530, Country!$O$31:$O$76, 0), 2)</f>
        <v>Corporate finance investments</v>
      </c>
      <c r="C530" s="436" t="str">
        <f>INDEX(Country!$K$31:$K$76, MATCH(AI530, Country!$O$31:$O$76, 0), 1)</f>
        <v>USDm</v>
      </c>
      <c r="D530" s="4" t="str">
        <f t="shared" si="444"/>
        <v>Barbados</v>
      </c>
      <c r="E530" s="5">
        <f t="shared" si="471"/>
        <v>0</v>
      </c>
      <c r="F530" s="5">
        <f t="shared" si="465"/>
        <v>0</v>
      </c>
      <c r="G530" s="5">
        <f t="shared" si="466"/>
        <v>0</v>
      </c>
      <c r="H530" s="5">
        <f t="shared" si="467"/>
        <v>0</v>
      </c>
      <c r="I530" s="5">
        <f t="shared" si="468"/>
        <v>0</v>
      </c>
      <c r="J530" s="5">
        <f t="shared" si="469"/>
        <v>0</v>
      </c>
      <c r="K530" s="6">
        <f t="shared" si="470"/>
        <v>0</v>
      </c>
      <c r="L530" s="457"/>
      <c r="M530" s="458"/>
      <c r="N530" s="458"/>
      <c r="O530" s="458"/>
      <c r="P530" s="458"/>
      <c r="Q530" s="458"/>
      <c r="R530" s="459"/>
      <c r="S530" s="421">
        <f>SUMIFS(Investment!$H$6:$H$1303, Investment!$A$6:$A$1303, S$10, Investment!$E$6:$E$1303, $D530, Investment!$G$6:$G$1303, $B530)</f>
        <v>0</v>
      </c>
      <c r="T530" s="5">
        <f>SUMIFS(Investment!$H$6:$H$1303, Investment!$A$6:$A$1303, T$10, Investment!$E$6:$E$1303, $D530, Investment!$G$6:$G$1303, $B530)</f>
        <v>0</v>
      </c>
      <c r="U530" s="5">
        <f>SUMIFS(Investment!$H$6:$H$1303, Investment!$A$6:$A$1303, U$10, Investment!$E$6:$E$1303, $D530, Investment!$G$6:$G$1303, $B530)</f>
        <v>0</v>
      </c>
      <c r="V530" s="5">
        <f>SUMIFS(Investment!$H$6:$H$1303, Investment!$A$6:$A$1303, V$10, Investment!$E$6:$E$1303, $D530, Investment!$G$6:$G$1303, $B530)</f>
        <v>0</v>
      </c>
      <c r="W530" s="5">
        <f>SUMIFS(Investment!$H$6:$H$1303, Investment!$A$6:$A$1303, W$10, Investment!$E$6:$E$1303, $D530, Investment!$G$6:$G$1303, $B530)</f>
        <v>0</v>
      </c>
      <c r="X530" s="5">
        <f>SUMIFS(Investment!$H$6:$H$1303, Investment!$A$6:$A$1303, X$10, Investment!$E$6:$E$1303, $D530, Investment!$G$6:$G$1303, $B530)</f>
        <v>0</v>
      </c>
      <c r="Y530" s="5">
        <f>SUMIFS(Investment!$H$6:$H$1303, Investment!$A$6:$A$1303, Y$10, Investment!$E$6:$E$1303, $D530, Investment!$G$6:$G$1303, $B530)</f>
        <v>0</v>
      </c>
      <c r="Z530" s="455"/>
      <c r="AA530" s="456"/>
      <c r="AB530" s="456"/>
      <c r="AC530" s="456"/>
      <c r="AD530" s="456"/>
      <c r="AE530" s="456"/>
      <c r="AF530" s="456"/>
      <c r="AG530" s="33" t="str">
        <f t="shared" si="464"/>
        <v>2.04 &gt; Barbados</v>
      </c>
      <c r="AH530" s="84">
        <f t="shared" si="472"/>
        <v>516</v>
      </c>
      <c r="AI530" s="84">
        <f t="shared" si="473"/>
        <v>20</v>
      </c>
      <c r="AJ530" s="877" t="s">
        <v>1526</v>
      </c>
    </row>
    <row r="531" spans="1:36" x14ac:dyDescent="0.2">
      <c r="A531" s="492">
        <f>INDEX(Country!$F$31:$G$76, MATCH(AI531, Country!$O$31:$O$76, 0), 1)</f>
        <v>2.0399999999999991</v>
      </c>
      <c r="B531" s="2" t="str">
        <f>INDEX(Country!$F$31:$G$76, MATCH(AI531, Country!$O$31:$O$76, 0), 2)</f>
        <v>Corporate finance investments</v>
      </c>
      <c r="C531" s="436" t="str">
        <f>INDEX(Country!$K$31:$K$76, MATCH(AI531, Country!$O$31:$O$76, 0), 1)</f>
        <v>USDm</v>
      </c>
      <c r="D531" s="4" t="str">
        <f t="shared" si="444"/>
        <v>Belize</v>
      </c>
      <c r="E531" s="5">
        <f t="shared" si="471"/>
        <v>0</v>
      </c>
      <c r="F531" s="5">
        <f t="shared" si="465"/>
        <v>0</v>
      </c>
      <c r="G531" s="5">
        <f t="shared" si="466"/>
        <v>62.49516694573628</v>
      </c>
      <c r="H531" s="5">
        <f t="shared" si="467"/>
        <v>62.49516694573628</v>
      </c>
      <c r="I531" s="5">
        <f t="shared" si="468"/>
        <v>62.49516694573628</v>
      </c>
      <c r="J531" s="5">
        <f t="shared" si="469"/>
        <v>62.49516694573628</v>
      </c>
      <c r="K531" s="6">
        <f t="shared" si="470"/>
        <v>62.49516694573628</v>
      </c>
      <c r="L531" s="457"/>
      <c r="M531" s="458"/>
      <c r="N531" s="458"/>
      <c r="O531" s="458"/>
      <c r="P531" s="458"/>
      <c r="Q531" s="458"/>
      <c r="R531" s="459"/>
      <c r="S531" s="421">
        <f>SUMIFS(Investment!$H$6:$H$1303, Investment!$A$6:$A$1303, S$10, Investment!$E$6:$E$1303, $D531, Investment!$G$6:$G$1303, $B531)</f>
        <v>0</v>
      </c>
      <c r="T531" s="5">
        <f>SUMIFS(Investment!$H$6:$H$1303, Investment!$A$6:$A$1303, T$10, Investment!$E$6:$E$1303, $D531, Investment!$G$6:$G$1303, $B531)</f>
        <v>0</v>
      </c>
      <c r="U531" s="5">
        <f>SUMIFS(Investment!$H$6:$H$1303, Investment!$A$6:$A$1303, U$10, Investment!$E$6:$E$1303, $D531, Investment!$G$6:$G$1303, $B531)</f>
        <v>62.49516694573628</v>
      </c>
      <c r="V531" s="5">
        <f>SUMIFS(Investment!$H$6:$H$1303, Investment!$A$6:$A$1303, V$10, Investment!$E$6:$E$1303, $D531, Investment!$G$6:$G$1303, $B531)</f>
        <v>0</v>
      </c>
      <c r="W531" s="5">
        <f>SUMIFS(Investment!$H$6:$H$1303, Investment!$A$6:$A$1303, W$10, Investment!$E$6:$E$1303, $D531, Investment!$G$6:$G$1303, $B531)</f>
        <v>0</v>
      </c>
      <c r="X531" s="5">
        <f>SUMIFS(Investment!$H$6:$H$1303, Investment!$A$6:$A$1303, X$10, Investment!$E$6:$E$1303, $D531, Investment!$G$6:$G$1303, $B531)</f>
        <v>0</v>
      </c>
      <c r="Y531" s="5">
        <f>SUMIFS(Investment!$H$6:$H$1303, Investment!$A$6:$A$1303, Y$10, Investment!$E$6:$E$1303, $D531, Investment!$G$6:$G$1303, $B531)</f>
        <v>0</v>
      </c>
      <c r="Z531" s="455"/>
      <c r="AA531" s="456"/>
      <c r="AB531" s="456"/>
      <c r="AC531" s="456"/>
      <c r="AD531" s="456"/>
      <c r="AE531" s="456"/>
      <c r="AF531" s="456"/>
      <c r="AG531" s="33" t="str">
        <f t="shared" si="464"/>
        <v>2.04 &gt; Belize</v>
      </c>
      <c r="AH531" s="84">
        <f t="shared" si="472"/>
        <v>517</v>
      </c>
      <c r="AI531" s="84">
        <f t="shared" si="473"/>
        <v>20</v>
      </c>
      <c r="AJ531" s="877" t="s">
        <v>1526</v>
      </c>
    </row>
    <row r="532" spans="1:36" x14ac:dyDescent="0.2">
      <c r="A532" s="492">
        <f>INDEX(Country!$F$31:$G$76, MATCH(AI532, Country!$O$31:$O$76, 0), 1)</f>
        <v>2.0399999999999991</v>
      </c>
      <c r="B532" s="2" t="str">
        <f>INDEX(Country!$F$31:$G$76, MATCH(AI532, Country!$O$31:$O$76, 0), 2)</f>
        <v>Corporate finance investments</v>
      </c>
      <c r="C532" s="436" t="str">
        <f>INDEX(Country!$K$31:$K$76, MATCH(AI532, Country!$O$31:$O$76, 0), 1)</f>
        <v>USDm</v>
      </c>
      <c r="D532" s="4" t="str">
        <f t="shared" si="444"/>
        <v>Bolivia</v>
      </c>
      <c r="E532" s="5">
        <f t="shared" si="471"/>
        <v>0</v>
      </c>
      <c r="F532" s="5">
        <f t="shared" si="465"/>
        <v>0</v>
      </c>
      <c r="G532" s="5">
        <f t="shared" si="466"/>
        <v>0</v>
      </c>
      <c r="H532" s="5">
        <f t="shared" si="467"/>
        <v>0</v>
      </c>
      <c r="I532" s="5">
        <f t="shared" si="468"/>
        <v>0</v>
      </c>
      <c r="J532" s="5">
        <f t="shared" si="469"/>
        <v>0</v>
      </c>
      <c r="K532" s="6">
        <f t="shared" si="470"/>
        <v>0</v>
      </c>
      <c r="L532" s="457"/>
      <c r="M532" s="458"/>
      <c r="N532" s="458"/>
      <c r="O532" s="458"/>
      <c r="P532" s="458"/>
      <c r="Q532" s="458"/>
      <c r="R532" s="459"/>
      <c r="S532" s="421">
        <f>SUMIFS(Investment!$H$6:$H$1303, Investment!$A$6:$A$1303, S$10, Investment!$E$6:$E$1303, $D532, Investment!$G$6:$G$1303, $B532)</f>
        <v>0</v>
      </c>
      <c r="T532" s="5">
        <f>SUMIFS(Investment!$H$6:$H$1303, Investment!$A$6:$A$1303, T$10, Investment!$E$6:$E$1303, $D532, Investment!$G$6:$G$1303, $B532)</f>
        <v>0</v>
      </c>
      <c r="U532" s="5">
        <f>SUMIFS(Investment!$H$6:$H$1303, Investment!$A$6:$A$1303, U$10, Investment!$E$6:$E$1303, $D532, Investment!$G$6:$G$1303, $B532)</f>
        <v>0</v>
      </c>
      <c r="V532" s="5">
        <f>SUMIFS(Investment!$H$6:$H$1303, Investment!$A$6:$A$1303, V$10, Investment!$E$6:$E$1303, $D532, Investment!$G$6:$G$1303, $B532)</f>
        <v>0</v>
      </c>
      <c r="W532" s="5">
        <f>SUMIFS(Investment!$H$6:$H$1303, Investment!$A$6:$A$1303, W$10, Investment!$E$6:$E$1303, $D532, Investment!$G$6:$G$1303, $B532)</f>
        <v>0</v>
      </c>
      <c r="X532" s="5">
        <f>SUMIFS(Investment!$H$6:$H$1303, Investment!$A$6:$A$1303, X$10, Investment!$E$6:$E$1303, $D532, Investment!$G$6:$G$1303, $B532)</f>
        <v>0</v>
      </c>
      <c r="Y532" s="5">
        <f>SUMIFS(Investment!$H$6:$H$1303, Investment!$A$6:$A$1303, Y$10, Investment!$E$6:$E$1303, $D532, Investment!$G$6:$G$1303, $B532)</f>
        <v>0</v>
      </c>
      <c r="Z532" s="455"/>
      <c r="AA532" s="456"/>
      <c r="AB532" s="456"/>
      <c r="AC532" s="456"/>
      <c r="AD532" s="456"/>
      <c r="AE532" s="456"/>
      <c r="AF532" s="456"/>
      <c r="AG532" s="33" t="str">
        <f t="shared" si="464"/>
        <v>2.04 &gt; Bolivia</v>
      </c>
      <c r="AH532" s="84">
        <f t="shared" si="472"/>
        <v>518</v>
      </c>
      <c r="AI532" s="84">
        <f t="shared" si="473"/>
        <v>20</v>
      </c>
      <c r="AJ532" s="877" t="s">
        <v>1526</v>
      </c>
    </row>
    <row r="533" spans="1:36" x14ac:dyDescent="0.2">
      <c r="A533" s="492">
        <f>INDEX(Country!$F$31:$G$76, MATCH(AI533, Country!$O$31:$O$76, 0), 1)</f>
        <v>2.0399999999999991</v>
      </c>
      <c r="B533" s="2" t="str">
        <f>INDEX(Country!$F$31:$G$76, MATCH(AI533, Country!$O$31:$O$76, 0), 2)</f>
        <v>Corporate finance investments</v>
      </c>
      <c r="C533" s="436" t="str">
        <f>INDEX(Country!$K$31:$K$76, MATCH(AI533, Country!$O$31:$O$76, 0), 1)</f>
        <v>USDm</v>
      </c>
      <c r="D533" s="4" t="str">
        <f t="shared" si="444"/>
        <v>Brazil</v>
      </c>
      <c r="E533" s="5">
        <f t="shared" si="471"/>
        <v>291.7215569999999</v>
      </c>
      <c r="F533" s="5">
        <f t="shared" si="465"/>
        <v>2471.3222038132108</v>
      </c>
      <c r="G533" s="5">
        <f t="shared" si="466"/>
        <v>3215.3483990178379</v>
      </c>
      <c r="H533" s="5">
        <f t="shared" si="467"/>
        <v>4744.5492229159581</v>
      </c>
      <c r="I533" s="5">
        <f t="shared" si="468"/>
        <v>6699.9267673698605</v>
      </c>
      <c r="J533" s="5">
        <f t="shared" si="469"/>
        <v>9777.8641040629318</v>
      </c>
      <c r="K533" s="6">
        <f t="shared" si="470"/>
        <v>11053.401500657894</v>
      </c>
      <c r="L533" s="457"/>
      <c r="M533" s="458"/>
      <c r="N533" s="458"/>
      <c r="O533" s="458"/>
      <c r="P533" s="458"/>
      <c r="Q533" s="458"/>
      <c r="R533" s="459"/>
      <c r="S533" s="421">
        <f>SUMIFS(Investment!$H$6:$H$1303, Investment!$A$6:$A$1303, S$10, Investment!$E$6:$E$1303, $D533, Investment!$G$6:$G$1303, $B533)</f>
        <v>291.7215569999999</v>
      </c>
      <c r="T533" s="5">
        <f>SUMIFS(Investment!$H$6:$H$1303, Investment!$A$6:$A$1303, T$10, Investment!$E$6:$E$1303, $D533, Investment!$G$6:$G$1303, $B533)</f>
        <v>2179.6006468132109</v>
      </c>
      <c r="U533" s="5">
        <f>SUMIFS(Investment!$H$6:$H$1303, Investment!$A$6:$A$1303, U$10, Investment!$E$6:$E$1303, $D533, Investment!$G$6:$G$1303, $B533)</f>
        <v>744.02619520462713</v>
      </c>
      <c r="V533" s="5">
        <f>SUMIFS(Investment!$H$6:$H$1303, Investment!$A$6:$A$1303, V$10, Investment!$E$6:$E$1303, $D533, Investment!$G$6:$G$1303, $B533)</f>
        <v>1529.20082389812</v>
      </c>
      <c r="W533" s="5">
        <f>SUMIFS(Investment!$H$6:$H$1303, Investment!$A$6:$A$1303, W$10, Investment!$E$6:$E$1303, $D533, Investment!$G$6:$G$1303, $B533)</f>
        <v>1955.3775444539026</v>
      </c>
      <c r="X533" s="5">
        <f>SUMIFS(Investment!$H$6:$H$1303, Investment!$A$6:$A$1303, X$10, Investment!$E$6:$E$1303, $D533, Investment!$G$6:$G$1303, $B533)</f>
        <v>3077.9373366930718</v>
      </c>
      <c r="Y533" s="5">
        <f>SUMIFS(Investment!$H$6:$H$1303, Investment!$A$6:$A$1303, Y$10, Investment!$E$6:$E$1303, $D533, Investment!$G$6:$G$1303, $B533)</f>
        <v>1275.5373965949627</v>
      </c>
      <c r="Z533" s="455"/>
      <c r="AA533" s="456"/>
      <c r="AB533" s="456"/>
      <c r="AC533" s="456"/>
      <c r="AD533" s="456"/>
      <c r="AE533" s="456"/>
      <c r="AF533" s="456"/>
      <c r="AG533" s="33" t="str">
        <f t="shared" si="464"/>
        <v>2.04 &gt; Brazil</v>
      </c>
      <c r="AH533" s="84">
        <f t="shared" si="472"/>
        <v>519</v>
      </c>
      <c r="AI533" s="84">
        <f t="shared" si="473"/>
        <v>20</v>
      </c>
      <c r="AJ533" s="877" t="s">
        <v>1526</v>
      </c>
    </row>
    <row r="534" spans="1:36" x14ac:dyDescent="0.2">
      <c r="A534" s="492">
        <f>INDEX(Country!$F$31:$G$76, MATCH(AI534, Country!$O$31:$O$76, 0), 1)</f>
        <v>2.0399999999999991</v>
      </c>
      <c r="B534" s="2" t="str">
        <f>INDEX(Country!$F$31:$G$76, MATCH(AI534, Country!$O$31:$O$76, 0), 2)</f>
        <v>Corporate finance investments</v>
      </c>
      <c r="C534" s="436" t="str">
        <f>INDEX(Country!$K$31:$K$76, MATCH(AI534, Country!$O$31:$O$76, 0), 1)</f>
        <v>USDm</v>
      </c>
      <c r="D534" s="4" t="str">
        <f t="shared" si="444"/>
        <v>Chile</v>
      </c>
      <c r="E534" s="5">
        <f t="shared" si="471"/>
        <v>0</v>
      </c>
      <c r="F534" s="5">
        <f t="shared" si="465"/>
        <v>0</v>
      </c>
      <c r="G534" s="5">
        <f t="shared" si="466"/>
        <v>0</v>
      </c>
      <c r="H534" s="5">
        <f t="shared" si="467"/>
        <v>55.953168241604203</v>
      </c>
      <c r="I534" s="5">
        <f t="shared" si="468"/>
        <v>55.953168241604203</v>
      </c>
      <c r="J534" s="5">
        <f t="shared" si="469"/>
        <v>192.74792899940599</v>
      </c>
      <c r="K534" s="6">
        <f t="shared" si="470"/>
        <v>192.74792899940599</v>
      </c>
      <c r="L534" s="457"/>
      <c r="M534" s="458"/>
      <c r="N534" s="458"/>
      <c r="O534" s="458"/>
      <c r="P534" s="458"/>
      <c r="Q534" s="458"/>
      <c r="R534" s="459"/>
      <c r="S534" s="421">
        <f>SUMIFS(Investment!$H$6:$H$1303, Investment!$A$6:$A$1303, S$10, Investment!$E$6:$E$1303, $D534, Investment!$G$6:$G$1303, $B534)</f>
        <v>0</v>
      </c>
      <c r="T534" s="5">
        <f>SUMIFS(Investment!$H$6:$H$1303, Investment!$A$6:$A$1303, T$10, Investment!$E$6:$E$1303, $D534, Investment!$G$6:$G$1303, $B534)</f>
        <v>0</v>
      </c>
      <c r="U534" s="5">
        <f>SUMIFS(Investment!$H$6:$H$1303, Investment!$A$6:$A$1303, U$10, Investment!$E$6:$E$1303, $D534, Investment!$G$6:$G$1303, $B534)</f>
        <v>0</v>
      </c>
      <c r="V534" s="5">
        <f>SUMIFS(Investment!$H$6:$H$1303, Investment!$A$6:$A$1303, V$10, Investment!$E$6:$E$1303, $D534, Investment!$G$6:$G$1303, $B534)</f>
        <v>55.953168241604203</v>
      </c>
      <c r="W534" s="5">
        <f>SUMIFS(Investment!$H$6:$H$1303, Investment!$A$6:$A$1303, W$10, Investment!$E$6:$E$1303, $D534, Investment!$G$6:$G$1303, $B534)</f>
        <v>0</v>
      </c>
      <c r="X534" s="5">
        <f>SUMIFS(Investment!$H$6:$H$1303, Investment!$A$6:$A$1303, X$10, Investment!$E$6:$E$1303, $D534, Investment!$G$6:$G$1303, $B534)</f>
        <v>136.79476075780178</v>
      </c>
      <c r="Y534" s="5">
        <f>SUMIFS(Investment!$H$6:$H$1303, Investment!$A$6:$A$1303, Y$10, Investment!$E$6:$E$1303, $D534, Investment!$G$6:$G$1303, $B534)</f>
        <v>0</v>
      </c>
      <c r="Z534" s="455"/>
      <c r="AA534" s="456"/>
      <c r="AB534" s="456"/>
      <c r="AC534" s="456"/>
      <c r="AD534" s="456"/>
      <c r="AE534" s="456"/>
      <c r="AF534" s="456"/>
      <c r="AG534" s="33" t="str">
        <f t="shared" si="464"/>
        <v>2.04 &gt; Chile</v>
      </c>
      <c r="AH534" s="84">
        <f t="shared" si="472"/>
        <v>520</v>
      </c>
      <c r="AI534" s="84">
        <f t="shared" si="473"/>
        <v>20</v>
      </c>
      <c r="AJ534" s="877" t="s">
        <v>1526</v>
      </c>
    </row>
    <row r="535" spans="1:36" x14ac:dyDescent="0.2">
      <c r="A535" s="492">
        <f>INDEX(Country!$F$31:$G$76, MATCH(AI535, Country!$O$31:$O$76, 0), 1)</f>
        <v>2.0399999999999991</v>
      </c>
      <c r="B535" s="2" t="str">
        <f>INDEX(Country!$F$31:$G$76, MATCH(AI535, Country!$O$31:$O$76, 0), 2)</f>
        <v>Corporate finance investments</v>
      </c>
      <c r="C535" s="436" t="str">
        <f>INDEX(Country!$K$31:$K$76, MATCH(AI535, Country!$O$31:$O$76, 0), 1)</f>
        <v>USDm</v>
      </c>
      <c r="D535" s="4" t="str">
        <f t="shared" si="444"/>
        <v>Colombia</v>
      </c>
      <c r="E535" s="5">
        <f t="shared" si="471"/>
        <v>0</v>
      </c>
      <c r="F535" s="5">
        <f t="shared" si="465"/>
        <v>0</v>
      </c>
      <c r="G535" s="5">
        <f t="shared" si="466"/>
        <v>0</v>
      </c>
      <c r="H535" s="5">
        <f t="shared" si="467"/>
        <v>0</v>
      </c>
      <c r="I535" s="5">
        <f t="shared" si="468"/>
        <v>0</v>
      </c>
      <c r="J535" s="5">
        <f t="shared" si="469"/>
        <v>0</v>
      </c>
      <c r="K535" s="6">
        <f t="shared" si="470"/>
        <v>0</v>
      </c>
      <c r="L535" s="457"/>
      <c r="M535" s="458"/>
      <c r="N535" s="458"/>
      <c r="O535" s="458"/>
      <c r="P535" s="458"/>
      <c r="Q535" s="458"/>
      <c r="R535" s="459"/>
      <c r="S535" s="421">
        <f>SUMIFS(Investment!$H$6:$H$1303, Investment!$A$6:$A$1303, S$10, Investment!$E$6:$E$1303, $D535, Investment!$G$6:$G$1303, $B535)</f>
        <v>0</v>
      </c>
      <c r="T535" s="5">
        <f>SUMIFS(Investment!$H$6:$H$1303, Investment!$A$6:$A$1303, T$10, Investment!$E$6:$E$1303, $D535, Investment!$G$6:$G$1303, $B535)</f>
        <v>0</v>
      </c>
      <c r="U535" s="5">
        <f>SUMIFS(Investment!$H$6:$H$1303, Investment!$A$6:$A$1303, U$10, Investment!$E$6:$E$1303, $D535, Investment!$G$6:$G$1303, $B535)</f>
        <v>0</v>
      </c>
      <c r="V535" s="5">
        <f>SUMIFS(Investment!$H$6:$H$1303, Investment!$A$6:$A$1303, V$10, Investment!$E$6:$E$1303, $D535, Investment!$G$6:$G$1303, $B535)</f>
        <v>0</v>
      </c>
      <c r="W535" s="5">
        <f>SUMIFS(Investment!$H$6:$H$1303, Investment!$A$6:$A$1303, W$10, Investment!$E$6:$E$1303, $D535, Investment!$G$6:$G$1303, $B535)</f>
        <v>0</v>
      </c>
      <c r="X535" s="5">
        <f>SUMIFS(Investment!$H$6:$H$1303, Investment!$A$6:$A$1303, X$10, Investment!$E$6:$E$1303, $D535, Investment!$G$6:$G$1303, $B535)</f>
        <v>0</v>
      </c>
      <c r="Y535" s="5">
        <f>SUMIFS(Investment!$H$6:$H$1303, Investment!$A$6:$A$1303, Y$10, Investment!$E$6:$E$1303, $D535, Investment!$G$6:$G$1303, $B535)</f>
        <v>0</v>
      </c>
      <c r="Z535" s="455"/>
      <c r="AA535" s="456"/>
      <c r="AB535" s="456"/>
      <c r="AC535" s="456"/>
      <c r="AD535" s="456"/>
      <c r="AE535" s="456"/>
      <c r="AF535" s="456"/>
      <c r="AG535" s="33" t="str">
        <f t="shared" si="464"/>
        <v>2.04 &gt; Colombia</v>
      </c>
      <c r="AH535" s="84">
        <f t="shared" si="472"/>
        <v>521</v>
      </c>
      <c r="AI535" s="84">
        <f t="shared" si="473"/>
        <v>20</v>
      </c>
      <c r="AJ535" s="877" t="s">
        <v>1526</v>
      </c>
    </row>
    <row r="536" spans="1:36" x14ac:dyDescent="0.2">
      <c r="A536" s="492">
        <f>INDEX(Country!$F$31:$G$76, MATCH(AI536, Country!$O$31:$O$76, 0), 1)</f>
        <v>2.0399999999999991</v>
      </c>
      <c r="B536" s="2" t="str">
        <f>INDEX(Country!$F$31:$G$76, MATCH(AI536, Country!$O$31:$O$76, 0), 2)</f>
        <v>Corporate finance investments</v>
      </c>
      <c r="C536" s="436" t="str">
        <f>INDEX(Country!$K$31:$K$76, MATCH(AI536, Country!$O$31:$O$76, 0), 1)</f>
        <v>USDm</v>
      </c>
      <c r="D536" s="4" t="str">
        <f t="shared" si="444"/>
        <v>Costa Rica</v>
      </c>
      <c r="E536" s="5">
        <f t="shared" si="471"/>
        <v>0</v>
      </c>
      <c r="F536" s="5">
        <f t="shared" si="465"/>
        <v>0</v>
      </c>
      <c r="G536" s="5">
        <f t="shared" si="466"/>
        <v>0</v>
      </c>
      <c r="H536" s="5">
        <f t="shared" si="467"/>
        <v>0</v>
      </c>
      <c r="I536" s="5">
        <f t="shared" si="468"/>
        <v>45.033556084382589</v>
      </c>
      <c r="J536" s="5">
        <f t="shared" si="469"/>
        <v>45.033556084382589</v>
      </c>
      <c r="K536" s="6">
        <f t="shared" si="470"/>
        <v>45.033556084382589</v>
      </c>
      <c r="L536" s="457"/>
      <c r="M536" s="458"/>
      <c r="N536" s="458"/>
      <c r="O536" s="458"/>
      <c r="P536" s="458"/>
      <c r="Q536" s="458"/>
      <c r="R536" s="459"/>
      <c r="S536" s="421">
        <f>SUMIFS(Investment!$H$6:$H$1303, Investment!$A$6:$A$1303, S$10, Investment!$E$6:$E$1303, $D536, Investment!$G$6:$G$1303, $B536)</f>
        <v>0</v>
      </c>
      <c r="T536" s="5">
        <f>SUMIFS(Investment!$H$6:$H$1303, Investment!$A$6:$A$1303, T$10, Investment!$E$6:$E$1303, $D536, Investment!$G$6:$G$1303, $B536)</f>
        <v>0</v>
      </c>
      <c r="U536" s="5">
        <f>SUMIFS(Investment!$H$6:$H$1303, Investment!$A$6:$A$1303, U$10, Investment!$E$6:$E$1303, $D536, Investment!$G$6:$G$1303, $B536)</f>
        <v>0</v>
      </c>
      <c r="V536" s="5">
        <f>SUMIFS(Investment!$H$6:$H$1303, Investment!$A$6:$A$1303, V$10, Investment!$E$6:$E$1303, $D536, Investment!$G$6:$G$1303, $B536)</f>
        <v>0</v>
      </c>
      <c r="W536" s="5">
        <f>SUMIFS(Investment!$H$6:$H$1303, Investment!$A$6:$A$1303, W$10, Investment!$E$6:$E$1303, $D536, Investment!$G$6:$G$1303, $B536)</f>
        <v>45.033556084382589</v>
      </c>
      <c r="X536" s="5">
        <f>SUMIFS(Investment!$H$6:$H$1303, Investment!$A$6:$A$1303, X$10, Investment!$E$6:$E$1303, $D536, Investment!$G$6:$G$1303, $B536)</f>
        <v>0</v>
      </c>
      <c r="Y536" s="5">
        <f>SUMIFS(Investment!$H$6:$H$1303, Investment!$A$6:$A$1303, Y$10, Investment!$E$6:$E$1303, $D536, Investment!$G$6:$G$1303, $B536)</f>
        <v>0</v>
      </c>
      <c r="Z536" s="455"/>
      <c r="AA536" s="456"/>
      <c r="AB536" s="456"/>
      <c r="AC536" s="456"/>
      <c r="AD536" s="456"/>
      <c r="AE536" s="456"/>
      <c r="AF536" s="456"/>
      <c r="AG536" s="33" t="str">
        <f t="shared" si="464"/>
        <v>2.04 &gt; Costa Rica</v>
      </c>
      <c r="AH536" s="84">
        <f t="shared" si="472"/>
        <v>522</v>
      </c>
      <c r="AI536" s="84">
        <f t="shared" si="473"/>
        <v>20</v>
      </c>
      <c r="AJ536" s="877" t="s">
        <v>1526</v>
      </c>
    </row>
    <row r="537" spans="1:36" x14ac:dyDescent="0.2">
      <c r="A537" s="492">
        <f>INDEX(Country!$F$31:$G$76, MATCH(AI537, Country!$O$31:$O$76, 0), 1)</f>
        <v>2.0399999999999991</v>
      </c>
      <c r="B537" s="2" t="str">
        <f>INDEX(Country!$F$31:$G$76, MATCH(AI537, Country!$O$31:$O$76, 0), 2)</f>
        <v>Corporate finance investments</v>
      </c>
      <c r="C537" s="436" t="str">
        <f>INDEX(Country!$K$31:$K$76, MATCH(AI537, Country!$O$31:$O$76, 0), 1)</f>
        <v>USDm</v>
      </c>
      <c r="D537" s="4" t="str">
        <f t="shared" si="444"/>
        <v>Dominican Republic</v>
      </c>
      <c r="E537" s="5">
        <f t="shared" si="471"/>
        <v>0</v>
      </c>
      <c r="F537" s="5">
        <f t="shared" si="465"/>
        <v>0</v>
      </c>
      <c r="G537" s="5">
        <f t="shared" si="466"/>
        <v>0</v>
      </c>
      <c r="H537" s="5">
        <f t="shared" si="467"/>
        <v>0</v>
      </c>
      <c r="I537" s="5">
        <f t="shared" si="468"/>
        <v>0</v>
      </c>
      <c r="J537" s="5">
        <f t="shared" si="469"/>
        <v>0</v>
      </c>
      <c r="K537" s="6">
        <f t="shared" si="470"/>
        <v>0</v>
      </c>
      <c r="L537" s="457"/>
      <c r="M537" s="458"/>
      <c r="N537" s="458"/>
      <c r="O537" s="458"/>
      <c r="P537" s="458"/>
      <c r="Q537" s="458"/>
      <c r="R537" s="459"/>
      <c r="S537" s="421">
        <f>SUMIFS(Investment!$H$6:$H$1303, Investment!$A$6:$A$1303, S$10, Investment!$E$6:$E$1303, $D537, Investment!$G$6:$G$1303, $B537)</f>
        <v>0</v>
      </c>
      <c r="T537" s="5">
        <f>SUMIFS(Investment!$H$6:$H$1303, Investment!$A$6:$A$1303, T$10, Investment!$E$6:$E$1303, $D537, Investment!$G$6:$G$1303, $B537)</f>
        <v>0</v>
      </c>
      <c r="U537" s="5">
        <f>SUMIFS(Investment!$H$6:$H$1303, Investment!$A$6:$A$1303, U$10, Investment!$E$6:$E$1303, $D537, Investment!$G$6:$G$1303, $B537)</f>
        <v>0</v>
      </c>
      <c r="V537" s="5">
        <f>SUMIFS(Investment!$H$6:$H$1303, Investment!$A$6:$A$1303, V$10, Investment!$E$6:$E$1303, $D537, Investment!$G$6:$G$1303, $B537)</f>
        <v>0</v>
      </c>
      <c r="W537" s="5">
        <f>SUMIFS(Investment!$H$6:$H$1303, Investment!$A$6:$A$1303, W$10, Investment!$E$6:$E$1303, $D537, Investment!$G$6:$G$1303, $B537)</f>
        <v>0</v>
      </c>
      <c r="X537" s="5">
        <f>SUMIFS(Investment!$H$6:$H$1303, Investment!$A$6:$A$1303, X$10, Investment!$E$6:$E$1303, $D537, Investment!$G$6:$G$1303, $B537)</f>
        <v>0</v>
      </c>
      <c r="Y537" s="5">
        <f>SUMIFS(Investment!$H$6:$H$1303, Investment!$A$6:$A$1303, Y$10, Investment!$E$6:$E$1303, $D537, Investment!$G$6:$G$1303, $B537)</f>
        <v>0</v>
      </c>
      <c r="Z537" s="455"/>
      <c r="AA537" s="456"/>
      <c r="AB537" s="456"/>
      <c r="AC537" s="456"/>
      <c r="AD537" s="456"/>
      <c r="AE537" s="456"/>
      <c r="AF537" s="456"/>
      <c r="AG537" s="33" t="str">
        <f t="shared" si="464"/>
        <v>2.04 &gt; Dominican Republic</v>
      </c>
      <c r="AH537" s="84">
        <f t="shared" si="472"/>
        <v>523</v>
      </c>
      <c r="AI537" s="84">
        <f t="shared" si="473"/>
        <v>20</v>
      </c>
      <c r="AJ537" s="877" t="s">
        <v>1526</v>
      </c>
    </row>
    <row r="538" spans="1:36" x14ac:dyDescent="0.2">
      <c r="A538" s="492">
        <f>INDEX(Country!$F$31:$G$76, MATCH(AI538, Country!$O$31:$O$76, 0), 1)</f>
        <v>2.0399999999999991</v>
      </c>
      <c r="B538" s="2" t="str">
        <f>INDEX(Country!$F$31:$G$76, MATCH(AI538, Country!$O$31:$O$76, 0), 2)</f>
        <v>Corporate finance investments</v>
      </c>
      <c r="C538" s="436" t="str">
        <f>INDEX(Country!$K$31:$K$76, MATCH(AI538, Country!$O$31:$O$76, 0), 1)</f>
        <v>USDm</v>
      </c>
      <c r="D538" s="4" t="str">
        <f t="shared" si="444"/>
        <v>Ecuador</v>
      </c>
      <c r="E538" s="5">
        <f t="shared" si="471"/>
        <v>0</v>
      </c>
      <c r="F538" s="5">
        <f t="shared" si="465"/>
        <v>0</v>
      </c>
      <c r="G538" s="5">
        <f t="shared" si="466"/>
        <v>0</v>
      </c>
      <c r="H538" s="5">
        <f t="shared" si="467"/>
        <v>0</v>
      </c>
      <c r="I538" s="5">
        <f t="shared" si="468"/>
        <v>0</v>
      </c>
      <c r="J538" s="5">
        <f t="shared" si="469"/>
        <v>0</v>
      </c>
      <c r="K538" s="6">
        <f t="shared" si="470"/>
        <v>0</v>
      </c>
      <c r="L538" s="457"/>
      <c r="M538" s="458"/>
      <c r="N538" s="458"/>
      <c r="O538" s="458"/>
      <c r="P538" s="458"/>
      <c r="Q538" s="458"/>
      <c r="R538" s="459"/>
      <c r="S538" s="421">
        <f>SUMIFS(Investment!$H$6:$H$1303, Investment!$A$6:$A$1303, S$10, Investment!$E$6:$E$1303, $D538, Investment!$G$6:$G$1303, $B538)</f>
        <v>0</v>
      </c>
      <c r="T538" s="5">
        <f>SUMIFS(Investment!$H$6:$H$1303, Investment!$A$6:$A$1303, T$10, Investment!$E$6:$E$1303, $D538, Investment!$G$6:$G$1303, $B538)</f>
        <v>0</v>
      </c>
      <c r="U538" s="5">
        <f>SUMIFS(Investment!$H$6:$H$1303, Investment!$A$6:$A$1303, U$10, Investment!$E$6:$E$1303, $D538, Investment!$G$6:$G$1303, $B538)</f>
        <v>0</v>
      </c>
      <c r="V538" s="5">
        <f>SUMIFS(Investment!$H$6:$H$1303, Investment!$A$6:$A$1303, V$10, Investment!$E$6:$E$1303, $D538, Investment!$G$6:$G$1303, $B538)</f>
        <v>0</v>
      </c>
      <c r="W538" s="5">
        <f>SUMIFS(Investment!$H$6:$H$1303, Investment!$A$6:$A$1303, W$10, Investment!$E$6:$E$1303, $D538, Investment!$G$6:$G$1303, $B538)</f>
        <v>0</v>
      </c>
      <c r="X538" s="5">
        <f>SUMIFS(Investment!$H$6:$H$1303, Investment!$A$6:$A$1303, X$10, Investment!$E$6:$E$1303, $D538, Investment!$G$6:$G$1303, $B538)</f>
        <v>0</v>
      </c>
      <c r="Y538" s="5">
        <f>SUMIFS(Investment!$H$6:$H$1303, Investment!$A$6:$A$1303, Y$10, Investment!$E$6:$E$1303, $D538, Investment!$G$6:$G$1303, $B538)</f>
        <v>0</v>
      </c>
      <c r="Z538" s="455"/>
      <c r="AA538" s="456"/>
      <c r="AB538" s="456"/>
      <c r="AC538" s="456"/>
      <c r="AD538" s="456"/>
      <c r="AE538" s="456"/>
      <c r="AF538" s="456"/>
      <c r="AG538" s="33" t="str">
        <f t="shared" si="464"/>
        <v>2.04 &gt; Ecuador</v>
      </c>
      <c r="AH538" s="84">
        <f t="shared" si="472"/>
        <v>524</v>
      </c>
      <c r="AI538" s="84">
        <f t="shared" si="473"/>
        <v>20</v>
      </c>
      <c r="AJ538" s="877" t="s">
        <v>1526</v>
      </c>
    </row>
    <row r="539" spans="1:36" x14ac:dyDescent="0.2">
      <c r="A539" s="492">
        <f>INDEX(Country!$F$31:$G$76, MATCH(AI539, Country!$O$31:$O$76, 0), 1)</f>
        <v>2.0399999999999991</v>
      </c>
      <c r="B539" s="2" t="str">
        <f>INDEX(Country!$F$31:$G$76, MATCH(AI539, Country!$O$31:$O$76, 0), 2)</f>
        <v>Corporate finance investments</v>
      </c>
      <c r="C539" s="436" t="str">
        <f>INDEX(Country!$K$31:$K$76, MATCH(AI539, Country!$O$31:$O$76, 0), 1)</f>
        <v>USDm</v>
      </c>
      <c r="D539" s="4" t="str">
        <f t="shared" si="444"/>
        <v>El Salvador</v>
      </c>
      <c r="E539" s="5">
        <f t="shared" si="471"/>
        <v>0</v>
      </c>
      <c r="F539" s="5">
        <f t="shared" si="465"/>
        <v>0</v>
      </c>
      <c r="G539" s="5">
        <f t="shared" si="466"/>
        <v>0</v>
      </c>
      <c r="H539" s="5">
        <f t="shared" si="467"/>
        <v>0</v>
      </c>
      <c r="I539" s="5">
        <f t="shared" si="468"/>
        <v>0</v>
      </c>
      <c r="J539" s="5">
        <f t="shared" si="469"/>
        <v>0</v>
      </c>
      <c r="K539" s="6">
        <f t="shared" si="470"/>
        <v>0</v>
      </c>
      <c r="L539" s="457"/>
      <c r="M539" s="458"/>
      <c r="N539" s="458"/>
      <c r="O539" s="458"/>
      <c r="P539" s="458"/>
      <c r="Q539" s="458"/>
      <c r="R539" s="459"/>
      <c r="S539" s="421">
        <f>SUMIFS(Investment!$H$6:$H$1303, Investment!$A$6:$A$1303, S$10, Investment!$E$6:$E$1303, $D539, Investment!$G$6:$G$1303, $B539)</f>
        <v>0</v>
      </c>
      <c r="T539" s="5">
        <f>SUMIFS(Investment!$H$6:$H$1303, Investment!$A$6:$A$1303, T$10, Investment!$E$6:$E$1303, $D539, Investment!$G$6:$G$1303, $B539)</f>
        <v>0</v>
      </c>
      <c r="U539" s="5">
        <f>SUMIFS(Investment!$H$6:$H$1303, Investment!$A$6:$A$1303, U$10, Investment!$E$6:$E$1303, $D539, Investment!$G$6:$G$1303, $B539)</f>
        <v>0</v>
      </c>
      <c r="V539" s="5">
        <f>SUMIFS(Investment!$H$6:$H$1303, Investment!$A$6:$A$1303, V$10, Investment!$E$6:$E$1303, $D539, Investment!$G$6:$G$1303, $B539)</f>
        <v>0</v>
      </c>
      <c r="W539" s="5">
        <f>SUMIFS(Investment!$H$6:$H$1303, Investment!$A$6:$A$1303, W$10, Investment!$E$6:$E$1303, $D539, Investment!$G$6:$G$1303, $B539)</f>
        <v>0</v>
      </c>
      <c r="X539" s="5">
        <f>SUMIFS(Investment!$H$6:$H$1303, Investment!$A$6:$A$1303, X$10, Investment!$E$6:$E$1303, $D539, Investment!$G$6:$G$1303, $B539)</f>
        <v>0</v>
      </c>
      <c r="Y539" s="5">
        <f>SUMIFS(Investment!$H$6:$H$1303, Investment!$A$6:$A$1303, Y$10, Investment!$E$6:$E$1303, $D539, Investment!$G$6:$G$1303, $B539)</f>
        <v>0</v>
      </c>
      <c r="Z539" s="455"/>
      <c r="AA539" s="456"/>
      <c r="AB539" s="456"/>
      <c r="AC539" s="456"/>
      <c r="AD539" s="456"/>
      <c r="AE539" s="456"/>
      <c r="AF539" s="456"/>
      <c r="AG539" s="33" t="str">
        <f t="shared" si="464"/>
        <v>2.04 &gt; El Salvador</v>
      </c>
      <c r="AH539" s="84">
        <f t="shared" si="472"/>
        <v>525</v>
      </c>
      <c r="AI539" s="84">
        <f t="shared" si="473"/>
        <v>20</v>
      </c>
      <c r="AJ539" s="877" t="s">
        <v>1526</v>
      </c>
    </row>
    <row r="540" spans="1:36" x14ac:dyDescent="0.2">
      <c r="A540" s="492">
        <f>INDEX(Country!$F$31:$G$76, MATCH(AI540, Country!$O$31:$O$76, 0), 1)</f>
        <v>2.0399999999999991</v>
      </c>
      <c r="B540" s="2" t="str">
        <f>INDEX(Country!$F$31:$G$76, MATCH(AI540, Country!$O$31:$O$76, 0), 2)</f>
        <v>Corporate finance investments</v>
      </c>
      <c r="C540" s="436" t="str">
        <f>INDEX(Country!$K$31:$K$76, MATCH(AI540, Country!$O$31:$O$76, 0), 1)</f>
        <v>USDm</v>
      </c>
      <c r="D540" s="4" t="str">
        <f t="shared" si="444"/>
        <v>Guatemala</v>
      </c>
      <c r="E540" s="5">
        <f t="shared" si="471"/>
        <v>0</v>
      </c>
      <c r="F540" s="5">
        <f t="shared" si="465"/>
        <v>3.4193214245298531</v>
      </c>
      <c r="G540" s="5">
        <f t="shared" si="466"/>
        <v>3.4193214245298531</v>
      </c>
      <c r="H540" s="5">
        <f t="shared" si="467"/>
        <v>3.4193214245298531</v>
      </c>
      <c r="I540" s="5">
        <f t="shared" si="468"/>
        <v>3.4193214245298531</v>
      </c>
      <c r="J540" s="5">
        <f t="shared" si="469"/>
        <v>3.4193214245298531</v>
      </c>
      <c r="K540" s="6">
        <f t="shared" si="470"/>
        <v>3.4193214245298531</v>
      </c>
      <c r="L540" s="457"/>
      <c r="M540" s="458"/>
      <c r="N540" s="458"/>
      <c r="O540" s="458"/>
      <c r="P540" s="458"/>
      <c r="Q540" s="458"/>
      <c r="R540" s="459"/>
      <c r="S540" s="421">
        <f>SUMIFS(Investment!$H$6:$H$1303, Investment!$A$6:$A$1303, S$10, Investment!$E$6:$E$1303, $D540, Investment!$G$6:$G$1303, $B540)</f>
        <v>0</v>
      </c>
      <c r="T540" s="5">
        <f>SUMIFS(Investment!$H$6:$H$1303, Investment!$A$6:$A$1303, T$10, Investment!$E$6:$E$1303, $D540, Investment!$G$6:$G$1303, $B540)</f>
        <v>3.4193214245298531</v>
      </c>
      <c r="U540" s="5">
        <f>SUMIFS(Investment!$H$6:$H$1303, Investment!$A$6:$A$1303, U$10, Investment!$E$6:$E$1303, $D540, Investment!$G$6:$G$1303, $B540)</f>
        <v>0</v>
      </c>
      <c r="V540" s="5">
        <f>SUMIFS(Investment!$H$6:$H$1303, Investment!$A$6:$A$1303, V$10, Investment!$E$6:$E$1303, $D540, Investment!$G$6:$G$1303, $B540)</f>
        <v>0</v>
      </c>
      <c r="W540" s="5">
        <f>SUMIFS(Investment!$H$6:$H$1303, Investment!$A$6:$A$1303, W$10, Investment!$E$6:$E$1303, $D540, Investment!$G$6:$G$1303, $B540)</f>
        <v>0</v>
      </c>
      <c r="X540" s="5">
        <f>SUMIFS(Investment!$H$6:$H$1303, Investment!$A$6:$A$1303, X$10, Investment!$E$6:$E$1303, $D540, Investment!$G$6:$G$1303, $B540)</f>
        <v>0</v>
      </c>
      <c r="Y540" s="5">
        <f>SUMIFS(Investment!$H$6:$H$1303, Investment!$A$6:$A$1303, Y$10, Investment!$E$6:$E$1303, $D540, Investment!$G$6:$G$1303, $B540)</f>
        <v>0</v>
      </c>
      <c r="Z540" s="455"/>
      <c r="AA540" s="456"/>
      <c r="AB540" s="456"/>
      <c r="AC540" s="456"/>
      <c r="AD540" s="456"/>
      <c r="AE540" s="456"/>
      <c r="AF540" s="456"/>
      <c r="AG540" s="33" t="str">
        <f t="shared" si="464"/>
        <v>2.04 &gt; Guatemala</v>
      </c>
      <c r="AH540" s="84">
        <f t="shared" si="472"/>
        <v>526</v>
      </c>
      <c r="AI540" s="84">
        <f t="shared" si="473"/>
        <v>20</v>
      </c>
      <c r="AJ540" s="877" t="s">
        <v>1526</v>
      </c>
    </row>
    <row r="541" spans="1:36" x14ac:dyDescent="0.2">
      <c r="A541" s="492">
        <f>INDEX(Country!$F$31:$G$76, MATCH(AI541, Country!$O$31:$O$76, 0), 1)</f>
        <v>2.0399999999999991</v>
      </c>
      <c r="B541" s="2" t="str">
        <f>INDEX(Country!$F$31:$G$76, MATCH(AI541, Country!$O$31:$O$76, 0), 2)</f>
        <v>Corporate finance investments</v>
      </c>
      <c r="C541" s="436" t="str">
        <f>INDEX(Country!$K$31:$K$76, MATCH(AI541, Country!$O$31:$O$76, 0), 1)</f>
        <v>USDm</v>
      </c>
      <c r="D541" s="4" t="str">
        <f t="shared" si="444"/>
        <v>Guyana</v>
      </c>
      <c r="E541" s="5">
        <f t="shared" si="471"/>
        <v>0</v>
      </c>
      <c r="F541" s="5">
        <f t="shared" si="465"/>
        <v>0</v>
      </c>
      <c r="G541" s="5">
        <f t="shared" si="466"/>
        <v>0</v>
      </c>
      <c r="H541" s="5">
        <f t="shared" si="467"/>
        <v>0</v>
      </c>
      <c r="I541" s="5">
        <f t="shared" si="468"/>
        <v>0</v>
      </c>
      <c r="J541" s="5">
        <f t="shared" si="469"/>
        <v>0</v>
      </c>
      <c r="K541" s="6">
        <f t="shared" si="470"/>
        <v>0</v>
      </c>
      <c r="L541" s="457"/>
      <c r="M541" s="458"/>
      <c r="N541" s="458"/>
      <c r="O541" s="458"/>
      <c r="P541" s="458"/>
      <c r="Q541" s="458"/>
      <c r="R541" s="459"/>
      <c r="S541" s="421">
        <f>SUMIFS(Investment!$H$6:$H$1303, Investment!$A$6:$A$1303, S$10, Investment!$E$6:$E$1303, $D541, Investment!$G$6:$G$1303, $B541)</f>
        <v>0</v>
      </c>
      <c r="T541" s="5">
        <f>SUMIFS(Investment!$H$6:$H$1303, Investment!$A$6:$A$1303, T$10, Investment!$E$6:$E$1303, $D541, Investment!$G$6:$G$1303, $B541)</f>
        <v>0</v>
      </c>
      <c r="U541" s="5">
        <f>SUMIFS(Investment!$H$6:$H$1303, Investment!$A$6:$A$1303, U$10, Investment!$E$6:$E$1303, $D541, Investment!$G$6:$G$1303, $B541)</f>
        <v>0</v>
      </c>
      <c r="V541" s="5">
        <f>SUMIFS(Investment!$H$6:$H$1303, Investment!$A$6:$A$1303, V$10, Investment!$E$6:$E$1303, $D541, Investment!$G$6:$G$1303, $B541)</f>
        <v>0</v>
      </c>
      <c r="W541" s="5">
        <f>SUMIFS(Investment!$H$6:$H$1303, Investment!$A$6:$A$1303, W$10, Investment!$E$6:$E$1303, $D541, Investment!$G$6:$G$1303, $B541)</f>
        <v>0</v>
      </c>
      <c r="X541" s="5">
        <f>SUMIFS(Investment!$H$6:$H$1303, Investment!$A$6:$A$1303, X$10, Investment!$E$6:$E$1303, $D541, Investment!$G$6:$G$1303, $B541)</f>
        <v>0</v>
      </c>
      <c r="Y541" s="5">
        <f>SUMIFS(Investment!$H$6:$H$1303, Investment!$A$6:$A$1303, Y$10, Investment!$E$6:$E$1303, $D541, Investment!$G$6:$G$1303, $B541)</f>
        <v>0</v>
      </c>
      <c r="Z541" s="455"/>
      <c r="AA541" s="456"/>
      <c r="AB541" s="456"/>
      <c r="AC541" s="456"/>
      <c r="AD541" s="456"/>
      <c r="AE541" s="456"/>
      <c r="AF541" s="456"/>
      <c r="AG541" s="33" t="str">
        <f t="shared" si="464"/>
        <v>2.04 &gt; Guyana</v>
      </c>
      <c r="AH541" s="84">
        <f t="shared" si="472"/>
        <v>527</v>
      </c>
      <c r="AI541" s="84">
        <f t="shared" si="473"/>
        <v>20</v>
      </c>
      <c r="AJ541" s="877" t="s">
        <v>1526</v>
      </c>
    </row>
    <row r="542" spans="1:36" x14ac:dyDescent="0.2">
      <c r="A542" s="492">
        <f>INDEX(Country!$F$31:$G$76, MATCH(AI542, Country!$O$31:$O$76, 0), 1)</f>
        <v>2.0399999999999991</v>
      </c>
      <c r="B542" s="2" t="str">
        <f>INDEX(Country!$F$31:$G$76, MATCH(AI542, Country!$O$31:$O$76, 0), 2)</f>
        <v>Corporate finance investments</v>
      </c>
      <c r="C542" s="436" t="str">
        <f>INDEX(Country!$K$31:$K$76, MATCH(AI542, Country!$O$31:$O$76, 0), 1)</f>
        <v>USDm</v>
      </c>
      <c r="D542" s="4" t="str">
        <f t="shared" si="444"/>
        <v>Haiti</v>
      </c>
      <c r="E542" s="5">
        <f t="shared" si="471"/>
        <v>0</v>
      </c>
      <c r="F542" s="5">
        <f t="shared" si="465"/>
        <v>0</v>
      </c>
      <c r="G542" s="5">
        <f t="shared" si="466"/>
        <v>0</v>
      </c>
      <c r="H542" s="5">
        <f t="shared" si="467"/>
        <v>0</v>
      </c>
      <c r="I542" s="5">
        <f t="shared" si="468"/>
        <v>0</v>
      </c>
      <c r="J542" s="5">
        <f t="shared" si="469"/>
        <v>0</v>
      </c>
      <c r="K542" s="6">
        <f t="shared" si="470"/>
        <v>0</v>
      </c>
      <c r="L542" s="457"/>
      <c r="M542" s="458"/>
      <c r="N542" s="458"/>
      <c r="O542" s="458"/>
      <c r="P542" s="458"/>
      <c r="Q542" s="458"/>
      <c r="R542" s="459"/>
      <c r="S542" s="421">
        <f>SUMIFS(Investment!$H$6:$H$1303, Investment!$A$6:$A$1303, S$10, Investment!$E$6:$E$1303, $D542, Investment!$G$6:$G$1303, $B542)</f>
        <v>0</v>
      </c>
      <c r="T542" s="5">
        <f>SUMIFS(Investment!$H$6:$H$1303, Investment!$A$6:$A$1303, T$10, Investment!$E$6:$E$1303, $D542, Investment!$G$6:$G$1303, $B542)</f>
        <v>0</v>
      </c>
      <c r="U542" s="5">
        <f>SUMIFS(Investment!$H$6:$H$1303, Investment!$A$6:$A$1303, U$10, Investment!$E$6:$E$1303, $D542, Investment!$G$6:$G$1303, $B542)</f>
        <v>0</v>
      </c>
      <c r="V542" s="5">
        <f>SUMIFS(Investment!$H$6:$H$1303, Investment!$A$6:$A$1303, V$10, Investment!$E$6:$E$1303, $D542, Investment!$G$6:$G$1303, $B542)</f>
        <v>0</v>
      </c>
      <c r="W542" s="5">
        <f>SUMIFS(Investment!$H$6:$H$1303, Investment!$A$6:$A$1303, W$10, Investment!$E$6:$E$1303, $D542, Investment!$G$6:$G$1303, $B542)</f>
        <v>0</v>
      </c>
      <c r="X542" s="5">
        <f>SUMIFS(Investment!$H$6:$H$1303, Investment!$A$6:$A$1303, X$10, Investment!$E$6:$E$1303, $D542, Investment!$G$6:$G$1303, $B542)</f>
        <v>0</v>
      </c>
      <c r="Y542" s="5">
        <f>SUMIFS(Investment!$H$6:$H$1303, Investment!$A$6:$A$1303, Y$10, Investment!$E$6:$E$1303, $D542, Investment!$G$6:$G$1303, $B542)</f>
        <v>0</v>
      </c>
      <c r="Z542" s="455"/>
      <c r="AA542" s="456"/>
      <c r="AB542" s="456"/>
      <c r="AC542" s="456"/>
      <c r="AD542" s="456"/>
      <c r="AE542" s="456"/>
      <c r="AF542" s="456"/>
      <c r="AG542" s="33" t="str">
        <f t="shared" si="464"/>
        <v>2.04 &gt; Haiti</v>
      </c>
      <c r="AH542" s="84">
        <f t="shared" si="472"/>
        <v>528</v>
      </c>
      <c r="AI542" s="84">
        <f t="shared" si="473"/>
        <v>20</v>
      </c>
      <c r="AJ542" s="877" t="s">
        <v>1526</v>
      </c>
    </row>
    <row r="543" spans="1:36" x14ac:dyDescent="0.2">
      <c r="A543" s="492">
        <f>INDEX(Country!$F$31:$G$76, MATCH(AI543, Country!$O$31:$O$76, 0), 1)</f>
        <v>2.0399999999999991</v>
      </c>
      <c r="B543" s="2" t="str">
        <f>INDEX(Country!$F$31:$G$76, MATCH(AI543, Country!$O$31:$O$76, 0), 2)</f>
        <v>Corporate finance investments</v>
      </c>
      <c r="C543" s="436" t="str">
        <f>INDEX(Country!$K$31:$K$76, MATCH(AI543, Country!$O$31:$O$76, 0), 1)</f>
        <v>USDm</v>
      </c>
      <c r="D543" s="4" t="str">
        <f t="shared" si="444"/>
        <v>Honduras</v>
      </c>
      <c r="E543" s="5">
        <f t="shared" si="471"/>
        <v>0</v>
      </c>
      <c r="F543" s="5">
        <f t="shared" si="465"/>
        <v>0</v>
      </c>
      <c r="G543" s="5">
        <f t="shared" si="466"/>
        <v>0</v>
      </c>
      <c r="H543" s="5">
        <f t="shared" si="467"/>
        <v>0</v>
      </c>
      <c r="I543" s="5">
        <f t="shared" si="468"/>
        <v>0</v>
      </c>
      <c r="J543" s="5">
        <f t="shared" si="469"/>
        <v>0</v>
      </c>
      <c r="K543" s="6">
        <f t="shared" si="470"/>
        <v>0</v>
      </c>
      <c r="L543" s="457"/>
      <c r="M543" s="458"/>
      <c r="N543" s="458"/>
      <c r="O543" s="458"/>
      <c r="P543" s="458"/>
      <c r="Q543" s="458"/>
      <c r="R543" s="459"/>
      <c r="S543" s="421">
        <f>SUMIFS(Investment!$H$6:$H$1303, Investment!$A$6:$A$1303, S$10, Investment!$E$6:$E$1303, $D543, Investment!$G$6:$G$1303, $B543)</f>
        <v>0</v>
      </c>
      <c r="T543" s="5">
        <f>SUMIFS(Investment!$H$6:$H$1303, Investment!$A$6:$A$1303, T$10, Investment!$E$6:$E$1303, $D543, Investment!$G$6:$G$1303, $B543)</f>
        <v>0</v>
      </c>
      <c r="U543" s="5">
        <f>SUMIFS(Investment!$H$6:$H$1303, Investment!$A$6:$A$1303, U$10, Investment!$E$6:$E$1303, $D543, Investment!$G$6:$G$1303, $B543)</f>
        <v>0</v>
      </c>
      <c r="V543" s="5">
        <f>SUMIFS(Investment!$H$6:$H$1303, Investment!$A$6:$A$1303, V$10, Investment!$E$6:$E$1303, $D543, Investment!$G$6:$G$1303, $B543)</f>
        <v>0</v>
      </c>
      <c r="W543" s="5">
        <f>SUMIFS(Investment!$H$6:$H$1303, Investment!$A$6:$A$1303, W$10, Investment!$E$6:$E$1303, $D543, Investment!$G$6:$G$1303, $B543)</f>
        <v>0</v>
      </c>
      <c r="X543" s="5">
        <f>SUMIFS(Investment!$H$6:$H$1303, Investment!$A$6:$A$1303, X$10, Investment!$E$6:$E$1303, $D543, Investment!$G$6:$G$1303, $B543)</f>
        <v>0</v>
      </c>
      <c r="Y543" s="5">
        <f>SUMIFS(Investment!$H$6:$H$1303, Investment!$A$6:$A$1303, Y$10, Investment!$E$6:$E$1303, $D543, Investment!$G$6:$G$1303, $B543)</f>
        <v>0</v>
      </c>
      <c r="Z543" s="455"/>
      <c r="AA543" s="456"/>
      <c r="AB543" s="456"/>
      <c r="AC543" s="456"/>
      <c r="AD543" s="456"/>
      <c r="AE543" s="456"/>
      <c r="AF543" s="456"/>
      <c r="AG543" s="33" t="str">
        <f t="shared" si="464"/>
        <v>2.04 &gt; Honduras</v>
      </c>
      <c r="AH543" s="84">
        <f t="shared" si="472"/>
        <v>529</v>
      </c>
      <c r="AI543" s="84">
        <f t="shared" si="473"/>
        <v>20</v>
      </c>
      <c r="AJ543" s="877" t="s">
        <v>1526</v>
      </c>
    </row>
    <row r="544" spans="1:36" x14ac:dyDescent="0.2">
      <c r="A544" s="492">
        <f>INDEX(Country!$F$31:$G$76, MATCH(AI544, Country!$O$31:$O$76, 0), 1)</f>
        <v>2.0399999999999991</v>
      </c>
      <c r="B544" s="2" t="str">
        <f>INDEX(Country!$F$31:$G$76, MATCH(AI544, Country!$O$31:$O$76, 0), 2)</f>
        <v>Corporate finance investments</v>
      </c>
      <c r="C544" s="436" t="str">
        <f>INDEX(Country!$K$31:$K$76, MATCH(AI544, Country!$O$31:$O$76, 0), 1)</f>
        <v>USDm</v>
      </c>
      <c r="D544" s="4" t="str">
        <f t="shared" si="444"/>
        <v>Jamaica</v>
      </c>
      <c r="E544" s="5">
        <f t="shared" si="471"/>
        <v>0</v>
      </c>
      <c r="F544" s="5">
        <f t="shared" si="465"/>
        <v>0</v>
      </c>
      <c r="G544" s="5">
        <f t="shared" si="466"/>
        <v>0</v>
      </c>
      <c r="H544" s="5">
        <f t="shared" si="467"/>
        <v>0</v>
      </c>
      <c r="I544" s="5">
        <f t="shared" si="468"/>
        <v>0</v>
      </c>
      <c r="J544" s="5">
        <f t="shared" si="469"/>
        <v>0</v>
      </c>
      <c r="K544" s="6">
        <f t="shared" si="470"/>
        <v>0</v>
      </c>
      <c r="L544" s="457"/>
      <c r="M544" s="458"/>
      <c r="N544" s="458"/>
      <c r="O544" s="458"/>
      <c r="P544" s="458"/>
      <c r="Q544" s="458"/>
      <c r="R544" s="459"/>
      <c r="S544" s="421">
        <f>SUMIFS(Investment!$H$6:$H$1303, Investment!$A$6:$A$1303, S$10, Investment!$E$6:$E$1303, $D544, Investment!$G$6:$G$1303, $B544)</f>
        <v>0</v>
      </c>
      <c r="T544" s="5">
        <f>SUMIFS(Investment!$H$6:$H$1303, Investment!$A$6:$A$1303, T$10, Investment!$E$6:$E$1303, $D544, Investment!$G$6:$G$1303, $B544)</f>
        <v>0</v>
      </c>
      <c r="U544" s="5">
        <f>SUMIFS(Investment!$H$6:$H$1303, Investment!$A$6:$A$1303, U$10, Investment!$E$6:$E$1303, $D544, Investment!$G$6:$G$1303, $B544)</f>
        <v>0</v>
      </c>
      <c r="V544" s="5">
        <f>SUMIFS(Investment!$H$6:$H$1303, Investment!$A$6:$A$1303, V$10, Investment!$E$6:$E$1303, $D544, Investment!$G$6:$G$1303, $B544)</f>
        <v>0</v>
      </c>
      <c r="W544" s="5">
        <f>SUMIFS(Investment!$H$6:$H$1303, Investment!$A$6:$A$1303, W$10, Investment!$E$6:$E$1303, $D544, Investment!$G$6:$G$1303, $B544)</f>
        <v>0</v>
      </c>
      <c r="X544" s="5">
        <f>SUMIFS(Investment!$H$6:$H$1303, Investment!$A$6:$A$1303, X$10, Investment!$E$6:$E$1303, $D544, Investment!$G$6:$G$1303, $B544)</f>
        <v>0</v>
      </c>
      <c r="Y544" s="5">
        <f>SUMIFS(Investment!$H$6:$H$1303, Investment!$A$6:$A$1303, Y$10, Investment!$E$6:$E$1303, $D544, Investment!$G$6:$G$1303, $B544)</f>
        <v>0</v>
      </c>
      <c r="Z544" s="455"/>
      <c r="AA544" s="456"/>
      <c r="AB544" s="456"/>
      <c r="AC544" s="456"/>
      <c r="AD544" s="456"/>
      <c r="AE544" s="456"/>
      <c r="AF544" s="456"/>
      <c r="AG544" s="33" t="str">
        <f t="shared" si="464"/>
        <v>2.04 &gt; Jamaica</v>
      </c>
      <c r="AH544" s="84">
        <f t="shared" si="472"/>
        <v>530</v>
      </c>
      <c r="AI544" s="84">
        <f t="shared" si="473"/>
        <v>20</v>
      </c>
      <c r="AJ544" s="877" t="s">
        <v>1526</v>
      </c>
    </row>
    <row r="545" spans="1:36" x14ac:dyDescent="0.2">
      <c r="A545" s="492">
        <f>INDEX(Country!$F$31:$G$76, MATCH(AI545, Country!$O$31:$O$76, 0), 1)</f>
        <v>2.0399999999999991</v>
      </c>
      <c r="B545" s="2" t="str">
        <f>INDEX(Country!$F$31:$G$76, MATCH(AI545, Country!$O$31:$O$76, 0), 2)</f>
        <v>Corporate finance investments</v>
      </c>
      <c r="C545" s="436" t="str">
        <f>INDEX(Country!$K$31:$K$76, MATCH(AI545, Country!$O$31:$O$76, 0), 1)</f>
        <v>USDm</v>
      </c>
      <c r="D545" s="4" t="str">
        <f t="shared" si="444"/>
        <v>Mexico</v>
      </c>
      <c r="E545" s="5">
        <f t="shared" si="471"/>
        <v>0</v>
      </c>
      <c r="F545" s="5">
        <f t="shared" si="465"/>
        <v>241.79767225416157</v>
      </c>
      <c r="G545" s="5">
        <f t="shared" si="466"/>
        <v>241.79767225416157</v>
      </c>
      <c r="H545" s="5">
        <f t="shared" si="467"/>
        <v>241.79767225416157</v>
      </c>
      <c r="I545" s="5">
        <f t="shared" si="468"/>
        <v>241.79767225416157</v>
      </c>
      <c r="J545" s="5">
        <f t="shared" si="469"/>
        <v>241.79767225416157</v>
      </c>
      <c r="K545" s="6">
        <f t="shared" si="470"/>
        <v>241.79767225416157</v>
      </c>
      <c r="L545" s="457"/>
      <c r="M545" s="458"/>
      <c r="N545" s="458"/>
      <c r="O545" s="458"/>
      <c r="P545" s="458"/>
      <c r="Q545" s="458"/>
      <c r="R545" s="459"/>
      <c r="S545" s="421">
        <f>SUMIFS(Investment!$H$6:$H$1303, Investment!$A$6:$A$1303, S$10, Investment!$E$6:$E$1303, $D545, Investment!$G$6:$G$1303, $B545)</f>
        <v>0</v>
      </c>
      <c r="T545" s="5">
        <f>SUMIFS(Investment!$H$6:$H$1303, Investment!$A$6:$A$1303, T$10, Investment!$E$6:$E$1303, $D545, Investment!$G$6:$G$1303, $B545)</f>
        <v>241.79767225416157</v>
      </c>
      <c r="U545" s="5">
        <f>SUMIFS(Investment!$H$6:$H$1303, Investment!$A$6:$A$1303, U$10, Investment!$E$6:$E$1303, $D545, Investment!$G$6:$G$1303, $B545)</f>
        <v>0</v>
      </c>
      <c r="V545" s="5">
        <f>SUMIFS(Investment!$H$6:$H$1303, Investment!$A$6:$A$1303, V$10, Investment!$E$6:$E$1303, $D545, Investment!$G$6:$G$1303, $B545)</f>
        <v>0</v>
      </c>
      <c r="W545" s="5">
        <f>SUMIFS(Investment!$H$6:$H$1303, Investment!$A$6:$A$1303, W$10, Investment!$E$6:$E$1303, $D545, Investment!$G$6:$G$1303, $B545)</f>
        <v>0</v>
      </c>
      <c r="X545" s="5">
        <f>SUMIFS(Investment!$H$6:$H$1303, Investment!$A$6:$A$1303, X$10, Investment!$E$6:$E$1303, $D545, Investment!$G$6:$G$1303, $B545)</f>
        <v>0</v>
      </c>
      <c r="Y545" s="5">
        <f>SUMIFS(Investment!$H$6:$H$1303, Investment!$A$6:$A$1303, Y$10, Investment!$E$6:$E$1303, $D545, Investment!$G$6:$G$1303, $B545)</f>
        <v>0</v>
      </c>
      <c r="Z545" s="455"/>
      <c r="AA545" s="456"/>
      <c r="AB545" s="456"/>
      <c r="AC545" s="456"/>
      <c r="AD545" s="456"/>
      <c r="AE545" s="456"/>
      <c r="AF545" s="456"/>
      <c r="AG545" s="33" t="str">
        <f t="shared" si="464"/>
        <v>2.04 &gt; Mexico</v>
      </c>
      <c r="AH545" s="84">
        <f t="shared" si="472"/>
        <v>531</v>
      </c>
      <c r="AI545" s="84">
        <f t="shared" si="473"/>
        <v>20</v>
      </c>
      <c r="AJ545" s="877" t="s">
        <v>1526</v>
      </c>
    </row>
    <row r="546" spans="1:36" x14ac:dyDescent="0.2">
      <c r="A546" s="492">
        <f>INDEX(Country!$F$31:$G$76, MATCH(AI546, Country!$O$31:$O$76, 0), 1)</f>
        <v>2.0399999999999991</v>
      </c>
      <c r="B546" s="2" t="str">
        <f>INDEX(Country!$F$31:$G$76, MATCH(AI546, Country!$O$31:$O$76, 0), 2)</f>
        <v>Corporate finance investments</v>
      </c>
      <c r="C546" s="436" t="str">
        <f>INDEX(Country!$K$31:$K$76, MATCH(AI546, Country!$O$31:$O$76, 0), 1)</f>
        <v>USDm</v>
      </c>
      <c r="D546" s="4" t="str">
        <f t="shared" si="444"/>
        <v>Nicaragua</v>
      </c>
      <c r="E546" s="5">
        <f t="shared" si="471"/>
        <v>0</v>
      </c>
      <c r="F546" s="5">
        <f t="shared" si="465"/>
        <v>0</v>
      </c>
      <c r="G546" s="5">
        <f t="shared" si="466"/>
        <v>0</v>
      </c>
      <c r="H546" s="5">
        <f t="shared" si="467"/>
        <v>0</v>
      </c>
      <c r="I546" s="5">
        <f t="shared" si="468"/>
        <v>0</v>
      </c>
      <c r="J546" s="5">
        <f t="shared" si="469"/>
        <v>0</v>
      </c>
      <c r="K546" s="6">
        <f t="shared" si="470"/>
        <v>0</v>
      </c>
      <c r="L546" s="457"/>
      <c r="M546" s="458"/>
      <c r="N546" s="458"/>
      <c r="O546" s="458"/>
      <c r="P546" s="458"/>
      <c r="Q546" s="458"/>
      <c r="R546" s="459"/>
      <c r="S546" s="421">
        <f>SUMIFS(Investment!$H$6:$H$1303, Investment!$A$6:$A$1303, S$10, Investment!$E$6:$E$1303, $D546, Investment!$G$6:$G$1303, $B546)</f>
        <v>0</v>
      </c>
      <c r="T546" s="5">
        <f>SUMIFS(Investment!$H$6:$H$1303, Investment!$A$6:$A$1303, T$10, Investment!$E$6:$E$1303, $D546, Investment!$G$6:$G$1303, $B546)</f>
        <v>0</v>
      </c>
      <c r="U546" s="5">
        <f>SUMIFS(Investment!$H$6:$H$1303, Investment!$A$6:$A$1303, U$10, Investment!$E$6:$E$1303, $D546, Investment!$G$6:$G$1303, $B546)</f>
        <v>0</v>
      </c>
      <c r="V546" s="5">
        <f>SUMIFS(Investment!$H$6:$H$1303, Investment!$A$6:$A$1303, V$10, Investment!$E$6:$E$1303, $D546, Investment!$G$6:$G$1303, $B546)</f>
        <v>0</v>
      </c>
      <c r="W546" s="5">
        <f>SUMIFS(Investment!$H$6:$H$1303, Investment!$A$6:$A$1303, W$10, Investment!$E$6:$E$1303, $D546, Investment!$G$6:$G$1303, $B546)</f>
        <v>0</v>
      </c>
      <c r="X546" s="5">
        <f>SUMIFS(Investment!$H$6:$H$1303, Investment!$A$6:$A$1303, X$10, Investment!$E$6:$E$1303, $D546, Investment!$G$6:$G$1303, $B546)</f>
        <v>0</v>
      </c>
      <c r="Y546" s="5">
        <f>SUMIFS(Investment!$H$6:$H$1303, Investment!$A$6:$A$1303, Y$10, Investment!$E$6:$E$1303, $D546, Investment!$G$6:$G$1303, $B546)</f>
        <v>0</v>
      </c>
      <c r="Z546" s="455"/>
      <c r="AA546" s="456"/>
      <c r="AB546" s="456"/>
      <c r="AC546" s="456"/>
      <c r="AD546" s="456"/>
      <c r="AE546" s="456"/>
      <c r="AF546" s="456"/>
      <c r="AG546" s="33" t="str">
        <f t="shared" si="464"/>
        <v>2.04 &gt; Nicaragua</v>
      </c>
      <c r="AH546" s="84">
        <f t="shared" si="472"/>
        <v>532</v>
      </c>
      <c r="AI546" s="84">
        <f t="shared" si="473"/>
        <v>20</v>
      </c>
      <c r="AJ546" s="877" t="s">
        <v>1526</v>
      </c>
    </row>
    <row r="547" spans="1:36" x14ac:dyDescent="0.2">
      <c r="A547" s="492">
        <f>INDEX(Country!$F$31:$G$76, MATCH(AI547, Country!$O$31:$O$76, 0), 1)</f>
        <v>2.0399999999999991</v>
      </c>
      <c r="B547" s="2" t="str">
        <f>INDEX(Country!$F$31:$G$76, MATCH(AI547, Country!$O$31:$O$76, 0), 2)</f>
        <v>Corporate finance investments</v>
      </c>
      <c r="C547" s="436" t="str">
        <f>INDEX(Country!$K$31:$K$76, MATCH(AI547, Country!$O$31:$O$76, 0), 1)</f>
        <v>USDm</v>
      </c>
      <c r="D547" s="4" t="str">
        <f t="shared" si="444"/>
        <v>Panama</v>
      </c>
      <c r="E547" s="5">
        <f t="shared" si="471"/>
        <v>0</v>
      </c>
      <c r="F547" s="5">
        <f t="shared" si="465"/>
        <v>0</v>
      </c>
      <c r="G547" s="5">
        <f t="shared" si="466"/>
        <v>0</v>
      </c>
      <c r="H547" s="5">
        <f t="shared" si="467"/>
        <v>0</v>
      </c>
      <c r="I547" s="5">
        <f t="shared" si="468"/>
        <v>0</v>
      </c>
      <c r="J547" s="5">
        <f t="shared" si="469"/>
        <v>0</v>
      </c>
      <c r="K547" s="6">
        <f t="shared" si="470"/>
        <v>0</v>
      </c>
      <c r="L547" s="457"/>
      <c r="M547" s="458"/>
      <c r="N547" s="458"/>
      <c r="O547" s="458"/>
      <c r="P547" s="458"/>
      <c r="Q547" s="458"/>
      <c r="R547" s="459"/>
      <c r="S547" s="421">
        <f>SUMIFS(Investment!$H$6:$H$1303, Investment!$A$6:$A$1303, S$10, Investment!$E$6:$E$1303, $D547, Investment!$G$6:$G$1303, $B547)</f>
        <v>0</v>
      </c>
      <c r="T547" s="5">
        <f>SUMIFS(Investment!$H$6:$H$1303, Investment!$A$6:$A$1303, T$10, Investment!$E$6:$E$1303, $D547, Investment!$G$6:$G$1303, $B547)</f>
        <v>0</v>
      </c>
      <c r="U547" s="5">
        <f>SUMIFS(Investment!$H$6:$H$1303, Investment!$A$6:$A$1303, U$10, Investment!$E$6:$E$1303, $D547, Investment!$G$6:$G$1303, $B547)</f>
        <v>0</v>
      </c>
      <c r="V547" s="5">
        <f>SUMIFS(Investment!$H$6:$H$1303, Investment!$A$6:$A$1303, V$10, Investment!$E$6:$E$1303, $D547, Investment!$G$6:$G$1303, $B547)</f>
        <v>0</v>
      </c>
      <c r="W547" s="5">
        <f>SUMIFS(Investment!$H$6:$H$1303, Investment!$A$6:$A$1303, W$10, Investment!$E$6:$E$1303, $D547, Investment!$G$6:$G$1303, $B547)</f>
        <v>0</v>
      </c>
      <c r="X547" s="5">
        <f>SUMIFS(Investment!$H$6:$H$1303, Investment!$A$6:$A$1303, X$10, Investment!$E$6:$E$1303, $D547, Investment!$G$6:$G$1303, $B547)</f>
        <v>0</v>
      </c>
      <c r="Y547" s="5">
        <f>SUMIFS(Investment!$H$6:$H$1303, Investment!$A$6:$A$1303, Y$10, Investment!$E$6:$E$1303, $D547, Investment!$G$6:$G$1303, $B547)</f>
        <v>0</v>
      </c>
      <c r="Z547" s="455"/>
      <c r="AA547" s="456"/>
      <c r="AB547" s="456"/>
      <c r="AC547" s="456"/>
      <c r="AD547" s="456"/>
      <c r="AE547" s="456"/>
      <c r="AF547" s="456"/>
      <c r="AG547" s="33" t="str">
        <f t="shared" si="464"/>
        <v>2.04 &gt; Panama</v>
      </c>
      <c r="AH547" s="84">
        <f t="shared" si="472"/>
        <v>533</v>
      </c>
      <c r="AI547" s="84">
        <f t="shared" si="473"/>
        <v>20</v>
      </c>
      <c r="AJ547" s="877" t="s">
        <v>1526</v>
      </c>
    </row>
    <row r="548" spans="1:36" x14ac:dyDescent="0.2">
      <c r="A548" s="492">
        <f>INDEX(Country!$F$31:$G$76, MATCH(AI548, Country!$O$31:$O$76, 0), 1)</f>
        <v>2.0399999999999991</v>
      </c>
      <c r="B548" s="2" t="str">
        <f>INDEX(Country!$F$31:$G$76, MATCH(AI548, Country!$O$31:$O$76, 0), 2)</f>
        <v>Corporate finance investments</v>
      </c>
      <c r="C548" s="436" t="str">
        <f>INDEX(Country!$K$31:$K$76, MATCH(AI548, Country!$O$31:$O$76, 0), 1)</f>
        <v>USDm</v>
      </c>
      <c r="D548" s="4" t="str">
        <f t="shared" si="444"/>
        <v>Paraguay</v>
      </c>
      <c r="E548" s="5">
        <f t="shared" si="471"/>
        <v>0</v>
      </c>
      <c r="F548" s="5">
        <f t="shared" si="465"/>
        <v>0</v>
      </c>
      <c r="G548" s="5">
        <f t="shared" si="466"/>
        <v>0</v>
      </c>
      <c r="H548" s="5">
        <f t="shared" si="467"/>
        <v>0</v>
      </c>
      <c r="I548" s="5">
        <f t="shared" si="468"/>
        <v>0</v>
      </c>
      <c r="J548" s="5">
        <f t="shared" si="469"/>
        <v>0</v>
      </c>
      <c r="K548" s="6">
        <f t="shared" si="470"/>
        <v>0</v>
      </c>
      <c r="L548" s="457"/>
      <c r="M548" s="458"/>
      <c r="N548" s="458"/>
      <c r="O548" s="458"/>
      <c r="P548" s="458"/>
      <c r="Q548" s="458"/>
      <c r="R548" s="459"/>
      <c r="S548" s="421">
        <f>SUMIFS(Investment!$H$6:$H$1303, Investment!$A$6:$A$1303, S$10, Investment!$E$6:$E$1303, $D548, Investment!$G$6:$G$1303, $B548)</f>
        <v>0</v>
      </c>
      <c r="T548" s="5">
        <f>SUMIFS(Investment!$H$6:$H$1303, Investment!$A$6:$A$1303, T$10, Investment!$E$6:$E$1303, $D548, Investment!$G$6:$G$1303, $B548)</f>
        <v>0</v>
      </c>
      <c r="U548" s="5">
        <f>SUMIFS(Investment!$H$6:$H$1303, Investment!$A$6:$A$1303, U$10, Investment!$E$6:$E$1303, $D548, Investment!$G$6:$G$1303, $B548)</f>
        <v>0</v>
      </c>
      <c r="V548" s="5">
        <f>SUMIFS(Investment!$H$6:$H$1303, Investment!$A$6:$A$1303, V$10, Investment!$E$6:$E$1303, $D548, Investment!$G$6:$G$1303, $B548)</f>
        <v>0</v>
      </c>
      <c r="W548" s="5">
        <f>SUMIFS(Investment!$H$6:$H$1303, Investment!$A$6:$A$1303, W$10, Investment!$E$6:$E$1303, $D548, Investment!$G$6:$G$1303, $B548)</f>
        <v>0</v>
      </c>
      <c r="X548" s="5">
        <f>SUMIFS(Investment!$H$6:$H$1303, Investment!$A$6:$A$1303, X$10, Investment!$E$6:$E$1303, $D548, Investment!$G$6:$G$1303, $B548)</f>
        <v>0</v>
      </c>
      <c r="Y548" s="5">
        <f>SUMIFS(Investment!$H$6:$H$1303, Investment!$A$6:$A$1303, Y$10, Investment!$E$6:$E$1303, $D548, Investment!$G$6:$G$1303, $B548)</f>
        <v>0</v>
      </c>
      <c r="Z548" s="455"/>
      <c r="AA548" s="456"/>
      <c r="AB548" s="456"/>
      <c r="AC548" s="456"/>
      <c r="AD548" s="456"/>
      <c r="AE548" s="456"/>
      <c r="AF548" s="456"/>
      <c r="AG548" s="33" t="str">
        <f t="shared" si="464"/>
        <v>2.04 &gt; Paraguay</v>
      </c>
      <c r="AH548" s="84">
        <f t="shared" si="472"/>
        <v>534</v>
      </c>
      <c r="AI548" s="84">
        <f t="shared" si="473"/>
        <v>20</v>
      </c>
      <c r="AJ548" s="877" t="s">
        <v>1526</v>
      </c>
    </row>
    <row r="549" spans="1:36" x14ac:dyDescent="0.2">
      <c r="A549" s="492">
        <f>INDEX(Country!$F$31:$G$76, MATCH(AI549, Country!$O$31:$O$76, 0), 1)</f>
        <v>2.0399999999999991</v>
      </c>
      <c r="B549" s="2" t="str">
        <f>INDEX(Country!$F$31:$G$76, MATCH(AI549, Country!$O$31:$O$76, 0), 2)</f>
        <v>Corporate finance investments</v>
      </c>
      <c r="C549" s="436" t="str">
        <f>INDEX(Country!$K$31:$K$76, MATCH(AI549, Country!$O$31:$O$76, 0), 1)</f>
        <v>USDm</v>
      </c>
      <c r="D549" s="4" t="str">
        <f t="shared" si="444"/>
        <v>Peru</v>
      </c>
      <c r="E549" s="5">
        <f t="shared" si="471"/>
        <v>49.81391946804581</v>
      </c>
      <c r="F549" s="5">
        <f t="shared" si="465"/>
        <v>107.35135853750114</v>
      </c>
      <c r="G549" s="5">
        <f t="shared" si="466"/>
        <v>107.35135853750114</v>
      </c>
      <c r="H549" s="5">
        <f t="shared" si="467"/>
        <v>107.35135853750114</v>
      </c>
      <c r="I549" s="5">
        <f t="shared" si="468"/>
        <v>111.8547141459394</v>
      </c>
      <c r="J549" s="5">
        <f t="shared" si="469"/>
        <v>147.22208819687006</v>
      </c>
      <c r="K549" s="6">
        <f t="shared" si="470"/>
        <v>147.22208819687006</v>
      </c>
      <c r="L549" s="457"/>
      <c r="M549" s="458"/>
      <c r="N549" s="458"/>
      <c r="O549" s="458"/>
      <c r="P549" s="458"/>
      <c r="Q549" s="458"/>
      <c r="R549" s="459"/>
      <c r="S549" s="421">
        <f>SUMIFS(Investment!$H$6:$H$1303, Investment!$A$6:$A$1303, S$10, Investment!$E$6:$E$1303, $D549, Investment!$G$6:$G$1303, $B549)</f>
        <v>49.81391946804581</v>
      </c>
      <c r="T549" s="5">
        <f>SUMIFS(Investment!$H$6:$H$1303, Investment!$A$6:$A$1303, T$10, Investment!$E$6:$E$1303, $D549, Investment!$G$6:$G$1303, $B549)</f>
        <v>57.537439069455331</v>
      </c>
      <c r="U549" s="5">
        <f>SUMIFS(Investment!$H$6:$H$1303, Investment!$A$6:$A$1303, U$10, Investment!$E$6:$E$1303, $D549, Investment!$G$6:$G$1303, $B549)</f>
        <v>0</v>
      </c>
      <c r="V549" s="5">
        <f>SUMIFS(Investment!$H$6:$H$1303, Investment!$A$6:$A$1303, V$10, Investment!$E$6:$E$1303, $D549, Investment!$G$6:$G$1303, $B549)</f>
        <v>0</v>
      </c>
      <c r="W549" s="5">
        <f>SUMIFS(Investment!$H$6:$H$1303, Investment!$A$6:$A$1303, W$10, Investment!$E$6:$E$1303, $D549, Investment!$G$6:$G$1303, $B549)</f>
        <v>4.5033556084382589</v>
      </c>
      <c r="X549" s="5">
        <f>SUMIFS(Investment!$H$6:$H$1303, Investment!$A$6:$A$1303, X$10, Investment!$E$6:$E$1303, $D549, Investment!$G$6:$G$1303, $B549)</f>
        <v>35.367374050930671</v>
      </c>
      <c r="Y549" s="5">
        <f>SUMIFS(Investment!$H$6:$H$1303, Investment!$A$6:$A$1303, Y$10, Investment!$E$6:$E$1303, $D549, Investment!$G$6:$G$1303, $B549)</f>
        <v>0</v>
      </c>
      <c r="Z549" s="455"/>
      <c r="AA549" s="456"/>
      <c r="AB549" s="456"/>
      <c r="AC549" s="456"/>
      <c r="AD549" s="456"/>
      <c r="AE549" s="456"/>
      <c r="AF549" s="456"/>
      <c r="AG549" s="33" t="str">
        <f t="shared" si="464"/>
        <v>2.04 &gt; Peru</v>
      </c>
      <c r="AH549" s="84">
        <f t="shared" si="472"/>
        <v>535</v>
      </c>
      <c r="AI549" s="84">
        <f t="shared" si="473"/>
        <v>20</v>
      </c>
      <c r="AJ549" s="877" t="s">
        <v>1526</v>
      </c>
    </row>
    <row r="550" spans="1:36" x14ac:dyDescent="0.2">
      <c r="A550" s="492">
        <f>INDEX(Country!$F$31:$G$76, MATCH(AI550, Country!$O$31:$O$76, 0), 1)</f>
        <v>2.0399999999999991</v>
      </c>
      <c r="B550" s="2" t="str">
        <f>INDEX(Country!$F$31:$G$76, MATCH(AI550, Country!$O$31:$O$76, 0), 2)</f>
        <v>Corporate finance investments</v>
      </c>
      <c r="C550" s="436" t="str">
        <f>INDEX(Country!$K$31:$K$76, MATCH(AI550, Country!$O$31:$O$76, 0), 1)</f>
        <v>USDm</v>
      </c>
      <c r="D550" s="4" t="str">
        <f t="shared" si="444"/>
        <v>Suriname</v>
      </c>
      <c r="E550" s="5">
        <f t="shared" si="471"/>
        <v>0</v>
      </c>
      <c r="F550" s="5">
        <f t="shared" si="465"/>
        <v>0</v>
      </c>
      <c r="G550" s="5">
        <f t="shared" si="466"/>
        <v>0</v>
      </c>
      <c r="H550" s="5">
        <f t="shared" si="467"/>
        <v>0</v>
      </c>
      <c r="I550" s="5">
        <f t="shared" si="468"/>
        <v>0</v>
      </c>
      <c r="J550" s="5">
        <f t="shared" si="469"/>
        <v>0</v>
      </c>
      <c r="K550" s="6">
        <f t="shared" si="470"/>
        <v>0</v>
      </c>
      <c r="L550" s="457"/>
      <c r="M550" s="458"/>
      <c r="N550" s="458"/>
      <c r="O550" s="458"/>
      <c r="P550" s="458"/>
      <c r="Q550" s="458"/>
      <c r="R550" s="459"/>
      <c r="S550" s="421">
        <f>SUMIFS(Investment!$H$6:$H$1303, Investment!$A$6:$A$1303, S$10, Investment!$E$6:$E$1303, $D550, Investment!$G$6:$G$1303, $B550)</f>
        <v>0</v>
      </c>
      <c r="T550" s="5">
        <f>SUMIFS(Investment!$H$6:$H$1303, Investment!$A$6:$A$1303, T$10, Investment!$E$6:$E$1303, $D550, Investment!$G$6:$G$1303, $B550)</f>
        <v>0</v>
      </c>
      <c r="U550" s="5">
        <f>SUMIFS(Investment!$H$6:$H$1303, Investment!$A$6:$A$1303, U$10, Investment!$E$6:$E$1303, $D550, Investment!$G$6:$G$1303, $B550)</f>
        <v>0</v>
      </c>
      <c r="V550" s="5">
        <f>SUMIFS(Investment!$H$6:$H$1303, Investment!$A$6:$A$1303, V$10, Investment!$E$6:$E$1303, $D550, Investment!$G$6:$G$1303, $B550)</f>
        <v>0</v>
      </c>
      <c r="W550" s="5">
        <f>SUMIFS(Investment!$H$6:$H$1303, Investment!$A$6:$A$1303, W$10, Investment!$E$6:$E$1303, $D550, Investment!$G$6:$G$1303, $B550)</f>
        <v>0</v>
      </c>
      <c r="X550" s="5">
        <f>SUMIFS(Investment!$H$6:$H$1303, Investment!$A$6:$A$1303, X$10, Investment!$E$6:$E$1303, $D550, Investment!$G$6:$G$1303, $B550)</f>
        <v>0</v>
      </c>
      <c r="Y550" s="5">
        <f>SUMIFS(Investment!$H$6:$H$1303, Investment!$A$6:$A$1303, Y$10, Investment!$E$6:$E$1303, $D550, Investment!$G$6:$G$1303, $B550)</f>
        <v>0</v>
      </c>
      <c r="Z550" s="455"/>
      <c r="AA550" s="456"/>
      <c r="AB550" s="456"/>
      <c r="AC550" s="456"/>
      <c r="AD550" s="456"/>
      <c r="AE550" s="456"/>
      <c r="AF550" s="456"/>
      <c r="AG550" s="33" t="str">
        <f t="shared" si="464"/>
        <v>2.04 &gt; Suriname</v>
      </c>
      <c r="AH550" s="84">
        <f t="shared" si="472"/>
        <v>536</v>
      </c>
      <c r="AI550" s="84">
        <f t="shared" si="473"/>
        <v>20</v>
      </c>
      <c r="AJ550" s="877" t="s">
        <v>1526</v>
      </c>
    </row>
    <row r="551" spans="1:36" x14ac:dyDescent="0.2">
      <c r="A551" s="492">
        <f>INDEX(Country!$F$31:$G$76, MATCH(AI551, Country!$O$31:$O$76, 0), 1)</f>
        <v>2.0399999999999991</v>
      </c>
      <c r="B551" s="2" t="str">
        <f>INDEX(Country!$F$31:$G$76, MATCH(AI551, Country!$O$31:$O$76, 0), 2)</f>
        <v>Corporate finance investments</v>
      </c>
      <c r="C551" s="436" t="str">
        <f>INDEX(Country!$K$31:$K$76, MATCH(AI551, Country!$O$31:$O$76, 0), 1)</f>
        <v>USDm</v>
      </c>
      <c r="D551" s="4" t="str">
        <f t="shared" si="444"/>
        <v>Trinidad &amp; Tobago</v>
      </c>
      <c r="E551" s="5">
        <f t="shared" si="471"/>
        <v>0</v>
      </c>
      <c r="F551" s="5">
        <f t="shared" si="465"/>
        <v>0</v>
      </c>
      <c r="G551" s="5">
        <f t="shared" si="466"/>
        <v>0</v>
      </c>
      <c r="H551" s="5">
        <f t="shared" si="467"/>
        <v>0</v>
      </c>
      <c r="I551" s="5">
        <f t="shared" si="468"/>
        <v>0</v>
      </c>
      <c r="J551" s="5">
        <f t="shared" si="469"/>
        <v>0</v>
      </c>
      <c r="K551" s="6">
        <f t="shared" si="470"/>
        <v>0</v>
      </c>
      <c r="L551" s="457"/>
      <c r="M551" s="458"/>
      <c r="N551" s="458"/>
      <c r="O551" s="458"/>
      <c r="P551" s="458"/>
      <c r="Q551" s="458"/>
      <c r="R551" s="459"/>
      <c r="S551" s="421">
        <f>SUMIFS(Investment!$H$6:$H$1303, Investment!$A$6:$A$1303, S$10, Investment!$E$6:$E$1303, $D551, Investment!$G$6:$G$1303, $B551)</f>
        <v>0</v>
      </c>
      <c r="T551" s="5">
        <f>SUMIFS(Investment!$H$6:$H$1303, Investment!$A$6:$A$1303, T$10, Investment!$E$6:$E$1303, $D551, Investment!$G$6:$G$1303, $B551)</f>
        <v>0</v>
      </c>
      <c r="U551" s="5">
        <f>SUMIFS(Investment!$H$6:$H$1303, Investment!$A$6:$A$1303, U$10, Investment!$E$6:$E$1303, $D551, Investment!$G$6:$G$1303, $B551)</f>
        <v>0</v>
      </c>
      <c r="V551" s="5">
        <f>SUMIFS(Investment!$H$6:$H$1303, Investment!$A$6:$A$1303, V$10, Investment!$E$6:$E$1303, $D551, Investment!$G$6:$G$1303, $B551)</f>
        <v>0</v>
      </c>
      <c r="W551" s="5">
        <f>SUMIFS(Investment!$H$6:$H$1303, Investment!$A$6:$A$1303, W$10, Investment!$E$6:$E$1303, $D551, Investment!$G$6:$G$1303, $B551)</f>
        <v>0</v>
      </c>
      <c r="X551" s="5">
        <f>SUMIFS(Investment!$H$6:$H$1303, Investment!$A$6:$A$1303, X$10, Investment!$E$6:$E$1303, $D551, Investment!$G$6:$G$1303, $B551)</f>
        <v>0</v>
      </c>
      <c r="Y551" s="5">
        <f>SUMIFS(Investment!$H$6:$H$1303, Investment!$A$6:$A$1303, Y$10, Investment!$E$6:$E$1303, $D551, Investment!$G$6:$G$1303, $B551)</f>
        <v>0</v>
      </c>
      <c r="Z551" s="455"/>
      <c r="AA551" s="456"/>
      <c r="AB551" s="456"/>
      <c r="AC551" s="456"/>
      <c r="AD551" s="456"/>
      <c r="AE551" s="456"/>
      <c r="AF551" s="456"/>
      <c r="AG551" s="33" t="str">
        <f t="shared" si="464"/>
        <v>2.04 &gt; Trinidad &amp; Tobago</v>
      </c>
      <c r="AH551" s="84">
        <f t="shared" si="472"/>
        <v>537</v>
      </c>
      <c r="AI551" s="84">
        <f t="shared" si="473"/>
        <v>20</v>
      </c>
      <c r="AJ551" s="877" t="s">
        <v>1526</v>
      </c>
    </row>
    <row r="552" spans="1:36" x14ac:dyDescent="0.2">
      <c r="A552" s="492">
        <f>INDEX(Country!$F$31:$G$76, MATCH(AI552, Country!$O$31:$O$76, 0), 1)</f>
        <v>2.0399999999999991</v>
      </c>
      <c r="B552" s="2" t="str">
        <f>INDEX(Country!$F$31:$G$76, MATCH(AI552, Country!$O$31:$O$76, 0), 2)</f>
        <v>Corporate finance investments</v>
      </c>
      <c r="C552" s="436" t="str">
        <f>INDEX(Country!$K$31:$K$76, MATCH(AI552, Country!$O$31:$O$76, 0), 1)</f>
        <v>USDm</v>
      </c>
      <c r="D552" s="4" t="str">
        <f t="shared" si="444"/>
        <v>Uruguay</v>
      </c>
      <c r="E552" s="5">
        <f t="shared" si="471"/>
        <v>0</v>
      </c>
      <c r="F552" s="5">
        <f t="shared" si="465"/>
        <v>0</v>
      </c>
      <c r="G552" s="5">
        <f t="shared" si="466"/>
        <v>0</v>
      </c>
      <c r="H552" s="5">
        <f t="shared" si="467"/>
        <v>0</v>
      </c>
      <c r="I552" s="5">
        <f t="shared" si="468"/>
        <v>0</v>
      </c>
      <c r="J552" s="5">
        <f t="shared" si="469"/>
        <v>0</v>
      </c>
      <c r="K552" s="6">
        <f t="shared" si="470"/>
        <v>0</v>
      </c>
      <c r="L552" s="457"/>
      <c r="M552" s="458"/>
      <c r="N552" s="458"/>
      <c r="O552" s="458"/>
      <c r="P552" s="458"/>
      <c r="Q552" s="458"/>
      <c r="R552" s="459"/>
      <c r="S552" s="421">
        <f>SUMIFS(Investment!$H$6:$H$1303, Investment!$A$6:$A$1303, S$10, Investment!$E$6:$E$1303, $D552, Investment!$G$6:$G$1303, $B552)</f>
        <v>0</v>
      </c>
      <c r="T552" s="5">
        <f>SUMIFS(Investment!$H$6:$H$1303, Investment!$A$6:$A$1303, T$10, Investment!$E$6:$E$1303, $D552, Investment!$G$6:$G$1303, $B552)</f>
        <v>0</v>
      </c>
      <c r="U552" s="5">
        <f>SUMIFS(Investment!$H$6:$H$1303, Investment!$A$6:$A$1303, U$10, Investment!$E$6:$E$1303, $D552, Investment!$G$6:$G$1303, $B552)</f>
        <v>0</v>
      </c>
      <c r="V552" s="5">
        <f>SUMIFS(Investment!$H$6:$H$1303, Investment!$A$6:$A$1303, V$10, Investment!$E$6:$E$1303, $D552, Investment!$G$6:$G$1303, $B552)</f>
        <v>0</v>
      </c>
      <c r="W552" s="5">
        <f>SUMIFS(Investment!$H$6:$H$1303, Investment!$A$6:$A$1303, W$10, Investment!$E$6:$E$1303, $D552, Investment!$G$6:$G$1303, $B552)</f>
        <v>0</v>
      </c>
      <c r="X552" s="5">
        <f>SUMIFS(Investment!$H$6:$H$1303, Investment!$A$6:$A$1303, X$10, Investment!$E$6:$E$1303, $D552, Investment!$G$6:$G$1303, $B552)</f>
        <v>0</v>
      </c>
      <c r="Y552" s="5">
        <f>SUMIFS(Investment!$H$6:$H$1303, Investment!$A$6:$A$1303, Y$10, Investment!$E$6:$E$1303, $D552, Investment!$G$6:$G$1303, $B552)</f>
        <v>0</v>
      </c>
      <c r="Z552" s="455"/>
      <c r="AA552" s="456"/>
      <c r="AB552" s="456"/>
      <c r="AC552" s="456"/>
      <c r="AD552" s="456"/>
      <c r="AE552" s="456"/>
      <c r="AF552" s="456"/>
      <c r="AG552" s="33" t="str">
        <f t="shared" si="464"/>
        <v>2.04 &gt; Uruguay</v>
      </c>
      <c r="AH552" s="84">
        <f t="shared" si="472"/>
        <v>538</v>
      </c>
      <c r="AI552" s="84">
        <f t="shared" si="473"/>
        <v>20</v>
      </c>
      <c r="AJ552" s="877" t="s">
        <v>1526</v>
      </c>
    </row>
    <row r="553" spans="1:36" x14ac:dyDescent="0.2">
      <c r="A553" s="491">
        <f>INDEX(Country!$F$31:$G$76, MATCH(AI553, Country!$O$31:$O$76, 0), 1)</f>
        <v>2.0399999999999991</v>
      </c>
      <c r="B553" s="386" t="str">
        <f>INDEX(Country!$F$31:$G$76, MATCH(AI553, Country!$O$31:$O$76, 0), 2)</f>
        <v>Corporate finance investments</v>
      </c>
      <c r="C553" s="437" t="str">
        <f>INDEX(Country!$K$31:$K$76, MATCH(AI553, Country!$O$31:$O$76, 0), 1)</f>
        <v>USDm</v>
      </c>
      <c r="D553" s="86" t="str">
        <f t="shared" si="444"/>
        <v>Venezuela</v>
      </c>
      <c r="E553" s="364">
        <f t="shared" si="471"/>
        <v>0</v>
      </c>
      <c r="F553" s="364">
        <f t="shared" si="465"/>
        <v>0</v>
      </c>
      <c r="G553" s="364">
        <f t="shared" si="466"/>
        <v>0</v>
      </c>
      <c r="H553" s="364">
        <f t="shared" si="467"/>
        <v>0</v>
      </c>
      <c r="I553" s="364">
        <f t="shared" si="468"/>
        <v>0</v>
      </c>
      <c r="J553" s="364">
        <f t="shared" si="469"/>
        <v>0</v>
      </c>
      <c r="K553" s="390">
        <f t="shared" si="470"/>
        <v>0</v>
      </c>
      <c r="L553" s="460"/>
      <c r="M553" s="461"/>
      <c r="N553" s="461"/>
      <c r="O553" s="461"/>
      <c r="P553" s="461"/>
      <c r="Q553" s="461"/>
      <c r="R553" s="462"/>
      <c r="S553" s="422">
        <f>SUMIFS(Investment!$H$6:$H$1303, Investment!$A$6:$A$1303, S$10, Investment!$E$6:$E$1303, $D553, Investment!$G$6:$G$1303, $B553)</f>
        <v>0</v>
      </c>
      <c r="T553" s="364">
        <f>SUMIFS(Investment!$H$6:$H$1303, Investment!$A$6:$A$1303, T$10, Investment!$E$6:$E$1303, $D553, Investment!$G$6:$G$1303, $B553)</f>
        <v>0</v>
      </c>
      <c r="U553" s="364">
        <f>SUMIFS(Investment!$H$6:$H$1303, Investment!$A$6:$A$1303, U$10, Investment!$E$6:$E$1303, $D553, Investment!$G$6:$G$1303, $B553)</f>
        <v>0</v>
      </c>
      <c r="V553" s="364">
        <f>SUMIFS(Investment!$H$6:$H$1303, Investment!$A$6:$A$1303, V$10, Investment!$E$6:$E$1303, $D553, Investment!$G$6:$G$1303, $B553)</f>
        <v>0</v>
      </c>
      <c r="W553" s="364">
        <f>SUMIFS(Investment!$H$6:$H$1303, Investment!$A$6:$A$1303, W$10, Investment!$E$6:$E$1303, $D553, Investment!$G$6:$G$1303, $B553)</f>
        <v>0</v>
      </c>
      <c r="X553" s="364">
        <f>SUMIFS(Investment!$H$6:$H$1303, Investment!$A$6:$A$1303, X$10, Investment!$E$6:$E$1303, $D553, Investment!$G$6:$G$1303, $B553)</f>
        <v>0</v>
      </c>
      <c r="Y553" s="364">
        <f>SUMIFS(Investment!$H$6:$H$1303, Investment!$A$6:$A$1303, Y$10, Investment!$E$6:$E$1303, $D553, Investment!$G$6:$G$1303, $B553)</f>
        <v>0</v>
      </c>
      <c r="Z553" s="455"/>
      <c r="AA553" s="456"/>
      <c r="AB553" s="456"/>
      <c r="AC553" s="456"/>
      <c r="AD553" s="456"/>
      <c r="AE553" s="456"/>
      <c r="AF553" s="456"/>
      <c r="AG553" s="90" t="str">
        <f t="shared" si="464"/>
        <v>2.04 &gt; Venezuela</v>
      </c>
      <c r="AH553" s="392">
        <f t="shared" si="472"/>
        <v>539</v>
      </c>
      <c r="AI553" s="392">
        <f t="shared" si="473"/>
        <v>20</v>
      </c>
      <c r="AJ553" s="878" t="s">
        <v>1526</v>
      </c>
    </row>
    <row r="554" spans="1:36" x14ac:dyDescent="0.2">
      <c r="A554" s="490">
        <f>INDEX(Country!$F$31:$G$76, MATCH(AI554, Country!$O$31:$O$76, 0), 1)</f>
        <v>2.0399999999999991</v>
      </c>
      <c r="B554" s="387" t="str">
        <f>INDEX(Country!$F$31:$G$76, MATCH(AI554, Country!$O$31:$O$76, 0), 2)</f>
        <v>Corporate finance investments</v>
      </c>
      <c r="C554" s="438" t="str">
        <f>INDEX(Country!$K$31:$K$76, MATCH(AI554, Country!$O$31:$O$76, 0), 1)</f>
        <v>USDm</v>
      </c>
      <c r="D554" s="32" t="str">
        <f t="shared" si="444"/>
        <v>Benchmark</v>
      </c>
      <c r="E554" s="365">
        <f>IFERROR(MAX(E528:E553), 0)</f>
        <v>291.7215569999999</v>
      </c>
      <c r="F554" s="365">
        <f t="shared" ref="F554:K554" si="474">IFERROR(MAX(F528:F553), 0)</f>
        <v>2471.3222038132108</v>
      </c>
      <c r="G554" s="365">
        <f t="shared" si="474"/>
        <v>3215.3483990178379</v>
      </c>
      <c r="H554" s="365">
        <f t="shared" si="474"/>
        <v>4744.5492229159581</v>
      </c>
      <c r="I554" s="365">
        <f t="shared" si="474"/>
        <v>6699.9267673698605</v>
      </c>
      <c r="J554" s="365">
        <f t="shared" si="474"/>
        <v>9777.8641040629318</v>
      </c>
      <c r="K554" s="593">
        <f t="shared" si="474"/>
        <v>11053.401500657894</v>
      </c>
      <c r="L554" s="585">
        <v>0</v>
      </c>
      <c r="M554" s="463">
        <v>0</v>
      </c>
      <c r="N554" s="463">
        <v>0</v>
      </c>
      <c r="O554" s="463">
        <v>0</v>
      </c>
      <c r="P554" s="463">
        <v>0</v>
      </c>
      <c r="Q554" s="463">
        <v>0</v>
      </c>
      <c r="R554" s="586">
        <v>0</v>
      </c>
      <c r="S554" s="393" t="s">
        <v>1552</v>
      </c>
      <c r="T554" s="394"/>
      <c r="U554" s="376"/>
      <c r="V554" s="376"/>
      <c r="W554" s="376"/>
      <c r="X554" s="376"/>
      <c r="Y554" s="376"/>
      <c r="Z554" s="393"/>
      <c r="AA554" s="394"/>
      <c r="AB554" s="376"/>
      <c r="AC554" s="376"/>
      <c r="AD554" s="376"/>
      <c r="AE554" s="376"/>
      <c r="AF554" s="401"/>
      <c r="AG554" s="34" t="str">
        <f t="shared" si="464"/>
        <v>2.04 &gt; Benchmark</v>
      </c>
      <c r="AH554" s="85">
        <f t="shared" si="472"/>
        <v>540</v>
      </c>
      <c r="AI554" s="85">
        <f t="shared" si="473"/>
        <v>20</v>
      </c>
      <c r="AJ554" s="871" t="s">
        <v>1526</v>
      </c>
    </row>
    <row r="555" spans="1:36" x14ac:dyDescent="0.2">
      <c r="A555" s="587">
        <f>INDEX(Country!$F$31:$G$76, MATCH(AI555, Country!$O$31:$O$76, 0), 1)</f>
        <v>2.0499999999999989</v>
      </c>
      <c r="B555" s="588" t="str">
        <f>INDEX(Country!$F$31:$G$76, MATCH(AI555, Country!$O$31:$O$76, 0), 2)</f>
        <v>VC/PE investments</v>
      </c>
      <c r="C555" s="589" t="str">
        <f>INDEX(Country!$K$31:$K$76, MATCH(AI555, Country!$O$31:$O$76, 0), 1)</f>
        <v>USDm</v>
      </c>
      <c r="D555" s="590" t="str">
        <f t="shared" si="444"/>
        <v>Argentina</v>
      </c>
      <c r="E555" s="5">
        <f>S555</f>
        <v>0</v>
      </c>
      <c r="F555" s="601">
        <f t="shared" ref="F555:F580" si="475">E555+T555</f>
        <v>0</v>
      </c>
      <c r="G555" s="601">
        <f t="shared" ref="G555:G580" si="476">F555+U555</f>
        <v>55.114535068189831</v>
      </c>
      <c r="H555" s="601">
        <f t="shared" ref="H555:H580" si="477">G555+V555</f>
        <v>55.114535068189831</v>
      </c>
      <c r="I555" s="601">
        <f t="shared" ref="I555:I580" si="478">H555+W555</f>
        <v>55.114535068189831</v>
      </c>
      <c r="J555" s="601">
        <f t="shared" ref="J555:J580" si="479">I555+X555</f>
        <v>55.114535068189831</v>
      </c>
      <c r="K555" s="610">
        <f t="shared" ref="K555:K580" si="480">J555+Y555</f>
        <v>55.743008764171748</v>
      </c>
      <c r="L555" s="580"/>
      <c r="M555" s="581"/>
      <c r="N555" s="581"/>
      <c r="O555" s="581"/>
      <c r="P555" s="581"/>
      <c r="Q555" s="581"/>
      <c r="R555" s="582"/>
      <c r="S555" s="420">
        <f>SUMIFS(Investment!$H$6:$H$1303, Investment!$A$6:$A$1303, S$10, Investment!$E$6:$E$1303, $D555, Investment!$G$6:$G$1303, $B555)</f>
        <v>0</v>
      </c>
      <c r="T555" s="367">
        <f>SUMIFS(Investment!$H$6:$H$1303, Investment!$A$6:$A$1303, T$10, Investment!$E$6:$E$1303, $D555, Investment!$G$6:$G$1303, $B555)</f>
        <v>0</v>
      </c>
      <c r="U555" s="367">
        <f>SUMIFS(Investment!$H$6:$H$1303, Investment!$A$6:$A$1303, U$10, Investment!$E$6:$E$1303, $D555, Investment!$G$6:$G$1303, $B555)</f>
        <v>55.114535068189831</v>
      </c>
      <c r="V555" s="367">
        <f>SUMIFS(Investment!$H$6:$H$1303, Investment!$A$6:$A$1303, V$10, Investment!$E$6:$E$1303, $D555, Investment!$G$6:$G$1303, $B555)</f>
        <v>0</v>
      </c>
      <c r="W555" s="367">
        <f>SUMIFS(Investment!$H$6:$H$1303, Investment!$A$6:$A$1303, W$10, Investment!$E$6:$E$1303, $D555, Investment!$G$6:$G$1303, $B555)</f>
        <v>0</v>
      </c>
      <c r="X555" s="367">
        <f>SUMIFS(Investment!$H$6:$H$1303, Investment!$A$6:$A$1303, X$10, Investment!$E$6:$E$1303, $D555, Investment!$G$6:$G$1303, $B555)</f>
        <v>0</v>
      </c>
      <c r="Y555" s="367">
        <f>SUMIFS(Investment!$H$6:$H$1303, Investment!$A$6:$A$1303, Y$10, Investment!$E$6:$E$1303, $D555, Investment!$G$6:$G$1303, $B555)</f>
        <v>0.62847369598191516</v>
      </c>
      <c r="Z555" s="455"/>
      <c r="AA555" s="456"/>
      <c r="AB555" s="456"/>
      <c r="AC555" s="456"/>
      <c r="AD555" s="456"/>
      <c r="AE555" s="456"/>
      <c r="AF555" s="456"/>
      <c r="AG555" s="396" t="str">
        <f t="shared" si="464"/>
        <v>2.05 &gt; Argentina</v>
      </c>
      <c r="AH555" s="397">
        <f t="shared" si="472"/>
        <v>541</v>
      </c>
      <c r="AI555" s="397">
        <f t="shared" si="473"/>
        <v>21</v>
      </c>
      <c r="AJ555" s="879" t="s">
        <v>1526</v>
      </c>
    </row>
    <row r="556" spans="1:36" x14ac:dyDescent="0.2">
      <c r="A556" s="492">
        <f>INDEX(Country!$F$31:$G$76, MATCH(AI556, Country!$O$31:$O$76, 0), 1)</f>
        <v>2.0499999999999989</v>
      </c>
      <c r="B556" s="2" t="str">
        <f>INDEX(Country!$F$31:$G$76, MATCH(AI556, Country!$O$31:$O$76, 0), 2)</f>
        <v>VC/PE investments</v>
      </c>
      <c r="C556" s="436" t="str">
        <f>INDEX(Country!$K$31:$K$76, MATCH(AI556, Country!$O$31:$O$76, 0), 1)</f>
        <v>USDm</v>
      </c>
      <c r="D556" s="4" t="str">
        <f t="shared" ref="D556:D581" si="481">D529</f>
        <v>Bahamas</v>
      </c>
      <c r="E556" s="5">
        <f t="shared" ref="E556:E580" si="482">S556</f>
        <v>0</v>
      </c>
      <c r="F556" s="5">
        <f t="shared" si="475"/>
        <v>0</v>
      </c>
      <c r="G556" s="5">
        <f t="shared" si="476"/>
        <v>0</v>
      </c>
      <c r="H556" s="5">
        <f t="shared" si="477"/>
        <v>0</v>
      </c>
      <c r="I556" s="5">
        <f t="shared" si="478"/>
        <v>0</v>
      </c>
      <c r="J556" s="5">
        <f t="shared" si="479"/>
        <v>0</v>
      </c>
      <c r="K556" s="6">
        <f t="shared" si="480"/>
        <v>0</v>
      </c>
      <c r="L556" s="457"/>
      <c r="M556" s="458"/>
      <c r="N556" s="458"/>
      <c r="O556" s="458"/>
      <c r="P556" s="458"/>
      <c r="Q556" s="458"/>
      <c r="R556" s="459"/>
      <c r="S556" s="421">
        <f>SUMIFS(Investment!$H$6:$H$1303, Investment!$A$6:$A$1303, S$10, Investment!$E$6:$E$1303, $D556, Investment!$G$6:$G$1303, $B556)</f>
        <v>0</v>
      </c>
      <c r="T556" s="5">
        <f>SUMIFS(Investment!$H$6:$H$1303, Investment!$A$6:$A$1303, T$10, Investment!$E$6:$E$1303, $D556, Investment!$G$6:$G$1303, $B556)</f>
        <v>0</v>
      </c>
      <c r="U556" s="5">
        <f>SUMIFS(Investment!$H$6:$H$1303, Investment!$A$6:$A$1303, U$10, Investment!$E$6:$E$1303, $D556, Investment!$G$6:$G$1303, $B556)</f>
        <v>0</v>
      </c>
      <c r="V556" s="5">
        <f>SUMIFS(Investment!$H$6:$H$1303, Investment!$A$6:$A$1303, V$10, Investment!$E$6:$E$1303, $D556, Investment!$G$6:$G$1303, $B556)</f>
        <v>0</v>
      </c>
      <c r="W556" s="5">
        <f>SUMIFS(Investment!$H$6:$H$1303, Investment!$A$6:$A$1303, W$10, Investment!$E$6:$E$1303, $D556, Investment!$G$6:$G$1303, $B556)</f>
        <v>0</v>
      </c>
      <c r="X556" s="5">
        <f>SUMIFS(Investment!$H$6:$H$1303, Investment!$A$6:$A$1303, X$10, Investment!$E$6:$E$1303, $D556, Investment!$G$6:$G$1303, $B556)</f>
        <v>0</v>
      </c>
      <c r="Y556" s="5">
        <f>SUMIFS(Investment!$H$6:$H$1303, Investment!$A$6:$A$1303, Y$10, Investment!$E$6:$E$1303, $D556, Investment!$G$6:$G$1303, $B556)</f>
        <v>0</v>
      </c>
      <c r="Z556" s="455"/>
      <c r="AA556" s="456"/>
      <c r="AB556" s="456"/>
      <c r="AC556" s="456"/>
      <c r="AD556" s="456"/>
      <c r="AE556" s="456"/>
      <c r="AF556" s="456"/>
      <c r="AG556" s="33" t="str">
        <f t="shared" si="464"/>
        <v>2.05 &gt; Bahamas</v>
      </c>
      <c r="AH556" s="84">
        <f t="shared" si="472"/>
        <v>542</v>
      </c>
      <c r="AI556" s="84">
        <f t="shared" si="473"/>
        <v>21</v>
      </c>
      <c r="AJ556" s="877" t="s">
        <v>1526</v>
      </c>
    </row>
    <row r="557" spans="1:36" x14ac:dyDescent="0.2">
      <c r="A557" s="492">
        <f>INDEX(Country!$F$31:$G$76, MATCH(AI557, Country!$O$31:$O$76, 0), 1)</f>
        <v>2.0499999999999989</v>
      </c>
      <c r="B557" s="2" t="str">
        <f>INDEX(Country!$F$31:$G$76, MATCH(AI557, Country!$O$31:$O$76, 0), 2)</f>
        <v>VC/PE investments</v>
      </c>
      <c r="C557" s="436" t="str">
        <f>INDEX(Country!$K$31:$K$76, MATCH(AI557, Country!$O$31:$O$76, 0), 1)</f>
        <v>USDm</v>
      </c>
      <c r="D557" s="4" t="str">
        <f t="shared" si="481"/>
        <v>Barbados</v>
      </c>
      <c r="E557" s="5">
        <f t="shared" si="482"/>
        <v>0</v>
      </c>
      <c r="F557" s="5">
        <f t="shared" si="475"/>
        <v>0</v>
      </c>
      <c r="G557" s="5">
        <f t="shared" si="476"/>
        <v>0</v>
      </c>
      <c r="H557" s="5">
        <f t="shared" si="477"/>
        <v>0</v>
      </c>
      <c r="I557" s="5">
        <f t="shared" si="478"/>
        <v>0</v>
      </c>
      <c r="J557" s="5">
        <f t="shared" si="479"/>
        <v>0</v>
      </c>
      <c r="K557" s="6">
        <f t="shared" si="480"/>
        <v>0</v>
      </c>
      <c r="L557" s="457"/>
      <c r="M557" s="458"/>
      <c r="N557" s="458"/>
      <c r="O557" s="458"/>
      <c r="P557" s="458"/>
      <c r="Q557" s="458"/>
      <c r="R557" s="459"/>
      <c r="S557" s="421">
        <f>SUMIFS(Investment!$H$6:$H$1303, Investment!$A$6:$A$1303, S$10, Investment!$E$6:$E$1303, $D557, Investment!$G$6:$G$1303, $B557)</f>
        <v>0</v>
      </c>
      <c r="T557" s="5">
        <f>SUMIFS(Investment!$H$6:$H$1303, Investment!$A$6:$A$1303, T$10, Investment!$E$6:$E$1303, $D557, Investment!$G$6:$G$1303, $B557)</f>
        <v>0</v>
      </c>
      <c r="U557" s="5">
        <f>SUMIFS(Investment!$H$6:$H$1303, Investment!$A$6:$A$1303, U$10, Investment!$E$6:$E$1303, $D557, Investment!$G$6:$G$1303, $B557)</f>
        <v>0</v>
      </c>
      <c r="V557" s="5">
        <f>SUMIFS(Investment!$H$6:$H$1303, Investment!$A$6:$A$1303, V$10, Investment!$E$6:$E$1303, $D557, Investment!$G$6:$G$1303, $B557)</f>
        <v>0</v>
      </c>
      <c r="W557" s="5">
        <f>SUMIFS(Investment!$H$6:$H$1303, Investment!$A$6:$A$1303, W$10, Investment!$E$6:$E$1303, $D557, Investment!$G$6:$G$1303, $B557)</f>
        <v>0</v>
      </c>
      <c r="X557" s="5">
        <f>SUMIFS(Investment!$H$6:$H$1303, Investment!$A$6:$A$1303, X$10, Investment!$E$6:$E$1303, $D557, Investment!$G$6:$G$1303, $B557)</f>
        <v>0</v>
      </c>
      <c r="Y557" s="5">
        <f>SUMIFS(Investment!$H$6:$H$1303, Investment!$A$6:$A$1303, Y$10, Investment!$E$6:$E$1303, $D557, Investment!$G$6:$G$1303, $B557)</f>
        <v>0</v>
      </c>
      <c r="Z557" s="455"/>
      <c r="AA557" s="456"/>
      <c r="AB557" s="456"/>
      <c r="AC557" s="456"/>
      <c r="AD557" s="456"/>
      <c r="AE557" s="456"/>
      <c r="AF557" s="456"/>
      <c r="AG557" s="33" t="str">
        <f t="shared" si="464"/>
        <v>2.05 &gt; Barbados</v>
      </c>
      <c r="AH557" s="84">
        <f t="shared" si="472"/>
        <v>543</v>
      </c>
      <c r="AI557" s="84">
        <f t="shared" si="473"/>
        <v>21</v>
      </c>
      <c r="AJ557" s="877" t="s">
        <v>1526</v>
      </c>
    </row>
    <row r="558" spans="1:36" x14ac:dyDescent="0.2">
      <c r="A558" s="492">
        <f>INDEX(Country!$F$31:$G$76, MATCH(AI558, Country!$O$31:$O$76, 0), 1)</f>
        <v>2.0499999999999989</v>
      </c>
      <c r="B558" s="2" t="str">
        <f>INDEX(Country!$F$31:$G$76, MATCH(AI558, Country!$O$31:$O$76, 0), 2)</f>
        <v>VC/PE investments</v>
      </c>
      <c r="C558" s="436" t="str">
        <f>INDEX(Country!$K$31:$K$76, MATCH(AI558, Country!$O$31:$O$76, 0), 1)</f>
        <v>USDm</v>
      </c>
      <c r="D558" s="4" t="str">
        <f t="shared" si="481"/>
        <v>Belize</v>
      </c>
      <c r="E558" s="5">
        <f t="shared" si="482"/>
        <v>0</v>
      </c>
      <c r="F558" s="5">
        <f t="shared" si="475"/>
        <v>0</v>
      </c>
      <c r="G558" s="5">
        <f t="shared" si="476"/>
        <v>0</v>
      </c>
      <c r="H558" s="5">
        <f t="shared" si="477"/>
        <v>0</v>
      </c>
      <c r="I558" s="5">
        <f t="shared" si="478"/>
        <v>0</v>
      </c>
      <c r="J558" s="5">
        <f t="shared" si="479"/>
        <v>0</v>
      </c>
      <c r="K558" s="6">
        <f t="shared" si="480"/>
        <v>0</v>
      </c>
      <c r="L558" s="457"/>
      <c r="M558" s="458"/>
      <c r="N558" s="458"/>
      <c r="O558" s="458"/>
      <c r="P558" s="458"/>
      <c r="Q558" s="458"/>
      <c r="R558" s="459"/>
      <c r="S558" s="421">
        <f>SUMIFS(Investment!$H$6:$H$1303, Investment!$A$6:$A$1303, S$10, Investment!$E$6:$E$1303, $D558, Investment!$G$6:$G$1303, $B558)</f>
        <v>0</v>
      </c>
      <c r="T558" s="5">
        <f>SUMIFS(Investment!$H$6:$H$1303, Investment!$A$6:$A$1303, T$10, Investment!$E$6:$E$1303, $D558, Investment!$G$6:$G$1303, $B558)</f>
        <v>0</v>
      </c>
      <c r="U558" s="5">
        <f>SUMIFS(Investment!$H$6:$H$1303, Investment!$A$6:$A$1303, U$10, Investment!$E$6:$E$1303, $D558, Investment!$G$6:$G$1303, $B558)</f>
        <v>0</v>
      </c>
      <c r="V558" s="5">
        <f>SUMIFS(Investment!$H$6:$H$1303, Investment!$A$6:$A$1303, V$10, Investment!$E$6:$E$1303, $D558, Investment!$G$6:$G$1303, $B558)</f>
        <v>0</v>
      </c>
      <c r="W558" s="5">
        <f>SUMIFS(Investment!$H$6:$H$1303, Investment!$A$6:$A$1303, W$10, Investment!$E$6:$E$1303, $D558, Investment!$G$6:$G$1303, $B558)</f>
        <v>0</v>
      </c>
      <c r="X558" s="5">
        <f>SUMIFS(Investment!$H$6:$H$1303, Investment!$A$6:$A$1303, X$10, Investment!$E$6:$E$1303, $D558, Investment!$G$6:$G$1303, $B558)</f>
        <v>0</v>
      </c>
      <c r="Y558" s="5">
        <f>SUMIFS(Investment!$H$6:$H$1303, Investment!$A$6:$A$1303, Y$10, Investment!$E$6:$E$1303, $D558, Investment!$G$6:$G$1303, $B558)</f>
        <v>0</v>
      </c>
      <c r="Z558" s="455"/>
      <c r="AA558" s="456"/>
      <c r="AB558" s="456"/>
      <c r="AC558" s="456"/>
      <c r="AD558" s="456"/>
      <c r="AE558" s="456"/>
      <c r="AF558" s="456"/>
      <c r="AG558" s="33" t="str">
        <f t="shared" si="464"/>
        <v>2.05 &gt; Belize</v>
      </c>
      <c r="AH558" s="84">
        <f t="shared" si="472"/>
        <v>544</v>
      </c>
      <c r="AI558" s="84">
        <f t="shared" si="473"/>
        <v>21</v>
      </c>
      <c r="AJ558" s="877" t="s">
        <v>1526</v>
      </c>
    </row>
    <row r="559" spans="1:36" x14ac:dyDescent="0.2">
      <c r="A559" s="492">
        <f>INDEX(Country!$F$31:$G$76, MATCH(AI559, Country!$O$31:$O$76, 0), 1)</f>
        <v>2.0499999999999989</v>
      </c>
      <c r="B559" s="2" t="str">
        <f>INDEX(Country!$F$31:$G$76, MATCH(AI559, Country!$O$31:$O$76, 0), 2)</f>
        <v>VC/PE investments</v>
      </c>
      <c r="C559" s="436" t="str">
        <f>INDEX(Country!$K$31:$K$76, MATCH(AI559, Country!$O$31:$O$76, 0), 1)</f>
        <v>USDm</v>
      </c>
      <c r="D559" s="4" t="str">
        <f t="shared" si="481"/>
        <v>Bolivia</v>
      </c>
      <c r="E559" s="5">
        <f t="shared" si="482"/>
        <v>0</v>
      </c>
      <c r="F559" s="5">
        <f t="shared" si="475"/>
        <v>0</v>
      </c>
      <c r="G559" s="5">
        <f t="shared" si="476"/>
        <v>0</v>
      </c>
      <c r="H559" s="5">
        <f t="shared" si="477"/>
        <v>0</v>
      </c>
      <c r="I559" s="5">
        <f t="shared" si="478"/>
        <v>0</v>
      </c>
      <c r="J559" s="5">
        <f t="shared" si="479"/>
        <v>0</v>
      </c>
      <c r="K559" s="6">
        <f t="shared" si="480"/>
        <v>0</v>
      </c>
      <c r="L559" s="457"/>
      <c r="M559" s="458"/>
      <c r="N559" s="458"/>
      <c r="O559" s="458"/>
      <c r="P559" s="458"/>
      <c r="Q559" s="458"/>
      <c r="R559" s="459"/>
      <c r="S559" s="421">
        <f>SUMIFS(Investment!$H$6:$H$1303, Investment!$A$6:$A$1303, S$10, Investment!$E$6:$E$1303, $D559, Investment!$G$6:$G$1303, $B559)</f>
        <v>0</v>
      </c>
      <c r="T559" s="5">
        <f>SUMIFS(Investment!$H$6:$H$1303, Investment!$A$6:$A$1303, T$10, Investment!$E$6:$E$1303, $D559, Investment!$G$6:$G$1303, $B559)</f>
        <v>0</v>
      </c>
      <c r="U559" s="5">
        <f>SUMIFS(Investment!$H$6:$H$1303, Investment!$A$6:$A$1303, U$10, Investment!$E$6:$E$1303, $D559, Investment!$G$6:$G$1303, $B559)</f>
        <v>0</v>
      </c>
      <c r="V559" s="5">
        <f>SUMIFS(Investment!$H$6:$H$1303, Investment!$A$6:$A$1303, V$10, Investment!$E$6:$E$1303, $D559, Investment!$G$6:$G$1303, $B559)</f>
        <v>0</v>
      </c>
      <c r="W559" s="5">
        <f>SUMIFS(Investment!$H$6:$H$1303, Investment!$A$6:$A$1303, W$10, Investment!$E$6:$E$1303, $D559, Investment!$G$6:$G$1303, $B559)</f>
        <v>0</v>
      </c>
      <c r="X559" s="5">
        <f>SUMIFS(Investment!$H$6:$H$1303, Investment!$A$6:$A$1303, X$10, Investment!$E$6:$E$1303, $D559, Investment!$G$6:$G$1303, $B559)</f>
        <v>0</v>
      </c>
      <c r="Y559" s="5">
        <f>SUMIFS(Investment!$H$6:$H$1303, Investment!$A$6:$A$1303, Y$10, Investment!$E$6:$E$1303, $D559, Investment!$G$6:$G$1303, $B559)</f>
        <v>0</v>
      </c>
      <c r="Z559" s="455"/>
      <c r="AA559" s="456"/>
      <c r="AB559" s="456"/>
      <c r="AC559" s="456"/>
      <c r="AD559" s="456"/>
      <c r="AE559" s="456"/>
      <c r="AF559" s="456"/>
      <c r="AG559" s="33" t="str">
        <f t="shared" si="464"/>
        <v>2.05 &gt; Bolivia</v>
      </c>
      <c r="AH559" s="84">
        <f t="shared" si="472"/>
        <v>545</v>
      </c>
      <c r="AI559" s="84">
        <f t="shared" si="473"/>
        <v>21</v>
      </c>
      <c r="AJ559" s="877" t="s">
        <v>1526</v>
      </c>
    </row>
    <row r="560" spans="1:36" x14ac:dyDescent="0.2">
      <c r="A560" s="492">
        <f>INDEX(Country!$F$31:$G$76, MATCH(AI560, Country!$O$31:$O$76, 0), 1)</f>
        <v>2.0499999999999989</v>
      </c>
      <c r="B560" s="2" t="str">
        <f>INDEX(Country!$F$31:$G$76, MATCH(AI560, Country!$O$31:$O$76, 0), 2)</f>
        <v>VC/PE investments</v>
      </c>
      <c r="C560" s="436" t="str">
        <f>INDEX(Country!$K$31:$K$76, MATCH(AI560, Country!$O$31:$O$76, 0), 1)</f>
        <v>USDm</v>
      </c>
      <c r="D560" s="4" t="str">
        <f t="shared" si="481"/>
        <v>Brazil</v>
      </c>
      <c r="E560" s="5">
        <f t="shared" si="482"/>
        <v>57.142000000000003</v>
      </c>
      <c r="F560" s="5">
        <f t="shared" si="475"/>
        <v>887.69200000000001</v>
      </c>
      <c r="G560" s="5">
        <f t="shared" si="476"/>
        <v>1529.8088836338002</v>
      </c>
      <c r="H560" s="5">
        <f t="shared" si="477"/>
        <v>2060.0888950558774</v>
      </c>
      <c r="I560" s="5">
        <f t="shared" si="478"/>
        <v>2653.5194288147218</v>
      </c>
      <c r="J560" s="5">
        <f t="shared" si="479"/>
        <v>3045.5502731169599</v>
      </c>
      <c r="K560" s="6">
        <f t="shared" si="480"/>
        <v>3552.7729211545479</v>
      </c>
      <c r="L560" s="457"/>
      <c r="M560" s="458"/>
      <c r="N560" s="458"/>
      <c r="O560" s="458"/>
      <c r="P560" s="458"/>
      <c r="Q560" s="458"/>
      <c r="R560" s="459"/>
      <c r="S560" s="421">
        <f>SUMIFS(Investment!$H$6:$H$1303, Investment!$A$6:$A$1303, S$10, Investment!$E$6:$E$1303, $D560, Investment!$G$6:$G$1303, $B560)</f>
        <v>57.142000000000003</v>
      </c>
      <c r="T560" s="5">
        <f>SUMIFS(Investment!$H$6:$H$1303, Investment!$A$6:$A$1303, T$10, Investment!$E$6:$E$1303, $D560, Investment!$G$6:$G$1303, $B560)</f>
        <v>830.55</v>
      </c>
      <c r="U560" s="5">
        <f>SUMIFS(Investment!$H$6:$H$1303, Investment!$A$6:$A$1303, U$10, Investment!$E$6:$E$1303, $D560, Investment!$G$6:$G$1303, $B560)</f>
        <v>642.11688363380017</v>
      </c>
      <c r="V560" s="5">
        <f>SUMIFS(Investment!$H$6:$H$1303, Investment!$A$6:$A$1303, V$10, Investment!$E$6:$E$1303, $D560, Investment!$G$6:$G$1303, $B560)</f>
        <v>530.280011422077</v>
      </c>
      <c r="W560" s="5">
        <f>SUMIFS(Investment!$H$6:$H$1303, Investment!$A$6:$A$1303, W$10, Investment!$E$6:$E$1303, $D560, Investment!$G$6:$G$1303, $B560)</f>
        <v>593.43053375884438</v>
      </c>
      <c r="X560" s="5">
        <f>SUMIFS(Investment!$H$6:$H$1303, Investment!$A$6:$A$1303, X$10, Investment!$E$6:$E$1303, $D560, Investment!$G$6:$G$1303, $B560)</f>
        <v>392.03084430223828</v>
      </c>
      <c r="Y560" s="5">
        <f>SUMIFS(Investment!$H$6:$H$1303, Investment!$A$6:$A$1303, Y$10, Investment!$E$6:$E$1303, $D560, Investment!$G$6:$G$1303, $B560)</f>
        <v>507.22264803758787</v>
      </c>
      <c r="Z560" s="455"/>
      <c r="AA560" s="456"/>
      <c r="AB560" s="456"/>
      <c r="AC560" s="456"/>
      <c r="AD560" s="456"/>
      <c r="AE560" s="456"/>
      <c r="AF560" s="456"/>
      <c r="AG560" s="33" t="str">
        <f t="shared" si="464"/>
        <v>2.05 &gt; Brazil</v>
      </c>
      <c r="AH560" s="84">
        <f t="shared" si="472"/>
        <v>546</v>
      </c>
      <c r="AI560" s="84">
        <f t="shared" si="473"/>
        <v>21</v>
      </c>
      <c r="AJ560" s="877" t="s">
        <v>1526</v>
      </c>
    </row>
    <row r="561" spans="1:36" x14ac:dyDescent="0.2">
      <c r="A561" s="492">
        <f>INDEX(Country!$F$31:$G$76, MATCH(AI561, Country!$O$31:$O$76, 0), 1)</f>
        <v>2.0499999999999989</v>
      </c>
      <c r="B561" s="2" t="str">
        <f>INDEX(Country!$F$31:$G$76, MATCH(AI561, Country!$O$31:$O$76, 0), 2)</f>
        <v>VC/PE investments</v>
      </c>
      <c r="C561" s="436" t="str">
        <f>INDEX(Country!$K$31:$K$76, MATCH(AI561, Country!$O$31:$O$76, 0), 1)</f>
        <v>USDm</v>
      </c>
      <c r="D561" s="4" t="str">
        <f t="shared" si="481"/>
        <v>Chile</v>
      </c>
      <c r="E561" s="5">
        <f t="shared" si="482"/>
        <v>0</v>
      </c>
      <c r="F561" s="5">
        <f t="shared" si="475"/>
        <v>0</v>
      </c>
      <c r="G561" s="5">
        <f t="shared" si="476"/>
        <v>20.6</v>
      </c>
      <c r="H561" s="5">
        <f t="shared" si="477"/>
        <v>22.992000000000001</v>
      </c>
      <c r="I561" s="5">
        <f t="shared" si="478"/>
        <v>231.40035693332325</v>
      </c>
      <c r="J561" s="5">
        <f t="shared" si="479"/>
        <v>231.40035693332325</v>
      </c>
      <c r="K561" s="6">
        <f t="shared" si="480"/>
        <v>252.59156702843373</v>
      </c>
      <c r="L561" s="457"/>
      <c r="M561" s="458"/>
      <c r="N561" s="458"/>
      <c r="O561" s="458"/>
      <c r="P561" s="458"/>
      <c r="Q561" s="458"/>
      <c r="R561" s="459"/>
      <c r="S561" s="421">
        <f>SUMIFS(Investment!$H$6:$H$1303, Investment!$A$6:$A$1303, S$10, Investment!$E$6:$E$1303, $D561, Investment!$G$6:$G$1303, $B561)</f>
        <v>0</v>
      </c>
      <c r="T561" s="5">
        <f>SUMIFS(Investment!$H$6:$H$1303, Investment!$A$6:$A$1303, T$10, Investment!$E$6:$E$1303, $D561, Investment!$G$6:$G$1303, $B561)</f>
        <v>0</v>
      </c>
      <c r="U561" s="5">
        <f>SUMIFS(Investment!$H$6:$H$1303, Investment!$A$6:$A$1303, U$10, Investment!$E$6:$E$1303, $D561, Investment!$G$6:$G$1303, $B561)</f>
        <v>20.6</v>
      </c>
      <c r="V561" s="5">
        <f>SUMIFS(Investment!$H$6:$H$1303, Investment!$A$6:$A$1303, V$10, Investment!$E$6:$E$1303, $D561, Investment!$G$6:$G$1303, $B561)</f>
        <v>2.3919999999999999</v>
      </c>
      <c r="W561" s="5">
        <f>SUMIFS(Investment!$H$6:$H$1303, Investment!$A$6:$A$1303, W$10, Investment!$E$6:$E$1303, $D561, Investment!$G$6:$G$1303, $B561)</f>
        <v>208.40835693332326</v>
      </c>
      <c r="X561" s="5">
        <f>SUMIFS(Investment!$H$6:$H$1303, Investment!$A$6:$A$1303, X$10, Investment!$E$6:$E$1303, $D561, Investment!$G$6:$G$1303, $B561)</f>
        <v>0</v>
      </c>
      <c r="Y561" s="5">
        <f>SUMIFS(Investment!$H$6:$H$1303, Investment!$A$6:$A$1303, Y$10, Investment!$E$6:$E$1303, $D561, Investment!$G$6:$G$1303, $B561)</f>
        <v>21.191210095110485</v>
      </c>
      <c r="Z561" s="455"/>
      <c r="AA561" s="456"/>
      <c r="AB561" s="456"/>
      <c r="AC561" s="456"/>
      <c r="AD561" s="456"/>
      <c r="AE561" s="456"/>
      <c r="AF561" s="456"/>
      <c r="AG561" s="33" t="str">
        <f t="shared" si="464"/>
        <v>2.05 &gt; Chile</v>
      </c>
      <c r="AH561" s="84">
        <f t="shared" si="472"/>
        <v>547</v>
      </c>
      <c r="AI561" s="84">
        <f t="shared" si="473"/>
        <v>21</v>
      </c>
      <c r="AJ561" s="877" t="s">
        <v>1526</v>
      </c>
    </row>
    <row r="562" spans="1:36" x14ac:dyDescent="0.2">
      <c r="A562" s="492">
        <f>INDEX(Country!$F$31:$G$76, MATCH(AI562, Country!$O$31:$O$76, 0), 1)</f>
        <v>2.0499999999999989</v>
      </c>
      <c r="B562" s="2" t="str">
        <f>INDEX(Country!$F$31:$G$76, MATCH(AI562, Country!$O$31:$O$76, 0), 2)</f>
        <v>VC/PE investments</v>
      </c>
      <c r="C562" s="436" t="str">
        <f>INDEX(Country!$K$31:$K$76, MATCH(AI562, Country!$O$31:$O$76, 0), 1)</f>
        <v>USDm</v>
      </c>
      <c r="D562" s="4" t="str">
        <f t="shared" si="481"/>
        <v>Colombia</v>
      </c>
      <c r="E562" s="5">
        <f t="shared" si="482"/>
        <v>0</v>
      </c>
      <c r="F562" s="5">
        <f t="shared" si="475"/>
        <v>0</v>
      </c>
      <c r="G562" s="5">
        <f t="shared" si="476"/>
        <v>32.903436609140613</v>
      </c>
      <c r="H562" s="5">
        <f t="shared" si="477"/>
        <v>32.903436609140613</v>
      </c>
      <c r="I562" s="5">
        <f t="shared" si="478"/>
        <v>32.903436609140613</v>
      </c>
      <c r="J562" s="5">
        <f t="shared" si="479"/>
        <v>32.903436609140613</v>
      </c>
      <c r="K562" s="6">
        <f t="shared" si="480"/>
        <v>32.903436609140613</v>
      </c>
      <c r="L562" s="457"/>
      <c r="M562" s="458"/>
      <c r="N562" s="458"/>
      <c r="O562" s="458"/>
      <c r="P562" s="458"/>
      <c r="Q562" s="458"/>
      <c r="R562" s="459"/>
      <c r="S562" s="421">
        <f>SUMIFS(Investment!$H$6:$H$1303, Investment!$A$6:$A$1303, S$10, Investment!$E$6:$E$1303, $D562, Investment!$G$6:$G$1303, $B562)</f>
        <v>0</v>
      </c>
      <c r="T562" s="5">
        <f>SUMIFS(Investment!$H$6:$H$1303, Investment!$A$6:$A$1303, T$10, Investment!$E$6:$E$1303, $D562, Investment!$G$6:$G$1303, $B562)</f>
        <v>0</v>
      </c>
      <c r="U562" s="5">
        <f>SUMIFS(Investment!$H$6:$H$1303, Investment!$A$6:$A$1303, U$10, Investment!$E$6:$E$1303, $D562, Investment!$G$6:$G$1303, $B562)</f>
        <v>32.903436609140613</v>
      </c>
      <c r="V562" s="5">
        <f>SUMIFS(Investment!$H$6:$H$1303, Investment!$A$6:$A$1303, V$10, Investment!$E$6:$E$1303, $D562, Investment!$G$6:$G$1303, $B562)</f>
        <v>0</v>
      </c>
      <c r="W562" s="5">
        <f>SUMIFS(Investment!$H$6:$H$1303, Investment!$A$6:$A$1303, W$10, Investment!$E$6:$E$1303, $D562, Investment!$G$6:$G$1303, $B562)</f>
        <v>0</v>
      </c>
      <c r="X562" s="5">
        <f>SUMIFS(Investment!$H$6:$H$1303, Investment!$A$6:$A$1303, X$10, Investment!$E$6:$E$1303, $D562, Investment!$G$6:$G$1303, $B562)</f>
        <v>0</v>
      </c>
      <c r="Y562" s="5">
        <f>SUMIFS(Investment!$H$6:$H$1303, Investment!$A$6:$A$1303, Y$10, Investment!$E$6:$E$1303, $D562, Investment!$G$6:$G$1303, $B562)</f>
        <v>0</v>
      </c>
      <c r="Z562" s="455"/>
      <c r="AA562" s="456"/>
      <c r="AB562" s="456"/>
      <c r="AC562" s="456"/>
      <c r="AD562" s="456"/>
      <c r="AE562" s="456"/>
      <c r="AF562" s="456"/>
      <c r="AG562" s="33" t="str">
        <f t="shared" si="464"/>
        <v>2.05 &gt; Colombia</v>
      </c>
      <c r="AH562" s="84">
        <f t="shared" si="472"/>
        <v>548</v>
      </c>
      <c r="AI562" s="84">
        <f t="shared" si="473"/>
        <v>21</v>
      </c>
      <c r="AJ562" s="877" t="s">
        <v>1526</v>
      </c>
    </row>
    <row r="563" spans="1:36" x14ac:dyDescent="0.2">
      <c r="A563" s="492">
        <f>INDEX(Country!$F$31:$G$76, MATCH(AI563, Country!$O$31:$O$76, 0), 1)</f>
        <v>2.0499999999999989</v>
      </c>
      <c r="B563" s="2" t="str">
        <f>INDEX(Country!$F$31:$G$76, MATCH(AI563, Country!$O$31:$O$76, 0), 2)</f>
        <v>VC/PE investments</v>
      </c>
      <c r="C563" s="436" t="str">
        <f>INDEX(Country!$K$31:$K$76, MATCH(AI563, Country!$O$31:$O$76, 0), 1)</f>
        <v>USDm</v>
      </c>
      <c r="D563" s="4" t="str">
        <f t="shared" si="481"/>
        <v>Costa Rica</v>
      </c>
      <c r="E563" s="5">
        <f t="shared" si="482"/>
        <v>0</v>
      </c>
      <c r="F563" s="5">
        <f t="shared" si="475"/>
        <v>0</v>
      </c>
      <c r="G563" s="5">
        <f t="shared" si="476"/>
        <v>0</v>
      </c>
      <c r="H563" s="5">
        <f t="shared" si="477"/>
        <v>0</v>
      </c>
      <c r="I563" s="5">
        <f t="shared" si="478"/>
        <v>0</v>
      </c>
      <c r="J563" s="5">
        <f t="shared" si="479"/>
        <v>0</v>
      </c>
      <c r="K563" s="6">
        <f t="shared" si="480"/>
        <v>0</v>
      </c>
      <c r="L563" s="457"/>
      <c r="M563" s="458"/>
      <c r="N563" s="458"/>
      <c r="O563" s="458"/>
      <c r="P563" s="458"/>
      <c r="Q563" s="458"/>
      <c r="R563" s="459"/>
      <c r="S563" s="421">
        <f>SUMIFS(Investment!$H$6:$H$1303, Investment!$A$6:$A$1303, S$10, Investment!$E$6:$E$1303, $D563, Investment!$G$6:$G$1303, $B563)</f>
        <v>0</v>
      </c>
      <c r="T563" s="5">
        <f>SUMIFS(Investment!$H$6:$H$1303, Investment!$A$6:$A$1303, T$10, Investment!$E$6:$E$1303, $D563, Investment!$G$6:$G$1303, $B563)</f>
        <v>0</v>
      </c>
      <c r="U563" s="5">
        <f>SUMIFS(Investment!$H$6:$H$1303, Investment!$A$6:$A$1303, U$10, Investment!$E$6:$E$1303, $D563, Investment!$G$6:$G$1303, $B563)</f>
        <v>0</v>
      </c>
      <c r="V563" s="5">
        <f>SUMIFS(Investment!$H$6:$H$1303, Investment!$A$6:$A$1303, V$10, Investment!$E$6:$E$1303, $D563, Investment!$G$6:$G$1303, $B563)</f>
        <v>0</v>
      </c>
      <c r="W563" s="5">
        <f>SUMIFS(Investment!$H$6:$H$1303, Investment!$A$6:$A$1303, W$10, Investment!$E$6:$E$1303, $D563, Investment!$G$6:$G$1303, $B563)</f>
        <v>0</v>
      </c>
      <c r="X563" s="5">
        <f>SUMIFS(Investment!$H$6:$H$1303, Investment!$A$6:$A$1303, X$10, Investment!$E$6:$E$1303, $D563, Investment!$G$6:$G$1303, $B563)</f>
        <v>0</v>
      </c>
      <c r="Y563" s="5">
        <f>SUMIFS(Investment!$H$6:$H$1303, Investment!$A$6:$A$1303, Y$10, Investment!$E$6:$E$1303, $D563, Investment!$G$6:$G$1303, $B563)</f>
        <v>0</v>
      </c>
      <c r="Z563" s="455"/>
      <c r="AA563" s="456"/>
      <c r="AB563" s="456"/>
      <c r="AC563" s="456"/>
      <c r="AD563" s="456"/>
      <c r="AE563" s="456"/>
      <c r="AF563" s="456"/>
      <c r="AG563" s="33" t="str">
        <f t="shared" si="464"/>
        <v>2.05 &gt; Costa Rica</v>
      </c>
      <c r="AH563" s="84">
        <f t="shared" si="472"/>
        <v>549</v>
      </c>
      <c r="AI563" s="84">
        <f t="shared" si="473"/>
        <v>21</v>
      </c>
      <c r="AJ563" s="877" t="s">
        <v>1526</v>
      </c>
    </row>
    <row r="564" spans="1:36" x14ac:dyDescent="0.2">
      <c r="A564" s="492">
        <f>INDEX(Country!$F$31:$G$76, MATCH(AI564, Country!$O$31:$O$76, 0), 1)</f>
        <v>2.0499999999999989</v>
      </c>
      <c r="B564" s="2" t="str">
        <f>INDEX(Country!$F$31:$G$76, MATCH(AI564, Country!$O$31:$O$76, 0), 2)</f>
        <v>VC/PE investments</v>
      </c>
      <c r="C564" s="436" t="str">
        <f>INDEX(Country!$K$31:$K$76, MATCH(AI564, Country!$O$31:$O$76, 0), 1)</f>
        <v>USDm</v>
      </c>
      <c r="D564" s="4" t="str">
        <f t="shared" si="481"/>
        <v>Dominican Republic</v>
      </c>
      <c r="E564" s="5">
        <f t="shared" si="482"/>
        <v>0</v>
      </c>
      <c r="F564" s="5">
        <f t="shared" si="475"/>
        <v>0</v>
      </c>
      <c r="G564" s="5">
        <f t="shared" si="476"/>
        <v>0</v>
      </c>
      <c r="H564" s="5">
        <f t="shared" si="477"/>
        <v>0</v>
      </c>
      <c r="I564" s="5">
        <f t="shared" si="478"/>
        <v>0</v>
      </c>
      <c r="J564" s="5">
        <f t="shared" si="479"/>
        <v>0</v>
      </c>
      <c r="K564" s="6">
        <f t="shared" si="480"/>
        <v>0</v>
      </c>
      <c r="L564" s="457"/>
      <c r="M564" s="458"/>
      <c r="N564" s="458"/>
      <c r="O564" s="458"/>
      <c r="P564" s="458"/>
      <c r="Q564" s="458"/>
      <c r="R564" s="459"/>
      <c r="S564" s="421">
        <f>SUMIFS(Investment!$H$6:$H$1303, Investment!$A$6:$A$1303, S$10, Investment!$E$6:$E$1303, $D564, Investment!$G$6:$G$1303, $B564)</f>
        <v>0</v>
      </c>
      <c r="T564" s="5">
        <f>SUMIFS(Investment!$H$6:$H$1303, Investment!$A$6:$A$1303, T$10, Investment!$E$6:$E$1303, $D564, Investment!$G$6:$G$1303, $B564)</f>
        <v>0</v>
      </c>
      <c r="U564" s="5">
        <f>SUMIFS(Investment!$H$6:$H$1303, Investment!$A$6:$A$1303, U$10, Investment!$E$6:$E$1303, $D564, Investment!$G$6:$G$1303, $B564)</f>
        <v>0</v>
      </c>
      <c r="V564" s="5">
        <f>SUMIFS(Investment!$H$6:$H$1303, Investment!$A$6:$A$1303, V$10, Investment!$E$6:$E$1303, $D564, Investment!$G$6:$G$1303, $B564)</f>
        <v>0</v>
      </c>
      <c r="W564" s="5">
        <f>SUMIFS(Investment!$H$6:$H$1303, Investment!$A$6:$A$1303, W$10, Investment!$E$6:$E$1303, $D564, Investment!$G$6:$G$1303, $B564)</f>
        <v>0</v>
      </c>
      <c r="X564" s="5">
        <f>SUMIFS(Investment!$H$6:$H$1303, Investment!$A$6:$A$1303, X$10, Investment!$E$6:$E$1303, $D564, Investment!$G$6:$G$1303, $B564)</f>
        <v>0</v>
      </c>
      <c r="Y564" s="5">
        <f>SUMIFS(Investment!$H$6:$H$1303, Investment!$A$6:$A$1303, Y$10, Investment!$E$6:$E$1303, $D564, Investment!$G$6:$G$1303, $B564)</f>
        <v>0</v>
      </c>
      <c r="Z564" s="455"/>
      <c r="AA564" s="456"/>
      <c r="AB564" s="456"/>
      <c r="AC564" s="456"/>
      <c r="AD564" s="456"/>
      <c r="AE564" s="456"/>
      <c r="AF564" s="456"/>
      <c r="AG564" s="33" t="str">
        <f t="shared" si="464"/>
        <v>2.05 &gt; Dominican Republic</v>
      </c>
      <c r="AH564" s="84">
        <f t="shared" si="472"/>
        <v>550</v>
      </c>
      <c r="AI564" s="84">
        <f t="shared" si="473"/>
        <v>21</v>
      </c>
      <c r="AJ564" s="877" t="s">
        <v>1526</v>
      </c>
    </row>
    <row r="565" spans="1:36" x14ac:dyDescent="0.2">
      <c r="A565" s="492">
        <f>INDEX(Country!$F$31:$G$76, MATCH(AI565, Country!$O$31:$O$76, 0), 1)</f>
        <v>2.0499999999999989</v>
      </c>
      <c r="B565" s="2" t="str">
        <f>INDEX(Country!$F$31:$G$76, MATCH(AI565, Country!$O$31:$O$76, 0), 2)</f>
        <v>VC/PE investments</v>
      </c>
      <c r="C565" s="436" t="str">
        <f>INDEX(Country!$K$31:$K$76, MATCH(AI565, Country!$O$31:$O$76, 0), 1)</f>
        <v>USDm</v>
      </c>
      <c r="D565" s="4" t="str">
        <f t="shared" si="481"/>
        <v>Ecuador</v>
      </c>
      <c r="E565" s="5">
        <f t="shared" si="482"/>
        <v>0</v>
      </c>
      <c r="F565" s="5">
        <f t="shared" si="475"/>
        <v>0</v>
      </c>
      <c r="G565" s="5">
        <f t="shared" si="476"/>
        <v>0</v>
      </c>
      <c r="H565" s="5">
        <f t="shared" si="477"/>
        <v>0</v>
      </c>
      <c r="I565" s="5">
        <f t="shared" si="478"/>
        <v>0</v>
      </c>
      <c r="J565" s="5">
        <f t="shared" si="479"/>
        <v>0</v>
      </c>
      <c r="K565" s="6">
        <f t="shared" si="480"/>
        <v>0</v>
      </c>
      <c r="L565" s="457"/>
      <c r="M565" s="458"/>
      <c r="N565" s="458"/>
      <c r="O565" s="458"/>
      <c r="P565" s="458"/>
      <c r="Q565" s="458"/>
      <c r="R565" s="459"/>
      <c r="S565" s="421">
        <f>SUMIFS(Investment!$H$6:$H$1303, Investment!$A$6:$A$1303, S$10, Investment!$E$6:$E$1303, $D565, Investment!$G$6:$G$1303, $B565)</f>
        <v>0</v>
      </c>
      <c r="T565" s="5">
        <f>SUMIFS(Investment!$H$6:$H$1303, Investment!$A$6:$A$1303, T$10, Investment!$E$6:$E$1303, $D565, Investment!$G$6:$G$1303, $B565)</f>
        <v>0</v>
      </c>
      <c r="U565" s="5">
        <f>SUMIFS(Investment!$H$6:$H$1303, Investment!$A$6:$A$1303, U$10, Investment!$E$6:$E$1303, $D565, Investment!$G$6:$G$1303, $B565)</f>
        <v>0</v>
      </c>
      <c r="V565" s="5">
        <f>SUMIFS(Investment!$H$6:$H$1303, Investment!$A$6:$A$1303, V$10, Investment!$E$6:$E$1303, $D565, Investment!$G$6:$G$1303, $B565)</f>
        <v>0</v>
      </c>
      <c r="W565" s="5">
        <f>SUMIFS(Investment!$H$6:$H$1303, Investment!$A$6:$A$1303, W$10, Investment!$E$6:$E$1303, $D565, Investment!$G$6:$G$1303, $B565)</f>
        <v>0</v>
      </c>
      <c r="X565" s="5">
        <f>SUMIFS(Investment!$H$6:$H$1303, Investment!$A$6:$A$1303, X$10, Investment!$E$6:$E$1303, $D565, Investment!$G$6:$G$1303, $B565)</f>
        <v>0</v>
      </c>
      <c r="Y565" s="5">
        <f>SUMIFS(Investment!$H$6:$H$1303, Investment!$A$6:$A$1303, Y$10, Investment!$E$6:$E$1303, $D565, Investment!$G$6:$G$1303, $B565)</f>
        <v>0</v>
      </c>
      <c r="Z565" s="455"/>
      <c r="AA565" s="456"/>
      <c r="AB565" s="456"/>
      <c r="AC565" s="456"/>
      <c r="AD565" s="456"/>
      <c r="AE565" s="456"/>
      <c r="AF565" s="456"/>
      <c r="AG565" s="33" t="str">
        <f t="shared" si="464"/>
        <v>2.05 &gt; Ecuador</v>
      </c>
      <c r="AH565" s="84">
        <f t="shared" si="472"/>
        <v>551</v>
      </c>
      <c r="AI565" s="84">
        <f t="shared" si="473"/>
        <v>21</v>
      </c>
      <c r="AJ565" s="877" t="s">
        <v>1526</v>
      </c>
    </row>
    <row r="566" spans="1:36" x14ac:dyDescent="0.2">
      <c r="A566" s="492">
        <f>INDEX(Country!$F$31:$G$76, MATCH(AI566, Country!$O$31:$O$76, 0), 1)</f>
        <v>2.0499999999999989</v>
      </c>
      <c r="B566" s="2" t="str">
        <f>INDEX(Country!$F$31:$G$76, MATCH(AI566, Country!$O$31:$O$76, 0), 2)</f>
        <v>VC/PE investments</v>
      </c>
      <c r="C566" s="436" t="str">
        <f>INDEX(Country!$K$31:$K$76, MATCH(AI566, Country!$O$31:$O$76, 0), 1)</f>
        <v>USDm</v>
      </c>
      <c r="D566" s="4" t="str">
        <f t="shared" si="481"/>
        <v>El Salvador</v>
      </c>
      <c r="E566" s="5">
        <f t="shared" si="482"/>
        <v>0</v>
      </c>
      <c r="F566" s="5">
        <f t="shared" si="475"/>
        <v>0</v>
      </c>
      <c r="G566" s="5">
        <f t="shared" si="476"/>
        <v>0</v>
      </c>
      <c r="H566" s="5">
        <f t="shared" si="477"/>
        <v>0</v>
      </c>
      <c r="I566" s="5">
        <f t="shared" si="478"/>
        <v>0</v>
      </c>
      <c r="J566" s="5">
        <f t="shared" si="479"/>
        <v>0</v>
      </c>
      <c r="K566" s="6">
        <f t="shared" si="480"/>
        <v>0</v>
      </c>
      <c r="L566" s="457"/>
      <c r="M566" s="458"/>
      <c r="N566" s="458"/>
      <c r="O566" s="458"/>
      <c r="P566" s="458"/>
      <c r="Q566" s="458"/>
      <c r="R566" s="459"/>
      <c r="S566" s="421">
        <f>SUMIFS(Investment!$H$6:$H$1303, Investment!$A$6:$A$1303, S$10, Investment!$E$6:$E$1303, $D566, Investment!$G$6:$G$1303, $B566)</f>
        <v>0</v>
      </c>
      <c r="T566" s="5">
        <f>SUMIFS(Investment!$H$6:$H$1303, Investment!$A$6:$A$1303, T$10, Investment!$E$6:$E$1303, $D566, Investment!$G$6:$G$1303, $B566)</f>
        <v>0</v>
      </c>
      <c r="U566" s="5">
        <f>SUMIFS(Investment!$H$6:$H$1303, Investment!$A$6:$A$1303, U$10, Investment!$E$6:$E$1303, $D566, Investment!$G$6:$G$1303, $B566)</f>
        <v>0</v>
      </c>
      <c r="V566" s="5">
        <f>SUMIFS(Investment!$H$6:$H$1303, Investment!$A$6:$A$1303, V$10, Investment!$E$6:$E$1303, $D566, Investment!$G$6:$G$1303, $B566)</f>
        <v>0</v>
      </c>
      <c r="W566" s="5">
        <f>SUMIFS(Investment!$H$6:$H$1303, Investment!$A$6:$A$1303, W$10, Investment!$E$6:$E$1303, $D566, Investment!$G$6:$G$1303, $B566)</f>
        <v>0</v>
      </c>
      <c r="X566" s="5">
        <f>SUMIFS(Investment!$H$6:$H$1303, Investment!$A$6:$A$1303, X$10, Investment!$E$6:$E$1303, $D566, Investment!$G$6:$G$1303, $B566)</f>
        <v>0</v>
      </c>
      <c r="Y566" s="5">
        <f>SUMIFS(Investment!$H$6:$H$1303, Investment!$A$6:$A$1303, Y$10, Investment!$E$6:$E$1303, $D566, Investment!$G$6:$G$1303, $B566)</f>
        <v>0</v>
      </c>
      <c r="Z566" s="455"/>
      <c r="AA566" s="456"/>
      <c r="AB566" s="456"/>
      <c r="AC566" s="456"/>
      <c r="AD566" s="456"/>
      <c r="AE566" s="456"/>
      <c r="AF566" s="456"/>
      <c r="AG566" s="33" t="str">
        <f t="shared" si="464"/>
        <v>2.05 &gt; El Salvador</v>
      </c>
      <c r="AH566" s="84">
        <f t="shared" si="472"/>
        <v>552</v>
      </c>
      <c r="AI566" s="84">
        <f t="shared" si="473"/>
        <v>21</v>
      </c>
      <c r="AJ566" s="877" t="s">
        <v>1526</v>
      </c>
    </row>
    <row r="567" spans="1:36" x14ac:dyDescent="0.2">
      <c r="A567" s="492">
        <f>INDEX(Country!$F$31:$G$76, MATCH(AI567, Country!$O$31:$O$76, 0), 1)</f>
        <v>2.0499999999999989</v>
      </c>
      <c r="B567" s="2" t="str">
        <f>INDEX(Country!$F$31:$G$76, MATCH(AI567, Country!$O$31:$O$76, 0), 2)</f>
        <v>VC/PE investments</v>
      </c>
      <c r="C567" s="436" t="str">
        <f>INDEX(Country!$K$31:$K$76, MATCH(AI567, Country!$O$31:$O$76, 0), 1)</f>
        <v>USDm</v>
      </c>
      <c r="D567" s="4" t="str">
        <f t="shared" si="481"/>
        <v>Guatemala</v>
      </c>
      <c r="E567" s="5">
        <f t="shared" si="482"/>
        <v>0</v>
      </c>
      <c r="F567" s="5">
        <f t="shared" si="475"/>
        <v>0</v>
      </c>
      <c r="G567" s="5">
        <f t="shared" si="476"/>
        <v>0</v>
      </c>
      <c r="H567" s="5">
        <f t="shared" si="477"/>
        <v>0</v>
      </c>
      <c r="I567" s="5">
        <f t="shared" si="478"/>
        <v>20.42221731142212</v>
      </c>
      <c r="J567" s="5">
        <f t="shared" si="479"/>
        <v>20.42221731142212</v>
      </c>
      <c r="K567" s="6">
        <f t="shared" si="480"/>
        <v>20.42221731142212</v>
      </c>
      <c r="L567" s="457"/>
      <c r="M567" s="458"/>
      <c r="N567" s="458"/>
      <c r="O567" s="458"/>
      <c r="P567" s="458"/>
      <c r="Q567" s="458"/>
      <c r="R567" s="459"/>
      <c r="S567" s="421">
        <f>SUMIFS(Investment!$H$6:$H$1303, Investment!$A$6:$A$1303, S$10, Investment!$E$6:$E$1303, $D567, Investment!$G$6:$G$1303, $B567)</f>
        <v>0</v>
      </c>
      <c r="T567" s="5">
        <f>SUMIFS(Investment!$H$6:$H$1303, Investment!$A$6:$A$1303, T$10, Investment!$E$6:$E$1303, $D567, Investment!$G$6:$G$1303, $B567)</f>
        <v>0</v>
      </c>
      <c r="U567" s="5">
        <f>SUMIFS(Investment!$H$6:$H$1303, Investment!$A$6:$A$1303, U$10, Investment!$E$6:$E$1303, $D567, Investment!$G$6:$G$1303, $B567)</f>
        <v>0</v>
      </c>
      <c r="V567" s="5">
        <f>SUMIFS(Investment!$H$6:$H$1303, Investment!$A$6:$A$1303, V$10, Investment!$E$6:$E$1303, $D567, Investment!$G$6:$G$1303, $B567)</f>
        <v>0</v>
      </c>
      <c r="W567" s="5">
        <f>SUMIFS(Investment!$H$6:$H$1303, Investment!$A$6:$A$1303, W$10, Investment!$E$6:$E$1303, $D567, Investment!$G$6:$G$1303, $B567)</f>
        <v>20.42221731142212</v>
      </c>
      <c r="X567" s="5">
        <f>SUMIFS(Investment!$H$6:$H$1303, Investment!$A$6:$A$1303, X$10, Investment!$E$6:$E$1303, $D567, Investment!$G$6:$G$1303, $B567)</f>
        <v>0</v>
      </c>
      <c r="Y567" s="5">
        <f>SUMIFS(Investment!$H$6:$H$1303, Investment!$A$6:$A$1303, Y$10, Investment!$E$6:$E$1303, $D567, Investment!$G$6:$G$1303, $B567)</f>
        <v>0</v>
      </c>
      <c r="Z567" s="455"/>
      <c r="AA567" s="456"/>
      <c r="AB567" s="456"/>
      <c r="AC567" s="456"/>
      <c r="AD567" s="456"/>
      <c r="AE567" s="456"/>
      <c r="AF567" s="456"/>
      <c r="AG567" s="33" t="str">
        <f t="shared" si="464"/>
        <v>2.05 &gt; Guatemala</v>
      </c>
      <c r="AH567" s="84">
        <f t="shared" si="472"/>
        <v>553</v>
      </c>
      <c r="AI567" s="84">
        <f t="shared" si="473"/>
        <v>21</v>
      </c>
      <c r="AJ567" s="877" t="s">
        <v>1526</v>
      </c>
    </row>
    <row r="568" spans="1:36" x14ac:dyDescent="0.2">
      <c r="A568" s="492">
        <f>INDEX(Country!$F$31:$G$76, MATCH(AI568, Country!$O$31:$O$76, 0), 1)</f>
        <v>2.0499999999999989</v>
      </c>
      <c r="B568" s="2" t="str">
        <f>INDEX(Country!$F$31:$G$76, MATCH(AI568, Country!$O$31:$O$76, 0), 2)</f>
        <v>VC/PE investments</v>
      </c>
      <c r="C568" s="436" t="str">
        <f>INDEX(Country!$K$31:$K$76, MATCH(AI568, Country!$O$31:$O$76, 0), 1)</f>
        <v>USDm</v>
      </c>
      <c r="D568" s="4" t="str">
        <f t="shared" si="481"/>
        <v>Guyana</v>
      </c>
      <c r="E568" s="5">
        <f t="shared" si="482"/>
        <v>0</v>
      </c>
      <c r="F568" s="5">
        <f t="shared" si="475"/>
        <v>0</v>
      </c>
      <c r="G568" s="5">
        <f t="shared" si="476"/>
        <v>0</v>
      </c>
      <c r="H568" s="5">
        <f t="shared" si="477"/>
        <v>0</v>
      </c>
      <c r="I568" s="5">
        <f t="shared" si="478"/>
        <v>0</v>
      </c>
      <c r="J568" s="5">
        <f t="shared" si="479"/>
        <v>0</v>
      </c>
      <c r="K568" s="6">
        <f t="shared" si="480"/>
        <v>0</v>
      </c>
      <c r="L568" s="457"/>
      <c r="M568" s="458"/>
      <c r="N568" s="458"/>
      <c r="O568" s="458"/>
      <c r="P568" s="458"/>
      <c r="Q568" s="458"/>
      <c r="R568" s="459"/>
      <c r="S568" s="421">
        <f>SUMIFS(Investment!$H$6:$H$1303, Investment!$A$6:$A$1303, S$10, Investment!$E$6:$E$1303, $D568, Investment!$G$6:$G$1303, $B568)</f>
        <v>0</v>
      </c>
      <c r="T568" s="5">
        <f>SUMIFS(Investment!$H$6:$H$1303, Investment!$A$6:$A$1303, T$10, Investment!$E$6:$E$1303, $D568, Investment!$G$6:$G$1303, $B568)</f>
        <v>0</v>
      </c>
      <c r="U568" s="5">
        <f>SUMIFS(Investment!$H$6:$H$1303, Investment!$A$6:$A$1303, U$10, Investment!$E$6:$E$1303, $D568, Investment!$G$6:$G$1303, $B568)</f>
        <v>0</v>
      </c>
      <c r="V568" s="5">
        <f>SUMIFS(Investment!$H$6:$H$1303, Investment!$A$6:$A$1303, V$10, Investment!$E$6:$E$1303, $D568, Investment!$G$6:$G$1303, $B568)</f>
        <v>0</v>
      </c>
      <c r="W568" s="5">
        <f>SUMIFS(Investment!$H$6:$H$1303, Investment!$A$6:$A$1303, W$10, Investment!$E$6:$E$1303, $D568, Investment!$G$6:$G$1303, $B568)</f>
        <v>0</v>
      </c>
      <c r="X568" s="5">
        <f>SUMIFS(Investment!$H$6:$H$1303, Investment!$A$6:$A$1303, X$10, Investment!$E$6:$E$1303, $D568, Investment!$G$6:$G$1303, $B568)</f>
        <v>0</v>
      </c>
      <c r="Y568" s="5">
        <f>SUMIFS(Investment!$H$6:$H$1303, Investment!$A$6:$A$1303, Y$10, Investment!$E$6:$E$1303, $D568, Investment!$G$6:$G$1303, $B568)</f>
        <v>0</v>
      </c>
      <c r="Z568" s="455"/>
      <c r="AA568" s="456"/>
      <c r="AB568" s="456"/>
      <c r="AC568" s="456"/>
      <c r="AD568" s="456"/>
      <c r="AE568" s="456"/>
      <c r="AF568" s="456"/>
      <c r="AG568" s="33" t="str">
        <f t="shared" si="464"/>
        <v>2.05 &gt; Guyana</v>
      </c>
      <c r="AH568" s="84">
        <f t="shared" si="472"/>
        <v>554</v>
      </c>
      <c r="AI568" s="84">
        <f t="shared" si="473"/>
        <v>21</v>
      </c>
      <c r="AJ568" s="877" t="s">
        <v>1526</v>
      </c>
    </row>
    <row r="569" spans="1:36" x14ac:dyDescent="0.2">
      <c r="A569" s="492">
        <f>INDEX(Country!$F$31:$G$76, MATCH(AI569, Country!$O$31:$O$76, 0), 1)</f>
        <v>2.0499999999999989</v>
      </c>
      <c r="B569" s="2" t="str">
        <f>INDEX(Country!$F$31:$G$76, MATCH(AI569, Country!$O$31:$O$76, 0), 2)</f>
        <v>VC/PE investments</v>
      </c>
      <c r="C569" s="436" t="str">
        <f>INDEX(Country!$K$31:$K$76, MATCH(AI569, Country!$O$31:$O$76, 0), 1)</f>
        <v>USDm</v>
      </c>
      <c r="D569" s="4" t="str">
        <f t="shared" si="481"/>
        <v>Haiti</v>
      </c>
      <c r="E569" s="5">
        <f t="shared" si="482"/>
        <v>0</v>
      </c>
      <c r="F569" s="5">
        <f t="shared" si="475"/>
        <v>0</v>
      </c>
      <c r="G569" s="5">
        <f t="shared" si="476"/>
        <v>0</v>
      </c>
      <c r="H569" s="5">
        <f t="shared" si="477"/>
        <v>0</v>
      </c>
      <c r="I569" s="5">
        <f t="shared" si="478"/>
        <v>0</v>
      </c>
      <c r="J569" s="5">
        <f t="shared" si="479"/>
        <v>0</v>
      </c>
      <c r="K569" s="6">
        <f t="shared" si="480"/>
        <v>0</v>
      </c>
      <c r="L569" s="457"/>
      <c r="M569" s="458"/>
      <c r="N569" s="458"/>
      <c r="O569" s="458"/>
      <c r="P569" s="458"/>
      <c r="Q569" s="458"/>
      <c r="R569" s="459"/>
      <c r="S569" s="421">
        <f>SUMIFS(Investment!$H$6:$H$1303, Investment!$A$6:$A$1303, S$10, Investment!$E$6:$E$1303, $D569, Investment!$G$6:$G$1303, $B569)</f>
        <v>0</v>
      </c>
      <c r="T569" s="5">
        <f>SUMIFS(Investment!$H$6:$H$1303, Investment!$A$6:$A$1303, T$10, Investment!$E$6:$E$1303, $D569, Investment!$G$6:$G$1303, $B569)</f>
        <v>0</v>
      </c>
      <c r="U569" s="5">
        <f>SUMIFS(Investment!$H$6:$H$1303, Investment!$A$6:$A$1303, U$10, Investment!$E$6:$E$1303, $D569, Investment!$G$6:$G$1303, $B569)</f>
        <v>0</v>
      </c>
      <c r="V569" s="5">
        <f>SUMIFS(Investment!$H$6:$H$1303, Investment!$A$6:$A$1303, V$10, Investment!$E$6:$E$1303, $D569, Investment!$G$6:$G$1303, $B569)</f>
        <v>0</v>
      </c>
      <c r="W569" s="5">
        <f>SUMIFS(Investment!$H$6:$H$1303, Investment!$A$6:$A$1303, W$10, Investment!$E$6:$E$1303, $D569, Investment!$G$6:$G$1303, $B569)</f>
        <v>0</v>
      </c>
      <c r="X569" s="5">
        <f>SUMIFS(Investment!$H$6:$H$1303, Investment!$A$6:$A$1303, X$10, Investment!$E$6:$E$1303, $D569, Investment!$G$6:$G$1303, $B569)</f>
        <v>0</v>
      </c>
      <c r="Y569" s="5">
        <f>SUMIFS(Investment!$H$6:$H$1303, Investment!$A$6:$A$1303, Y$10, Investment!$E$6:$E$1303, $D569, Investment!$G$6:$G$1303, $B569)</f>
        <v>0</v>
      </c>
      <c r="Z569" s="455"/>
      <c r="AA569" s="456"/>
      <c r="AB569" s="456"/>
      <c r="AC569" s="456"/>
      <c r="AD569" s="456"/>
      <c r="AE569" s="456"/>
      <c r="AF569" s="456"/>
      <c r="AG569" s="33" t="str">
        <f t="shared" si="464"/>
        <v>2.05 &gt; Haiti</v>
      </c>
      <c r="AH569" s="84">
        <f t="shared" si="472"/>
        <v>555</v>
      </c>
      <c r="AI569" s="84">
        <f t="shared" si="473"/>
        <v>21</v>
      </c>
      <c r="AJ569" s="877" t="s">
        <v>1526</v>
      </c>
    </row>
    <row r="570" spans="1:36" x14ac:dyDescent="0.2">
      <c r="A570" s="492">
        <f>INDEX(Country!$F$31:$G$76, MATCH(AI570, Country!$O$31:$O$76, 0), 1)</f>
        <v>2.0499999999999989</v>
      </c>
      <c r="B570" s="2" t="str">
        <f>INDEX(Country!$F$31:$G$76, MATCH(AI570, Country!$O$31:$O$76, 0), 2)</f>
        <v>VC/PE investments</v>
      </c>
      <c r="C570" s="436" t="str">
        <f>INDEX(Country!$K$31:$K$76, MATCH(AI570, Country!$O$31:$O$76, 0), 1)</f>
        <v>USDm</v>
      </c>
      <c r="D570" s="4" t="str">
        <f t="shared" si="481"/>
        <v>Honduras</v>
      </c>
      <c r="E570" s="5">
        <f t="shared" si="482"/>
        <v>0</v>
      </c>
      <c r="F570" s="5">
        <f t="shared" si="475"/>
        <v>0</v>
      </c>
      <c r="G570" s="5">
        <f t="shared" si="476"/>
        <v>0</v>
      </c>
      <c r="H570" s="5">
        <f t="shared" si="477"/>
        <v>0</v>
      </c>
      <c r="I570" s="5">
        <f t="shared" si="478"/>
        <v>0</v>
      </c>
      <c r="J570" s="5">
        <f t="shared" si="479"/>
        <v>0</v>
      </c>
      <c r="K570" s="6">
        <f t="shared" si="480"/>
        <v>0</v>
      </c>
      <c r="L570" s="457"/>
      <c r="M570" s="458"/>
      <c r="N570" s="458"/>
      <c r="O570" s="458"/>
      <c r="P570" s="458"/>
      <c r="Q570" s="458"/>
      <c r="R570" s="459"/>
      <c r="S570" s="421">
        <f>SUMIFS(Investment!$H$6:$H$1303, Investment!$A$6:$A$1303, S$10, Investment!$E$6:$E$1303, $D570, Investment!$G$6:$G$1303, $B570)</f>
        <v>0</v>
      </c>
      <c r="T570" s="5">
        <f>SUMIFS(Investment!$H$6:$H$1303, Investment!$A$6:$A$1303, T$10, Investment!$E$6:$E$1303, $D570, Investment!$G$6:$G$1303, $B570)</f>
        <v>0</v>
      </c>
      <c r="U570" s="5">
        <f>SUMIFS(Investment!$H$6:$H$1303, Investment!$A$6:$A$1303, U$10, Investment!$E$6:$E$1303, $D570, Investment!$G$6:$G$1303, $B570)</f>
        <v>0</v>
      </c>
      <c r="V570" s="5">
        <f>SUMIFS(Investment!$H$6:$H$1303, Investment!$A$6:$A$1303, V$10, Investment!$E$6:$E$1303, $D570, Investment!$G$6:$G$1303, $B570)</f>
        <v>0</v>
      </c>
      <c r="W570" s="5">
        <f>SUMIFS(Investment!$H$6:$H$1303, Investment!$A$6:$A$1303, W$10, Investment!$E$6:$E$1303, $D570, Investment!$G$6:$G$1303, $B570)</f>
        <v>0</v>
      </c>
      <c r="X570" s="5">
        <f>SUMIFS(Investment!$H$6:$H$1303, Investment!$A$6:$A$1303, X$10, Investment!$E$6:$E$1303, $D570, Investment!$G$6:$G$1303, $B570)</f>
        <v>0</v>
      </c>
      <c r="Y570" s="5">
        <f>SUMIFS(Investment!$H$6:$H$1303, Investment!$A$6:$A$1303, Y$10, Investment!$E$6:$E$1303, $D570, Investment!$G$6:$G$1303, $B570)</f>
        <v>0</v>
      </c>
      <c r="Z570" s="455"/>
      <c r="AA570" s="456"/>
      <c r="AB570" s="456"/>
      <c r="AC570" s="456"/>
      <c r="AD570" s="456"/>
      <c r="AE570" s="456"/>
      <c r="AF570" s="456"/>
      <c r="AG570" s="33" t="str">
        <f t="shared" si="464"/>
        <v>2.05 &gt; Honduras</v>
      </c>
      <c r="AH570" s="84">
        <f t="shared" si="472"/>
        <v>556</v>
      </c>
      <c r="AI570" s="84">
        <f t="shared" si="473"/>
        <v>21</v>
      </c>
      <c r="AJ570" s="877" t="s">
        <v>1526</v>
      </c>
    </row>
    <row r="571" spans="1:36" x14ac:dyDescent="0.2">
      <c r="A571" s="492">
        <f>INDEX(Country!$F$31:$G$76, MATCH(AI571, Country!$O$31:$O$76, 0), 1)</f>
        <v>2.0499999999999989</v>
      </c>
      <c r="B571" s="2" t="str">
        <f>INDEX(Country!$F$31:$G$76, MATCH(AI571, Country!$O$31:$O$76, 0), 2)</f>
        <v>VC/PE investments</v>
      </c>
      <c r="C571" s="436" t="str">
        <f>INDEX(Country!$K$31:$K$76, MATCH(AI571, Country!$O$31:$O$76, 0), 1)</f>
        <v>USDm</v>
      </c>
      <c r="D571" s="4" t="str">
        <f t="shared" si="481"/>
        <v>Jamaica</v>
      </c>
      <c r="E571" s="5">
        <f t="shared" si="482"/>
        <v>0</v>
      </c>
      <c r="F571" s="5">
        <f t="shared" si="475"/>
        <v>0</v>
      </c>
      <c r="G571" s="5">
        <f t="shared" si="476"/>
        <v>0</v>
      </c>
      <c r="H571" s="5">
        <f t="shared" si="477"/>
        <v>0</v>
      </c>
      <c r="I571" s="5">
        <f t="shared" si="478"/>
        <v>0</v>
      </c>
      <c r="J571" s="5">
        <f t="shared" si="479"/>
        <v>0</v>
      </c>
      <c r="K571" s="6">
        <f t="shared" si="480"/>
        <v>0</v>
      </c>
      <c r="L571" s="457"/>
      <c r="M571" s="458"/>
      <c r="N571" s="458"/>
      <c r="O571" s="458"/>
      <c r="P571" s="458"/>
      <c r="Q571" s="458"/>
      <c r="R571" s="459"/>
      <c r="S571" s="421">
        <f>SUMIFS(Investment!$H$6:$H$1303, Investment!$A$6:$A$1303, S$10, Investment!$E$6:$E$1303, $D571, Investment!$G$6:$G$1303, $B571)</f>
        <v>0</v>
      </c>
      <c r="T571" s="5">
        <f>SUMIFS(Investment!$H$6:$H$1303, Investment!$A$6:$A$1303, T$10, Investment!$E$6:$E$1303, $D571, Investment!$G$6:$G$1303, $B571)</f>
        <v>0</v>
      </c>
      <c r="U571" s="5">
        <f>SUMIFS(Investment!$H$6:$H$1303, Investment!$A$6:$A$1303, U$10, Investment!$E$6:$E$1303, $D571, Investment!$G$6:$G$1303, $B571)</f>
        <v>0</v>
      </c>
      <c r="V571" s="5">
        <f>SUMIFS(Investment!$H$6:$H$1303, Investment!$A$6:$A$1303, V$10, Investment!$E$6:$E$1303, $D571, Investment!$G$6:$G$1303, $B571)</f>
        <v>0</v>
      </c>
      <c r="W571" s="5">
        <f>SUMIFS(Investment!$H$6:$H$1303, Investment!$A$6:$A$1303, W$10, Investment!$E$6:$E$1303, $D571, Investment!$G$6:$G$1303, $B571)</f>
        <v>0</v>
      </c>
      <c r="X571" s="5">
        <f>SUMIFS(Investment!$H$6:$H$1303, Investment!$A$6:$A$1303, X$10, Investment!$E$6:$E$1303, $D571, Investment!$G$6:$G$1303, $B571)</f>
        <v>0</v>
      </c>
      <c r="Y571" s="5">
        <f>SUMIFS(Investment!$H$6:$H$1303, Investment!$A$6:$A$1303, Y$10, Investment!$E$6:$E$1303, $D571, Investment!$G$6:$G$1303, $B571)</f>
        <v>0</v>
      </c>
      <c r="Z571" s="455"/>
      <c r="AA571" s="456"/>
      <c r="AB571" s="456"/>
      <c r="AC571" s="456"/>
      <c r="AD571" s="456"/>
      <c r="AE571" s="456"/>
      <c r="AF571" s="456"/>
      <c r="AG571" s="33" t="str">
        <f t="shared" si="464"/>
        <v>2.05 &gt; Jamaica</v>
      </c>
      <c r="AH571" s="84">
        <f t="shared" si="472"/>
        <v>557</v>
      </c>
      <c r="AI571" s="84">
        <f t="shared" si="473"/>
        <v>21</v>
      </c>
      <c r="AJ571" s="877" t="s">
        <v>1526</v>
      </c>
    </row>
    <row r="572" spans="1:36" x14ac:dyDescent="0.2">
      <c r="A572" s="492">
        <f>INDEX(Country!$F$31:$G$76, MATCH(AI572, Country!$O$31:$O$76, 0), 1)</f>
        <v>2.0499999999999989</v>
      </c>
      <c r="B572" s="2" t="str">
        <f>INDEX(Country!$F$31:$G$76, MATCH(AI572, Country!$O$31:$O$76, 0), 2)</f>
        <v>VC/PE investments</v>
      </c>
      <c r="C572" s="436" t="str">
        <f>INDEX(Country!$K$31:$K$76, MATCH(AI572, Country!$O$31:$O$76, 0), 1)</f>
        <v>USDm</v>
      </c>
      <c r="D572" s="4" t="str">
        <f t="shared" si="481"/>
        <v>Mexico</v>
      </c>
      <c r="E572" s="5">
        <f t="shared" si="482"/>
        <v>0</v>
      </c>
      <c r="F572" s="5">
        <f t="shared" si="475"/>
        <v>0</v>
      </c>
      <c r="G572" s="5">
        <f t="shared" si="476"/>
        <v>0</v>
      </c>
      <c r="H572" s="5">
        <f t="shared" si="477"/>
        <v>0</v>
      </c>
      <c r="I572" s="5">
        <f t="shared" si="478"/>
        <v>0</v>
      </c>
      <c r="J572" s="5">
        <f t="shared" si="479"/>
        <v>21.136840178545263</v>
      </c>
      <c r="K572" s="6">
        <f t="shared" si="480"/>
        <v>21.136840178545263</v>
      </c>
      <c r="L572" s="457"/>
      <c r="M572" s="458"/>
      <c r="N572" s="458"/>
      <c r="O572" s="458"/>
      <c r="P572" s="458"/>
      <c r="Q572" s="458"/>
      <c r="R572" s="459"/>
      <c r="S572" s="421">
        <f>SUMIFS(Investment!$H$6:$H$1303, Investment!$A$6:$A$1303, S$10, Investment!$E$6:$E$1303, $D572, Investment!$G$6:$G$1303, $B572)</f>
        <v>0</v>
      </c>
      <c r="T572" s="5">
        <f>SUMIFS(Investment!$H$6:$H$1303, Investment!$A$6:$A$1303, T$10, Investment!$E$6:$E$1303, $D572, Investment!$G$6:$G$1303, $B572)</f>
        <v>0</v>
      </c>
      <c r="U572" s="5">
        <f>SUMIFS(Investment!$H$6:$H$1303, Investment!$A$6:$A$1303, U$10, Investment!$E$6:$E$1303, $D572, Investment!$G$6:$G$1303, $B572)</f>
        <v>0</v>
      </c>
      <c r="V572" s="5">
        <f>SUMIFS(Investment!$H$6:$H$1303, Investment!$A$6:$A$1303, V$10, Investment!$E$6:$E$1303, $D572, Investment!$G$6:$G$1303, $B572)</f>
        <v>0</v>
      </c>
      <c r="W572" s="5">
        <f>SUMIFS(Investment!$H$6:$H$1303, Investment!$A$6:$A$1303, W$10, Investment!$E$6:$E$1303, $D572, Investment!$G$6:$G$1303, $B572)</f>
        <v>0</v>
      </c>
      <c r="X572" s="5">
        <f>SUMIFS(Investment!$H$6:$H$1303, Investment!$A$6:$A$1303, X$10, Investment!$E$6:$E$1303, $D572, Investment!$G$6:$G$1303, $B572)</f>
        <v>21.136840178545263</v>
      </c>
      <c r="Y572" s="5">
        <f>SUMIFS(Investment!$H$6:$H$1303, Investment!$A$6:$A$1303, Y$10, Investment!$E$6:$E$1303, $D572, Investment!$G$6:$G$1303, $B572)</f>
        <v>0</v>
      </c>
      <c r="Z572" s="455"/>
      <c r="AA572" s="456"/>
      <c r="AB572" s="456"/>
      <c r="AC572" s="456"/>
      <c r="AD572" s="456"/>
      <c r="AE572" s="456"/>
      <c r="AF572" s="456"/>
      <c r="AG572" s="33" t="str">
        <f t="shared" si="464"/>
        <v>2.05 &gt; Mexico</v>
      </c>
      <c r="AH572" s="84">
        <f t="shared" si="472"/>
        <v>558</v>
      </c>
      <c r="AI572" s="84">
        <f t="shared" si="473"/>
        <v>21</v>
      </c>
      <c r="AJ572" s="877" t="s">
        <v>1526</v>
      </c>
    </row>
    <row r="573" spans="1:36" x14ac:dyDescent="0.2">
      <c r="A573" s="492">
        <f>INDEX(Country!$F$31:$G$76, MATCH(AI573, Country!$O$31:$O$76, 0), 1)</f>
        <v>2.0499999999999989</v>
      </c>
      <c r="B573" s="2" t="str">
        <f>INDEX(Country!$F$31:$G$76, MATCH(AI573, Country!$O$31:$O$76, 0), 2)</f>
        <v>VC/PE investments</v>
      </c>
      <c r="C573" s="436" t="str">
        <f>INDEX(Country!$K$31:$K$76, MATCH(AI573, Country!$O$31:$O$76, 0), 1)</f>
        <v>USDm</v>
      </c>
      <c r="D573" s="4" t="str">
        <f t="shared" si="481"/>
        <v>Nicaragua</v>
      </c>
      <c r="E573" s="5">
        <f t="shared" si="482"/>
        <v>0</v>
      </c>
      <c r="F573" s="5">
        <f t="shared" si="475"/>
        <v>0</v>
      </c>
      <c r="G573" s="5">
        <f t="shared" si="476"/>
        <v>0</v>
      </c>
      <c r="H573" s="5">
        <f t="shared" si="477"/>
        <v>0</v>
      </c>
      <c r="I573" s="5">
        <f t="shared" si="478"/>
        <v>0</v>
      </c>
      <c r="J573" s="5">
        <f t="shared" si="479"/>
        <v>0</v>
      </c>
      <c r="K573" s="6">
        <f t="shared" si="480"/>
        <v>0</v>
      </c>
      <c r="L573" s="457"/>
      <c r="M573" s="458"/>
      <c r="N573" s="458"/>
      <c r="O573" s="458"/>
      <c r="P573" s="458"/>
      <c r="Q573" s="458"/>
      <c r="R573" s="459"/>
      <c r="S573" s="421">
        <f>SUMIFS(Investment!$H$6:$H$1303, Investment!$A$6:$A$1303, S$10, Investment!$E$6:$E$1303, $D573, Investment!$G$6:$G$1303, $B573)</f>
        <v>0</v>
      </c>
      <c r="T573" s="5">
        <f>SUMIFS(Investment!$H$6:$H$1303, Investment!$A$6:$A$1303, T$10, Investment!$E$6:$E$1303, $D573, Investment!$G$6:$G$1303, $B573)</f>
        <v>0</v>
      </c>
      <c r="U573" s="5">
        <f>SUMIFS(Investment!$H$6:$H$1303, Investment!$A$6:$A$1303, U$10, Investment!$E$6:$E$1303, $D573, Investment!$G$6:$G$1303, $B573)</f>
        <v>0</v>
      </c>
      <c r="V573" s="5">
        <f>SUMIFS(Investment!$H$6:$H$1303, Investment!$A$6:$A$1303, V$10, Investment!$E$6:$E$1303, $D573, Investment!$G$6:$G$1303, $B573)</f>
        <v>0</v>
      </c>
      <c r="W573" s="5">
        <f>SUMIFS(Investment!$H$6:$H$1303, Investment!$A$6:$A$1303, W$10, Investment!$E$6:$E$1303, $D573, Investment!$G$6:$G$1303, $B573)</f>
        <v>0</v>
      </c>
      <c r="X573" s="5">
        <f>SUMIFS(Investment!$H$6:$H$1303, Investment!$A$6:$A$1303, X$10, Investment!$E$6:$E$1303, $D573, Investment!$G$6:$G$1303, $B573)</f>
        <v>0</v>
      </c>
      <c r="Y573" s="5">
        <f>SUMIFS(Investment!$H$6:$H$1303, Investment!$A$6:$A$1303, Y$10, Investment!$E$6:$E$1303, $D573, Investment!$G$6:$G$1303, $B573)</f>
        <v>0</v>
      </c>
      <c r="Z573" s="455"/>
      <c r="AA573" s="456"/>
      <c r="AB573" s="456"/>
      <c r="AC573" s="456"/>
      <c r="AD573" s="456"/>
      <c r="AE573" s="456"/>
      <c r="AF573" s="456"/>
      <c r="AG573" s="33" t="str">
        <f t="shared" si="464"/>
        <v>2.05 &gt; Nicaragua</v>
      </c>
      <c r="AH573" s="84">
        <f t="shared" si="472"/>
        <v>559</v>
      </c>
      <c r="AI573" s="84">
        <f t="shared" si="473"/>
        <v>21</v>
      </c>
      <c r="AJ573" s="877" t="s">
        <v>1526</v>
      </c>
    </row>
    <row r="574" spans="1:36" x14ac:dyDescent="0.2">
      <c r="A574" s="492">
        <f>INDEX(Country!$F$31:$G$76, MATCH(AI574, Country!$O$31:$O$76, 0), 1)</f>
        <v>2.0499999999999989</v>
      </c>
      <c r="B574" s="2" t="str">
        <f>INDEX(Country!$F$31:$G$76, MATCH(AI574, Country!$O$31:$O$76, 0), 2)</f>
        <v>VC/PE investments</v>
      </c>
      <c r="C574" s="436" t="str">
        <f>INDEX(Country!$K$31:$K$76, MATCH(AI574, Country!$O$31:$O$76, 0), 1)</f>
        <v>USDm</v>
      </c>
      <c r="D574" s="4" t="str">
        <f t="shared" si="481"/>
        <v>Panama</v>
      </c>
      <c r="E574" s="5">
        <f t="shared" si="482"/>
        <v>0</v>
      </c>
      <c r="F574" s="5">
        <f t="shared" si="475"/>
        <v>0</v>
      </c>
      <c r="G574" s="5">
        <f t="shared" si="476"/>
        <v>0</v>
      </c>
      <c r="H574" s="5">
        <f t="shared" si="477"/>
        <v>0</v>
      </c>
      <c r="I574" s="5">
        <f t="shared" si="478"/>
        <v>0</v>
      </c>
      <c r="J574" s="5">
        <f t="shared" si="479"/>
        <v>0</v>
      </c>
      <c r="K574" s="6">
        <f t="shared" si="480"/>
        <v>22.097621427372069</v>
      </c>
      <c r="L574" s="457"/>
      <c r="M574" s="458"/>
      <c r="N574" s="458"/>
      <c r="O574" s="458"/>
      <c r="P574" s="458"/>
      <c r="Q574" s="458"/>
      <c r="R574" s="459"/>
      <c r="S574" s="421">
        <f>SUMIFS(Investment!$H$6:$H$1303, Investment!$A$6:$A$1303, S$10, Investment!$E$6:$E$1303, $D574, Investment!$G$6:$G$1303, $B574)</f>
        <v>0</v>
      </c>
      <c r="T574" s="5">
        <f>SUMIFS(Investment!$H$6:$H$1303, Investment!$A$6:$A$1303, T$10, Investment!$E$6:$E$1303, $D574, Investment!$G$6:$G$1303, $B574)</f>
        <v>0</v>
      </c>
      <c r="U574" s="5">
        <f>SUMIFS(Investment!$H$6:$H$1303, Investment!$A$6:$A$1303, U$10, Investment!$E$6:$E$1303, $D574, Investment!$G$6:$G$1303, $B574)</f>
        <v>0</v>
      </c>
      <c r="V574" s="5">
        <f>SUMIFS(Investment!$H$6:$H$1303, Investment!$A$6:$A$1303, V$10, Investment!$E$6:$E$1303, $D574, Investment!$G$6:$G$1303, $B574)</f>
        <v>0</v>
      </c>
      <c r="W574" s="5">
        <f>SUMIFS(Investment!$H$6:$H$1303, Investment!$A$6:$A$1303, W$10, Investment!$E$6:$E$1303, $D574, Investment!$G$6:$G$1303, $B574)</f>
        <v>0</v>
      </c>
      <c r="X574" s="5">
        <f>SUMIFS(Investment!$H$6:$H$1303, Investment!$A$6:$A$1303, X$10, Investment!$E$6:$E$1303, $D574, Investment!$G$6:$G$1303, $B574)</f>
        <v>0</v>
      </c>
      <c r="Y574" s="5">
        <f>SUMIFS(Investment!$H$6:$H$1303, Investment!$A$6:$A$1303, Y$10, Investment!$E$6:$E$1303, $D574, Investment!$G$6:$G$1303, $B574)</f>
        <v>22.097621427372069</v>
      </c>
      <c r="Z574" s="455"/>
      <c r="AA574" s="456"/>
      <c r="AB574" s="456"/>
      <c r="AC574" s="456"/>
      <c r="AD574" s="456"/>
      <c r="AE574" s="456"/>
      <c r="AF574" s="456"/>
      <c r="AG574" s="33" t="str">
        <f t="shared" si="464"/>
        <v>2.05 &gt; Panama</v>
      </c>
      <c r="AH574" s="84">
        <f t="shared" si="472"/>
        <v>560</v>
      </c>
      <c r="AI574" s="84">
        <f t="shared" si="473"/>
        <v>21</v>
      </c>
      <c r="AJ574" s="877" t="s">
        <v>1526</v>
      </c>
    </row>
    <row r="575" spans="1:36" x14ac:dyDescent="0.2">
      <c r="A575" s="492">
        <f>INDEX(Country!$F$31:$G$76, MATCH(AI575, Country!$O$31:$O$76, 0), 1)</f>
        <v>2.0499999999999989</v>
      </c>
      <c r="B575" s="2" t="str">
        <f>INDEX(Country!$F$31:$G$76, MATCH(AI575, Country!$O$31:$O$76, 0), 2)</f>
        <v>VC/PE investments</v>
      </c>
      <c r="C575" s="436" t="str">
        <f>INDEX(Country!$K$31:$K$76, MATCH(AI575, Country!$O$31:$O$76, 0), 1)</f>
        <v>USDm</v>
      </c>
      <c r="D575" s="4" t="str">
        <f t="shared" si="481"/>
        <v>Paraguay</v>
      </c>
      <c r="E575" s="5">
        <f t="shared" si="482"/>
        <v>0</v>
      </c>
      <c r="F575" s="5">
        <f t="shared" si="475"/>
        <v>0</v>
      </c>
      <c r="G575" s="5">
        <f t="shared" si="476"/>
        <v>0</v>
      </c>
      <c r="H575" s="5">
        <f t="shared" si="477"/>
        <v>0</v>
      </c>
      <c r="I575" s="5">
        <f t="shared" si="478"/>
        <v>0</v>
      </c>
      <c r="J575" s="5">
        <f t="shared" si="479"/>
        <v>0</v>
      </c>
      <c r="K575" s="6">
        <f t="shared" si="480"/>
        <v>0</v>
      </c>
      <c r="L575" s="457"/>
      <c r="M575" s="458"/>
      <c r="N575" s="458"/>
      <c r="O575" s="458"/>
      <c r="P575" s="458"/>
      <c r="Q575" s="458"/>
      <c r="R575" s="459"/>
      <c r="S575" s="421">
        <f>SUMIFS(Investment!$H$6:$H$1303, Investment!$A$6:$A$1303, S$10, Investment!$E$6:$E$1303, $D575, Investment!$G$6:$G$1303, $B575)</f>
        <v>0</v>
      </c>
      <c r="T575" s="5">
        <f>SUMIFS(Investment!$H$6:$H$1303, Investment!$A$6:$A$1303, T$10, Investment!$E$6:$E$1303, $D575, Investment!$G$6:$G$1303, $B575)</f>
        <v>0</v>
      </c>
      <c r="U575" s="5">
        <f>SUMIFS(Investment!$H$6:$H$1303, Investment!$A$6:$A$1303, U$10, Investment!$E$6:$E$1303, $D575, Investment!$G$6:$G$1303, $B575)</f>
        <v>0</v>
      </c>
      <c r="V575" s="5">
        <f>SUMIFS(Investment!$H$6:$H$1303, Investment!$A$6:$A$1303, V$10, Investment!$E$6:$E$1303, $D575, Investment!$G$6:$G$1303, $B575)</f>
        <v>0</v>
      </c>
      <c r="W575" s="5">
        <f>SUMIFS(Investment!$H$6:$H$1303, Investment!$A$6:$A$1303, W$10, Investment!$E$6:$E$1303, $D575, Investment!$G$6:$G$1303, $B575)</f>
        <v>0</v>
      </c>
      <c r="X575" s="5">
        <f>SUMIFS(Investment!$H$6:$H$1303, Investment!$A$6:$A$1303, X$10, Investment!$E$6:$E$1303, $D575, Investment!$G$6:$G$1303, $B575)</f>
        <v>0</v>
      </c>
      <c r="Y575" s="5">
        <f>SUMIFS(Investment!$H$6:$H$1303, Investment!$A$6:$A$1303, Y$10, Investment!$E$6:$E$1303, $D575, Investment!$G$6:$G$1303, $B575)</f>
        <v>0</v>
      </c>
      <c r="Z575" s="455"/>
      <c r="AA575" s="456"/>
      <c r="AB575" s="456"/>
      <c r="AC575" s="456"/>
      <c r="AD575" s="456"/>
      <c r="AE575" s="456"/>
      <c r="AF575" s="456"/>
      <c r="AG575" s="33" t="str">
        <f t="shared" si="464"/>
        <v>2.05 &gt; Paraguay</v>
      </c>
      <c r="AH575" s="84">
        <f t="shared" si="472"/>
        <v>561</v>
      </c>
      <c r="AI575" s="84">
        <f t="shared" si="473"/>
        <v>21</v>
      </c>
      <c r="AJ575" s="877" t="s">
        <v>1526</v>
      </c>
    </row>
    <row r="576" spans="1:36" x14ac:dyDescent="0.2">
      <c r="A576" s="492">
        <f>INDEX(Country!$F$31:$G$76, MATCH(AI576, Country!$O$31:$O$76, 0), 1)</f>
        <v>2.0499999999999989</v>
      </c>
      <c r="B576" s="2" t="str">
        <f>INDEX(Country!$F$31:$G$76, MATCH(AI576, Country!$O$31:$O$76, 0), 2)</f>
        <v>VC/PE investments</v>
      </c>
      <c r="C576" s="436" t="str">
        <f>INDEX(Country!$K$31:$K$76, MATCH(AI576, Country!$O$31:$O$76, 0), 1)</f>
        <v>USDm</v>
      </c>
      <c r="D576" s="4" t="str">
        <f t="shared" si="481"/>
        <v>Peru</v>
      </c>
      <c r="E576" s="5">
        <f t="shared" si="482"/>
        <v>0</v>
      </c>
      <c r="F576" s="5">
        <f t="shared" si="475"/>
        <v>0</v>
      </c>
      <c r="G576" s="5">
        <f t="shared" si="476"/>
        <v>0</v>
      </c>
      <c r="H576" s="5">
        <f t="shared" si="477"/>
        <v>20.929811276499393</v>
      </c>
      <c r="I576" s="5">
        <f t="shared" si="478"/>
        <v>20.929811276499393</v>
      </c>
      <c r="J576" s="5">
        <f t="shared" si="479"/>
        <v>41.919731805981542</v>
      </c>
      <c r="K576" s="6">
        <f t="shared" si="480"/>
        <v>41.919731805981542</v>
      </c>
      <c r="L576" s="457"/>
      <c r="M576" s="458"/>
      <c r="N576" s="458"/>
      <c r="O576" s="458"/>
      <c r="P576" s="458"/>
      <c r="Q576" s="458"/>
      <c r="R576" s="459"/>
      <c r="S576" s="421">
        <f>SUMIFS(Investment!$H$6:$H$1303, Investment!$A$6:$A$1303, S$10, Investment!$E$6:$E$1303, $D576, Investment!$G$6:$G$1303, $B576)</f>
        <v>0</v>
      </c>
      <c r="T576" s="5">
        <f>SUMIFS(Investment!$H$6:$H$1303, Investment!$A$6:$A$1303, T$10, Investment!$E$6:$E$1303, $D576, Investment!$G$6:$G$1303, $B576)</f>
        <v>0</v>
      </c>
      <c r="U576" s="5">
        <f>SUMIFS(Investment!$H$6:$H$1303, Investment!$A$6:$A$1303, U$10, Investment!$E$6:$E$1303, $D576, Investment!$G$6:$G$1303, $B576)</f>
        <v>0</v>
      </c>
      <c r="V576" s="5">
        <f>SUMIFS(Investment!$H$6:$H$1303, Investment!$A$6:$A$1303, V$10, Investment!$E$6:$E$1303, $D576, Investment!$G$6:$G$1303, $B576)</f>
        <v>20.929811276499393</v>
      </c>
      <c r="W576" s="5">
        <f>SUMIFS(Investment!$H$6:$H$1303, Investment!$A$6:$A$1303, W$10, Investment!$E$6:$E$1303, $D576, Investment!$G$6:$G$1303, $B576)</f>
        <v>0</v>
      </c>
      <c r="X576" s="5">
        <f>SUMIFS(Investment!$H$6:$H$1303, Investment!$A$6:$A$1303, X$10, Investment!$E$6:$E$1303, $D576, Investment!$G$6:$G$1303, $B576)</f>
        <v>20.989920529482152</v>
      </c>
      <c r="Y576" s="5">
        <f>SUMIFS(Investment!$H$6:$H$1303, Investment!$A$6:$A$1303, Y$10, Investment!$E$6:$E$1303, $D576, Investment!$G$6:$G$1303, $B576)</f>
        <v>0</v>
      </c>
      <c r="Z576" s="455"/>
      <c r="AA576" s="456"/>
      <c r="AB576" s="456"/>
      <c r="AC576" s="456"/>
      <c r="AD576" s="456"/>
      <c r="AE576" s="456"/>
      <c r="AF576" s="456"/>
      <c r="AG576" s="33" t="str">
        <f t="shared" si="464"/>
        <v>2.05 &gt; Peru</v>
      </c>
      <c r="AH576" s="84">
        <f t="shared" si="472"/>
        <v>562</v>
      </c>
      <c r="AI576" s="84">
        <f t="shared" si="473"/>
        <v>21</v>
      </c>
      <c r="AJ576" s="877" t="s">
        <v>1526</v>
      </c>
    </row>
    <row r="577" spans="1:36" x14ac:dyDescent="0.2">
      <c r="A577" s="492">
        <f>INDEX(Country!$F$31:$G$76, MATCH(AI577, Country!$O$31:$O$76, 0), 1)</f>
        <v>2.0499999999999989</v>
      </c>
      <c r="B577" s="2" t="str">
        <f>INDEX(Country!$F$31:$G$76, MATCH(AI577, Country!$O$31:$O$76, 0), 2)</f>
        <v>VC/PE investments</v>
      </c>
      <c r="C577" s="436" t="str">
        <f>INDEX(Country!$K$31:$K$76, MATCH(AI577, Country!$O$31:$O$76, 0), 1)</f>
        <v>USDm</v>
      </c>
      <c r="D577" s="4" t="str">
        <f t="shared" si="481"/>
        <v>Suriname</v>
      </c>
      <c r="E577" s="5">
        <f t="shared" si="482"/>
        <v>0</v>
      </c>
      <c r="F577" s="5">
        <f t="shared" si="475"/>
        <v>0</v>
      </c>
      <c r="G577" s="5">
        <f t="shared" si="476"/>
        <v>0</v>
      </c>
      <c r="H577" s="5">
        <f t="shared" si="477"/>
        <v>0</v>
      </c>
      <c r="I577" s="5">
        <f t="shared" si="478"/>
        <v>0</v>
      </c>
      <c r="J577" s="5">
        <f t="shared" si="479"/>
        <v>0</v>
      </c>
      <c r="K577" s="6">
        <f t="shared" si="480"/>
        <v>0</v>
      </c>
      <c r="L577" s="457"/>
      <c r="M577" s="458"/>
      <c r="N577" s="458"/>
      <c r="O577" s="458"/>
      <c r="P577" s="458"/>
      <c r="Q577" s="458"/>
      <c r="R577" s="459"/>
      <c r="S577" s="421">
        <f>SUMIFS(Investment!$H$6:$H$1303, Investment!$A$6:$A$1303, S$10, Investment!$E$6:$E$1303, $D577, Investment!$G$6:$G$1303, $B577)</f>
        <v>0</v>
      </c>
      <c r="T577" s="5">
        <f>SUMIFS(Investment!$H$6:$H$1303, Investment!$A$6:$A$1303, T$10, Investment!$E$6:$E$1303, $D577, Investment!$G$6:$G$1303, $B577)</f>
        <v>0</v>
      </c>
      <c r="U577" s="5">
        <f>SUMIFS(Investment!$H$6:$H$1303, Investment!$A$6:$A$1303, U$10, Investment!$E$6:$E$1303, $D577, Investment!$G$6:$G$1303, $B577)</f>
        <v>0</v>
      </c>
      <c r="V577" s="5">
        <f>SUMIFS(Investment!$H$6:$H$1303, Investment!$A$6:$A$1303, V$10, Investment!$E$6:$E$1303, $D577, Investment!$G$6:$G$1303, $B577)</f>
        <v>0</v>
      </c>
      <c r="W577" s="5">
        <f>SUMIFS(Investment!$H$6:$H$1303, Investment!$A$6:$A$1303, W$10, Investment!$E$6:$E$1303, $D577, Investment!$G$6:$G$1303, $B577)</f>
        <v>0</v>
      </c>
      <c r="X577" s="5">
        <f>SUMIFS(Investment!$H$6:$H$1303, Investment!$A$6:$A$1303, X$10, Investment!$E$6:$E$1303, $D577, Investment!$G$6:$G$1303, $B577)</f>
        <v>0</v>
      </c>
      <c r="Y577" s="5">
        <f>SUMIFS(Investment!$H$6:$H$1303, Investment!$A$6:$A$1303, Y$10, Investment!$E$6:$E$1303, $D577, Investment!$G$6:$G$1303, $B577)</f>
        <v>0</v>
      </c>
      <c r="Z577" s="455"/>
      <c r="AA577" s="456"/>
      <c r="AB577" s="456"/>
      <c r="AC577" s="456"/>
      <c r="AD577" s="456"/>
      <c r="AE577" s="456"/>
      <c r="AF577" s="456"/>
      <c r="AG577" s="33" t="str">
        <f t="shared" si="464"/>
        <v>2.05 &gt; Suriname</v>
      </c>
      <c r="AH577" s="84">
        <f t="shared" si="472"/>
        <v>563</v>
      </c>
      <c r="AI577" s="84">
        <f t="shared" si="473"/>
        <v>21</v>
      </c>
      <c r="AJ577" s="877" t="s">
        <v>1526</v>
      </c>
    </row>
    <row r="578" spans="1:36" x14ac:dyDescent="0.2">
      <c r="A578" s="492">
        <f>INDEX(Country!$F$31:$G$76, MATCH(AI578, Country!$O$31:$O$76, 0), 1)</f>
        <v>2.0499999999999989</v>
      </c>
      <c r="B578" s="2" t="str">
        <f>INDEX(Country!$F$31:$G$76, MATCH(AI578, Country!$O$31:$O$76, 0), 2)</f>
        <v>VC/PE investments</v>
      </c>
      <c r="C578" s="436" t="str">
        <f>INDEX(Country!$K$31:$K$76, MATCH(AI578, Country!$O$31:$O$76, 0), 1)</f>
        <v>USDm</v>
      </c>
      <c r="D578" s="4" t="str">
        <f t="shared" si="481"/>
        <v>Trinidad &amp; Tobago</v>
      </c>
      <c r="E578" s="5">
        <f t="shared" si="482"/>
        <v>0</v>
      </c>
      <c r="F578" s="5">
        <f t="shared" si="475"/>
        <v>0</v>
      </c>
      <c r="G578" s="5">
        <f t="shared" si="476"/>
        <v>0</v>
      </c>
      <c r="H578" s="5">
        <f t="shared" si="477"/>
        <v>0</v>
      </c>
      <c r="I578" s="5">
        <f t="shared" si="478"/>
        <v>0</v>
      </c>
      <c r="J578" s="5">
        <f t="shared" si="479"/>
        <v>0</v>
      </c>
      <c r="K578" s="6">
        <f t="shared" si="480"/>
        <v>0</v>
      </c>
      <c r="L578" s="457"/>
      <c r="M578" s="458"/>
      <c r="N578" s="458"/>
      <c r="O578" s="458"/>
      <c r="P578" s="458"/>
      <c r="Q578" s="458"/>
      <c r="R578" s="459"/>
      <c r="S578" s="421">
        <f>SUMIFS(Investment!$H$6:$H$1303, Investment!$A$6:$A$1303, S$10, Investment!$E$6:$E$1303, $D578, Investment!$G$6:$G$1303, $B578)</f>
        <v>0</v>
      </c>
      <c r="T578" s="5">
        <f>SUMIFS(Investment!$H$6:$H$1303, Investment!$A$6:$A$1303, T$10, Investment!$E$6:$E$1303, $D578, Investment!$G$6:$G$1303, $B578)</f>
        <v>0</v>
      </c>
      <c r="U578" s="5">
        <f>SUMIFS(Investment!$H$6:$H$1303, Investment!$A$6:$A$1303, U$10, Investment!$E$6:$E$1303, $D578, Investment!$G$6:$G$1303, $B578)</f>
        <v>0</v>
      </c>
      <c r="V578" s="5">
        <f>SUMIFS(Investment!$H$6:$H$1303, Investment!$A$6:$A$1303, V$10, Investment!$E$6:$E$1303, $D578, Investment!$G$6:$G$1303, $B578)</f>
        <v>0</v>
      </c>
      <c r="W578" s="5">
        <f>SUMIFS(Investment!$H$6:$H$1303, Investment!$A$6:$A$1303, W$10, Investment!$E$6:$E$1303, $D578, Investment!$G$6:$G$1303, $B578)</f>
        <v>0</v>
      </c>
      <c r="X578" s="5">
        <f>SUMIFS(Investment!$H$6:$H$1303, Investment!$A$6:$A$1303, X$10, Investment!$E$6:$E$1303, $D578, Investment!$G$6:$G$1303, $B578)</f>
        <v>0</v>
      </c>
      <c r="Y578" s="5">
        <f>SUMIFS(Investment!$H$6:$H$1303, Investment!$A$6:$A$1303, Y$10, Investment!$E$6:$E$1303, $D578, Investment!$G$6:$G$1303, $B578)</f>
        <v>0</v>
      </c>
      <c r="Z578" s="455"/>
      <c r="AA578" s="456"/>
      <c r="AB578" s="456"/>
      <c r="AC578" s="456"/>
      <c r="AD578" s="456"/>
      <c r="AE578" s="456"/>
      <c r="AF578" s="456"/>
      <c r="AG578" s="33" t="str">
        <f t="shared" si="464"/>
        <v>2.05 &gt; Trinidad &amp; Tobago</v>
      </c>
      <c r="AH578" s="84">
        <f t="shared" si="472"/>
        <v>564</v>
      </c>
      <c r="AI578" s="84">
        <f t="shared" si="473"/>
        <v>21</v>
      </c>
      <c r="AJ578" s="877" t="s">
        <v>1526</v>
      </c>
    </row>
    <row r="579" spans="1:36" x14ac:dyDescent="0.2">
      <c r="A579" s="492">
        <f>INDEX(Country!$F$31:$G$76, MATCH(AI579, Country!$O$31:$O$76, 0), 1)</f>
        <v>2.0499999999999989</v>
      </c>
      <c r="B579" s="2" t="str">
        <f>INDEX(Country!$F$31:$G$76, MATCH(AI579, Country!$O$31:$O$76, 0), 2)</f>
        <v>VC/PE investments</v>
      </c>
      <c r="C579" s="436" t="str">
        <f>INDEX(Country!$K$31:$K$76, MATCH(AI579, Country!$O$31:$O$76, 0), 1)</f>
        <v>USDm</v>
      </c>
      <c r="D579" s="4" t="str">
        <f t="shared" si="481"/>
        <v>Uruguay</v>
      </c>
      <c r="E579" s="5">
        <f t="shared" si="482"/>
        <v>0</v>
      </c>
      <c r="F579" s="5">
        <f t="shared" si="475"/>
        <v>0</v>
      </c>
      <c r="G579" s="5">
        <f t="shared" si="476"/>
        <v>0</v>
      </c>
      <c r="H579" s="5">
        <f t="shared" si="477"/>
        <v>0</v>
      </c>
      <c r="I579" s="5">
        <f t="shared" si="478"/>
        <v>0</v>
      </c>
      <c r="J579" s="5">
        <f t="shared" si="479"/>
        <v>0</v>
      </c>
      <c r="K579" s="6">
        <f t="shared" si="480"/>
        <v>0</v>
      </c>
      <c r="L579" s="457"/>
      <c r="M579" s="458"/>
      <c r="N579" s="458"/>
      <c r="O579" s="458"/>
      <c r="P579" s="458"/>
      <c r="Q579" s="458"/>
      <c r="R579" s="459"/>
      <c r="S579" s="421">
        <f>SUMIFS(Investment!$H$6:$H$1303, Investment!$A$6:$A$1303, S$10, Investment!$E$6:$E$1303, $D579, Investment!$G$6:$G$1303, $B579)</f>
        <v>0</v>
      </c>
      <c r="T579" s="5">
        <f>SUMIFS(Investment!$H$6:$H$1303, Investment!$A$6:$A$1303, T$10, Investment!$E$6:$E$1303, $D579, Investment!$G$6:$G$1303, $B579)</f>
        <v>0</v>
      </c>
      <c r="U579" s="5">
        <f>SUMIFS(Investment!$H$6:$H$1303, Investment!$A$6:$A$1303, U$10, Investment!$E$6:$E$1303, $D579, Investment!$G$6:$G$1303, $B579)</f>
        <v>0</v>
      </c>
      <c r="V579" s="5">
        <f>SUMIFS(Investment!$H$6:$H$1303, Investment!$A$6:$A$1303, V$10, Investment!$E$6:$E$1303, $D579, Investment!$G$6:$G$1303, $B579)</f>
        <v>0</v>
      </c>
      <c r="W579" s="5">
        <f>SUMIFS(Investment!$H$6:$H$1303, Investment!$A$6:$A$1303, W$10, Investment!$E$6:$E$1303, $D579, Investment!$G$6:$G$1303, $B579)</f>
        <v>0</v>
      </c>
      <c r="X579" s="5">
        <f>SUMIFS(Investment!$H$6:$H$1303, Investment!$A$6:$A$1303, X$10, Investment!$E$6:$E$1303, $D579, Investment!$G$6:$G$1303, $B579)</f>
        <v>0</v>
      </c>
      <c r="Y579" s="5">
        <f>SUMIFS(Investment!$H$6:$H$1303, Investment!$A$6:$A$1303, Y$10, Investment!$E$6:$E$1303, $D579, Investment!$G$6:$G$1303, $B579)</f>
        <v>0</v>
      </c>
      <c r="Z579" s="455"/>
      <c r="AA579" s="456"/>
      <c r="AB579" s="456"/>
      <c r="AC579" s="456"/>
      <c r="AD579" s="456"/>
      <c r="AE579" s="456"/>
      <c r="AF579" s="456"/>
      <c r="AG579" s="33" t="str">
        <f t="shared" si="464"/>
        <v>2.05 &gt; Uruguay</v>
      </c>
      <c r="AH579" s="84">
        <f t="shared" si="472"/>
        <v>565</v>
      </c>
      <c r="AI579" s="84">
        <f t="shared" si="473"/>
        <v>21</v>
      </c>
      <c r="AJ579" s="877" t="s">
        <v>1526</v>
      </c>
    </row>
    <row r="580" spans="1:36" x14ac:dyDescent="0.2">
      <c r="A580" s="491">
        <f>INDEX(Country!$F$31:$G$76, MATCH(AI580, Country!$O$31:$O$76, 0), 1)</f>
        <v>2.0499999999999989</v>
      </c>
      <c r="B580" s="386" t="str">
        <f>INDEX(Country!$F$31:$G$76, MATCH(AI580, Country!$O$31:$O$76, 0), 2)</f>
        <v>VC/PE investments</v>
      </c>
      <c r="C580" s="437" t="str">
        <f>INDEX(Country!$K$31:$K$76, MATCH(AI580, Country!$O$31:$O$76, 0), 1)</f>
        <v>USDm</v>
      </c>
      <c r="D580" s="86" t="str">
        <f t="shared" si="481"/>
        <v>Venezuela</v>
      </c>
      <c r="E580" s="364">
        <f t="shared" si="482"/>
        <v>0</v>
      </c>
      <c r="F580" s="364">
        <f t="shared" si="475"/>
        <v>0</v>
      </c>
      <c r="G580" s="364">
        <f t="shared" si="476"/>
        <v>0</v>
      </c>
      <c r="H580" s="364">
        <f t="shared" si="477"/>
        <v>0</v>
      </c>
      <c r="I580" s="364">
        <f t="shared" si="478"/>
        <v>0</v>
      </c>
      <c r="J580" s="364">
        <f t="shared" si="479"/>
        <v>0</v>
      </c>
      <c r="K580" s="390">
        <f t="shared" si="480"/>
        <v>0</v>
      </c>
      <c r="L580" s="460"/>
      <c r="M580" s="461"/>
      <c r="N580" s="461"/>
      <c r="O580" s="461"/>
      <c r="P580" s="461"/>
      <c r="Q580" s="461"/>
      <c r="R580" s="462"/>
      <c r="S580" s="422">
        <f>SUMIFS(Investment!$H$6:$H$1303, Investment!$A$6:$A$1303, S$10, Investment!$E$6:$E$1303, $D580, Investment!$G$6:$G$1303, $B580)</f>
        <v>0</v>
      </c>
      <c r="T580" s="364">
        <f>SUMIFS(Investment!$H$6:$H$1303, Investment!$A$6:$A$1303, T$10, Investment!$E$6:$E$1303, $D580, Investment!$G$6:$G$1303, $B580)</f>
        <v>0</v>
      </c>
      <c r="U580" s="364">
        <f>SUMIFS(Investment!$H$6:$H$1303, Investment!$A$6:$A$1303, U$10, Investment!$E$6:$E$1303, $D580, Investment!$G$6:$G$1303, $B580)</f>
        <v>0</v>
      </c>
      <c r="V580" s="364">
        <f>SUMIFS(Investment!$H$6:$H$1303, Investment!$A$6:$A$1303, V$10, Investment!$E$6:$E$1303, $D580, Investment!$G$6:$G$1303, $B580)</f>
        <v>0</v>
      </c>
      <c r="W580" s="364">
        <f>SUMIFS(Investment!$H$6:$H$1303, Investment!$A$6:$A$1303, W$10, Investment!$E$6:$E$1303, $D580, Investment!$G$6:$G$1303, $B580)</f>
        <v>0</v>
      </c>
      <c r="X580" s="364">
        <f>SUMIFS(Investment!$H$6:$H$1303, Investment!$A$6:$A$1303, X$10, Investment!$E$6:$E$1303, $D580, Investment!$G$6:$G$1303, $B580)</f>
        <v>0</v>
      </c>
      <c r="Y580" s="364">
        <f>SUMIFS(Investment!$H$6:$H$1303, Investment!$A$6:$A$1303, Y$10, Investment!$E$6:$E$1303, $D580, Investment!$G$6:$G$1303, $B580)</f>
        <v>0</v>
      </c>
      <c r="Z580" s="455"/>
      <c r="AA580" s="456"/>
      <c r="AB580" s="456"/>
      <c r="AC580" s="456"/>
      <c r="AD580" s="456"/>
      <c r="AE580" s="456"/>
      <c r="AF580" s="456"/>
      <c r="AG580" s="90" t="str">
        <f t="shared" si="464"/>
        <v>2.05 &gt; Venezuela</v>
      </c>
      <c r="AH580" s="392">
        <f t="shared" si="472"/>
        <v>566</v>
      </c>
      <c r="AI580" s="392">
        <f t="shared" si="473"/>
        <v>21</v>
      </c>
      <c r="AJ580" s="878" t="s">
        <v>1526</v>
      </c>
    </row>
    <row r="581" spans="1:36" x14ac:dyDescent="0.2">
      <c r="A581" s="490">
        <f>INDEX(Country!$F$31:$G$76, MATCH(AI581, Country!$O$31:$O$76, 0), 1)</f>
        <v>2.0499999999999989</v>
      </c>
      <c r="B581" s="387" t="str">
        <f>INDEX(Country!$F$31:$G$76, MATCH(AI581, Country!$O$31:$O$76, 0), 2)</f>
        <v>VC/PE investments</v>
      </c>
      <c r="C581" s="438" t="str">
        <f>INDEX(Country!$K$31:$K$76, MATCH(AI581, Country!$O$31:$O$76, 0), 1)</f>
        <v>USDm</v>
      </c>
      <c r="D581" s="32" t="str">
        <f t="shared" si="481"/>
        <v>Benchmark</v>
      </c>
      <c r="E581" s="365">
        <f>IFERROR(MAX(E555:E580), 0)</f>
        <v>57.142000000000003</v>
      </c>
      <c r="F581" s="365">
        <f t="shared" ref="F581:K581" si="483">IFERROR(MAX(F555:F580), 0)</f>
        <v>887.69200000000001</v>
      </c>
      <c r="G581" s="365">
        <f t="shared" si="483"/>
        <v>1529.8088836338002</v>
      </c>
      <c r="H581" s="365">
        <f t="shared" si="483"/>
        <v>2060.0888950558774</v>
      </c>
      <c r="I581" s="365">
        <f t="shared" si="483"/>
        <v>2653.5194288147218</v>
      </c>
      <c r="J581" s="365">
        <f t="shared" si="483"/>
        <v>3045.5502731169599</v>
      </c>
      <c r="K581" s="593">
        <f t="shared" si="483"/>
        <v>3552.7729211545479</v>
      </c>
      <c r="L581" s="585">
        <v>0</v>
      </c>
      <c r="M581" s="463">
        <v>0</v>
      </c>
      <c r="N581" s="463">
        <v>0</v>
      </c>
      <c r="O581" s="463">
        <v>0</v>
      </c>
      <c r="P581" s="463">
        <v>0</v>
      </c>
      <c r="Q581" s="463">
        <v>0</v>
      </c>
      <c r="R581" s="586">
        <v>0</v>
      </c>
      <c r="S581" s="393" t="s">
        <v>1553</v>
      </c>
      <c r="T581" s="394"/>
      <c r="U581" s="376"/>
      <c r="V581" s="376"/>
      <c r="W581" s="376"/>
      <c r="X581" s="376"/>
      <c r="Y581" s="376"/>
      <c r="Z581" s="393"/>
      <c r="AA581" s="394"/>
      <c r="AB581" s="376"/>
      <c r="AC581" s="376"/>
      <c r="AD581" s="376"/>
      <c r="AE581" s="376"/>
      <c r="AF581" s="401"/>
      <c r="AG581" s="34" t="str">
        <f t="shared" si="464"/>
        <v>2.05 &gt; Benchmark</v>
      </c>
      <c r="AH581" s="85">
        <f t="shared" si="472"/>
        <v>567</v>
      </c>
      <c r="AI581" s="85">
        <f t="shared" si="473"/>
        <v>21</v>
      </c>
      <c r="AJ581" s="871" t="s">
        <v>1526</v>
      </c>
    </row>
    <row r="582" spans="1:36" x14ac:dyDescent="0.2">
      <c r="A582" s="587">
        <f>INDEX(Country!$F$31:$G$76, MATCH(AI582, Country!$O$31:$O$76, 0), 1)</f>
        <v>2.0599999999999987</v>
      </c>
      <c r="B582" s="588" t="str">
        <f>INDEX(Country!$F$31:$G$76, MATCH(AI582, Country!$O$31:$O$76, 0), 2)</f>
        <v>Small Distributed scale</v>
      </c>
      <c r="C582" s="589" t="str">
        <f>INDEX(Country!$K$31:$K$76, MATCH(AI582, Country!$O$31:$O$76, 0), 1)</f>
        <v>USDm</v>
      </c>
      <c r="D582" s="590" t="str">
        <f t="shared" ref="D582:D591" si="484">D555</f>
        <v>Argentina</v>
      </c>
      <c r="E582" s="95">
        <f>S582</f>
        <v>0</v>
      </c>
      <c r="F582" s="612">
        <f t="shared" ref="F582:F607" si="485">E582+T582</f>
        <v>0</v>
      </c>
      <c r="G582" s="612">
        <f t="shared" ref="G582:G607" si="486">F582+U582</f>
        <v>0</v>
      </c>
      <c r="H582" s="612">
        <f t="shared" ref="H582:H607" si="487">G582+V582</f>
        <v>0</v>
      </c>
      <c r="I582" s="612">
        <f t="shared" ref="I582:I607" si="488">H582+W582</f>
        <v>0</v>
      </c>
      <c r="J582" s="612">
        <f t="shared" ref="J582:J607" si="489">I582+X582</f>
        <v>0</v>
      </c>
      <c r="K582" s="613">
        <f t="shared" ref="K582:K607" si="490">J582+Y582</f>
        <v>0</v>
      </c>
      <c r="L582" s="580"/>
      <c r="M582" s="581"/>
      <c r="N582" s="581"/>
      <c r="O582" s="581"/>
      <c r="P582" s="581"/>
      <c r="Q582" s="581"/>
      <c r="R582" s="582"/>
      <c r="S582" s="556">
        <v>0</v>
      </c>
      <c r="T582" s="557">
        <v>0</v>
      </c>
      <c r="U582" s="557">
        <v>0</v>
      </c>
      <c r="V582" s="557">
        <v>0</v>
      </c>
      <c r="W582" s="557">
        <v>0</v>
      </c>
      <c r="X582" s="557">
        <v>0</v>
      </c>
      <c r="Y582" s="557">
        <v>0</v>
      </c>
      <c r="Z582" s="455"/>
      <c r="AA582" s="456"/>
      <c r="AB582" s="456"/>
      <c r="AC582" s="456"/>
      <c r="AD582" s="456"/>
      <c r="AE582" s="456"/>
      <c r="AF582" s="456"/>
      <c r="AG582" s="396" t="str">
        <f t="shared" si="464"/>
        <v>2.06 &gt; Argentina</v>
      </c>
      <c r="AH582" s="397">
        <f t="shared" si="472"/>
        <v>568</v>
      </c>
      <c r="AI582" s="397">
        <f t="shared" si="473"/>
        <v>22</v>
      </c>
      <c r="AJ582" s="879" t="s">
        <v>1526</v>
      </c>
    </row>
    <row r="583" spans="1:36" x14ac:dyDescent="0.2">
      <c r="A583" s="492">
        <f>INDEX(Country!$F$31:$G$76, MATCH(AI583, Country!$O$31:$O$76, 0), 1)</f>
        <v>2.0599999999999987</v>
      </c>
      <c r="B583" s="2" t="str">
        <f>INDEX(Country!$F$31:$G$76, MATCH(AI583, Country!$O$31:$O$76, 0), 2)</f>
        <v>Small Distributed scale</v>
      </c>
      <c r="C583" s="436" t="str">
        <f>INDEX(Country!$K$31:$K$76, MATCH(AI583, Country!$O$31:$O$76, 0), 1)</f>
        <v>USDm</v>
      </c>
      <c r="D583" s="4" t="str">
        <f t="shared" si="484"/>
        <v>Bahamas</v>
      </c>
      <c r="E583" s="95">
        <f t="shared" ref="E583:E607" si="491">S583</f>
        <v>2.6</v>
      </c>
      <c r="F583" s="95">
        <f t="shared" si="485"/>
        <v>2.6</v>
      </c>
      <c r="G583" s="95">
        <f t="shared" si="486"/>
        <v>2.6</v>
      </c>
      <c r="H583" s="95">
        <f t="shared" si="487"/>
        <v>2.6</v>
      </c>
      <c r="I583" s="95">
        <f t="shared" si="488"/>
        <v>2.6</v>
      </c>
      <c r="J583" s="95">
        <f t="shared" si="489"/>
        <v>3.6</v>
      </c>
      <c r="K583" s="96">
        <f t="shared" si="490"/>
        <v>4.5999999999999996</v>
      </c>
      <c r="L583" s="457"/>
      <c r="M583" s="458"/>
      <c r="N583" s="458"/>
      <c r="O583" s="458"/>
      <c r="P583" s="458"/>
      <c r="Q583" s="458"/>
      <c r="R583" s="459"/>
      <c r="S583" s="558">
        <v>2.6</v>
      </c>
      <c r="T583" s="559">
        <v>0</v>
      </c>
      <c r="U583" s="559">
        <v>0</v>
      </c>
      <c r="V583" s="559">
        <v>0</v>
      </c>
      <c r="W583" s="559">
        <v>0</v>
      </c>
      <c r="X583" s="559">
        <v>1</v>
      </c>
      <c r="Y583" s="559">
        <v>1</v>
      </c>
      <c r="Z583" s="455"/>
      <c r="AA583" s="456"/>
      <c r="AB583" s="456"/>
      <c r="AC583" s="456"/>
      <c r="AD583" s="456"/>
      <c r="AE583" s="456"/>
      <c r="AF583" s="456"/>
      <c r="AG583" s="33" t="str">
        <f t="shared" si="464"/>
        <v>2.06 &gt; Bahamas</v>
      </c>
      <c r="AH583" s="84">
        <f t="shared" si="472"/>
        <v>569</v>
      </c>
      <c r="AI583" s="84">
        <f t="shared" si="473"/>
        <v>22</v>
      </c>
      <c r="AJ583" s="877" t="s">
        <v>1526</v>
      </c>
    </row>
    <row r="584" spans="1:36" x14ac:dyDescent="0.2">
      <c r="A584" s="492">
        <f>INDEX(Country!$F$31:$G$76, MATCH(AI584, Country!$O$31:$O$76, 0), 1)</f>
        <v>2.0599999999999987</v>
      </c>
      <c r="B584" s="2" t="str">
        <f>INDEX(Country!$F$31:$G$76, MATCH(AI584, Country!$O$31:$O$76, 0), 2)</f>
        <v>Small Distributed scale</v>
      </c>
      <c r="C584" s="436" t="str">
        <f>INDEX(Country!$K$31:$K$76, MATCH(AI584, Country!$O$31:$O$76, 0), 1)</f>
        <v>USDm</v>
      </c>
      <c r="D584" s="4" t="str">
        <f t="shared" si="484"/>
        <v>Barbados</v>
      </c>
      <c r="E584" s="95">
        <f t="shared" si="491"/>
        <v>0</v>
      </c>
      <c r="F584" s="95">
        <f t="shared" si="485"/>
        <v>0</v>
      </c>
      <c r="G584" s="95">
        <f t="shared" si="486"/>
        <v>0</v>
      </c>
      <c r="H584" s="95">
        <f t="shared" si="487"/>
        <v>0</v>
      </c>
      <c r="I584" s="95">
        <f t="shared" si="488"/>
        <v>0</v>
      </c>
      <c r="J584" s="95">
        <f t="shared" si="489"/>
        <v>0</v>
      </c>
      <c r="K584" s="96">
        <f t="shared" si="490"/>
        <v>0</v>
      </c>
      <c r="L584" s="457"/>
      <c r="M584" s="458"/>
      <c r="N584" s="458"/>
      <c r="O584" s="458"/>
      <c r="P584" s="458"/>
      <c r="Q584" s="458"/>
      <c r="R584" s="459"/>
      <c r="S584" s="558">
        <v>0</v>
      </c>
      <c r="T584" s="559">
        <v>0</v>
      </c>
      <c r="U584" s="559">
        <v>0</v>
      </c>
      <c r="V584" s="559">
        <v>0</v>
      </c>
      <c r="W584" s="559">
        <v>0</v>
      </c>
      <c r="X584" s="559">
        <v>0</v>
      </c>
      <c r="Y584" s="559">
        <v>0</v>
      </c>
      <c r="Z584" s="455"/>
      <c r="AA584" s="456"/>
      <c r="AB584" s="456"/>
      <c r="AC584" s="456"/>
      <c r="AD584" s="456"/>
      <c r="AE584" s="456"/>
      <c r="AF584" s="456"/>
      <c r="AG584" s="33" t="str">
        <f t="shared" si="464"/>
        <v>2.06 &gt; Barbados</v>
      </c>
      <c r="AH584" s="84">
        <f t="shared" si="472"/>
        <v>570</v>
      </c>
      <c r="AI584" s="84">
        <f t="shared" si="473"/>
        <v>22</v>
      </c>
      <c r="AJ584" s="877" t="s">
        <v>1526</v>
      </c>
    </row>
    <row r="585" spans="1:36" x14ac:dyDescent="0.2">
      <c r="A585" s="492">
        <f>INDEX(Country!$F$31:$G$76, MATCH(AI585, Country!$O$31:$O$76, 0), 1)</f>
        <v>2.0599999999999987</v>
      </c>
      <c r="B585" s="2" t="str">
        <f>INDEX(Country!$F$31:$G$76, MATCH(AI585, Country!$O$31:$O$76, 0), 2)</f>
        <v>Small Distributed scale</v>
      </c>
      <c r="C585" s="436" t="str">
        <f>INDEX(Country!$K$31:$K$76, MATCH(AI585, Country!$O$31:$O$76, 0), 1)</f>
        <v>USDm</v>
      </c>
      <c r="D585" s="4" t="str">
        <f t="shared" si="484"/>
        <v>Belize</v>
      </c>
      <c r="E585" s="95">
        <f t="shared" si="491"/>
        <v>0</v>
      </c>
      <c r="F585" s="95">
        <f t="shared" si="485"/>
        <v>0</v>
      </c>
      <c r="G585" s="95">
        <f t="shared" si="486"/>
        <v>0</v>
      </c>
      <c r="H585" s="95">
        <f t="shared" si="487"/>
        <v>0</v>
      </c>
      <c r="I585" s="95">
        <f t="shared" si="488"/>
        <v>0</v>
      </c>
      <c r="J585" s="95">
        <f t="shared" si="489"/>
        <v>0</v>
      </c>
      <c r="K585" s="96">
        <f t="shared" si="490"/>
        <v>0</v>
      </c>
      <c r="L585" s="457"/>
      <c r="M585" s="458"/>
      <c r="N585" s="458"/>
      <c r="O585" s="458"/>
      <c r="P585" s="458"/>
      <c r="Q585" s="458"/>
      <c r="R585" s="459"/>
      <c r="S585" s="558">
        <v>0</v>
      </c>
      <c r="T585" s="559">
        <v>0</v>
      </c>
      <c r="U585" s="559">
        <v>0</v>
      </c>
      <c r="V585" s="559">
        <v>0</v>
      </c>
      <c r="W585" s="559">
        <v>0</v>
      </c>
      <c r="X585" s="559">
        <v>0</v>
      </c>
      <c r="Y585" s="559">
        <v>0</v>
      </c>
      <c r="Z585" s="455"/>
      <c r="AA585" s="456"/>
      <c r="AB585" s="456"/>
      <c r="AC585" s="456"/>
      <c r="AD585" s="456"/>
      <c r="AE585" s="456"/>
      <c r="AF585" s="456"/>
      <c r="AG585" s="33" t="str">
        <f t="shared" si="464"/>
        <v>2.06 &gt; Belize</v>
      </c>
      <c r="AH585" s="84">
        <f t="shared" si="472"/>
        <v>571</v>
      </c>
      <c r="AI585" s="84">
        <f t="shared" si="473"/>
        <v>22</v>
      </c>
      <c r="AJ585" s="877" t="s">
        <v>1526</v>
      </c>
    </row>
    <row r="586" spans="1:36" x14ac:dyDescent="0.2">
      <c r="A586" s="492">
        <f>INDEX(Country!$F$31:$G$76, MATCH(AI586, Country!$O$31:$O$76, 0), 1)</f>
        <v>2.0599999999999987</v>
      </c>
      <c r="B586" s="2" t="str">
        <f>INDEX(Country!$F$31:$G$76, MATCH(AI586, Country!$O$31:$O$76, 0), 2)</f>
        <v>Small Distributed scale</v>
      </c>
      <c r="C586" s="436" t="str">
        <f>INDEX(Country!$K$31:$K$76, MATCH(AI586, Country!$O$31:$O$76, 0), 1)</f>
        <v>USDm</v>
      </c>
      <c r="D586" s="4" t="str">
        <f t="shared" si="484"/>
        <v>Bolivia</v>
      </c>
      <c r="E586" s="95">
        <f t="shared" si="491"/>
        <v>0</v>
      </c>
      <c r="F586" s="95">
        <f t="shared" si="485"/>
        <v>0</v>
      </c>
      <c r="G586" s="95">
        <f t="shared" si="486"/>
        <v>0</v>
      </c>
      <c r="H586" s="95">
        <f t="shared" si="487"/>
        <v>0</v>
      </c>
      <c r="I586" s="95">
        <f t="shared" si="488"/>
        <v>0</v>
      </c>
      <c r="J586" s="95">
        <f t="shared" si="489"/>
        <v>0</v>
      </c>
      <c r="K586" s="96">
        <f t="shared" si="490"/>
        <v>0</v>
      </c>
      <c r="L586" s="457"/>
      <c r="M586" s="458"/>
      <c r="N586" s="458"/>
      <c r="O586" s="458"/>
      <c r="P586" s="458"/>
      <c r="Q586" s="458"/>
      <c r="R586" s="459"/>
      <c r="S586" s="558">
        <v>0</v>
      </c>
      <c r="T586" s="559">
        <v>0</v>
      </c>
      <c r="U586" s="559">
        <v>0</v>
      </c>
      <c r="V586" s="559">
        <v>0</v>
      </c>
      <c r="W586" s="559">
        <v>0</v>
      </c>
      <c r="X586" s="559">
        <v>0</v>
      </c>
      <c r="Y586" s="559">
        <v>0</v>
      </c>
      <c r="Z586" s="455"/>
      <c r="AA586" s="456"/>
      <c r="AB586" s="456"/>
      <c r="AC586" s="456"/>
      <c r="AD586" s="456"/>
      <c r="AE586" s="456"/>
      <c r="AF586" s="456"/>
      <c r="AG586" s="33" t="str">
        <f t="shared" si="464"/>
        <v>2.06 &gt; Bolivia</v>
      </c>
      <c r="AH586" s="84">
        <f t="shared" si="472"/>
        <v>572</v>
      </c>
      <c r="AI586" s="84">
        <f t="shared" si="473"/>
        <v>22</v>
      </c>
      <c r="AJ586" s="877" t="s">
        <v>1526</v>
      </c>
    </row>
    <row r="587" spans="1:36" x14ac:dyDescent="0.2">
      <c r="A587" s="492">
        <f>INDEX(Country!$F$31:$G$76, MATCH(AI587, Country!$O$31:$O$76, 0), 1)</f>
        <v>2.0599999999999987</v>
      </c>
      <c r="B587" s="2" t="str">
        <f>INDEX(Country!$F$31:$G$76, MATCH(AI587, Country!$O$31:$O$76, 0), 2)</f>
        <v>Small Distributed scale</v>
      </c>
      <c r="C587" s="436" t="str">
        <f>INDEX(Country!$K$31:$K$76, MATCH(AI587, Country!$O$31:$O$76, 0), 1)</f>
        <v>USDm</v>
      </c>
      <c r="D587" s="4" t="str">
        <f t="shared" si="484"/>
        <v>Brazil</v>
      </c>
      <c r="E587" s="95">
        <f t="shared" si="491"/>
        <v>0</v>
      </c>
      <c r="F587" s="95">
        <f t="shared" si="485"/>
        <v>0</v>
      </c>
      <c r="G587" s="95">
        <f t="shared" si="486"/>
        <v>0</v>
      </c>
      <c r="H587" s="95">
        <f t="shared" si="487"/>
        <v>0</v>
      </c>
      <c r="I587" s="95">
        <f t="shared" si="488"/>
        <v>0</v>
      </c>
      <c r="J587" s="95">
        <f t="shared" si="489"/>
        <v>0.02</v>
      </c>
      <c r="K587" s="96">
        <f t="shared" si="490"/>
        <v>0.04</v>
      </c>
      <c r="L587" s="457"/>
      <c r="M587" s="458"/>
      <c r="N587" s="458"/>
      <c r="O587" s="458"/>
      <c r="P587" s="458"/>
      <c r="Q587" s="458"/>
      <c r="R587" s="459"/>
      <c r="S587" s="558">
        <v>0</v>
      </c>
      <c r="T587" s="559">
        <v>0</v>
      </c>
      <c r="U587" s="559">
        <v>0</v>
      </c>
      <c r="V587" s="559">
        <v>0</v>
      </c>
      <c r="W587" s="559">
        <v>0</v>
      </c>
      <c r="X587" s="559">
        <v>0.02</v>
      </c>
      <c r="Y587" s="559">
        <v>0.02</v>
      </c>
      <c r="Z587" s="455"/>
      <c r="AA587" s="456"/>
      <c r="AB587" s="456"/>
      <c r="AC587" s="456"/>
      <c r="AD587" s="456"/>
      <c r="AE587" s="456"/>
      <c r="AF587" s="456"/>
      <c r="AG587" s="33" t="str">
        <f t="shared" si="464"/>
        <v>2.06 &gt; Brazil</v>
      </c>
      <c r="AH587" s="84">
        <f t="shared" si="472"/>
        <v>573</v>
      </c>
      <c r="AI587" s="84">
        <f t="shared" si="473"/>
        <v>22</v>
      </c>
      <c r="AJ587" s="877" t="s">
        <v>1526</v>
      </c>
    </row>
    <row r="588" spans="1:36" x14ac:dyDescent="0.2">
      <c r="A588" s="492">
        <f>INDEX(Country!$F$31:$G$76, MATCH(AI588, Country!$O$31:$O$76, 0), 1)</f>
        <v>2.0599999999999987</v>
      </c>
      <c r="B588" s="2" t="str">
        <f>INDEX(Country!$F$31:$G$76, MATCH(AI588, Country!$O$31:$O$76, 0), 2)</f>
        <v>Small Distributed scale</v>
      </c>
      <c r="C588" s="436" t="str">
        <f>INDEX(Country!$K$31:$K$76, MATCH(AI588, Country!$O$31:$O$76, 0), 1)</f>
        <v>USDm</v>
      </c>
      <c r="D588" s="4" t="str">
        <f t="shared" si="484"/>
        <v>Chile</v>
      </c>
      <c r="E588" s="95">
        <f t="shared" si="491"/>
        <v>0</v>
      </c>
      <c r="F588" s="95">
        <f t="shared" si="485"/>
        <v>0</v>
      </c>
      <c r="G588" s="95">
        <f t="shared" si="486"/>
        <v>0</v>
      </c>
      <c r="H588" s="95">
        <f t="shared" si="487"/>
        <v>0</v>
      </c>
      <c r="I588" s="95">
        <f t="shared" si="488"/>
        <v>0</v>
      </c>
      <c r="J588" s="95">
        <f t="shared" si="489"/>
        <v>1.76</v>
      </c>
      <c r="K588" s="96">
        <f t="shared" si="490"/>
        <v>3.52</v>
      </c>
      <c r="L588" s="457"/>
      <c r="M588" s="458"/>
      <c r="N588" s="458"/>
      <c r="O588" s="458"/>
      <c r="P588" s="458"/>
      <c r="Q588" s="458"/>
      <c r="R588" s="459"/>
      <c r="S588" s="558">
        <v>0</v>
      </c>
      <c r="T588" s="559">
        <v>0</v>
      </c>
      <c r="U588" s="559">
        <v>0</v>
      </c>
      <c r="V588" s="559">
        <v>0</v>
      </c>
      <c r="W588" s="559">
        <v>0</v>
      </c>
      <c r="X588" s="559">
        <v>1.76</v>
      </c>
      <c r="Y588" s="559">
        <v>1.76</v>
      </c>
      <c r="Z588" s="455"/>
      <c r="AA588" s="456"/>
      <c r="AB588" s="456"/>
      <c r="AC588" s="456"/>
      <c r="AD588" s="456"/>
      <c r="AE588" s="456"/>
      <c r="AF588" s="456"/>
      <c r="AG588" s="33" t="str">
        <f t="shared" si="464"/>
        <v>2.06 &gt; Chile</v>
      </c>
      <c r="AH588" s="84">
        <f t="shared" si="472"/>
        <v>574</v>
      </c>
      <c r="AI588" s="84">
        <f t="shared" si="473"/>
        <v>22</v>
      </c>
      <c r="AJ588" s="877" t="s">
        <v>1526</v>
      </c>
    </row>
    <row r="589" spans="1:36" x14ac:dyDescent="0.2">
      <c r="A589" s="492">
        <f>INDEX(Country!$F$31:$G$76, MATCH(AI589, Country!$O$31:$O$76, 0), 1)</f>
        <v>2.0599999999999987</v>
      </c>
      <c r="B589" s="2" t="str">
        <f>INDEX(Country!$F$31:$G$76, MATCH(AI589, Country!$O$31:$O$76, 0), 2)</f>
        <v>Small Distributed scale</v>
      </c>
      <c r="C589" s="436" t="str">
        <f>INDEX(Country!$K$31:$K$76, MATCH(AI589, Country!$O$31:$O$76, 0), 1)</f>
        <v>USDm</v>
      </c>
      <c r="D589" s="4" t="str">
        <f t="shared" si="484"/>
        <v>Colombia</v>
      </c>
      <c r="E589" s="95">
        <f t="shared" si="491"/>
        <v>0</v>
      </c>
      <c r="F589" s="95">
        <f t="shared" si="485"/>
        <v>0</v>
      </c>
      <c r="G589" s="95">
        <f t="shared" si="486"/>
        <v>0</v>
      </c>
      <c r="H589" s="95">
        <f t="shared" si="487"/>
        <v>0</v>
      </c>
      <c r="I589" s="95">
        <f t="shared" si="488"/>
        <v>0</v>
      </c>
      <c r="J589" s="95">
        <f t="shared" si="489"/>
        <v>0</v>
      </c>
      <c r="K589" s="96">
        <f t="shared" si="490"/>
        <v>0</v>
      </c>
      <c r="L589" s="457"/>
      <c r="M589" s="458"/>
      <c r="N589" s="458"/>
      <c r="O589" s="458"/>
      <c r="P589" s="458"/>
      <c r="Q589" s="458"/>
      <c r="R589" s="459"/>
      <c r="S589" s="558">
        <v>0</v>
      </c>
      <c r="T589" s="559">
        <v>0</v>
      </c>
      <c r="U589" s="559">
        <v>0</v>
      </c>
      <c r="V589" s="559">
        <v>0</v>
      </c>
      <c r="W589" s="559">
        <v>0</v>
      </c>
      <c r="X589" s="559">
        <v>0</v>
      </c>
      <c r="Y589" s="559">
        <v>0</v>
      </c>
      <c r="Z589" s="455"/>
      <c r="AA589" s="456"/>
      <c r="AB589" s="456"/>
      <c r="AC589" s="456"/>
      <c r="AD589" s="456"/>
      <c r="AE589" s="456"/>
      <c r="AF589" s="456"/>
      <c r="AG589" s="33" t="str">
        <f t="shared" si="464"/>
        <v>2.06 &gt; Colombia</v>
      </c>
      <c r="AH589" s="84">
        <f t="shared" si="472"/>
        <v>575</v>
      </c>
      <c r="AI589" s="84">
        <f t="shared" si="473"/>
        <v>22</v>
      </c>
      <c r="AJ589" s="877" t="s">
        <v>1526</v>
      </c>
    </row>
    <row r="590" spans="1:36" x14ac:dyDescent="0.2">
      <c r="A590" s="492">
        <f>INDEX(Country!$F$31:$G$76, MATCH(AI590, Country!$O$31:$O$76, 0), 1)</f>
        <v>2.0599999999999987</v>
      </c>
      <c r="B590" s="2" t="str">
        <f>INDEX(Country!$F$31:$G$76, MATCH(AI590, Country!$O$31:$O$76, 0), 2)</f>
        <v>Small Distributed scale</v>
      </c>
      <c r="C590" s="436" t="str">
        <f>INDEX(Country!$K$31:$K$76, MATCH(AI590, Country!$O$31:$O$76, 0), 1)</f>
        <v>USDm</v>
      </c>
      <c r="D590" s="4" t="str">
        <f t="shared" si="484"/>
        <v>Costa Rica</v>
      </c>
      <c r="E590" s="95">
        <f t="shared" si="491"/>
        <v>0</v>
      </c>
      <c r="F590" s="95">
        <f t="shared" si="485"/>
        <v>0</v>
      </c>
      <c r="G590" s="95">
        <f t="shared" si="486"/>
        <v>0.13</v>
      </c>
      <c r="H590" s="95">
        <f t="shared" si="487"/>
        <v>0.23</v>
      </c>
      <c r="I590" s="95">
        <f t="shared" si="488"/>
        <v>0.52</v>
      </c>
      <c r="J590" s="95">
        <f t="shared" si="489"/>
        <v>0.52</v>
      </c>
      <c r="K590" s="96">
        <f t="shared" si="490"/>
        <v>0.52</v>
      </c>
      <c r="L590" s="457"/>
      <c r="M590" s="458"/>
      <c r="N590" s="458"/>
      <c r="O590" s="458"/>
      <c r="P590" s="458"/>
      <c r="Q590" s="458"/>
      <c r="R590" s="459"/>
      <c r="S590" s="558">
        <v>0</v>
      </c>
      <c r="T590" s="559">
        <v>0</v>
      </c>
      <c r="U590" s="559">
        <v>0.13</v>
      </c>
      <c r="V590" s="559">
        <v>0.1</v>
      </c>
      <c r="W590" s="559">
        <v>0.28999999999999998</v>
      </c>
      <c r="X590" s="559">
        <v>0</v>
      </c>
      <c r="Y590" s="559">
        <v>0</v>
      </c>
      <c r="Z590" s="455"/>
      <c r="AA590" s="456"/>
      <c r="AB590" s="456"/>
      <c r="AC590" s="456"/>
      <c r="AD590" s="456"/>
      <c r="AE590" s="456"/>
      <c r="AF590" s="456"/>
      <c r="AG590" s="33" t="str">
        <f t="shared" si="464"/>
        <v>2.06 &gt; Costa Rica</v>
      </c>
      <c r="AH590" s="84">
        <f t="shared" si="472"/>
        <v>576</v>
      </c>
      <c r="AI590" s="84">
        <f t="shared" si="473"/>
        <v>22</v>
      </c>
      <c r="AJ590" s="877" t="s">
        <v>1526</v>
      </c>
    </row>
    <row r="591" spans="1:36" x14ac:dyDescent="0.2">
      <c r="A591" s="492">
        <f>INDEX(Country!$F$31:$G$76, MATCH(AI591, Country!$O$31:$O$76, 0), 1)</f>
        <v>2.0599999999999987</v>
      </c>
      <c r="B591" s="2" t="str">
        <f>INDEX(Country!$F$31:$G$76, MATCH(AI591, Country!$O$31:$O$76, 0), 2)</f>
        <v>Small Distributed scale</v>
      </c>
      <c r="C591" s="436" t="str">
        <f>INDEX(Country!$K$31:$K$76, MATCH(AI591, Country!$O$31:$O$76, 0), 1)</f>
        <v>USDm</v>
      </c>
      <c r="D591" s="4" t="str">
        <f t="shared" si="484"/>
        <v>Dominican Republic</v>
      </c>
      <c r="E591" s="95">
        <f t="shared" si="491"/>
        <v>0</v>
      </c>
      <c r="F591" s="95">
        <f t="shared" si="485"/>
        <v>0</v>
      </c>
      <c r="G591" s="95">
        <f t="shared" si="486"/>
        <v>0</v>
      </c>
      <c r="H591" s="95">
        <f t="shared" si="487"/>
        <v>0</v>
      </c>
      <c r="I591" s="95">
        <f t="shared" si="488"/>
        <v>0.19</v>
      </c>
      <c r="J591" s="95">
        <f t="shared" si="489"/>
        <v>0.22</v>
      </c>
      <c r="K591" s="96">
        <f t="shared" si="490"/>
        <v>0.25</v>
      </c>
      <c r="L591" s="457"/>
      <c r="M591" s="458"/>
      <c r="N591" s="458"/>
      <c r="O591" s="458"/>
      <c r="P591" s="458"/>
      <c r="Q591" s="458"/>
      <c r="R591" s="459"/>
      <c r="S591" s="558">
        <v>0</v>
      </c>
      <c r="T591" s="559">
        <v>0</v>
      </c>
      <c r="U591" s="559">
        <v>0</v>
      </c>
      <c r="V591" s="559">
        <v>0</v>
      </c>
      <c r="W591" s="559">
        <v>0.19</v>
      </c>
      <c r="X591" s="559">
        <v>0.03</v>
      </c>
      <c r="Y591" s="559">
        <v>0.03</v>
      </c>
      <c r="Z591" s="455"/>
      <c r="AA591" s="456"/>
      <c r="AB591" s="456"/>
      <c r="AC591" s="456"/>
      <c r="AD591" s="456"/>
      <c r="AE591" s="456"/>
      <c r="AF591" s="456"/>
      <c r="AG591" s="33" t="str">
        <f t="shared" ref="AG591:AG654" si="492">A591&amp;" &gt; " &amp;D591</f>
        <v>2.06 &gt; Dominican Republic</v>
      </c>
      <c r="AH591" s="84">
        <f t="shared" si="472"/>
        <v>577</v>
      </c>
      <c r="AI591" s="84">
        <f t="shared" si="473"/>
        <v>22</v>
      </c>
      <c r="AJ591" s="877" t="s">
        <v>1526</v>
      </c>
    </row>
    <row r="592" spans="1:36" x14ac:dyDescent="0.2">
      <c r="A592" s="492">
        <f>INDEX(Country!$F$31:$G$76, MATCH(AI592, Country!$O$31:$O$76, 0), 1)</f>
        <v>2.0599999999999987</v>
      </c>
      <c r="B592" s="2" t="str">
        <f>INDEX(Country!$F$31:$G$76, MATCH(AI592, Country!$O$31:$O$76, 0), 2)</f>
        <v>Small Distributed scale</v>
      </c>
      <c r="C592" s="436" t="str">
        <f>INDEX(Country!$K$31:$K$76, MATCH(AI592, Country!$O$31:$O$76, 0), 1)</f>
        <v>USDm</v>
      </c>
      <c r="D592" s="4" t="str">
        <f t="shared" ref="D592:D655" si="493">D565</f>
        <v>Ecuador</v>
      </c>
      <c r="E592" s="95">
        <f t="shared" si="491"/>
        <v>0</v>
      </c>
      <c r="F592" s="95">
        <f t="shared" si="485"/>
        <v>0</v>
      </c>
      <c r="G592" s="95">
        <f t="shared" si="486"/>
        <v>0</v>
      </c>
      <c r="H592" s="95">
        <f t="shared" si="487"/>
        <v>0</v>
      </c>
      <c r="I592" s="95">
        <f t="shared" si="488"/>
        <v>0</v>
      </c>
      <c r="J592" s="95">
        <f t="shared" si="489"/>
        <v>0</v>
      </c>
      <c r="K592" s="96">
        <f t="shared" si="490"/>
        <v>0</v>
      </c>
      <c r="L592" s="457"/>
      <c r="M592" s="458"/>
      <c r="N592" s="458"/>
      <c r="O592" s="458"/>
      <c r="P592" s="458"/>
      <c r="Q592" s="458"/>
      <c r="R592" s="459"/>
      <c r="S592" s="558">
        <v>0</v>
      </c>
      <c r="T592" s="559">
        <v>0</v>
      </c>
      <c r="U592" s="559">
        <v>0</v>
      </c>
      <c r="V592" s="559">
        <v>0</v>
      </c>
      <c r="W592" s="559">
        <v>0</v>
      </c>
      <c r="X592" s="559">
        <v>0</v>
      </c>
      <c r="Y592" s="559">
        <v>0</v>
      </c>
      <c r="Z592" s="455"/>
      <c r="AA592" s="456"/>
      <c r="AB592" s="456"/>
      <c r="AC592" s="456"/>
      <c r="AD592" s="456"/>
      <c r="AE592" s="456"/>
      <c r="AF592" s="456"/>
      <c r="AG592" s="33" t="str">
        <f t="shared" si="492"/>
        <v>2.06 &gt; Ecuador</v>
      </c>
      <c r="AH592" s="84">
        <f t="shared" si="472"/>
        <v>578</v>
      </c>
      <c r="AI592" s="84">
        <f t="shared" si="473"/>
        <v>22</v>
      </c>
      <c r="AJ592" s="877" t="s">
        <v>1526</v>
      </c>
    </row>
    <row r="593" spans="1:36" x14ac:dyDescent="0.2">
      <c r="A593" s="492">
        <f>INDEX(Country!$F$31:$G$76, MATCH(AI593, Country!$O$31:$O$76, 0), 1)</f>
        <v>2.0599999999999987</v>
      </c>
      <c r="B593" s="2" t="str">
        <f>INDEX(Country!$F$31:$G$76, MATCH(AI593, Country!$O$31:$O$76, 0), 2)</f>
        <v>Small Distributed scale</v>
      </c>
      <c r="C593" s="436" t="str">
        <f>INDEX(Country!$K$31:$K$76, MATCH(AI593, Country!$O$31:$O$76, 0), 1)</f>
        <v>USDm</v>
      </c>
      <c r="D593" s="4" t="str">
        <f t="shared" si="493"/>
        <v>El Salvador</v>
      </c>
      <c r="E593" s="95">
        <f t="shared" si="491"/>
        <v>0.14000000000000001</v>
      </c>
      <c r="F593" s="95">
        <f t="shared" si="485"/>
        <v>0.14000000000000001</v>
      </c>
      <c r="G593" s="95">
        <f t="shared" si="486"/>
        <v>1.4100000000000001</v>
      </c>
      <c r="H593" s="95">
        <f t="shared" si="487"/>
        <v>1.5000000000000002</v>
      </c>
      <c r="I593" s="95">
        <f t="shared" si="488"/>
        <v>1.5000000000000002</v>
      </c>
      <c r="J593" s="95">
        <f t="shared" si="489"/>
        <v>1.6100000000000003</v>
      </c>
      <c r="K593" s="96">
        <f t="shared" si="490"/>
        <v>1.7200000000000004</v>
      </c>
      <c r="L593" s="457"/>
      <c r="M593" s="458"/>
      <c r="N593" s="458"/>
      <c r="O593" s="458"/>
      <c r="P593" s="458"/>
      <c r="Q593" s="458"/>
      <c r="R593" s="459"/>
      <c r="S593" s="558">
        <v>0.14000000000000001</v>
      </c>
      <c r="T593" s="559">
        <v>0</v>
      </c>
      <c r="U593" s="559">
        <v>1.27</v>
      </c>
      <c r="V593" s="559">
        <v>0.09</v>
      </c>
      <c r="W593" s="559">
        <v>0</v>
      </c>
      <c r="X593" s="559">
        <v>0.11</v>
      </c>
      <c r="Y593" s="559">
        <v>0.11</v>
      </c>
      <c r="Z593" s="455"/>
      <c r="AA593" s="456"/>
      <c r="AB593" s="456"/>
      <c r="AC593" s="456"/>
      <c r="AD593" s="456"/>
      <c r="AE593" s="456"/>
      <c r="AF593" s="456"/>
      <c r="AG593" s="33" t="str">
        <f t="shared" si="492"/>
        <v>2.06 &gt; El Salvador</v>
      </c>
      <c r="AH593" s="84">
        <f t="shared" ref="AH593:AH656" si="494">AH592+1</f>
        <v>579</v>
      </c>
      <c r="AI593" s="84">
        <f t="shared" ref="AI593:AI656" si="495">ROUNDUP(AH593/COUNTA($D$15:$D$41),0)</f>
        <v>22</v>
      </c>
      <c r="AJ593" s="877" t="s">
        <v>1526</v>
      </c>
    </row>
    <row r="594" spans="1:36" x14ac:dyDescent="0.2">
      <c r="A594" s="492">
        <f>INDEX(Country!$F$31:$G$76, MATCH(AI594, Country!$O$31:$O$76, 0), 1)</f>
        <v>2.0599999999999987</v>
      </c>
      <c r="B594" s="2" t="str">
        <f>INDEX(Country!$F$31:$G$76, MATCH(AI594, Country!$O$31:$O$76, 0), 2)</f>
        <v>Small Distributed scale</v>
      </c>
      <c r="C594" s="436" t="str">
        <f>INDEX(Country!$K$31:$K$76, MATCH(AI594, Country!$O$31:$O$76, 0), 1)</f>
        <v>USDm</v>
      </c>
      <c r="D594" s="4" t="str">
        <f t="shared" si="493"/>
        <v>Guatemala</v>
      </c>
      <c r="E594" s="95">
        <f t="shared" si="491"/>
        <v>0</v>
      </c>
      <c r="F594" s="95">
        <f t="shared" si="485"/>
        <v>12.29</v>
      </c>
      <c r="G594" s="95">
        <f t="shared" si="486"/>
        <v>12.43</v>
      </c>
      <c r="H594" s="95">
        <f t="shared" si="487"/>
        <v>12.43</v>
      </c>
      <c r="I594" s="95">
        <f t="shared" si="488"/>
        <v>12.629999999999999</v>
      </c>
      <c r="J594" s="95">
        <f t="shared" si="489"/>
        <v>12.629999999999999</v>
      </c>
      <c r="K594" s="96">
        <f t="shared" si="490"/>
        <v>12.629999999999999</v>
      </c>
      <c r="L594" s="457"/>
      <c r="M594" s="458"/>
      <c r="N594" s="458"/>
      <c r="O594" s="458"/>
      <c r="P594" s="458"/>
      <c r="Q594" s="458"/>
      <c r="R594" s="459"/>
      <c r="S594" s="558">
        <v>0</v>
      </c>
      <c r="T594" s="559">
        <v>12.29</v>
      </c>
      <c r="U594" s="559">
        <v>0.14000000000000001</v>
      </c>
      <c r="V594" s="559">
        <v>0</v>
      </c>
      <c r="W594" s="559">
        <v>0.2</v>
      </c>
      <c r="X594" s="559">
        <v>0</v>
      </c>
      <c r="Y594" s="559">
        <v>0</v>
      </c>
      <c r="Z594" s="455"/>
      <c r="AA594" s="456"/>
      <c r="AB594" s="456"/>
      <c r="AC594" s="456"/>
      <c r="AD594" s="456"/>
      <c r="AE594" s="456"/>
      <c r="AF594" s="456"/>
      <c r="AG594" s="33" t="str">
        <f t="shared" si="492"/>
        <v>2.06 &gt; Guatemala</v>
      </c>
      <c r="AH594" s="84">
        <f t="shared" si="494"/>
        <v>580</v>
      </c>
      <c r="AI594" s="84">
        <f t="shared" si="495"/>
        <v>22</v>
      </c>
      <c r="AJ594" s="877" t="s">
        <v>1526</v>
      </c>
    </row>
    <row r="595" spans="1:36" x14ac:dyDescent="0.2">
      <c r="A595" s="492">
        <f>INDEX(Country!$F$31:$G$76, MATCH(AI595, Country!$O$31:$O$76, 0), 1)</f>
        <v>2.0599999999999987</v>
      </c>
      <c r="B595" s="2" t="str">
        <f>INDEX(Country!$F$31:$G$76, MATCH(AI595, Country!$O$31:$O$76, 0), 2)</f>
        <v>Small Distributed scale</v>
      </c>
      <c r="C595" s="436" t="str">
        <f>INDEX(Country!$K$31:$K$76, MATCH(AI595, Country!$O$31:$O$76, 0), 1)</f>
        <v>USDm</v>
      </c>
      <c r="D595" s="4" t="str">
        <f t="shared" si="493"/>
        <v>Guyana</v>
      </c>
      <c r="E595" s="95">
        <f t="shared" si="491"/>
        <v>0</v>
      </c>
      <c r="F595" s="95">
        <f t="shared" si="485"/>
        <v>0</v>
      </c>
      <c r="G595" s="95">
        <f t="shared" si="486"/>
        <v>0</v>
      </c>
      <c r="H595" s="95">
        <f t="shared" si="487"/>
        <v>0</v>
      </c>
      <c r="I595" s="95">
        <f t="shared" si="488"/>
        <v>7.1</v>
      </c>
      <c r="J595" s="95">
        <f t="shared" si="489"/>
        <v>7.1</v>
      </c>
      <c r="K595" s="96">
        <f t="shared" si="490"/>
        <v>7.1</v>
      </c>
      <c r="L595" s="457"/>
      <c r="M595" s="458"/>
      <c r="N595" s="458"/>
      <c r="O595" s="458"/>
      <c r="P595" s="458"/>
      <c r="Q595" s="458"/>
      <c r="R595" s="459"/>
      <c r="S595" s="558">
        <v>0</v>
      </c>
      <c r="T595" s="559">
        <v>0</v>
      </c>
      <c r="U595" s="559">
        <v>0</v>
      </c>
      <c r="V595" s="559">
        <v>0</v>
      </c>
      <c r="W595" s="559">
        <v>7.1</v>
      </c>
      <c r="X595" s="559">
        <v>0</v>
      </c>
      <c r="Y595" s="559">
        <v>0</v>
      </c>
      <c r="Z595" s="455"/>
      <c r="AA595" s="456"/>
      <c r="AB595" s="456"/>
      <c r="AC595" s="456"/>
      <c r="AD595" s="456"/>
      <c r="AE595" s="456"/>
      <c r="AF595" s="456"/>
      <c r="AG595" s="33" t="str">
        <f t="shared" si="492"/>
        <v>2.06 &gt; Guyana</v>
      </c>
      <c r="AH595" s="84">
        <f t="shared" si="494"/>
        <v>581</v>
      </c>
      <c r="AI595" s="84">
        <f t="shared" si="495"/>
        <v>22</v>
      </c>
      <c r="AJ595" s="877" t="s">
        <v>1526</v>
      </c>
    </row>
    <row r="596" spans="1:36" x14ac:dyDescent="0.2">
      <c r="A596" s="492">
        <f>INDEX(Country!$F$31:$G$76, MATCH(AI596, Country!$O$31:$O$76, 0), 1)</f>
        <v>2.0599999999999987</v>
      </c>
      <c r="B596" s="2" t="str">
        <f>INDEX(Country!$F$31:$G$76, MATCH(AI596, Country!$O$31:$O$76, 0), 2)</f>
        <v>Small Distributed scale</v>
      </c>
      <c r="C596" s="436" t="str">
        <f>INDEX(Country!$K$31:$K$76, MATCH(AI596, Country!$O$31:$O$76, 0), 1)</f>
        <v>USDm</v>
      </c>
      <c r="D596" s="4" t="str">
        <f t="shared" si="493"/>
        <v>Haiti</v>
      </c>
      <c r="E596" s="95">
        <f t="shared" si="491"/>
        <v>0</v>
      </c>
      <c r="F596" s="95">
        <f t="shared" si="485"/>
        <v>0</v>
      </c>
      <c r="G596" s="95">
        <f t="shared" si="486"/>
        <v>0</v>
      </c>
      <c r="H596" s="95">
        <f t="shared" si="487"/>
        <v>0.83</v>
      </c>
      <c r="I596" s="95">
        <f t="shared" si="488"/>
        <v>0.83</v>
      </c>
      <c r="J596" s="95">
        <f t="shared" si="489"/>
        <v>0.83</v>
      </c>
      <c r="K596" s="96">
        <f t="shared" si="490"/>
        <v>0.83</v>
      </c>
      <c r="L596" s="457"/>
      <c r="M596" s="458"/>
      <c r="N596" s="458"/>
      <c r="O596" s="458"/>
      <c r="P596" s="458"/>
      <c r="Q596" s="458"/>
      <c r="R596" s="459"/>
      <c r="S596" s="558">
        <v>0</v>
      </c>
      <c r="T596" s="559">
        <v>0</v>
      </c>
      <c r="U596" s="559">
        <v>0</v>
      </c>
      <c r="V596" s="559">
        <v>0.83</v>
      </c>
      <c r="W596" s="559">
        <v>0</v>
      </c>
      <c r="X596" s="559">
        <v>0</v>
      </c>
      <c r="Y596" s="559">
        <v>0</v>
      </c>
      <c r="Z596" s="455"/>
      <c r="AA596" s="456"/>
      <c r="AB596" s="456"/>
      <c r="AC596" s="456"/>
      <c r="AD596" s="456"/>
      <c r="AE596" s="456"/>
      <c r="AF596" s="456"/>
      <c r="AG596" s="33" t="str">
        <f t="shared" si="492"/>
        <v>2.06 &gt; Haiti</v>
      </c>
      <c r="AH596" s="84">
        <f t="shared" si="494"/>
        <v>582</v>
      </c>
      <c r="AI596" s="84">
        <f t="shared" si="495"/>
        <v>22</v>
      </c>
      <c r="AJ596" s="877" t="s">
        <v>1526</v>
      </c>
    </row>
    <row r="597" spans="1:36" x14ac:dyDescent="0.2">
      <c r="A597" s="492">
        <f>INDEX(Country!$F$31:$G$76, MATCH(AI597, Country!$O$31:$O$76, 0), 1)</f>
        <v>2.0599999999999987</v>
      </c>
      <c r="B597" s="2" t="str">
        <f>INDEX(Country!$F$31:$G$76, MATCH(AI597, Country!$O$31:$O$76, 0), 2)</f>
        <v>Small Distributed scale</v>
      </c>
      <c r="C597" s="436" t="str">
        <f>INDEX(Country!$K$31:$K$76, MATCH(AI597, Country!$O$31:$O$76, 0), 1)</f>
        <v>USDm</v>
      </c>
      <c r="D597" s="4" t="str">
        <f t="shared" si="493"/>
        <v>Honduras</v>
      </c>
      <c r="E597" s="95">
        <f t="shared" si="491"/>
        <v>0.04</v>
      </c>
      <c r="F597" s="95">
        <f t="shared" si="485"/>
        <v>0.04</v>
      </c>
      <c r="G597" s="95">
        <f t="shared" si="486"/>
        <v>7.0000000000000007E-2</v>
      </c>
      <c r="H597" s="95">
        <f t="shared" si="487"/>
        <v>7.0000000000000007E-2</v>
      </c>
      <c r="I597" s="95">
        <f t="shared" si="488"/>
        <v>7.0000000000000007E-2</v>
      </c>
      <c r="J597" s="95">
        <f t="shared" si="489"/>
        <v>0.30000000000000004</v>
      </c>
      <c r="K597" s="96">
        <f t="shared" si="490"/>
        <v>0.53</v>
      </c>
      <c r="L597" s="457"/>
      <c r="M597" s="458"/>
      <c r="N597" s="458"/>
      <c r="O597" s="458"/>
      <c r="P597" s="458"/>
      <c r="Q597" s="458"/>
      <c r="R597" s="459"/>
      <c r="S597" s="558">
        <v>0.04</v>
      </c>
      <c r="T597" s="559">
        <v>0</v>
      </c>
      <c r="U597" s="559">
        <v>0.03</v>
      </c>
      <c r="V597" s="559">
        <v>0</v>
      </c>
      <c r="W597" s="559">
        <v>0</v>
      </c>
      <c r="X597" s="559">
        <v>0.23</v>
      </c>
      <c r="Y597" s="559">
        <v>0.23</v>
      </c>
      <c r="Z597" s="455"/>
      <c r="AA597" s="456"/>
      <c r="AB597" s="456"/>
      <c r="AC597" s="456"/>
      <c r="AD597" s="456"/>
      <c r="AE597" s="456"/>
      <c r="AF597" s="456"/>
      <c r="AG597" s="33" t="str">
        <f t="shared" si="492"/>
        <v>2.06 &gt; Honduras</v>
      </c>
      <c r="AH597" s="84">
        <f t="shared" si="494"/>
        <v>583</v>
      </c>
      <c r="AI597" s="84">
        <f t="shared" si="495"/>
        <v>22</v>
      </c>
      <c r="AJ597" s="877" t="s">
        <v>1526</v>
      </c>
    </row>
    <row r="598" spans="1:36" x14ac:dyDescent="0.2">
      <c r="A598" s="492">
        <f>INDEX(Country!$F$31:$G$76, MATCH(AI598, Country!$O$31:$O$76, 0), 1)</f>
        <v>2.0599999999999987</v>
      </c>
      <c r="B598" s="2" t="str">
        <f>INDEX(Country!$F$31:$G$76, MATCH(AI598, Country!$O$31:$O$76, 0), 2)</f>
        <v>Small Distributed scale</v>
      </c>
      <c r="C598" s="436" t="str">
        <f>INDEX(Country!$K$31:$K$76, MATCH(AI598, Country!$O$31:$O$76, 0), 1)</f>
        <v>USDm</v>
      </c>
      <c r="D598" s="4" t="str">
        <f t="shared" si="493"/>
        <v>Jamaica</v>
      </c>
      <c r="E598" s="95">
        <f t="shared" si="491"/>
        <v>0</v>
      </c>
      <c r="F598" s="95">
        <f t="shared" si="485"/>
        <v>1</v>
      </c>
      <c r="G598" s="95">
        <f t="shared" si="486"/>
        <v>1</v>
      </c>
      <c r="H598" s="95">
        <f t="shared" si="487"/>
        <v>1</v>
      </c>
      <c r="I598" s="95">
        <f t="shared" si="488"/>
        <v>1</v>
      </c>
      <c r="J598" s="95">
        <f t="shared" si="489"/>
        <v>1</v>
      </c>
      <c r="K598" s="96">
        <f t="shared" si="490"/>
        <v>1</v>
      </c>
      <c r="L598" s="457"/>
      <c r="M598" s="458"/>
      <c r="N598" s="458"/>
      <c r="O598" s="458"/>
      <c r="P598" s="458"/>
      <c r="Q598" s="458"/>
      <c r="R598" s="459"/>
      <c r="S598" s="558">
        <v>0</v>
      </c>
      <c r="T598" s="559">
        <v>1</v>
      </c>
      <c r="U598" s="559">
        <v>0</v>
      </c>
      <c r="V598" s="559">
        <v>0</v>
      </c>
      <c r="W598" s="559">
        <v>0</v>
      </c>
      <c r="X598" s="559">
        <v>0</v>
      </c>
      <c r="Y598" s="559">
        <v>0</v>
      </c>
      <c r="Z598" s="455"/>
      <c r="AA598" s="456"/>
      <c r="AB598" s="456"/>
      <c r="AC598" s="456"/>
      <c r="AD598" s="456"/>
      <c r="AE598" s="456"/>
      <c r="AF598" s="456"/>
      <c r="AG598" s="33" t="str">
        <f t="shared" si="492"/>
        <v>2.06 &gt; Jamaica</v>
      </c>
      <c r="AH598" s="84">
        <f t="shared" si="494"/>
        <v>584</v>
      </c>
      <c r="AI598" s="84">
        <f t="shared" si="495"/>
        <v>22</v>
      </c>
      <c r="AJ598" s="877" t="s">
        <v>1526</v>
      </c>
    </row>
    <row r="599" spans="1:36" x14ac:dyDescent="0.2">
      <c r="A599" s="492">
        <f>INDEX(Country!$F$31:$G$76, MATCH(AI599, Country!$O$31:$O$76, 0), 1)</f>
        <v>2.0599999999999987</v>
      </c>
      <c r="B599" s="2" t="str">
        <f>INDEX(Country!$F$31:$G$76, MATCH(AI599, Country!$O$31:$O$76, 0), 2)</f>
        <v>Small Distributed scale</v>
      </c>
      <c r="C599" s="436" t="str">
        <f>INDEX(Country!$K$31:$K$76, MATCH(AI599, Country!$O$31:$O$76, 0), 1)</f>
        <v>USDm</v>
      </c>
      <c r="D599" s="4" t="str">
        <f t="shared" si="493"/>
        <v>Mexico</v>
      </c>
      <c r="E599" s="95">
        <f t="shared" si="491"/>
        <v>0</v>
      </c>
      <c r="F599" s="95">
        <f t="shared" si="485"/>
        <v>0</v>
      </c>
      <c r="G599" s="95">
        <f t="shared" si="486"/>
        <v>0</v>
      </c>
      <c r="H599" s="95">
        <f t="shared" si="487"/>
        <v>0</v>
      </c>
      <c r="I599" s="95">
        <f t="shared" si="488"/>
        <v>0</v>
      </c>
      <c r="J599" s="95">
        <f t="shared" si="489"/>
        <v>0</v>
      </c>
      <c r="K599" s="96">
        <f t="shared" si="490"/>
        <v>0</v>
      </c>
      <c r="L599" s="457"/>
      <c r="M599" s="458"/>
      <c r="N599" s="458"/>
      <c r="O599" s="458"/>
      <c r="P599" s="458"/>
      <c r="Q599" s="458"/>
      <c r="R599" s="459"/>
      <c r="S599" s="558">
        <v>0</v>
      </c>
      <c r="T599" s="559">
        <v>0</v>
      </c>
      <c r="U599" s="559">
        <v>0</v>
      </c>
      <c r="V599" s="559">
        <v>0</v>
      </c>
      <c r="W599" s="559">
        <v>0</v>
      </c>
      <c r="X599" s="559">
        <v>0</v>
      </c>
      <c r="Y599" s="559">
        <v>0</v>
      </c>
      <c r="Z599" s="455"/>
      <c r="AA599" s="456"/>
      <c r="AB599" s="456"/>
      <c r="AC599" s="456"/>
      <c r="AD599" s="456"/>
      <c r="AE599" s="456"/>
      <c r="AF599" s="456"/>
      <c r="AG599" s="33" t="str">
        <f t="shared" si="492"/>
        <v>2.06 &gt; Mexico</v>
      </c>
      <c r="AH599" s="84">
        <f t="shared" si="494"/>
        <v>585</v>
      </c>
      <c r="AI599" s="84">
        <f t="shared" si="495"/>
        <v>22</v>
      </c>
      <c r="AJ599" s="877" t="s">
        <v>1526</v>
      </c>
    </row>
    <row r="600" spans="1:36" x14ac:dyDescent="0.2">
      <c r="A600" s="492">
        <f>INDEX(Country!$F$31:$G$76, MATCH(AI600, Country!$O$31:$O$76, 0), 1)</f>
        <v>2.0599999999999987</v>
      </c>
      <c r="B600" s="2" t="str">
        <f>INDEX(Country!$F$31:$G$76, MATCH(AI600, Country!$O$31:$O$76, 0), 2)</f>
        <v>Small Distributed scale</v>
      </c>
      <c r="C600" s="436" t="str">
        <f>INDEX(Country!$K$31:$K$76, MATCH(AI600, Country!$O$31:$O$76, 0), 1)</f>
        <v>USDm</v>
      </c>
      <c r="D600" s="4" t="str">
        <f t="shared" si="493"/>
        <v>Nicaragua</v>
      </c>
      <c r="E600" s="95">
        <f t="shared" si="491"/>
        <v>0</v>
      </c>
      <c r="F600" s="95">
        <f t="shared" si="485"/>
        <v>0.06</v>
      </c>
      <c r="G600" s="95">
        <f t="shared" si="486"/>
        <v>0.19</v>
      </c>
      <c r="H600" s="95">
        <f t="shared" si="487"/>
        <v>0.19</v>
      </c>
      <c r="I600" s="95">
        <f t="shared" si="488"/>
        <v>0.42000000000000004</v>
      </c>
      <c r="J600" s="95">
        <f t="shared" si="489"/>
        <v>0.42000000000000004</v>
      </c>
      <c r="K600" s="96">
        <f t="shared" si="490"/>
        <v>0.42000000000000004</v>
      </c>
      <c r="L600" s="457"/>
      <c r="M600" s="458"/>
      <c r="N600" s="458"/>
      <c r="O600" s="458"/>
      <c r="P600" s="458"/>
      <c r="Q600" s="458"/>
      <c r="R600" s="459"/>
      <c r="S600" s="558">
        <v>0</v>
      </c>
      <c r="T600" s="559">
        <v>0.06</v>
      </c>
      <c r="U600" s="559">
        <v>0.13</v>
      </c>
      <c r="V600" s="559">
        <v>0</v>
      </c>
      <c r="W600" s="559">
        <v>0.23</v>
      </c>
      <c r="X600" s="559">
        <v>0</v>
      </c>
      <c r="Y600" s="559">
        <v>0</v>
      </c>
      <c r="Z600" s="455"/>
      <c r="AA600" s="456"/>
      <c r="AB600" s="456"/>
      <c r="AC600" s="456"/>
      <c r="AD600" s="456"/>
      <c r="AE600" s="456"/>
      <c r="AF600" s="456"/>
      <c r="AG600" s="33" t="str">
        <f t="shared" si="492"/>
        <v>2.06 &gt; Nicaragua</v>
      </c>
      <c r="AH600" s="84">
        <f t="shared" si="494"/>
        <v>586</v>
      </c>
      <c r="AI600" s="84">
        <f t="shared" si="495"/>
        <v>22</v>
      </c>
      <c r="AJ600" s="877" t="s">
        <v>1526</v>
      </c>
    </row>
    <row r="601" spans="1:36" x14ac:dyDescent="0.2">
      <c r="A601" s="492">
        <f>INDEX(Country!$F$31:$G$76, MATCH(AI601, Country!$O$31:$O$76, 0), 1)</f>
        <v>2.0599999999999987</v>
      </c>
      <c r="B601" s="2" t="str">
        <f>INDEX(Country!$F$31:$G$76, MATCH(AI601, Country!$O$31:$O$76, 0), 2)</f>
        <v>Small Distributed scale</v>
      </c>
      <c r="C601" s="436" t="str">
        <f>INDEX(Country!$K$31:$K$76, MATCH(AI601, Country!$O$31:$O$76, 0), 1)</f>
        <v>USDm</v>
      </c>
      <c r="D601" s="4" t="str">
        <f t="shared" si="493"/>
        <v>Panama</v>
      </c>
      <c r="E601" s="95">
        <f t="shared" si="491"/>
        <v>0.08</v>
      </c>
      <c r="F601" s="95">
        <f t="shared" si="485"/>
        <v>0.12</v>
      </c>
      <c r="G601" s="95">
        <f t="shared" si="486"/>
        <v>0.15</v>
      </c>
      <c r="H601" s="95">
        <f t="shared" si="487"/>
        <v>0.15</v>
      </c>
      <c r="I601" s="95">
        <f t="shared" si="488"/>
        <v>0.15</v>
      </c>
      <c r="J601" s="95">
        <f t="shared" si="489"/>
        <v>0.15</v>
      </c>
      <c r="K601" s="96">
        <f t="shared" si="490"/>
        <v>0.15</v>
      </c>
      <c r="L601" s="457"/>
      <c r="M601" s="458"/>
      <c r="N601" s="458"/>
      <c r="O601" s="458"/>
      <c r="P601" s="458"/>
      <c r="Q601" s="458"/>
      <c r="R601" s="459"/>
      <c r="S601" s="558">
        <v>0.08</v>
      </c>
      <c r="T601" s="559">
        <v>0.04</v>
      </c>
      <c r="U601" s="559">
        <v>0.03</v>
      </c>
      <c r="V601" s="559">
        <v>0</v>
      </c>
      <c r="W601" s="559">
        <v>0</v>
      </c>
      <c r="X601" s="559">
        <v>0</v>
      </c>
      <c r="Y601" s="559">
        <v>0</v>
      </c>
      <c r="Z601" s="455"/>
      <c r="AA601" s="456"/>
      <c r="AB601" s="456"/>
      <c r="AC601" s="456"/>
      <c r="AD601" s="456"/>
      <c r="AE601" s="456"/>
      <c r="AF601" s="456"/>
      <c r="AG601" s="33" t="str">
        <f t="shared" si="492"/>
        <v>2.06 &gt; Panama</v>
      </c>
      <c r="AH601" s="84">
        <f t="shared" si="494"/>
        <v>587</v>
      </c>
      <c r="AI601" s="84">
        <f t="shared" si="495"/>
        <v>22</v>
      </c>
      <c r="AJ601" s="877" t="s">
        <v>1526</v>
      </c>
    </row>
    <row r="602" spans="1:36" x14ac:dyDescent="0.2">
      <c r="A602" s="492">
        <f>INDEX(Country!$F$31:$G$76, MATCH(AI602, Country!$O$31:$O$76, 0), 1)</f>
        <v>2.0599999999999987</v>
      </c>
      <c r="B602" s="2" t="str">
        <f>INDEX(Country!$F$31:$G$76, MATCH(AI602, Country!$O$31:$O$76, 0), 2)</f>
        <v>Small Distributed scale</v>
      </c>
      <c r="C602" s="436" t="str">
        <f>INDEX(Country!$K$31:$K$76, MATCH(AI602, Country!$O$31:$O$76, 0), 1)</f>
        <v>USDm</v>
      </c>
      <c r="D602" s="4" t="str">
        <f t="shared" si="493"/>
        <v>Paraguay</v>
      </c>
      <c r="E602" s="95">
        <f t="shared" si="491"/>
        <v>0</v>
      </c>
      <c r="F602" s="95">
        <f t="shared" si="485"/>
        <v>0</v>
      </c>
      <c r="G602" s="95">
        <f t="shared" si="486"/>
        <v>0</v>
      </c>
      <c r="H602" s="95">
        <f t="shared" si="487"/>
        <v>0</v>
      </c>
      <c r="I602" s="95">
        <f t="shared" si="488"/>
        <v>0</v>
      </c>
      <c r="J602" s="95">
        <f t="shared" si="489"/>
        <v>0.37</v>
      </c>
      <c r="K602" s="96">
        <f t="shared" si="490"/>
        <v>0.74</v>
      </c>
      <c r="L602" s="457"/>
      <c r="M602" s="458"/>
      <c r="N602" s="458"/>
      <c r="O602" s="458"/>
      <c r="P602" s="458"/>
      <c r="Q602" s="458"/>
      <c r="R602" s="459"/>
      <c r="S602" s="558">
        <v>0</v>
      </c>
      <c r="T602" s="559">
        <v>0</v>
      </c>
      <c r="U602" s="559">
        <v>0</v>
      </c>
      <c r="V602" s="559">
        <v>0</v>
      </c>
      <c r="W602" s="559">
        <v>0</v>
      </c>
      <c r="X602" s="559">
        <v>0.37</v>
      </c>
      <c r="Y602" s="559">
        <v>0.37</v>
      </c>
      <c r="Z602" s="455"/>
      <c r="AA602" s="456"/>
      <c r="AB602" s="456"/>
      <c r="AC602" s="456"/>
      <c r="AD602" s="456"/>
      <c r="AE602" s="456"/>
      <c r="AF602" s="456"/>
      <c r="AG602" s="33" t="str">
        <f t="shared" si="492"/>
        <v>2.06 &gt; Paraguay</v>
      </c>
      <c r="AH602" s="84">
        <f t="shared" si="494"/>
        <v>588</v>
      </c>
      <c r="AI602" s="84">
        <f t="shared" si="495"/>
        <v>22</v>
      </c>
      <c r="AJ602" s="877" t="s">
        <v>1526</v>
      </c>
    </row>
    <row r="603" spans="1:36" x14ac:dyDescent="0.2">
      <c r="A603" s="492">
        <f>INDEX(Country!$F$31:$G$76, MATCH(AI603, Country!$O$31:$O$76, 0), 1)</f>
        <v>2.0599999999999987</v>
      </c>
      <c r="B603" s="2" t="str">
        <f>INDEX(Country!$F$31:$G$76, MATCH(AI603, Country!$O$31:$O$76, 0), 2)</f>
        <v>Small Distributed scale</v>
      </c>
      <c r="C603" s="436" t="str">
        <f>INDEX(Country!$K$31:$K$76, MATCH(AI603, Country!$O$31:$O$76, 0), 1)</f>
        <v>USDm</v>
      </c>
      <c r="D603" s="4" t="str">
        <f t="shared" si="493"/>
        <v>Peru</v>
      </c>
      <c r="E603" s="95">
        <f t="shared" si="491"/>
        <v>0</v>
      </c>
      <c r="F603" s="95">
        <f t="shared" si="485"/>
        <v>0</v>
      </c>
      <c r="G603" s="95">
        <f t="shared" si="486"/>
        <v>0</v>
      </c>
      <c r="H603" s="95">
        <f t="shared" si="487"/>
        <v>0</v>
      </c>
      <c r="I603" s="95">
        <f t="shared" si="488"/>
        <v>0</v>
      </c>
      <c r="J603" s="95">
        <f t="shared" si="489"/>
        <v>0</v>
      </c>
      <c r="K603" s="96">
        <f t="shared" si="490"/>
        <v>0</v>
      </c>
      <c r="L603" s="457"/>
      <c r="M603" s="458"/>
      <c r="N603" s="458"/>
      <c r="O603" s="458"/>
      <c r="P603" s="458"/>
      <c r="Q603" s="458"/>
      <c r="R603" s="459"/>
      <c r="S603" s="558">
        <v>0</v>
      </c>
      <c r="T603" s="559">
        <v>0</v>
      </c>
      <c r="U603" s="559">
        <v>0</v>
      </c>
      <c r="V603" s="559">
        <v>0</v>
      </c>
      <c r="W603" s="559">
        <v>0</v>
      </c>
      <c r="X603" s="559">
        <v>0</v>
      </c>
      <c r="Y603" s="559">
        <v>0</v>
      </c>
      <c r="Z603" s="455"/>
      <c r="AA603" s="456"/>
      <c r="AB603" s="456"/>
      <c r="AC603" s="456"/>
      <c r="AD603" s="456"/>
      <c r="AE603" s="456"/>
      <c r="AF603" s="456"/>
      <c r="AG603" s="33" t="str">
        <f t="shared" si="492"/>
        <v>2.06 &gt; Peru</v>
      </c>
      <c r="AH603" s="84">
        <f t="shared" si="494"/>
        <v>589</v>
      </c>
      <c r="AI603" s="84">
        <f t="shared" si="495"/>
        <v>22</v>
      </c>
      <c r="AJ603" s="877" t="s">
        <v>1526</v>
      </c>
    </row>
    <row r="604" spans="1:36" x14ac:dyDescent="0.2">
      <c r="A604" s="492">
        <f>INDEX(Country!$F$31:$G$76, MATCH(AI604, Country!$O$31:$O$76, 0), 1)</f>
        <v>2.0599999999999987</v>
      </c>
      <c r="B604" s="2" t="str">
        <f>INDEX(Country!$F$31:$G$76, MATCH(AI604, Country!$O$31:$O$76, 0), 2)</f>
        <v>Small Distributed scale</v>
      </c>
      <c r="C604" s="436" t="str">
        <f>INDEX(Country!$K$31:$K$76, MATCH(AI604, Country!$O$31:$O$76, 0), 1)</f>
        <v>USDm</v>
      </c>
      <c r="D604" s="4" t="str">
        <f t="shared" si="493"/>
        <v>Suriname</v>
      </c>
      <c r="E604" s="95">
        <f t="shared" si="491"/>
        <v>0</v>
      </c>
      <c r="F604" s="95">
        <f t="shared" si="485"/>
        <v>0</v>
      </c>
      <c r="G604" s="95">
        <f t="shared" si="486"/>
        <v>0</v>
      </c>
      <c r="H604" s="95">
        <f t="shared" si="487"/>
        <v>0</v>
      </c>
      <c r="I604" s="95">
        <f t="shared" si="488"/>
        <v>0</v>
      </c>
      <c r="J604" s="95">
        <f t="shared" si="489"/>
        <v>0</v>
      </c>
      <c r="K604" s="96">
        <f t="shared" si="490"/>
        <v>0</v>
      </c>
      <c r="L604" s="457"/>
      <c r="M604" s="458"/>
      <c r="N604" s="458"/>
      <c r="O604" s="458"/>
      <c r="P604" s="458"/>
      <c r="Q604" s="458"/>
      <c r="R604" s="459"/>
      <c r="S604" s="558">
        <v>0</v>
      </c>
      <c r="T604" s="559">
        <v>0</v>
      </c>
      <c r="U604" s="559">
        <v>0</v>
      </c>
      <c r="V604" s="559">
        <v>0</v>
      </c>
      <c r="W604" s="559">
        <v>0</v>
      </c>
      <c r="X604" s="559">
        <v>0</v>
      </c>
      <c r="Y604" s="559">
        <v>0</v>
      </c>
      <c r="Z604" s="455"/>
      <c r="AA604" s="456"/>
      <c r="AB604" s="456"/>
      <c r="AC604" s="456"/>
      <c r="AD604" s="456"/>
      <c r="AE604" s="456"/>
      <c r="AF604" s="456"/>
      <c r="AG604" s="33" t="str">
        <f t="shared" si="492"/>
        <v>2.06 &gt; Suriname</v>
      </c>
      <c r="AH604" s="84">
        <f t="shared" si="494"/>
        <v>590</v>
      </c>
      <c r="AI604" s="84">
        <f t="shared" si="495"/>
        <v>22</v>
      </c>
      <c r="AJ604" s="877" t="s">
        <v>1526</v>
      </c>
    </row>
    <row r="605" spans="1:36" x14ac:dyDescent="0.2">
      <c r="A605" s="492">
        <f>INDEX(Country!$F$31:$G$76, MATCH(AI605, Country!$O$31:$O$76, 0), 1)</f>
        <v>2.0599999999999987</v>
      </c>
      <c r="B605" s="2" t="str">
        <f>INDEX(Country!$F$31:$G$76, MATCH(AI605, Country!$O$31:$O$76, 0), 2)</f>
        <v>Small Distributed scale</v>
      </c>
      <c r="C605" s="436" t="str">
        <f>INDEX(Country!$K$31:$K$76, MATCH(AI605, Country!$O$31:$O$76, 0), 1)</f>
        <v>USDm</v>
      </c>
      <c r="D605" s="4" t="str">
        <f t="shared" si="493"/>
        <v>Trinidad &amp; Tobago</v>
      </c>
      <c r="E605" s="95">
        <f t="shared" si="491"/>
        <v>0.05</v>
      </c>
      <c r="F605" s="95">
        <f t="shared" si="485"/>
        <v>0.05</v>
      </c>
      <c r="G605" s="95">
        <f t="shared" si="486"/>
        <v>0.05</v>
      </c>
      <c r="H605" s="95">
        <f t="shared" si="487"/>
        <v>0.1</v>
      </c>
      <c r="I605" s="95">
        <f t="shared" si="488"/>
        <v>0.1</v>
      </c>
      <c r="J605" s="95">
        <f t="shared" si="489"/>
        <v>0.1</v>
      </c>
      <c r="K605" s="96">
        <f t="shared" si="490"/>
        <v>0.1</v>
      </c>
      <c r="L605" s="457"/>
      <c r="M605" s="458"/>
      <c r="N605" s="458"/>
      <c r="O605" s="458"/>
      <c r="P605" s="458"/>
      <c r="Q605" s="458"/>
      <c r="R605" s="459"/>
      <c r="S605" s="558">
        <v>0.05</v>
      </c>
      <c r="T605" s="559">
        <v>0</v>
      </c>
      <c r="U605" s="559">
        <v>0</v>
      </c>
      <c r="V605" s="559">
        <v>0.05</v>
      </c>
      <c r="W605" s="559">
        <v>0</v>
      </c>
      <c r="X605" s="559">
        <v>0</v>
      </c>
      <c r="Y605" s="559">
        <v>0</v>
      </c>
      <c r="Z605" s="455"/>
      <c r="AA605" s="456"/>
      <c r="AB605" s="456"/>
      <c r="AC605" s="456"/>
      <c r="AD605" s="456"/>
      <c r="AE605" s="456"/>
      <c r="AF605" s="456"/>
      <c r="AG605" s="33" t="str">
        <f t="shared" si="492"/>
        <v>2.06 &gt; Trinidad &amp; Tobago</v>
      </c>
      <c r="AH605" s="84">
        <f t="shared" si="494"/>
        <v>591</v>
      </c>
      <c r="AI605" s="84">
        <f t="shared" si="495"/>
        <v>22</v>
      </c>
      <c r="AJ605" s="877" t="s">
        <v>1526</v>
      </c>
    </row>
    <row r="606" spans="1:36" x14ac:dyDescent="0.2">
      <c r="A606" s="492">
        <f>INDEX(Country!$F$31:$G$76, MATCH(AI606, Country!$O$31:$O$76, 0), 1)</f>
        <v>2.0599999999999987</v>
      </c>
      <c r="B606" s="2" t="str">
        <f>INDEX(Country!$F$31:$G$76, MATCH(AI606, Country!$O$31:$O$76, 0), 2)</f>
        <v>Small Distributed scale</v>
      </c>
      <c r="C606" s="436" t="str">
        <f>INDEX(Country!$K$31:$K$76, MATCH(AI606, Country!$O$31:$O$76, 0), 1)</f>
        <v>USDm</v>
      </c>
      <c r="D606" s="4" t="str">
        <f t="shared" si="493"/>
        <v>Uruguay</v>
      </c>
      <c r="E606" s="95">
        <f t="shared" si="491"/>
        <v>0</v>
      </c>
      <c r="F606" s="95">
        <f t="shared" si="485"/>
        <v>0</v>
      </c>
      <c r="G606" s="95">
        <f t="shared" si="486"/>
        <v>0</v>
      </c>
      <c r="H606" s="95">
        <f t="shared" si="487"/>
        <v>0</v>
      </c>
      <c r="I606" s="95">
        <f t="shared" si="488"/>
        <v>0</v>
      </c>
      <c r="J606" s="95">
        <f t="shared" si="489"/>
        <v>0.02</v>
      </c>
      <c r="K606" s="96">
        <f t="shared" si="490"/>
        <v>0.04</v>
      </c>
      <c r="L606" s="457"/>
      <c r="M606" s="458"/>
      <c r="N606" s="458"/>
      <c r="O606" s="458"/>
      <c r="P606" s="458"/>
      <c r="Q606" s="458"/>
      <c r="R606" s="459"/>
      <c r="S606" s="558">
        <v>0</v>
      </c>
      <c r="T606" s="559">
        <v>0</v>
      </c>
      <c r="U606" s="559">
        <v>0</v>
      </c>
      <c r="V606" s="559">
        <v>0</v>
      </c>
      <c r="W606" s="559">
        <v>0</v>
      </c>
      <c r="X606" s="559">
        <v>0.02</v>
      </c>
      <c r="Y606" s="559">
        <v>0.02</v>
      </c>
      <c r="Z606" s="455"/>
      <c r="AA606" s="456"/>
      <c r="AB606" s="456"/>
      <c r="AC606" s="456"/>
      <c r="AD606" s="456"/>
      <c r="AE606" s="456"/>
      <c r="AF606" s="456"/>
      <c r="AG606" s="33" t="str">
        <f t="shared" si="492"/>
        <v>2.06 &gt; Uruguay</v>
      </c>
      <c r="AH606" s="84">
        <f t="shared" si="494"/>
        <v>592</v>
      </c>
      <c r="AI606" s="84">
        <f t="shared" si="495"/>
        <v>22</v>
      </c>
      <c r="AJ606" s="877" t="s">
        <v>1526</v>
      </c>
    </row>
    <row r="607" spans="1:36" x14ac:dyDescent="0.2">
      <c r="A607" s="491">
        <f>INDEX(Country!$F$31:$G$76, MATCH(AI607, Country!$O$31:$O$76, 0), 1)</f>
        <v>2.0599999999999987</v>
      </c>
      <c r="B607" s="386" t="str">
        <f>INDEX(Country!$F$31:$G$76, MATCH(AI607, Country!$O$31:$O$76, 0), 2)</f>
        <v>Small Distributed scale</v>
      </c>
      <c r="C607" s="437" t="str">
        <f>INDEX(Country!$K$31:$K$76, MATCH(AI607, Country!$O$31:$O$76, 0), 1)</f>
        <v>USDm</v>
      </c>
      <c r="D607" s="86" t="str">
        <f t="shared" si="493"/>
        <v>Venezuela</v>
      </c>
      <c r="E607" s="373">
        <f t="shared" si="491"/>
        <v>0</v>
      </c>
      <c r="F607" s="373">
        <f t="shared" si="485"/>
        <v>0</v>
      </c>
      <c r="G607" s="373">
        <f t="shared" si="486"/>
        <v>0</v>
      </c>
      <c r="H607" s="373">
        <f t="shared" si="487"/>
        <v>0</v>
      </c>
      <c r="I607" s="373">
        <f t="shared" si="488"/>
        <v>0</v>
      </c>
      <c r="J607" s="373">
        <f t="shared" si="489"/>
        <v>0</v>
      </c>
      <c r="K607" s="404">
        <f t="shared" si="490"/>
        <v>0</v>
      </c>
      <c r="L607" s="460"/>
      <c r="M607" s="461"/>
      <c r="N607" s="461"/>
      <c r="O607" s="461"/>
      <c r="P607" s="461"/>
      <c r="Q607" s="461"/>
      <c r="R607" s="462"/>
      <c r="S607" s="560">
        <v>0</v>
      </c>
      <c r="T607" s="561">
        <v>0</v>
      </c>
      <c r="U607" s="561">
        <v>0</v>
      </c>
      <c r="V607" s="561">
        <v>0</v>
      </c>
      <c r="W607" s="561">
        <v>0</v>
      </c>
      <c r="X607" s="561">
        <v>0</v>
      </c>
      <c r="Y607" s="561">
        <v>0</v>
      </c>
      <c r="Z607" s="455"/>
      <c r="AA607" s="456"/>
      <c r="AB607" s="456"/>
      <c r="AC607" s="456"/>
      <c r="AD607" s="456"/>
      <c r="AE607" s="456"/>
      <c r="AF607" s="456"/>
      <c r="AG607" s="90" t="str">
        <f t="shared" si="492"/>
        <v>2.06 &gt; Venezuela</v>
      </c>
      <c r="AH607" s="392">
        <f t="shared" si="494"/>
        <v>593</v>
      </c>
      <c r="AI607" s="392">
        <f t="shared" si="495"/>
        <v>22</v>
      </c>
      <c r="AJ607" s="878" t="s">
        <v>1526</v>
      </c>
    </row>
    <row r="608" spans="1:36" x14ac:dyDescent="0.2">
      <c r="A608" s="490">
        <f>INDEX(Country!$F$31:$G$76, MATCH(AI608, Country!$O$31:$O$76, 0), 1)</f>
        <v>2.0599999999999987</v>
      </c>
      <c r="B608" s="387" t="str">
        <f>INDEX(Country!$F$31:$G$76, MATCH(AI608, Country!$O$31:$O$76, 0), 2)</f>
        <v>Small Distributed scale</v>
      </c>
      <c r="C608" s="438" t="str">
        <f>INDEX(Country!$K$31:$K$76, MATCH(AI608, Country!$O$31:$O$76, 0), 1)</f>
        <v>USDm</v>
      </c>
      <c r="D608" s="32" t="str">
        <f t="shared" si="493"/>
        <v>Benchmark</v>
      </c>
      <c r="E608" s="365">
        <f>IFERROR(MAX(E582:E607), 0)</f>
        <v>2.6</v>
      </c>
      <c r="F608" s="365">
        <f t="shared" ref="F608:K608" si="496">IFERROR(MAX(F582:F607), 0)</f>
        <v>12.29</v>
      </c>
      <c r="G608" s="365">
        <f t="shared" si="496"/>
        <v>12.43</v>
      </c>
      <c r="H608" s="365">
        <f t="shared" si="496"/>
        <v>12.43</v>
      </c>
      <c r="I608" s="365">
        <f t="shared" si="496"/>
        <v>12.629999999999999</v>
      </c>
      <c r="J608" s="365">
        <f t="shared" si="496"/>
        <v>12.629999999999999</v>
      </c>
      <c r="K608" s="593">
        <f t="shared" si="496"/>
        <v>12.629999999999999</v>
      </c>
      <c r="L608" s="585">
        <v>0</v>
      </c>
      <c r="M608" s="463">
        <v>0</v>
      </c>
      <c r="N608" s="463">
        <v>0</v>
      </c>
      <c r="O608" s="463">
        <v>0</v>
      </c>
      <c r="P608" s="463">
        <v>0</v>
      </c>
      <c r="Q608" s="463">
        <v>0</v>
      </c>
      <c r="R608" s="586">
        <v>0</v>
      </c>
      <c r="S608" s="393" t="s">
        <v>1549</v>
      </c>
      <c r="T608" s="394"/>
      <c r="U608" s="376"/>
      <c r="V608" s="376"/>
      <c r="W608" s="376"/>
      <c r="X608" s="376"/>
      <c r="Y608" s="376"/>
      <c r="Z608" s="393" t="s">
        <v>1241</v>
      </c>
      <c r="AA608" s="394"/>
      <c r="AB608" s="376"/>
      <c r="AC608" s="376"/>
      <c r="AD608" s="376"/>
      <c r="AE608" s="376"/>
      <c r="AF608" s="401"/>
      <c r="AG608" s="34" t="str">
        <f t="shared" si="492"/>
        <v>2.06 &gt; Benchmark</v>
      </c>
      <c r="AH608" s="85">
        <f t="shared" si="494"/>
        <v>594</v>
      </c>
      <c r="AI608" s="85">
        <f t="shared" si="495"/>
        <v>22</v>
      </c>
      <c r="AJ608" s="871" t="s">
        <v>1526</v>
      </c>
    </row>
    <row r="609" spans="1:36" x14ac:dyDescent="0.2">
      <c r="A609" s="587">
        <f>INDEX(Country!$F$31:$G$76, MATCH(AI609, Country!$O$31:$O$76, 0), 1)</f>
        <v>2.0699999999999985</v>
      </c>
      <c r="B609" s="588" t="str">
        <f>INDEX(Country!$F$31:$G$76, MATCH(AI609, Country!$O$31:$O$76, 0), 2)</f>
        <v>Loans, grants, grant programs</v>
      </c>
      <c r="C609" s="589" t="str">
        <f>INDEX(Country!$K$31:$K$76, MATCH(AI609, Country!$O$31:$O$76, 0), 1)</f>
        <v>USDm</v>
      </c>
      <c r="D609" s="590" t="str">
        <f t="shared" si="493"/>
        <v>Argentina</v>
      </c>
      <c r="E609" s="5">
        <f>S609</f>
        <v>0</v>
      </c>
      <c r="F609" s="601">
        <f t="shared" ref="F609:F634" si="497">E609+T609</f>
        <v>0.1</v>
      </c>
      <c r="G609" s="601">
        <f t="shared" ref="G609:G634" si="498">F609+U609</f>
        <v>65.899999999999991</v>
      </c>
      <c r="H609" s="601">
        <f t="shared" ref="H609:H634" si="499">G609+V609</f>
        <v>67.38</v>
      </c>
      <c r="I609" s="601">
        <f t="shared" ref="I609:I634" si="500">H609+W609</f>
        <v>270.27999999999997</v>
      </c>
      <c r="J609" s="601">
        <f t="shared" ref="J609:J634" si="501">I609+X609</f>
        <v>270.27999999999997</v>
      </c>
      <c r="K609" s="610">
        <f t="shared" ref="K609:K634" si="502">J609+Y609</f>
        <v>270.27999999999997</v>
      </c>
      <c r="L609" s="580">
        <f t="shared" ref="L609:L634" si="503">IFERROR(dbl_BenchmarkMax*Z609/L$635, 0)</f>
        <v>0</v>
      </c>
      <c r="M609" s="581">
        <f t="shared" ref="M609:M634" si="504">IFERROR(dbl_BenchmarkMax*AA609/M$635, 0)</f>
        <v>9.2030729337464798E-2</v>
      </c>
      <c r="N609" s="581">
        <f t="shared" ref="N609:N634" si="505">IFERROR(dbl_BenchmarkMax*AB609/N$635, 0)</f>
        <v>43.404489244411565</v>
      </c>
      <c r="O609" s="581">
        <f t="shared" ref="O609:O634" si="506">IFERROR(dbl_BenchmarkMax*AC609/O$635, 0)</f>
        <v>2.1092616010752687</v>
      </c>
      <c r="P609" s="581">
        <f t="shared" ref="P609:P634" si="507">IFERROR(dbl_BenchmarkMax*AD609/P$635, 0)</f>
        <v>2.4996999200371954</v>
      </c>
      <c r="Q609" s="581">
        <f t="shared" ref="Q609:Q634" si="508">IFERROR(dbl_BenchmarkMax*AE609/Q$635, 0)</f>
        <v>1.1974667168621196</v>
      </c>
      <c r="R609" s="582">
        <f t="shared" ref="R609:R634" si="509">IFERROR(dbl_BenchmarkMax*AF609/R$635, 0)</f>
        <v>0.85128913142958007</v>
      </c>
      <c r="S609" s="537">
        <v>0</v>
      </c>
      <c r="T609" s="368">
        <v>0.1</v>
      </c>
      <c r="U609" s="368">
        <v>65.8</v>
      </c>
      <c r="V609" s="368">
        <v>1.48</v>
      </c>
      <c r="W609" s="368">
        <v>202.9</v>
      </c>
      <c r="X609" s="368">
        <v>0</v>
      </c>
      <c r="Y609" s="368">
        <v>0</v>
      </c>
      <c r="Z609" s="421">
        <f>IFERROR(E609/Levelisation!F1415, 0)</f>
        <v>0</v>
      </c>
      <c r="AA609" s="471">
        <f>IFERROR(F609/Levelisation!G1415, 0)</f>
        <v>3.8451038370291185E-4</v>
      </c>
      <c r="AB609" s="471">
        <f>IFERROR(G609/Levelisation!H1415, 0)</f>
        <v>0.20314113530925848</v>
      </c>
      <c r="AC609" s="5">
        <f>IFERROR(H609/Levelisation!I1415, 0)</f>
        <v>0.22036675464330216</v>
      </c>
      <c r="AD609" s="5">
        <f>IFERROR(I609/Levelisation!J1415, 0)</f>
        <v>0.73532572470175339</v>
      </c>
      <c r="AE609" s="5">
        <f>IFERROR(J609/Levelisation!J1415, 0)</f>
        <v>0.73532572470175339</v>
      </c>
      <c r="AF609" s="6">
        <f>IFERROR(K609/Levelisation!L1415, 0)</f>
        <v>0.56906563582999614</v>
      </c>
      <c r="AG609" s="396" t="str">
        <f t="shared" si="492"/>
        <v>2.07 &gt; Argentina</v>
      </c>
      <c r="AH609" s="397">
        <f t="shared" si="494"/>
        <v>595</v>
      </c>
      <c r="AI609" s="397">
        <f t="shared" si="495"/>
        <v>23</v>
      </c>
      <c r="AJ609" s="879" t="s">
        <v>1526</v>
      </c>
    </row>
    <row r="610" spans="1:36" x14ac:dyDescent="0.2">
      <c r="A610" s="492">
        <f>INDEX(Country!$F$31:$G$76, MATCH(AI610, Country!$O$31:$O$76, 0), 1)</f>
        <v>2.0699999999999985</v>
      </c>
      <c r="B610" s="2" t="str">
        <f>INDEX(Country!$F$31:$G$76, MATCH(AI610, Country!$O$31:$O$76, 0), 2)</f>
        <v>Loans, grants, grant programs</v>
      </c>
      <c r="C610" s="436" t="str">
        <f>INDEX(Country!$K$31:$K$76, MATCH(AI610, Country!$O$31:$O$76, 0), 1)</f>
        <v>USDm</v>
      </c>
      <c r="D610" s="4" t="str">
        <f t="shared" si="493"/>
        <v>Bahamas</v>
      </c>
      <c r="E610" s="5">
        <f t="shared" ref="E610:E634" si="510">S610</f>
        <v>0</v>
      </c>
      <c r="F610" s="5">
        <f t="shared" si="497"/>
        <v>0</v>
      </c>
      <c r="G610" s="5">
        <f t="shared" si="498"/>
        <v>0</v>
      </c>
      <c r="H610" s="5">
        <f t="shared" si="499"/>
        <v>4.45</v>
      </c>
      <c r="I610" s="5">
        <f t="shared" si="500"/>
        <v>5.45</v>
      </c>
      <c r="J610" s="5">
        <f t="shared" si="501"/>
        <v>5.45</v>
      </c>
      <c r="K610" s="6">
        <f t="shared" si="502"/>
        <v>5.45</v>
      </c>
      <c r="L610" s="457">
        <f t="shared" si="503"/>
        <v>0</v>
      </c>
      <c r="M610" s="458">
        <f t="shared" si="504"/>
        <v>0</v>
      </c>
      <c r="N610" s="458">
        <f t="shared" si="505"/>
        <v>0</v>
      </c>
      <c r="O610" s="458">
        <f t="shared" si="506"/>
        <v>5.5194509895535804</v>
      </c>
      <c r="P610" s="458">
        <f t="shared" si="507"/>
        <v>2.3841177987509234</v>
      </c>
      <c r="Q610" s="458">
        <f t="shared" si="508"/>
        <v>1.1420977734960807</v>
      </c>
      <c r="R610" s="459">
        <f t="shared" si="509"/>
        <v>1.0136619897015526</v>
      </c>
      <c r="S610" s="538">
        <v>0</v>
      </c>
      <c r="T610" s="101">
        <v>0</v>
      </c>
      <c r="U610" s="101">
        <v>0</v>
      </c>
      <c r="V610" s="101">
        <v>4.45</v>
      </c>
      <c r="W610" s="101">
        <v>1</v>
      </c>
      <c r="X610" s="101">
        <v>0</v>
      </c>
      <c r="Y610" s="101">
        <v>0</v>
      </c>
      <c r="Z610" s="421">
        <f>IFERROR(E610/Levelisation!F1416, 0)</f>
        <v>0</v>
      </c>
      <c r="AA610" s="471">
        <f>IFERROR(F610/Levelisation!G1416, 0)</f>
        <v>0</v>
      </c>
      <c r="AB610" s="471">
        <f>IFERROR(G610/Levelisation!H1416, 0)</f>
        <v>0</v>
      </c>
      <c r="AC610" s="5">
        <f>IFERROR(H610/Levelisation!I1416, 0)</f>
        <v>0.57664895684851636</v>
      </c>
      <c r="AD610" s="5">
        <f>IFERROR(I610/Levelisation!J1416, 0)</f>
        <v>0.70132544074121739</v>
      </c>
      <c r="AE610" s="5">
        <f>IFERROR(J610/Levelisation!J1416, 0)</f>
        <v>0.70132544074121739</v>
      </c>
      <c r="AF610" s="6">
        <f>IFERROR(K610/Levelisation!L1416, 0)</f>
        <v>0.67760785776451582</v>
      </c>
      <c r="AG610" s="33" t="str">
        <f t="shared" si="492"/>
        <v>2.07 &gt; Bahamas</v>
      </c>
      <c r="AH610" s="84">
        <f t="shared" si="494"/>
        <v>596</v>
      </c>
      <c r="AI610" s="84">
        <f t="shared" si="495"/>
        <v>23</v>
      </c>
      <c r="AJ610" s="877" t="s">
        <v>1526</v>
      </c>
    </row>
    <row r="611" spans="1:36" x14ac:dyDescent="0.2">
      <c r="A611" s="492">
        <f>INDEX(Country!$F$31:$G$76, MATCH(AI611, Country!$O$31:$O$76, 0), 1)</f>
        <v>2.0699999999999985</v>
      </c>
      <c r="B611" s="2" t="str">
        <f>INDEX(Country!$F$31:$G$76, MATCH(AI611, Country!$O$31:$O$76, 0), 2)</f>
        <v>Loans, grants, grant programs</v>
      </c>
      <c r="C611" s="436" t="str">
        <f>INDEX(Country!$K$31:$K$76, MATCH(AI611, Country!$O$31:$O$76, 0), 1)</f>
        <v>USDm</v>
      </c>
      <c r="D611" s="4" t="str">
        <f t="shared" si="493"/>
        <v>Barbados</v>
      </c>
      <c r="E611" s="5">
        <f t="shared" si="510"/>
        <v>0</v>
      </c>
      <c r="F611" s="5">
        <f t="shared" si="497"/>
        <v>0</v>
      </c>
      <c r="G611" s="5">
        <f t="shared" si="498"/>
        <v>0</v>
      </c>
      <c r="H611" s="5">
        <f t="shared" si="499"/>
        <v>1</v>
      </c>
      <c r="I611" s="5">
        <f t="shared" si="500"/>
        <v>48</v>
      </c>
      <c r="J611" s="5">
        <f t="shared" si="501"/>
        <v>119</v>
      </c>
      <c r="K611" s="6">
        <f t="shared" si="502"/>
        <v>143.30000000000001</v>
      </c>
      <c r="L611" s="457">
        <f t="shared" si="503"/>
        <v>0</v>
      </c>
      <c r="M611" s="458">
        <f t="shared" si="504"/>
        <v>0</v>
      </c>
      <c r="N611" s="458">
        <f t="shared" si="505"/>
        <v>0</v>
      </c>
      <c r="O611" s="458">
        <f t="shared" si="506"/>
        <v>2.1773421847432792</v>
      </c>
      <c r="P611" s="458">
        <f t="shared" si="507"/>
        <v>38.438962703082289</v>
      </c>
      <c r="Q611" s="458">
        <f t="shared" si="508"/>
        <v>45.65127992750142</v>
      </c>
      <c r="R611" s="459">
        <f t="shared" si="509"/>
        <v>47.743535637122321</v>
      </c>
      <c r="S611" s="538">
        <v>0</v>
      </c>
      <c r="T611" s="101">
        <v>0</v>
      </c>
      <c r="U611" s="101">
        <v>0</v>
      </c>
      <c r="V611" s="101">
        <v>1</v>
      </c>
      <c r="W611" s="101">
        <v>47</v>
      </c>
      <c r="X611" s="101">
        <v>71</v>
      </c>
      <c r="Y611" s="101">
        <v>24.3</v>
      </c>
      <c r="Z611" s="421">
        <f>IFERROR(E611/Levelisation!F1417, 0)</f>
        <v>0</v>
      </c>
      <c r="AA611" s="471">
        <f>IFERROR(F611/Levelisation!G1417, 0)</f>
        <v>0</v>
      </c>
      <c r="AB611" s="471">
        <f>IFERROR(G611/Levelisation!H1417, 0)</f>
        <v>0</v>
      </c>
      <c r="AC611" s="5">
        <f>IFERROR(H611/Levelisation!I1417, 0)</f>
        <v>0.22747952684258418</v>
      </c>
      <c r="AD611" s="5">
        <f>IFERROR(I611/Levelisation!J1417, 0)</f>
        <v>11.307420494699647</v>
      </c>
      <c r="AE611" s="5">
        <f>IFERROR(J611/Levelisation!J1417, 0)</f>
        <v>28.032979976442874</v>
      </c>
      <c r="AF611" s="6">
        <f>IFERROR(K611/Levelisation!L1417, 0)</f>
        <v>31.915367483296215</v>
      </c>
      <c r="AG611" s="33" t="str">
        <f t="shared" si="492"/>
        <v>2.07 &gt; Barbados</v>
      </c>
      <c r="AH611" s="84">
        <f t="shared" si="494"/>
        <v>597</v>
      </c>
      <c r="AI611" s="84">
        <f t="shared" si="495"/>
        <v>23</v>
      </c>
      <c r="AJ611" s="877" t="s">
        <v>1526</v>
      </c>
    </row>
    <row r="612" spans="1:36" x14ac:dyDescent="0.2">
      <c r="A612" s="492">
        <f>INDEX(Country!$F$31:$G$76, MATCH(AI612, Country!$O$31:$O$76, 0), 1)</f>
        <v>2.0699999999999985</v>
      </c>
      <c r="B612" s="2" t="str">
        <f>INDEX(Country!$F$31:$G$76, MATCH(AI612, Country!$O$31:$O$76, 0), 2)</f>
        <v>Loans, grants, grant programs</v>
      </c>
      <c r="C612" s="436" t="str">
        <f>INDEX(Country!$K$31:$K$76, MATCH(AI612, Country!$O$31:$O$76, 0), 1)</f>
        <v>USDm</v>
      </c>
      <c r="D612" s="4" t="str">
        <f t="shared" si="493"/>
        <v>Belize</v>
      </c>
      <c r="E612" s="5">
        <f t="shared" si="510"/>
        <v>0</v>
      </c>
      <c r="F612" s="5">
        <f t="shared" si="497"/>
        <v>0</v>
      </c>
      <c r="G612" s="5">
        <f t="shared" si="498"/>
        <v>0</v>
      </c>
      <c r="H612" s="5">
        <f t="shared" si="499"/>
        <v>0</v>
      </c>
      <c r="I612" s="5">
        <f t="shared" si="500"/>
        <v>4.9000000000000004</v>
      </c>
      <c r="J612" s="5">
        <f t="shared" si="501"/>
        <v>4.9000000000000004</v>
      </c>
      <c r="K612" s="6">
        <f t="shared" si="502"/>
        <v>4.9000000000000004</v>
      </c>
      <c r="L612" s="457">
        <f t="shared" si="503"/>
        <v>0</v>
      </c>
      <c r="M612" s="458">
        <f t="shared" si="504"/>
        <v>0</v>
      </c>
      <c r="N612" s="458">
        <f t="shared" si="505"/>
        <v>0</v>
      </c>
      <c r="O612" s="458">
        <f t="shared" si="506"/>
        <v>0</v>
      </c>
      <c r="P612" s="458">
        <f t="shared" si="507"/>
        <v>11.889567625884238</v>
      </c>
      <c r="Q612" s="458">
        <f t="shared" si="508"/>
        <v>5.6956282615178431</v>
      </c>
      <c r="R612" s="459">
        <f t="shared" si="509"/>
        <v>4.7169339352167219</v>
      </c>
      <c r="S612" s="538">
        <v>0</v>
      </c>
      <c r="T612" s="101">
        <v>0</v>
      </c>
      <c r="U612" s="101">
        <v>0</v>
      </c>
      <c r="V612" s="101">
        <v>0</v>
      </c>
      <c r="W612" s="101">
        <v>4.9000000000000004</v>
      </c>
      <c r="X612" s="101">
        <v>0</v>
      </c>
      <c r="Y612" s="101">
        <v>0</v>
      </c>
      <c r="Z612" s="421">
        <f>IFERROR(E612/Levelisation!F1418, 0)</f>
        <v>0</v>
      </c>
      <c r="AA612" s="471">
        <f>IFERROR(F612/Levelisation!G1418, 0)</f>
        <v>0</v>
      </c>
      <c r="AB612" s="471">
        <f>IFERROR(G612/Levelisation!H1418, 0)</f>
        <v>0</v>
      </c>
      <c r="AC612" s="5">
        <f>IFERROR(H612/Levelisation!I1418, 0)</f>
        <v>0</v>
      </c>
      <c r="AD612" s="5">
        <f>IFERROR(I612/Levelisation!J1418, 0)</f>
        <v>3.4975017844396863</v>
      </c>
      <c r="AE612" s="5">
        <f>IFERROR(J612/Levelisation!J1418, 0)</f>
        <v>3.4975017844396863</v>
      </c>
      <c r="AF612" s="6">
        <f>IFERROR(K612/Levelisation!L1418, 0)</f>
        <v>3.1531531531531534</v>
      </c>
      <c r="AG612" s="33" t="str">
        <f t="shared" si="492"/>
        <v>2.07 &gt; Belize</v>
      </c>
      <c r="AH612" s="84">
        <f t="shared" si="494"/>
        <v>598</v>
      </c>
      <c r="AI612" s="84">
        <f t="shared" si="495"/>
        <v>23</v>
      </c>
      <c r="AJ612" s="877" t="s">
        <v>1526</v>
      </c>
    </row>
    <row r="613" spans="1:36" x14ac:dyDescent="0.2">
      <c r="A613" s="492">
        <f>INDEX(Country!$F$31:$G$76, MATCH(AI613, Country!$O$31:$O$76, 0), 1)</f>
        <v>2.0699999999999985</v>
      </c>
      <c r="B613" s="2" t="str">
        <f>INDEX(Country!$F$31:$G$76, MATCH(AI613, Country!$O$31:$O$76, 0), 2)</f>
        <v>Loans, grants, grant programs</v>
      </c>
      <c r="C613" s="436" t="str">
        <f>INDEX(Country!$K$31:$K$76, MATCH(AI613, Country!$O$31:$O$76, 0), 1)</f>
        <v>USDm</v>
      </c>
      <c r="D613" s="4" t="str">
        <f t="shared" si="493"/>
        <v>Bolivia</v>
      </c>
      <c r="E613" s="5">
        <f t="shared" si="510"/>
        <v>0</v>
      </c>
      <c r="F613" s="5">
        <f t="shared" si="497"/>
        <v>2.59</v>
      </c>
      <c r="G613" s="5">
        <f t="shared" si="498"/>
        <v>2.73</v>
      </c>
      <c r="H613" s="5">
        <f t="shared" si="499"/>
        <v>86.73</v>
      </c>
      <c r="I613" s="5">
        <f t="shared" si="500"/>
        <v>86.88000000000001</v>
      </c>
      <c r="J613" s="5">
        <f t="shared" si="501"/>
        <v>86.88000000000001</v>
      </c>
      <c r="K613" s="6">
        <f t="shared" si="502"/>
        <v>87.38000000000001</v>
      </c>
      <c r="L613" s="457">
        <f t="shared" si="503"/>
        <v>0</v>
      </c>
      <c r="M613" s="458">
        <f t="shared" si="504"/>
        <v>46.905581618240511</v>
      </c>
      <c r="N613" s="458">
        <f t="shared" si="505"/>
        <v>34.737374940447829</v>
      </c>
      <c r="O613" s="458">
        <f t="shared" si="506"/>
        <v>47.534616482679866</v>
      </c>
      <c r="P613" s="458">
        <f t="shared" si="507"/>
        <v>14.926910339684506</v>
      </c>
      <c r="Q613" s="458">
        <f t="shared" si="508"/>
        <v>7.1506496336133258</v>
      </c>
      <c r="R613" s="459">
        <f t="shared" si="509"/>
        <v>4.7655912965709204</v>
      </c>
      <c r="S613" s="538">
        <v>0</v>
      </c>
      <c r="T613" s="101">
        <v>2.59</v>
      </c>
      <c r="U613" s="101">
        <v>0.14000000000000001</v>
      </c>
      <c r="V613" s="101">
        <v>84</v>
      </c>
      <c r="W613" s="101">
        <v>0.15</v>
      </c>
      <c r="X613" s="101">
        <v>0</v>
      </c>
      <c r="Y613" s="101">
        <v>0.5</v>
      </c>
      <c r="Z613" s="421">
        <f>IFERROR(E613/Levelisation!F1419, 0)</f>
        <v>0</v>
      </c>
      <c r="AA613" s="471">
        <f>IFERROR(F613/Levelisation!G1419, 0)</f>
        <v>0.19597457627118645</v>
      </c>
      <c r="AB613" s="471">
        <f>IFERROR(G613/Levelisation!H1419, 0)</f>
        <v>0.16257741781800855</v>
      </c>
      <c r="AC613" s="5">
        <f>IFERROR(H613/Levelisation!I1419, 0)</f>
        <v>4.9662162162162167</v>
      </c>
      <c r="AD613" s="5">
        <f>IFERROR(I613/Levelisation!J1419, 0)</f>
        <v>4.3909835237036292</v>
      </c>
      <c r="AE613" s="5">
        <f>IFERROR(J613/Levelisation!J1419, 0)</f>
        <v>4.3909835237036292</v>
      </c>
      <c r="AF613" s="6">
        <f>IFERROR(K613/Levelisation!L1419, 0)</f>
        <v>3.1856793904261917</v>
      </c>
      <c r="AG613" s="33" t="str">
        <f t="shared" si="492"/>
        <v>2.07 &gt; Bolivia</v>
      </c>
      <c r="AH613" s="84">
        <f t="shared" si="494"/>
        <v>599</v>
      </c>
      <c r="AI613" s="84">
        <f t="shared" si="495"/>
        <v>23</v>
      </c>
      <c r="AJ613" s="877" t="s">
        <v>1526</v>
      </c>
    </row>
    <row r="614" spans="1:36" x14ac:dyDescent="0.2">
      <c r="A614" s="492">
        <f>INDEX(Country!$F$31:$G$76, MATCH(AI614, Country!$O$31:$O$76, 0), 1)</f>
        <v>2.0699999999999985</v>
      </c>
      <c r="B614" s="2" t="str">
        <f>INDEX(Country!$F$31:$G$76, MATCH(AI614, Country!$O$31:$O$76, 0), 2)</f>
        <v>Loans, grants, grant programs</v>
      </c>
      <c r="C614" s="436" t="str">
        <f>INDEX(Country!$K$31:$K$76, MATCH(AI614, Country!$O$31:$O$76, 0), 1)</f>
        <v>USDm</v>
      </c>
      <c r="D614" s="4" t="str">
        <f t="shared" si="493"/>
        <v>Brazil</v>
      </c>
      <c r="E614" s="5">
        <f t="shared" si="510"/>
        <v>400.4</v>
      </c>
      <c r="F614" s="5">
        <f t="shared" si="497"/>
        <v>401.15</v>
      </c>
      <c r="G614" s="5">
        <f t="shared" si="498"/>
        <v>428.25</v>
      </c>
      <c r="H614" s="5">
        <f t="shared" si="499"/>
        <v>2443.6499999999992</v>
      </c>
      <c r="I614" s="5">
        <f t="shared" si="500"/>
        <v>2500.349999999999</v>
      </c>
      <c r="J614" s="5">
        <f t="shared" si="501"/>
        <v>2502.0499999999988</v>
      </c>
      <c r="K614" s="6">
        <f t="shared" si="502"/>
        <v>2505.849999999999</v>
      </c>
      <c r="L614" s="457">
        <f t="shared" si="503"/>
        <v>100</v>
      </c>
      <c r="M614" s="458">
        <f t="shared" si="504"/>
        <v>70.276633530401213</v>
      </c>
      <c r="N614" s="458">
        <f t="shared" si="505"/>
        <v>55.443040198934561</v>
      </c>
      <c r="O614" s="458">
        <f t="shared" si="506"/>
        <v>14.417476773548243</v>
      </c>
      <c r="P614" s="458">
        <f t="shared" si="507"/>
        <v>3.966447845680166</v>
      </c>
      <c r="Q614" s="458">
        <f t="shared" si="508"/>
        <v>1.9013956746870559</v>
      </c>
      <c r="R614" s="459">
        <f t="shared" si="509"/>
        <v>1.5645476162732828</v>
      </c>
      <c r="S614" s="538">
        <v>400.4</v>
      </c>
      <c r="T614" s="101">
        <v>0.75</v>
      </c>
      <c r="U614" s="101">
        <v>27.1</v>
      </c>
      <c r="V614" s="101">
        <v>2015.3999999999992</v>
      </c>
      <c r="W614" s="101">
        <v>56.7</v>
      </c>
      <c r="X614" s="101">
        <v>1.7</v>
      </c>
      <c r="Y614" s="101">
        <v>3.8</v>
      </c>
      <c r="Z614" s="421">
        <f>IFERROR(E614/Levelisation!F1420, 0)</f>
        <v>0.36762376773963718</v>
      </c>
      <c r="AA614" s="471">
        <f>IFERROR(F614/Levelisation!G1420, 0)</f>
        <v>0.29362035396934605</v>
      </c>
      <c r="AB614" s="471">
        <f>IFERROR(G614/Levelisation!H1420, 0)</f>
        <v>0.25948380748331307</v>
      </c>
      <c r="AC614" s="5">
        <f>IFERROR(H614/Levelisation!I1420, 0)</f>
        <v>1.5062771564761623</v>
      </c>
      <c r="AD614" s="5">
        <f>IFERROR(I614/Levelisation!J1420, 0)</f>
        <v>1.1667925070674392</v>
      </c>
      <c r="AE614" s="5">
        <f>IFERROR(J614/Levelisation!J1420, 0)</f>
        <v>1.1675858149091471</v>
      </c>
      <c r="AF614" s="6">
        <f>IFERROR(K614/Levelisation!L1420, 0)</f>
        <v>1.0458612135053553</v>
      </c>
      <c r="AG614" s="33" t="str">
        <f t="shared" si="492"/>
        <v>2.07 &gt; Brazil</v>
      </c>
      <c r="AH614" s="84">
        <f t="shared" si="494"/>
        <v>600</v>
      </c>
      <c r="AI614" s="84">
        <f t="shared" si="495"/>
        <v>23</v>
      </c>
      <c r="AJ614" s="877" t="s">
        <v>1526</v>
      </c>
    </row>
    <row r="615" spans="1:36" x14ac:dyDescent="0.2">
      <c r="A615" s="492">
        <f>INDEX(Country!$F$31:$G$76, MATCH(AI615, Country!$O$31:$O$76, 0), 1)</f>
        <v>2.0699999999999985</v>
      </c>
      <c r="B615" s="2" t="str">
        <f>INDEX(Country!$F$31:$G$76, MATCH(AI615, Country!$O$31:$O$76, 0), 2)</f>
        <v>Loans, grants, grant programs</v>
      </c>
      <c r="C615" s="436" t="str">
        <f>INDEX(Country!$K$31:$K$76, MATCH(AI615, Country!$O$31:$O$76, 0), 1)</f>
        <v>USDm</v>
      </c>
      <c r="D615" s="4" t="str">
        <f t="shared" si="493"/>
        <v>Chile</v>
      </c>
      <c r="E615" s="5">
        <f t="shared" si="510"/>
        <v>0</v>
      </c>
      <c r="F615" s="5">
        <f t="shared" si="497"/>
        <v>12</v>
      </c>
      <c r="G615" s="5">
        <f t="shared" si="498"/>
        <v>12</v>
      </c>
      <c r="H615" s="5">
        <f t="shared" si="499"/>
        <v>20.100000000000001</v>
      </c>
      <c r="I615" s="5">
        <f t="shared" si="500"/>
        <v>62.599999999999994</v>
      </c>
      <c r="J615" s="5">
        <f t="shared" si="501"/>
        <v>65.599999999999994</v>
      </c>
      <c r="K615" s="6">
        <f t="shared" si="502"/>
        <v>199.6</v>
      </c>
      <c r="L615" s="457">
        <f t="shared" si="503"/>
        <v>0</v>
      </c>
      <c r="M615" s="458">
        <f t="shared" si="504"/>
        <v>16.595842330830539</v>
      </c>
      <c r="N615" s="458">
        <f t="shared" si="505"/>
        <v>14.282212963169268</v>
      </c>
      <c r="O615" s="458">
        <f t="shared" si="506"/>
        <v>1.1178327949557678</v>
      </c>
      <c r="P615" s="458">
        <f t="shared" si="507"/>
        <v>0.97926163686207079</v>
      </c>
      <c r="Q615" s="458">
        <f t="shared" si="508"/>
        <v>0.49159088555057312</v>
      </c>
      <c r="R615" s="459">
        <f t="shared" si="509"/>
        <v>1.1134064601799514</v>
      </c>
      <c r="S615" s="538">
        <v>0</v>
      </c>
      <c r="T615" s="101">
        <v>12</v>
      </c>
      <c r="U615" s="101">
        <v>0</v>
      </c>
      <c r="V615" s="101">
        <v>8.1000000000000014</v>
      </c>
      <c r="W615" s="101">
        <v>42.499999999999993</v>
      </c>
      <c r="X615" s="101">
        <v>3</v>
      </c>
      <c r="Y615" s="101">
        <v>134</v>
      </c>
      <c r="Z615" s="421">
        <f>IFERROR(E615/Levelisation!F1421, 0)</f>
        <v>0</v>
      </c>
      <c r="AA615" s="471">
        <f>IFERROR(F615/Levelisation!G1421, 0)</f>
        <v>6.933851060879212E-2</v>
      </c>
      <c r="AB615" s="471">
        <f>IFERROR(G615/Levelisation!H1421, 0)</f>
        <v>6.6843430404848372E-2</v>
      </c>
      <c r="AC615" s="5">
        <f>IFERROR(H615/Levelisation!I1421, 0)</f>
        <v>0.1167864550953175</v>
      </c>
      <c r="AD615" s="5">
        <f>IFERROR(I615/Levelisation!J1421, 0)</f>
        <v>0.28806508614342508</v>
      </c>
      <c r="AE615" s="5">
        <f>IFERROR(J615/Levelisation!J1421, 0)</f>
        <v>0.30187012222058601</v>
      </c>
      <c r="AF615" s="6">
        <f>IFERROR(K615/Levelisation!L1421, 0)</f>
        <v>0.74428455833274287</v>
      </c>
      <c r="AG615" s="33" t="str">
        <f t="shared" si="492"/>
        <v>2.07 &gt; Chile</v>
      </c>
      <c r="AH615" s="84">
        <f t="shared" si="494"/>
        <v>601</v>
      </c>
      <c r="AI615" s="84">
        <f t="shared" si="495"/>
        <v>23</v>
      </c>
      <c r="AJ615" s="877" t="s">
        <v>1526</v>
      </c>
    </row>
    <row r="616" spans="1:36" x14ac:dyDescent="0.2">
      <c r="A616" s="492">
        <f>INDEX(Country!$F$31:$G$76, MATCH(AI616, Country!$O$31:$O$76, 0), 1)</f>
        <v>2.0699999999999985</v>
      </c>
      <c r="B616" s="2" t="str">
        <f>INDEX(Country!$F$31:$G$76, MATCH(AI616, Country!$O$31:$O$76, 0), 2)</f>
        <v>Loans, grants, grant programs</v>
      </c>
      <c r="C616" s="436" t="str">
        <f>INDEX(Country!$K$31:$K$76, MATCH(AI616, Country!$O$31:$O$76, 0), 1)</f>
        <v>USDm</v>
      </c>
      <c r="D616" s="4" t="str">
        <f t="shared" si="493"/>
        <v>Colombia</v>
      </c>
      <c r="E616" s="5">
        <f t="shared" si="510"/>
        <v>0</v>
      </c>
      <c r="F616" s="5">
        <f t="shared" si="497"/>
        <v>0</v>
      </c>
      <c r="G616" s="5">
        <f t="shared" si="498"/>
        <v>3.4000000000000004</v>
      </c>
      <c r="H616" s="5">
        <f t="shared" si="499"/>
        <v>10.9</v>
      </c>
      <c r="I616" s="5">
        <f t="shared" si="500"/>
        <v>10.9</v>
      </c>
      <c r="J616" s="5">
        <f t="shared" si="501"/>
        <v>13.600000000000001</v>
      </c>
      <c r="K616" s="6">
        <f t="shared" si="502"/>
        <v>13.600000000000001</v>
      </c>
      <c r="L616" s="457">
        <f t="shared" si="503"/>
        <v>0</v>
      </c>
      <c r="M616" s="458">
        <f t="shared" si="504"/>
        <v>0</v>
      </c>
      <c r="N616" s="458">
        <f t="shared" si="505"/>
        <v>3.0879967127868349</v>
      </c>
      <c r="O616" s="458">
        <f t="shared" si="506"/>
        <v>0.45048251514930182</v>
      </c>
      <c r="P616" s="458">
        <f t="shared" si="507"/>
        <v>0.13007002611016982</v>
      </c>
      <c r="Q616" s="458">
        <f t="shared" si="508"/>
        <v>7.7743701233361773E-2</v>
      </c>
      <c r="R616" s="459">
        <f t="shared" si="509"/>
        <v>5.5583874952993696E-2</v>
      </c>
      <c r="S616" s="538">
        <v>0</v>
      </c>
      <c r="T616" s="101">
        <v>0</v>
      </c>
      <c r="U616" s="101">
        <v>3.4000000000000004</v>
      </c>
      <c r="V616" s="101">
        <v>7.5</v>
      </c>
      <c r="W616" s="101">
        <v>0</v>
      </c>
      <c r="X616" s="101">
        <v>2.7</v>
      </c>
      <c r="Y616" s="101">
        <v>0</v>
      </c>
      <c r="Z616" s="421">
        <f>IFERROR(E616/Levelisation!F1422, 0)</f>
        <v>0</v>
      </c>
      <c r="AA616" s="471">
        <f>IFERROR(F616/Levelisation!G1422, 0)</f>
        <v>0</v>
      </c>
      <c r="AB616" s="471">
        <f>IFERROR(G616/Levelisation!H1422, 0)</f>
        <v>1.4452402711950864E-2</v>
      </c>
      <c r="AC616" s="5">
        <f>IFERROR(H616/Levelisation!I1422, 0)</f>
        <v>4.7064512925469676E-2</v>
      </c>
      <c r="AD616" s="5">
        <f>IFERROR(I616/Levelisation!J1422, 0)</f>
        <v>3.8262127163653084E-2</v>
      </c>
      <c r="AE616" s="5">
        <f>IFERROR(J616/Levelisation!J1422, 0)</f>
        <v>4.7739901782172661E-2</v>
      </c>
      <c r="AF616" s="6">
        <f>IFERROR(K616/Levelisation!L1422, 0)</f>
        <v>3.715643953882302E-2</v>
      </c>
      <c r="AG616" s="33" t="str">
        <f t="shared" si="492"/>
        <v>2.07 &gt; Colombia</v>
      </c>
      <c r="AH616" s="84">
        <f t="shared" si="494"/>
        <v>602</v>
      </c>
      <c r="AI616" s="84">
        <f t="shared" si="495"/>
        <v>23</v>
      </c>
      <c r="AJ616" s="877" t="s">
        <v>1526</v>
      </c>
    </row>
    <row r="617" spans="1:36" x14ac:dyDescent="0.2">
      <c r="A617" s="492">
        <f>INDEX(Country!$F$31:$G$76, MATCH(AI617, Country!$O$31:$O$76, 0), 1)</f>
        <v>2.0699999999999985</v>
      </c>
      <c r="B617" s="2" t="str">
        <f>INDEX(Country!$F$31:$G$76, MATCH(AI617, Country!$O$31:$O$76, 0), 2)</f>
        <v>Loans, grants, grant programs</v>
      </c>
      <c r="C617" s="436" t="str">
        <f>INDEX(Country!$K$31:$K$76, MATCH(AI617, Country!$O$31:$O$76, 0), 1)</f>
        <v>USDm</v>
      </c>
      <c r="D617" s="4" t="str">
        <f t="shared" si="493"/>
        <v>Costa Rica</v>
      </c>
      <c r="E617" s="5">
        <f t="shared" si="510"/>
        <v>0</v>
      </c>
      <c r="F617" s="5">
        <f t="shared" si="497"/>
        <v>0</v>
      </c>
      <c r="G617" s="5">
        <f t="shared" si="498"/>
        <v>0</v>
      </c>
      <c r="H617" s="5">
        <f t="shared" si="499"/>
        <v>0</v>
      </c>
      <c r="I617" s="5">
        <f t="shared" si="500"/>
        <v>4</v>
      </c>
      <c r="J617" s="5">
        <f t="shared" si="501"/>
        <v>4.32</v>
      </c>
      <c r="K617" s="6">
        <f t="shared" si="502"/>
        <v>4.32</v>
      </c>
      <c r="L617" s="457">
        <f t="shared" si="503"/>
        <v>0</v>
      </c>
      <c r="M617" s="458">
        <f t="shared" si="504"/>
        <v>0</v>
      </c>
      <c r="N617" s="458">
        <f t="shared" si="505"/>
        <v>0</v>
      </c>
      <c r="O617" s="458">
        <f t="shared" si="506"/>
        <v>0</v>
      </c>
      <c r="P617" s="458">
        <f t="shared" si="507"/>
        <v>0.37544268198728142</v>
      </c>
      <c r="Q617" s="458">
        <f t="shared" si="508"/>
        <v>0.19424192525618486</v>
      </c>
      <c r="R617" s="459">
        <f t="shared" si="509"/>
        <v>0.14318405260621528</v>
      </c>
      <c r="S617" s="538">
        <v>0</v>
      </c>
      <c r="T617" s="101">
        <v>0</v>
      </c>
      <c r="U617" s="101">
        <v>0</v>
      </c>
      <c r="V617" s="101">
        <v>0</v>
      </c>
      <c r="W617" s="101">
        <v>4</v>
      </c>
      <c r="X617" s="101">
        <v>0.32</v>
      </c>
      <c r="Y617" s="101">
        <v>0</v>
      </c>
      <c r="Z617" s="421">
        <f>IFERROR(E617/Levelisation!F1423, 0)</f>
        <v>0</v>
      </c>
      <c r="AA617" s="471">
        <f>IFERROR(F617/Levelisation!G1423, 0)</f>
        <v>0</v>
      </c>
      <c r="AB617" s="471">
        <f>IFERROR(G617/Levelisation!H1423, 0)</f>
        <v>0</v>
      </c>
      <c r="AC617" s="5">
        <f>IFERROR(H617/Levelisation!I1423, 0)</f>
        <v>0</v>
      </c>
      <c r="AD617" s="5">
        <f>IFERROR(I617/Levelisation!J1423, 0)</f>
        <v>0.11044232149759788</v>
      </c>
      <c r="AE617" s="5">
        <f>IFERROR(J617/Levelisation!J1423, 0)</f>
        <v>0.1192777072174057</v>
      </c>
      <c r="AF617" s="6">
        <f>IFERROR(K617/Levelisation!L1423, 0)</f>
        <v>9.5714982053440867E-2</v>
      </c>
      <c r="AG617" s="33" t="str">
        <f t="shared" si="492"/>
        <v>2.07 &gt; Costa Rica</v>
      </c>
      <c r="AH617" s="84">
        <f t="shared" si="494"/>
        <v>603</v>
      </c>
      <c r="AI617" s="84">
        <f t="shared" si="495"/>
        <v>23</v>
      </c>
      <c r="AJ617" s="877" t="s">
        <v>1526</v>
      </c>
    </row>
    <row r="618" spans="1:36" x14ac:dyDescent="0.2">
      <c r="A618" s="492">
        <f>INDEX(Country!$F$31:$G$76, MATCH(AI618, Country!$O$31:$O$76, 0), 1)</f>
        <v>2.0699999999999985</v>
      </c>
      <c r="B618" s="2" t="str">
        <f>INDEX(Country!$F$31:$G$76, MATCH(AI618, Country!$O$31:$O$76, 0), 2)</f>
        <v>Loans, grants, grant programs</v>
      </c>
      <c r="C618" s="436" t="str">
        <f>INDEX(Country!$K$31:$K$76, MATCH(AI618, Country!$O$31:$O$76, 0), 1)</f>
        <v>USDm</v>
      </c>
      <c r="D618" s="4" t="str">
        <f t="shared" si="493"/>
        <v>Dominican Republic</v>
      </c>
      <c r="E618" s="5">
        <f t="shared" si="510"/>
        <v>0</v>
      </c>
      <c r="F618" s="5">
        <f t="shared" si="497"/>
        <v>0</v>
      </c>
      <c r="G618" s="5">
        <f t="shared" si="498"/>
        <v>11.399999999999999</v>
      </c>
      <c r="H618" s="5">
        <f t="shared" si="499"/>
        <v>11.399999999999999</v>
      </c>
      <c r="I618" s="5">
        <f t="shared" si="500"/>
        <v>11.399999999999999</v>
      </c>
      <c r="J618" s="5">
        <f t="shared" si="501"/>
        <v>211.4</v>
      </c>
      <c r="K618" s="6">
        <f t="shared" si="502"/>
        <v>211.4</v>
      </c>
      <c r="L618" s="457">
        <f t="shared" si="503"/>
        <v>0</v>
      </c>
      <c r="M618" s="458">
        <f t="shared" si="504"/>
        <v>0</v>
      </c>
      <c r="N618" s="458">
        <f t="shared" si="505"/>
        <v>53.515247385534764</v>
      </c>
      <c r="O618" s="458">
        <f t="shared" si="506"/>
        <v>2.3358350212591206</v>
      </c>
      <c r="P618" s="458">
        <f t="shared" si="507"/>
        <v>0.74999384018837612</v>
      </c>
      <c r="Q618" s="458">
        <f t="shared" si="508"/>
        <v>6.6624414126045668</v>
      </c>
      <c r="R618" s="459">
        <f t="shared" si="509"/>
        <v>5.3603993279657924</v>
      </c>
      <c r="S618" s="538">
        <v>0</v>
      </c>
      <c r="T618" s="101">
        <v>0</v>
      </c>
      <c r="U618" s="101">
        <v>11.399999999999999</v>
      </c>
      <c r="V618" s="101">
        <v>0</v>
      </c>
      <c r="W618" s="101">
        <v>0</v>
      </c>
      <c r="X618" s="101">
        <v>200</v>
      </c>
      <c r="Y618" s="101">
        <v>0</v>
      </c>
      <c r="Z618" s="421">
        <f>IFERROR(E618/Levelisation!F1424, 0)</f>
        <v>0</v>
      </c>
      <c r="AA618" s="471">
        <f>IFERROR(F618/Levelisation!G1424, 0)</f>
        <v>0</v>
      </c>
      <c r="AB618" s="471">
        <f>IFERROR(G618/Levelisation!H1424, 0)</f>
        <v>0.25046137621935144</v>
      </c>
      <c r="AC618" s="5">
        <f>IFERROR(H618/Levelisation!I1424, 0)</f>
        <v>0.24403818983602343</v>
      </c>
      <c r="AD618" s="5">
        <f>IFERROR(I618/Levelisation!J1424, 0)</f>
        <v>0.22062238736646539</v>
      </c>
      <c r="AE618" s="5">
        <f>IFERROR(J618/Levelisation!J1424, 0)</f>
        <v>4.0911905867781391</v>
      </c>
      <c r="AF618" s="6">
        <f>IFERROR(K618/Levelisation!L1424, 0)</f>
        <v>3.583293782629331</v>
      </c>
      <c r="AG618" s="33" t="str">
        <f t="shared" si="492"/>
        <v>2.07 &gt; Dominican Republic</v>
      </c>
      <c r="AH618" s="84">
        <f t="shared" si="494"/>
        <v>604</v>
      </c>
      <c r="AI618" s="84">
        <f t="shared" si="495"/>
        <v>23</v>
      </c>
      <c r="AJ618" s="877" t="s">
        <v>1526</v>
      </c>
    </row>
    <row r="619" spans="1:36" x14ac:dyDescent="0.2">
      <c r="A619" s="492">
        <f>INDEX(Country!$F$31:$G$76, MATCH(AI619, Country!$O$31:$O$76, 0), 1)</f>
        <v>2.0699999999999985</v>
      </c>
      <c r="B619" s="2" t="str">
        <f>INDEX(Country!$F$31:$G$76, MATCH(AI619, Country!$O$31:$O$76, 0), 2)</f>
        <v>Loans, grants, grant programs</v>
      </c>
      <c r="C619" s="436" t="str">
        <f>INDEX(Country!$K$31:$K$76, MATCH(AI619, Country!$O$31:$O$76, 0), 1)</f>
        <v>USDm</v>
      </c>
      <c r="D619" s="4" t="str">
        <f t="shared" si="493"/>
        <v>Ecuador</v>
      </c>
      <c r="E619" s="5">
        <f t="shared" si="510"/>
        <v>9.1999999999999993</v>
      </c>
      <c r="F619" s="5">
        <f t="shared" si="497"/>
        <v>9.1999999999999993</v>
      </c>
      <c r="G619" s="5">
        <f t="shared" si="498"/>
        <v>12.1</v>
      </c>
      <c r="H619" s="5">
        <f t="shared" si="499"/>
        <v>98.1</v>
      </c>
      <c r="I619" s="5">
        <f t="shared" si="500"/>
        <v>99.089999999999989</v>
      </c>
      <c r="J619" s="5">
        <f t="shared" si="501"/>
        <v>99.089999999999989</v>
      </c>
      <c r="K619" s="6">
        <f t="shared" si="502"/>
        <v>99.089999999999989</v>
      </c>
      <c r="L619" s="457">
        <f t="shared" si="503"/>
        <v>53.474615728082675</v>
      </c>
      <c r="M619" s="458">
        <f t="shared" si="504"/>
        <v>43.169232090577751</v>
      </c>
      <c r="N619" s="458">
        <f t="shared" si="505"/>
        <v>42.558877109808833</v>
      </c>
      <c r="O619" s="458">
        <f t="shared" si="506"/>
        <v>16.228652267569363</v>
      </c>
      <c r="P619" s="458">
        <f t="shared" si="507"/>
        <v>5.2836070012876828</v>
      </c>
      <c r="Q619" s="458">
        <f t="shared" si="508"/>
        <v>2.5310812223122872</v>
      </c>
      <c r="R619" s="459">
        <f t="shared" si="509"/>
        <v>1.8316863764030495</v>
      </c>
      <c r="S619" s="538">
        <v>9.1999999999999993</v>
      </c>
      <c r="T619" s="101">
        <v>0</v>
      </c>
      <c r="U619" s="101">
        <v>2.9000000000000004</v>
      </c>
      <c r="V619" s="101">
        <v>86</v>
      </c>
      <c r="W619" s="101">
        <v>0.99</v>
      </c>
      <c r="X619" s="101">
        <v>0</v>
      </c>
      <c r="Y619" s="101">
        <v>0</v>
      </c>
      <c r="Z619" s="421">
        <f>IFERROR(E619/Levelisation!F1425, 0)</f>
        <v>0.19658539712387016</v>
      </c>
      <c r="AA619" s="471">
        <f>IFERROR(F619/Levelisation!G1425, 0)</f>
        <v>0.18036386449184438</v>
      </c>
      <c r="AB619" s="471">
        <f>IFERROR(G619/Levelisation!H1425, 0)</f>
        <v>0.1991835122143939</v>
      </c>
      <c r="AC619" s="5">
        <f>IFERROR(H619/Levelisation!I1425, 0)</f>
        <v>1.6955011320624276</v>
      </c>
      <c r="AD619" s="5">
        <f>IFERROR(I619/Levelisation!J1425, 0)</f>
        <v>1.5542554192678106</v>
      </c>
      <c r="AE619" s="5">
        <f>IFERROR(J619/Levelisation!J1425, 0)</f>
        <v>1.5542554192678106</v>
      </c>
      <c r="AF619" s="6">
        <f>IFERROR(K619/Levelisation!L1425, 0)</f>
        <v>1.2244368381380748</v>
      </c>
      <c r="AG619" s="33" t="str">
        <f t="shared" si="492"/>
        <v>2.07 &gt; Ecuador</v>
      </c>
      <c r="AH619" s="84">
        <f t="shared" si="494"/>
        <v>605</v>
      </c>
      <c r="AI619" s="84">
        <f t="shared" si="495"/>
        <v>23</v>
      </c>
      <c r="AJ619" s="877" t="s">
        <v>1526</v>
      </c>
    </row>
    <row r="620" spans="1:36" x14ac:dyDescent="0.2">
      <c r="A620" s="492">
        <f>INDEX(Country!$F$31:$G$76, MATCH(AI620, Country!$O$31:$O$76, 0), 1)</f>
        <v>2.0699999999999985</v>
      </c>
      <c r="B620" s="2" t="str">
        <f>INDEX(Country!$F$31:$G$76, MATCH(AI620, Country!$O$31:$O$76, 0), 2)</f>
        <v>Loans, grants, grant programs</v>
      </c>
      <c r="C620" s="436" t="str">
        <f>INDEX(Country!$K$31:$K$76, MATCH(AI620, Country!$O$31:$O$76, 0), 1)</f>
        <v>USDm</v>
      </c>
      <c r="D620" s="4" t="str">
        <f t="shared" si="493"/>
        <v>El Salvador</v>
      </c>
      <c r="E620" s="5">
        <f t="shared" si="510"/>
        <v>0</v>
      </c>
      <c r="F620" s="5">
        <f t="shared" si="497"/>
        <v>8.4</v>
      </c>
      <c r="G620" s="5">
        <f t="shared" si="498"/>
        <v>9.15</v>
      </c>
      <c r="H620" s="5">
        <f t="shared" si="499"/>
        <v>94.95</v>
      </c>
      <c r="I620" s="5">
        <f t="shared" si="500"/>
        <v>110.25</v>
      </c>
      <c r="J620" s="5">
        <f t="shared" si="501"/>
        <v>110.25</v>
      </c>
      <c r="K620" s="6">
        <f t="shared" si="502"/>
        <v>111.5</v>
      </c>
      <c r="L620" s="457">
        <f t="shared" si="503"/>
        <v>0</v>
      </c>
      <c r="M620" s="458">
        <f t="shared" si="504"/>
        <v>100</v>
      </c>
      <c r="N620" s="458">
        <f t="shared" si="505"/>
        <v>91.225327796183095</v>
      </c>
      <c r="O620" s="458">
        <f t="shared" si="506"/>
        <v>43.987370571621966</v>
      </c>
      <c r="P620" s="458">
        <f t="shared" si="507"/>
        <v>17.498781188109803</v>
      </c>
      <c r="Q620" s="458">
        <f t="shared" si="508"/>
        <v>8.382689414216836</v>
      </c>
      <c r="R620" s="459">
        <f t="shared" si="509"/>
        <v>7.0035909651626458</v>
      </c>
      <c r="S620" s="538">
        <v>0</v>
      </c>
      <c r="T620" s="101">
        <v>8.4</v>
      </c>
      <c r="U620" s="101">
        <v>0.75</v>
      </c>
      <c r="V620" s="101">
        <v>85.8</v>
      </c>
      <c r="W620" s="101">
        <v>15.3</v>
      </c>
      <c r="X620" s="101">
        <v>0</v>
      </c>
      <c r="Y620" s="101">
        <v>1.25</v>
      </c>
      <c r="Z620" s="421">
        <f>IFERROR(E620/Levelisation!F1426, 0)</f>
        <v>0</v>
      </c>
      <c r="AA620" s="471">
        <f>IFERROR(F620/Levelisation!G1426, 0)</f>
        <v>0.41780651579209155</v>
      </c>
      <c r="AB620" s="471">
        <f>IFERROR(G620/Levelisation!H1426, 0)</f>
        <v>0.42695161215062294</v>
      </c>
      <c r="AC620" s="5">
        <f>IFERROR(H620/Levelisation!I1426, 0)</f>
        <v>4.5956149266734423</v>
      </c>
      <c r="AD620" s="5">
        <f>IFERROR(I620/Levelisation!J1426, 0)</f>
        <v>5.1475394527967131</v>
      </c>
      <c r="AE620" s="5">
        <f>IFERROR(J620/Levelisation!J1426, 0)</f>
        <v>5.1475394527967131</v>
      </c>
      <c r="AF620" s="6">
        <f>IFERROR(K620/Levelisation!L1426, 0)</f>
        <v>4.6817265703728586</v>
      </c>
      <c r="AG620" s="33" t="str">
        <f t="shared" si="492"/>
        <v>2.07 &gt; El Salvador</v>
      </c>
      <c r="AH620" s="84">
        <f t="shared" si="494"/>
        <v>606</v>
      </c>
      <c r="AI620" s="84">
        <f t="shared" si="495"/>
        <v>23</v>
      </c>
      <c r="AJ620" s="877" t="s">
        <v>1526</v>
      </c>
    </row>
    <row r="621" spans="1:36" x14ac:dyDescent="0.2">
      <c r="A621" s="492">
        <f>INDEX(Country!$F$31:$G$76, MATCH(AI621, Country!$O$31:$O$76, 0), 1)</f>
        <v>2.0699999999999985</v>
      </c>
      <c r="B621" s="2" t="str">
        <f>INDEX(Country!$F$31:$G$76, MATCH(AI621, Country!$O$31:$O$76, 0), 2)</f>
        <v>Loans, grants, grant programs</v>
      </c>
      <c r="C621" s="436" t="str">
        <f>INDEX(Country!$K$31:$K$76, MATCH(AI621, Country!$O$31:$O$76, 0), 1)</f>
        <v>USDm</v>
      </c>
      <c r="D621" s="4" t="str">
        <f t="shared" si="493"/>
        <v>Guatemala</v>
      </c>
      <c r="E621" s="5">
        <f t="shared" si="510"/>
        <v>0</v>
      </c>
      <c r="F621" s="5">
        <f t="shared" si="497"/>
        <v>2.5</v>
      </c>
      <c r="G621" s="5">
        <f t="shared" si="498"/>
        <v>3.4</v>
      </c>
      <c r="H621" s="5">
        <f t="shared" si="499"/>
        <v>88</v>
      </c>
      <c r="I621" s="5">
        <f t="shared" si="500"/>
        <v>91.3</v>
      </c>
      <c r="J621" s="5">
        <f t="shared" si="501"/>
        <v>91.3</v>
      </c>
      <c r="K621" s="6">
        <f t="shared" si="502"/>
        <v>91.3</v>
      </c>
      <c r="L621" s="457">
        <f t="shared" si="503"/>
        <v>0</v>
      </c>
      <c r="M621" s="458">
        <f t="shared" si="504"/>
        <v>17.540617806645418</v>
      </c>
      <c r="N621" s="458">
        <f t="shared" si="505"/>
        <v>18.562144943829793</v>
      </c>
      <c r="O621" s="458">
        <f t="shared" si="506"/>
        <v>22.322056222069431</v>
      </c>
      <c r="P621" s="458">
        <f t="shared" si="507"/>
        <v>7.5075445262116434</v>
      </c>
      <c r="Q621" s="458">
        <f t="shared" si="508"/>
        <v>3.5964455667002868</v>
      </c>
      <c r="R621" s="459">
        <f t="shared" si="509"/>
        <v>2.7381615064535922</v>
      </c>
      <c r="S621" s="538">
        <v>0</v>
      </c>
      <c r="T621" s="101">
        <v>2.5</v>
      </c>
      <c r="U621" s="101">
        <v>0.9</v>
      </c>
      <c r="V621" s="101">
        <v>84.6</v>
      </c>
      <c r="W621" s="101">
        <v>3.3</v>
      </c>
      <c r="X621" s="101">
        <v>0</v>
      </c>
      <c r="Y621" s="101">
        <v>0</v>
      </c>
      <c r="Z621" s="421">
        <f>IFERROR(E621/Levelisation!F1427, 0)</f>
        <v>0</v>
      </c>
      <c r="AA621" s="471">
        <f>IFERROR(F621/Levelisation!G1427, 0)</f>
        <v>7.3285844106352416E-2</v>
      </c>
      <c r="AB621" s="471">
        <f>IFERROR(G621/Levelisation!H1427, 0)</f>
        <v>8.6874313309655823E-2</v>
      </c>
      <c r="AC621" s="5">
        <f>IFERROR(H621/Levelisation!I1427, 0)</f>
        <v>2.332114273599406</v>
      </c>
      <c r="AD621" s="5">
        <f>IFERROR(I621/Levelisation!J1427, 0)</f>
        <v>2.2084613337848622</v>
      </c>
      <c r="AE621" s="5">
        <f>IFERROR(J621/Levelisation!J1427, 0)</f>
        <v>2.2084613337848622</v>
      </c>
      <c r="AF621" s="6">
        <f>IFERROR(K621/Levelisation!L1427, 0)</f>
        <v>1.8303929430633519</v>
      </c>
      <c r="AG621" s="33" t="str">
        <f t="shared" si="492"/>
        <v>2.07 &gt; Guatemala</v>
      </c>
      <c r="AH621" s="84">
        <f t="shared" si="494"/>
        <v>607</v>
      </c>
      <c r="AI621" s="84">
        <f t="shared" si="495"/>
        <v>23</v>
      </c>
      <c r="AJ621" s="877" t="s">
        <v>1526</v>
      </c>
    </row>
    <row r="622" spans="1:36" x14ac:dyDescent="0.2">
      <c r="A622" s="492">
        <f>INDEX(Country!$F$31:$G$76, MATCH(AI622, Country!$O$31:$O$76, 0), 1)</f>
        <v>2.0699999999999985</v>
      </c>
      <c r="B622" s="2" t="str">
        <f>INDEX(Country!$F$31:$G$76, MATCH(AI622, Country!$O$31:$O$76, 0), 2)</f>
        <v>Loans, grants, grant programs</v>
      </c>
      <c r="C622" s="436" t="str">
        <f>INDEX(Country!$K$31:$K$76, MATCH(AI622, Country!$O$31:$O$76, 0), 1)</f>
        <v>USDm</v>
      </c>
      <c r="D622" s="4" t="str">
        <f t="shared" si="493"/>
        <v>Guyana</v>
      </c>
      <c r="E622" s="5">
        <f t="shared" si="510"/>
        <v>0</v>
      </c>
      <c r="F622" s="5">
        <f t="shared" si="497"/>
        <v>0</v>
      </c>
      <c r="G622" s="5">
        <f t="shared" si="498"/>
        <v>0.9</v>
      </c>
      <c r="H622" s="5">
        <f t="shared" si="499"/>
        <v>0.9</v>
      </c>
      <c r="I622" s="5">
        <f t="shared" si="500"/>
        <v>0.9</v>
      </c>
      <c r="J622" s="5">
        <f t="shared" si="501"/>
        <v>0.9</v>
      </c>
      <c r="K622" s="6">
        <f t="shared" si="502"/>
        <v>0.9</v>
      </c>
      <c r="L622" s="457">
        <f t="shared" si="503"/>
        <v>0</v>
      </c>
      <c r="M622" s="458">
        <f t="shared" si="504"/>
        <v>0</v>
      </c>
      <c r="N622" s="458">
        <f t="shared" si="505"/>
        <v>100</v>
      </c>
      <c r="O622" s="458">
        <f t="shared" si="506"/>
        <v>4.2561445749596389</v>
      </c>
      <c r="P622" s="458">
        <f t="shared" si="507"/>
        <v>1.3543608621728445</v>
      </c>
      <c r="Q622" s="458">
        <f t="shared" si="508"/>
        <v>0.64879869862480666</v>
      </c>
      <c r="R622" s="459">
        <f t="shared" si="509"/>
        <v>0.48290807555662069</v>
      </c>
      <c r="S622" s="538">
        <v>0</v>
      </c>
      <c r="T622" s="101">
        <v>0</v>
      </c>
      <c r="U622" s="101">
        <v>0.9</v>
      </c>
      <c r="V622" s="101">
        <v>0</v>
      </c>
      <c r="W622" s="101">
        <v>0</v>
      </c>
      <c r="X622" s="101">
        <v>0</v>
      </c>
      <c r="Y622" s="101">
        <v>0</v>
      </c>
      <c r="Z622" s="421">
        <f>IFERROR(E622/Levelisation!F1428, 0)</f>
        <v>0</v>
      </c>
      <c r="AA622" s="471">
        <f>IFERROR(F622/Levelisation!G1428, 0)</f>
        <v>0</v>
      </c>
      <c r="AB622" s="471">
        <f>IFERROR(G622/Levelisation!H1428, 0)</f>
        <v>0.46801872074882994</v>
      </c>
      <c r="AC622" s="5">
        <f>IFERROR(H622/Levelisation!I1428, 0)</f>
        <v>0.44466403162055335</v>
      </c>
      <c r="AD622" s="5">
        <f>IFERROR(I622/Levelisation!J1428, 0)</f>
        <v>0.39840637450199207</v>
      </c>
      <c r="AE622" s="5">
        <f>IFERROR(J622/Levelisation!J1428, 0)</f>
        <v>0.39840637450199207</v>
      </c>
      <c r="AF622" s="6">
        <f>IFERROR(K622/Levelisation!L1428, 0)</f>
        <v>0.32281205164992827</v>
      </c>
      <c r="AG622" s="33" t="str">
        <f t="shared" si="492"/>
        <v>2.07 &gt; Guyana</v>
      </c>
      <c r="AH622" s="84">
        <f t="shared" si="494"/>
        <v>608</v>
      </c>
      <c r="AI622" s="84">
        <f t="shared" si="495"/>
        <v>23</v>
      </c>
      <c r="AJ622" s="877" t="s">
        <v>1526</v>
      </c>
    </row>
    <row r="623" spans="1:36" x14ac:dyDescent="0.2">
      <c r="A623" s="492">
        <f>INDEX(Country!$F$31:$G$76, MATCH(AI623, Country!$O$31:$O$76, 0), 1)</f>
        <v>2.0699999999999985</v>
      </c>
      <c r="B623" s="2" t="str">
        <f>INDEX(Country!$F$31:$G$76, MATCH(AI623, Country!$O$31:$O$76, 0), 2)</f>
        <v>Loans, grants, grant programs</v>
      </c>
      <c r="C623" s="436" t="str">
        <f>INDEX(Country!$K$31:$K$76, MATCH(AI623, Country!$O$31:$O$76, 0), 1)</f>
        <v>USDm</v>
      </c>
      <c r="D623" s="4" t="str">
        <f t="shared" si="493"/>
        <v>Haiti</v>
      </c>
      <c r="E623" s="5">
        <f t="shared" si="510"/>
        <v>0</v>
      </c>
      <c r="F623" s="5">
        <f t="shared" si="497"/>
        <v>0</v>
      </c>
      <c r="G623" s="5">
        <f t="shared" si="498"/>
        <v>2.97</v>
      </c>
      <c r="H623" s="5">
        <f t="shared" si="499"/>
        <v>2.97</v>
      </c>
      <c r="I623" s="5">
        <f t="shared" si="500"/>
        <v>4.9700000000000006</v>
      </c>
      <c r="J623" s="5">
        <f t="shared" si="501"/>
        <v>24.97</v>
      </c>
      <c r="K623" s="6">
        <f t="shared" si="502"/>
        <v>26.47</v>
      </c>
      <c r="L623" s="457">
        <f t="shared" si="503"/>
        <v>0</v>
      </c>
      <c r="M623" s="458">
        <f t="shared" si="504"/>
        <v>0</v>
      </c>
      <c r="N623" s="458">
        <f t="shared" si="505"/>
        <v>96.88396946564886</v>
      </c>
      <c r="O623" s="458">
        <f t="shared" si="506"/>
        <v>4.3387730227518961</v>
      </c>
      <c r="P623" s="458">
        <f t="shared" si="507"/>
        <v>2.5790330403522495</v>
      </c>
      <c r="Q623" s="458">
        <f t="shared" si="508"/>
        <v>6.2071842156464916</v>
      </c>
      <c r="R623" s="459">
        <f t="shared" si="509"/>
        <v>5.0110835522420052</v>
      </c>
      <c r="S623" s="538">
        <v>0</v>
      </c>
      <c r="T623" s="101">
        <v>0</v>
      </c>
      <c r="U623" s="101">
        <v>2.97</v>
      </c>
      <c r="V623" s="101">
        <v>0</v>
      </c>
      <c r="W623" s="101">
        <v>2</v>
      </c>
      <c r="X623" s="101">
        <v>20</v>
      </c>
      <c r="Y623" s="101">
        <v>1.5</v>
      </c>
      <c r="Z623" s="421">
        <f>IFERROR(E623/Levelisation!F1429, 0)</f>
        <v>0</v>
      </c>
      <c r="AA623" s="471">
        <f>IFERROR(F623/Levelisation!G1429, 0)</f>
        <v>0</v>
      </c>
      <c r="AB623" s="471">
        <f>IFERROR(G623/Levelisation!H1429, 0)</f>
        <v>0.45343511450381685</v>
      </c>
      <c r="AC623" s="5">
        <f>IFERROR(H623/Levelisation!I1429, 0)</f>
        <v>0.45329670329670335</v>
      </c>
      <c r="AD623" s="5">
        <f>IFERROR(I623/Levelisation!J1429, 0)</f>
        <v>0.75866279957258442</v>
      </c>
      <c r="AE623" s="5">
        <f>IFERROR(J623/Levelisation!J1429, 0)</f>
        <v>3.8116318119371084</v>
      </c>
      <c r="AF623" s="6">
        <f>IFERROR(K623/Levelisation!L1429, 0)</f>
        <v>3.3497848645912427</v>
      </c>
      <c r="AG623" s="33" t="str">
        <f t="shared" si="492"/>
        <v>2.07 &gt; Haiti</v>
      </c>
      <c r="AH623" s="84">
        <f t="shared" si="494"/>
        <v>609</v>
      </c>
      <c r="AI623" s="84">
        <f t="shared" si="495"/>
        <v>23</v>
      </c>
      <c r="AJ623" s="877" t="s">
        <v>1526</v>
      </c>
    </row>
    <row r="624" spans="1:36" x14ac:dyDescent="0.2">
      <c r="A624" s="492">
        <f>INDEX(Country!$F$31:$G$76, MATCH(AI624, Country!$O$31:$O$76, 0), 1)</f>
        <v>2.0699999999999985</v>
      </c>
      <c r="B624" s="2" t="str">
        <f>INDEX(Country!$F$31:$G$76, MATCH(AI624, Country!$O$31:$O$76, 0), 2)</f>
        <v>Loans, grants, grant programs</v>
      </c>
      <c r="C624" s="436" t="str">
        <f>INDEX(Country!$K$31:$K$76, MATCH(AI624, Country!$O$31:$O$76, 0), 1)</f>
        <v>USDm</v>
      </c>
      <c r="D624" s="4" t="str">
        <f t="shared" si="493"/>
        <v>Honduras</v>
      </c>
      <c r="E624" s="5">
        <f t="shared" si="510"/>
        <v>0</v>
      </c>
      <c r="F624" s="5">
        <f t="shared" si="497"/>
        <v>0</v>
      </c>
      <c r="G624" s="5">
        <f t="shared" si="498"/>
        <v>0.75</v>
      </c>
      <c r="H624" s="5">
        <f t="shared" si="499"/>
        <v>85</v>
      </c>
      <c r="I624" s="5">
        <f t="shared" si="500"/>
        <v>87.9</v>
      </c>
      <c r="J624" s="5">
        <f t="shared" si="501"/>
        <v>93.9</v>
      </c>
      <c r="K624" s="6">
        <f t="shared" si="502"/>
        <v>94.800000000000011</v>
      </c>
      <c r="L624" s="457">
        <f t="shared" si="503"/>
        <v>0</v>
      </c>
      <c r="M624" s="458">
        <f t="shared" si="504"/>
        <v>0</v>
      </c>
      <c r="N624" s="458">
        <f t="shared" si="505"/>
        <v>11.580430698077757</v>
      </c>
      <c r="O624" s="458">
        <f t="shared" si="506"/>
        <v>55.966546106567634</v>
      </c>
      <c r="P624" s="458">
        <f t="shared" si="507"/>
        <v>18.931277411323652</v>
      </c>
      <c r="Q624" s="458">
        <f t="shared" si="508"/>
        <v>9.6879572022416411</v>
      </c>
      <c r="R624" s="459">
        <f t="shared" si="509"/>
        <v>7.7123826740263075</v>
      </c>
      <c r="S624" s="538">
        <v>0</v>
      </c>
      <c r="T624" s="101">
        <v>0</v>
      </c>
      <c r="U624" s="101">
        <v>0.75</v>
      </c>
      <c r="V624" s="101">
        <v>84.25</v>
      </c>
      <c r="W624" s="101">
        <v>2.9</v>
      </c>
      <c r="X624" s="101">
        <v>6</v>
      </c>
      <c r="Y624" s="101">
        <v>0.9</v>
      </c>
      <c r="Z624" s="421">
        <f>IFERROR(E624/Levelisation!F1430, 0)</f>
        <v>0</v>
      </c>
      <c r="AA624" s="471">
        <f>IFERROR(F624/Levelisation!G1430, 0)</f>
        <v>0</v>
      </c>
      <c r="AB624" s="471">
        <f>IFERROR(G624/Levelisation!H1430, 0)</f>
        <v>5.4198583610348322E-2</v>
      </c>
      <c r="AC624" s="5">
        <f>IFERROR(H624/Levelisation!I1430, 0)</f>
        <v>5.8471486551558094</v>
      </c>
      <c r="AD624" s="5">
        <f>IFERROR(I624/Levelisation!J1430, 0)</f>
        <v>5.5689305625950327</v>
      </c>
      <c r="AE624" s="5">
        <f>IFERROR(J624/Levelisation!J1430, 0)</f>
        <v>5.949062341611759</v>
      </c>
      <c r="AF624" s="6">
        <f>IFERROR(K624/Levelisation!L1430, 0)</f>
        <v>5.1555362192734391</v>
      </c>
      <c r="AG624" s="33" t="str">
        <f t="shared" si="492"/>
        <v>2.07 &gt; Honduras</v>
      </c>
      <c r="AH624" s="84">
        <f t="shared" si="494"/>
        <v>610</v>
      </c>
      <c r="AI624" s="84">
        <f t="shared" si="495"/>
        <v>23</v>
      </c>
      <c r="AJ624" s="877" t="s">
        <v>1526</v>
      </c>
    </row>
    <row r="625" spans="1:36" x14ac:dyDescent="0.2">
      <c r="A625" s="492">
        <f>INDEX(Country!$F$31:$G$76, MATCH(AI625, Country!$O$31:$O$76, 0), 1)</f>
        <v>2.0699999999999985</v>
      </c>
      <c r="B625" s="2" t="str">
        <f>INDEX(Country!$F$31:$G$76, MATCH(AI625, Country!$O$31:$O$76, 0), 2)</f>
        <v>Loans, grants, grant programs</v>
      </c>
      <c r="C625" s="436" t="str">
        <f>INDEX(Country!$K$31:$K$76, MATCH(AI625, Country!$O$31:$O$76, 0), 1)</f>
        <v>USDm</v>
      </c>
      <c r="D625" s="4" t="str">
        <f t="shared" si="493"/>
        <v>Jamaica</v>
      </c>
      <c r="E625" s="5">
        <f t="shared" si="510"/>
        <v>0</v>
      </c>
      <c r="F625" s="5">
        <f t="shared" si="497"/>
        <v>0</v>
      </c>
      <c r="G625" s="5">
        <f t="shared" si="498"/>
        <v>0</v>
      </c>
      <c r="H625" s="5">
        <f t="shared" si="499"/>
        <v>3.5430000000000001</v>
      </c>
      <c r="I625" s="5">
        <f t="shared" si="500"/>
        <v>25.843</v>
      </c>
      <c r="J625" s="5">
        <f t="shared" si="501"/>
        <v>48.042999999999999</v>
      </c>
      <c r="K625" s="6">
        <f t="shared" si="502"/>
        <v>48.042999999999999</v>
      </c>
      <c r="L625" s="457">
        <f t="shared" si="503"/>
        <v>0</v>
      </c>
      <c r="M625" s="458">
        <f t="shared" si="504"/>
        <v>0</v>
      </c>
      <c r="N625" s="458">
        <f t="shared" si="505"/>
        <v>0</v>
      </c>
      <c r="O625" s="458">
        <f t="shared" si="506"/>
        <v>2.7624768241249384</v>
      </c>
      <c r="P625" s="458">
        <f t="shared" si="507"/>
        <v>6.5114050459860193</v>
      </c>
      <c r="Q625" s="458">
        <f t="shared" si="508"/>
        <v>5.7987912877156296</v>
      </c>
      <c r="R625" s="459">
        <f t="shared" si="509"/>
        <v>4.7130655747931902</v>
      </c>
      <c r="S625" s="538">
        <v>0</v>
      </c>
      <c r="T625" s="101">
        <v>0</v>
      </c>
      <c r="U625" s="101">
        <v>0</v>
      </c>
      <c r="V625" s="101">
        <v>3.5430000000000001</v>
      </c>
      <c r="W625" s="101">
        <v>22.3</v>
      </c>
      <c r="X625" s="101">
        <v>22.2</v>
      </c>
      <c r="Y625" s="101">
        <v>0</v>
      </c>
      <c r="Z625" s="421">
        <f>IFERROR(E625/Levelisation!F1431, 0)</f>
        <v>0</v>
      </c>
      <c r="AA625" s="471">
        <f>IFERROR(F625/Levelisation!G1431, 0)</f>
        <v>0</v>
      </c>
      <c r="AB625" s="471">
        <f>IFERROR(G625/Levelisation!H1431, 0)</f>
        <v>0</v>
      </c>
      <c r="AC625" s="5">
        <f>IFERROR(H625/Levelisation!I1431, 0)</f>
        <v>0.28861192570869992</v>
      </c>
      <c r="AD625" s="5">
        <f>IFERROR(I625/Levelisation!J1431, 0)</f>
        <v>1.9154313667358434</v>
      </c>
      <c r="AE625" s="5">
        <f>IFERROR(J625/Levelisation!J1431, 0)</f>
        <v>3.5608508745923508</v>
      </c>
      <c r="AF625" s="6">
        <f>IFERROR(K625/Levelisation!L1431, 0)</f>
        <v>3.1505672503114956</v>
      </c>
      <c r="AG625" s="33" t="str">
        <f t="shared" si="492"/>
        <v>2.07 &gt; Jamaica</v>
      </c>
      <c r="AH625" s="84">
        <f t="shared" si="494"/>
        <v>611</v>
      </c>
      <c r="AI625" s="84">
        <f t="shared" si="495"/>
        <v>23</v>
      </c>
      <c r="AJ625" s="877" t="s">
        <v>1526</v>
      </c>
    </row>
    <row r="626" spans="1:36" x14ac:dyDescent="0.2">
      <c r="A626" s="492">
        <f>INDEX(Country!$F$31:$G$76, MATCH(AI626, Country!$O$31:$O$76, 0), 1)</f>
        <v>2.0699999999999985</v>
      </c>
      <c r="B626" s="2" t="str">
        <f>INDEX(Country!$F$31:$G$76, MATCH(AI626, Country!$O$31:$O$76, 0), 2)</f>
        <v>Loans, grants, grant programs</v>
      </c>
      <c r="C626" s="436" t="str">
        <f>INDEX(Country!$K$31:$K$76, MATCH(AI626, Country!$O$31:$O$76, 0), 1)</f>
        <v>USDm</v>
      </c>
      <c r="D626" s="4" t="str">
        <f t="shared" si="493"/>
        <v>Mexico</v>
      </c>
      <c r="E626" s="5">
        <f t="shared" si="510"/>
        <v>74.7</v>
      </c>
      <c r="F626" s="5">
        <f t="shared" si="497"/>
        <v>76.7</v>
      </c>
      <c r="G626" s="5">
        <f t="shared" si="498"/>
        <v>88.05</v>
      </c>
      <c r="H626" s="5">
        <f t="shared" si="499"/>
        <v>841.25</v>
      </c>
      <c r="I626" s="5">
        <f t="shared" si="500"/>
        <v>1414.75</v>
      </c>
      <c r="J626" s="5">
        <f t="shared" si="501"/>
        <v>1419.85</v>
      </c>
      <c r="K626" s="6">
        <f t="shared" si="502"/>
        <v>1419.85</v>
      </c>
      <c r="L626" s="457">
        <f t="shared" si="503"/>
        <v>21.351386272394389</v>
      </c>
      <c r="M626" s="458">
        <f t="shared" si="504"/>
        <v>17.736436904274228</v>
      </c>
      <c r="N626" s="458">
        <f t="shared" si="505"/>
        <v>17.200871501923668</v>
      </c>
      <c r="O626" s="458">
        <f t="shared" si="506"/>
        <v>9.1207467546283745</v>
      </c>
      <c r="P626" s="458">
        <f t="shared" si="507"/>
        <v>4.6505676129822779</v>
      </c>
      <c r="Q626" s="458">
        <f t="shared" si="508"/>
        <v>2.2358584270775146</v>
      </c>
      <c r="R626" s="459">
        <f t="shared" si="509"/>
        <v>1.8044212414526892</v>
      </c>
      <c r="S626" s="538">
        <v>74.7</v>
      </c>
      <c r="T626" s="101">
        <v>2</v>
      </c>
      <c r="U626" s="101">
        <v>11.35</v>
      </c>
      <c r="V626" s="101">
        <v>753.2</v>
      </c>
      <c r="W626" s="101">
        <v>573.50000000000011</v>
      </c>
      <c r="X626" s="101">
        <v>5.0999999999999996</v>
      </c>
      <c r="Y626" s="101">
        <v>0</v>
      </c>
      <c r="Z626" s="421">
        <f>IFERROR(E626/Levelisation!F1432, 0)</f>
        <v>7.849277067921992E-2</v>
      </c>
      <c r="AA626" s="471">
        <f>IFERROR(F626/Levelisation!G1432, 0)</f>
        <v>7.4103989055410852E-2</v>
      </c>
      <c r="AB626" s="471">
        <f>IFERROR(G626/Levelisation!H1432, 0)</f>
        <v>8.0503298760953204E-2</v>
      </c>
      <c r="AC626" s="5">
        <f>IFERROR(H626/Levelisation!I1432, 0)</f>
        <v>0.95289714714204488</v>
      </c>
      <c r="AD626" s="5">
        <f>IFERROR(I626/Levelisation!J1432, 0)</f>
        <v>1.3680370083141067</v>
      </c>
      <c r="AE626" s="5">
        <f>IFERROR(J626/Levelisation!J1432, 0)</f>
        <v>1.3729686137160517</v>
      </c>
      <c r="AF626" s="6">
        <f>IFERROR(K626/Levelisation!L1432, 0)</f>
        <v>1.2062107727700584</v>
      </c>
      <c r="AG626" s="33" t="str">
        <f t="shared" si="492"/>
        <v>2.07 &gt; Mexico</v>
      </c>
      <c r="AH626" s="84">
        <f t="shared" si="494"/>
        <v>612</v>
      </c>
      <c r="AI626" s="84">
        <f t="shared" si="495"/>
        <v>23</v>
      </c>
      <c r="AJ626" s="877" t="s">
        <v>1526</v>
      </c>
    </row>
    <row r="627" spans="1:36" x14ac:dyDescent="0.2">
      <c r="A627" s="492">
        <f>INDEX(Country!$F$31:$G$76, MATCH(AI627, Country!$O$31:$O$76, 0), 1)</f>
        <v>2.0699999999999985</v>
      </c>
      <c r="B627" s="2" t="str">
        <f>INDEX(Country!$F$31:$G$76, MATCH(AI627, Country!$O$31:$O$76, 0), 2)</f>
        <v>Loans, grants, grant programs</v>
      </c>
      <c r="C627" s="436" t="str">
        <f>INDEX(Country!$K$31:$K$76, MATCH(AI627, Country!$O$31:$O$76, 0), 1)</f>
        <v>USDm</v>
      </c>
      <c r="D627" s="4" t="str">
        <f t="shared" si="493"/>
        <v>Nicaragua</v>
      </c>
      <c r="E627" s="5">
        <f t="shared" si="510"/>
        <v>0.7</v>
      </c>
      <c r="F627" s="5">
        <f t="shared" si="497"/>
        <v>0.7</v>
      </c>
      <c r="G627" s="5">
        <f t="shared" si="498"/>
        <v>0.7</v>
      </c>
      <c r="H627" s="5">
        <f t="shared" si="499"/>
        <v>85.2</v>
      </c>
      <c r="I627" s="5">
        <f t="shared" si="500"/>
        <v>252.60000000000002</v>
      </c>
      <c r="J627" s="5">
        <f t="shared" si="501"/>
        <v>527.29999999999995</v>
      </c>
      <c r="K627" s="6">
        <f t="shared" si="502"/>
        <v>702.3</v>
      </c>
      <c r="L627" s="457">
        <f t="shared" si="503"/>
        <v>28.059543609941485</v>
      </c>
      <c r="M627" s="458">
        <f t="shared" si="504"/>
        <v>22.497873864195871</v>
      </c>
      <c r="N627" s="458">
        <f t="shared" si="505"/>
        <v>18.120507228818351</v>
      </c>
      <c r="O627" s="458">
        <f t="shared" si="506"/>
        <v>100</v>
      </c>
      <c r="P627" s="458">
        <f t="shared" si="507"/>
        <v>100</v>
      </c>
      <c r="Q627" s="458">
        <f t="shared" si="508"/>
        <v>100</v>
      </c>
      <c r="R627" s="459">
        <f t="shared" si="509"/>
        <v>100</v>
      </c>
      <c r="S627" s="538">
        <v>0.7</v>
      </c>
      <c r="T627" s="101">
        <v>0</v>
      </c>
      <c r="U627" s="101">
        <v>0</v>
      </c>
      <c r="V627" s="101">
        <v>84.5</v>
      </c>
      <c r="W627" s="101">
        <v>167.4</v>
      </c>
      <c r="X627" s="101">
        <v>274.7</v>
      </c>
      <c r="Y627" s="101">
        <v>175</v>
      </c>
      <c r="Z627" s="421">
        <f>IFERROR(E627/Levelisation!F1433, 0)</f>
        <v>0.1031535514294135</v>
      </c>
      <c r="AA627" s="471">
        <f>IFERROR(F627/Levelisation!G1433, 0)</f>
        <v>9.3997582919296357E-2</v>
      </c>
      <c r="AB627" s="471">
        <f>IFERROR(G627/Levelisation!H1433, 0)</f>
        <v>8.4807366125514899E-2</v>
      </c>
      <c r="AC627" s="5">
        <f>IFERROR(H627/Levelisation!I1433, 0)</f>
        <v>10.447578172900062</v>
      </c>
      <c r="AD627" s="5">
        <f>IFERROR(I627/Levelisation!J1433, 0)</f>
        <v>29.416559916152327</v>
      </c>
      <c r="AE627" s="5">
        <f>IFERROR(J627/Levelisation!J1433, 0)</f>
        <v>61.406777687201583</v>
      </c>
      <c r="AF627" s="6">
        <f>IFERROR(K627/Levelisation!L1433, 0)</f>
        <v>66.847515705311238</v>
      </c>
      <c r="AG627" s="33" t="str">
        <f t="shared" si="492"/>
        <v>2.07 &gt; Nicaragua</v>
      </c>
      <c r="AH627" s="84">
        <f t="shared" si="494"/>
        <v>613</v>
      </c>
      <c r="AI627" s="84">
        <f t="shared" si="495"/>
        <v>23</v>
      </c>
      <c r="AJ627" s="877" t="s">
        <v>1526</v>
      </c>
    </row>
    <row r="628" spans="1:36" x14ac:dyDescent="0.2">
      <c r="A628" s="492">
        <f>INDEX(Country!$F$31:$G$76, MATCH(AI628, Country!$O$31:$O$76, 0), 1)</f>
        <v>2.0699999999999985</v>
      </c>
      <c r="B628" s="2" t="str">
        <f>INDEX(Country!$F$31:$G$76, MATCH(AI628, Country!$O$31:$O$76, 0), 2)</f>
        <v>Loans, grants, grant programs</v>
      </c>
      <c r="C628" s="436" t="str">
        <f>INDEX(Country!$K$31:$K$76, MATCH(AI628, Country!$O$31:$O$76, 0), 1)</f>
        <v>USDm</v>
      </c>
      <c r="D628" s="4" t="str">
        <f t="shared" si="493"/>
        <v>Panama</v>
      </c>
      <c r="E628" s="5">
        <f t="shared" si="510"/>
        <v>6</v>
      </c>
      <c r="F628" s="5">
        <f t="shared" si="497"/>
        <v>6</v>
      </c>
      <c r="G628" s="5">
        <f t="shared" si="498"/>
        <v>7.35</v>
      </c>
      <c r="H628" s="5">
        <f t="shared" si="499"/>
        <v>7.35</v>
      </c>
      <c r="I628" s="5">
        <f t="shared" si="500"/>
        <v>9.35</v>
      </c>
      <c r="J628" s="5">
        <f t="shared" si="501"/>
        <v>9.35</v>
      </c>
      <c r="K628" s="6">
        <f t="shared" si="502"/>
        <v>9.35</v>
      </c>
      <c r="L628" s="457">
        <f t="shared" si="503"/>
        <v>95.238571313730318</v>
      </c>
      <c r="M628" s="458">
        <f t="shared" si="504"/>
        <v>72.550845133445918</v>
      </c>
      <c r="N628" s="458">
        <f t="shared" si="505"/>
        <v>68.274497869750462</v>
      </c>
      <c r="O628" s="458">
        <f t="shared" si="506"/>
        <v>2.9115272273461978</v>
      </c>
      <c r="P628" s="458">
        <f t="shared" si="507"/>
        <v>1.1749091743578679</v>
      </c>
      <c r="Q628" s="458">
        <f t="shared" si="508"/>
        <v>0.56283341066337478</v>
      </c>
      <c r="R628" s="459">
        <f t="shared" si="509"/>
        <v>0.38581791336793203</v>
      </c>
      <c r="S628" s="538">
        <v>6</v>
      </c>
      <c r="T628" s="101">
        <v>0</v>
      </c>
      <c r="U628" s="101">
        <v>1.35</v>
      </c>
      <c r="V628" s="101">
        <v>0</v>
      </c>
      <c r="W628" s="101">
        <v>2</v>
      </c>
      <c r="X628" s="101">
        <v>0</v>
      </c>
      <c r="Y628" s="101">
        <v>0</v>
      </c>
      <c r="Z628" s="421">
        <f>IFERROR(E628/Levelisation!F1434, 0)</f>
        <v>0.3501196242049367</v>
      </c>
      <c r="AA628" s="471">
        <f>IFERROR(F628/Levelisation!G1434, 0)</f>
        <v>0.30312215822976657</v>
      </c>
      <c r="AB628" s="471">
        <f>IFERROR(G628/Levelisation!H1434, 0)</f>
        <v>0.31953743152769326</v>
      </c>
      <c r="AC628" s="5">
        <f>IFERROR(H628/Levelisation!I1434, 0)</f>
        <v>0.30418408310226375</v>
      </c>
      <c r="AD628" s="5">
        <f>IFERROR(I628/Levelisation!J1434, 0)</f>
        <v>0.34561786123535282</v>
      </c>
      <c r="AE628" s="5">
        <f>IFERROR(J628/Levelisation!J1434, 0)</f>
        <v>0.34561786123535282</v>
      </c>
      <c r="AF628" s="6">
        <f>IFERROR(K628/Levelisation!L1434, 0)</f>
        <v>0.25790969023253246</v>
      </c>
      <c r="AG628" s="33" t="str">
        <f t="shared" si="492"/>
        <v>2.07 &gt; Panama</v>
      </c>
      <c r="AH628" s="84">
        <f t="shared" si="494"/>
        <v>614</v>
      </c>
      <c r="AI628" s="84">
        <f t="shared" si="495"/>
        <v>23</v>
      </c>
      <c r="AJ628" s="877" t="s">
        <v>1526</v>
      </c>
    </row>
    <row r="629" spans="1:36" x14ac:dyDescent="0.2">
      <c r="A629" s="492">
        <f>INDEX(Country!$F$31:$G$76, MATCH(AI629, Country!$O$31:$O$76, 0), 1)</f>
        <v>2.0699999999999985</v>
      </c>
      <c r="B629" s="2" t="str">
        <f>INDEX(Country!$F$31:$G$76, MATCH(AI629, Country!$O$31:$O$76, 0), 2)</f>
        <v>Loans, grants, grant programs</v>
      </c>
      <c r="C629" s="436" t="str">
        <f>INDEX(Country!$K$31:$K$76, MATCH(AI629, Country!$O$31:$O$76, 0), 1)</f>
        <v>USDm</v>
      </c>
      <c r="D629" s="4" t="str">
        <f t="shared" si="493"/>
        <v>Paraguay</v>
      </c>
      <c r="E629" s="5">
        <f t="shared" si="510"/>
        <v>0</v>
      </c>
      <c r="F629" s="5">
        <f t="shared" si="497"/>
        <v>0</v>
      </c>
      <c r="G629" s="5">
        <f t="shared" si="498"/>
        <v>0</v>
      </c>
      <c r="H629" s="5">
        <f t="shared" si="499"/>
        <v>84</v>
      </c>
      <c r="I629" s="5">
        <f t="shared" si="500"/>
        <v>84</v>
      </c>
      <c r="J629" s="5">
        <f t="shared" si="501"/>
        <v>84</v>
      </c>
      <c r="K629" s="6">
        <f t="shared" si="502"/>
        <v>84</v>
      </c>
      <c r="L629" s="457">
        <f t="shared" si="503"/>
        <v>0</v>
      </c>
      <c r="M629" s="458">
        <f t="shared" si="504"/>
        <v>0</v>
      </c>
      <c r="N629" s="458">
        <f t="shared" si="505"/>
        <v>0</v>
      </c>
      <c r="O629" s="458">
        <f t="shared" si="506"/>
        <v>50.484370495230579</v>
      </c>
      <c r="P629" s="458">
        <f t="shared" si="507"/>
        <v>13.772895585806324</v>
      </c>
      <c r="Q629" s="458">
        <f t="shared" si="508"/>
        <v>6.5978255736292013</v>
      </c>
      <c r="R629" s="459">
        <f t="shared" si="509"/>
        <v>4.8332289716594277</v>
      </c>
      <c r="S629" s="538">
        <v>0</v>
      </c>
      <c r="T629" s="101">
        <v>0</v>
      </c>
      <c r="U629" s="101">
        <v>0</v>
      </c>
      <c r="V629" s="101">
        <v>84</v>
      </c>
      <c r="W629" s="101">
        <v>0</v>
      </c>
      <c r="X629" s="101">
        <v>0</v>
      </c>
      <c r="Y629" s="101">
        <v>0</v>
      </c>
      <c r="Z629" s="421">
        <f>IFERROR(E629/Levelisation!F1435, 0)</f>
        <v>0</v>
      </c>
      <c r="AA629" s="471">
        <f>IFERROR(F629/Levelisation!G1435, 0)</f>
        <v>0</v>
      </c>
      <c r="AB629" s="471">
        <f>IFERROR(G629/Levelisation!H1435, 0)</f>
        <v>0</v>
      </c>
      <c r="AC629" s="5">
        <f>IFERROR(H629/Levelisation!I1435, 0)</f>
        <v>5.274394072585709</v>
      </c>
      <c r="AD629" s="5">
        <f>IFERROR(I629/Levelisation!J1435, 0)</f>
        <v>4.0515120821878163</v>
      </c>
      <c r="AE629" s="5">
        <f>IFERROR(J629/Levelisation!J1435, 0)</f>
        <v>4.0515120821878163</v>
      </c>
      <c r="AF629" s="6">
        <f>IFERROR(K629/Levelisation!L1435, 0)</f>
        <v>3.2308934959036888</v>
      </c>
      <c r="AG629" s="33" t="str">
        <f t="shared" si="492"/>
        <v>2.07 &gt; Paraguay</v>
      </c>
      <c r="AH629" s="84">
        <f t="shared" si="494"/>
        <v>615</v>
      </c>
      <c r="AI629" s="84">
        <f t="shared" si="495"/>
        <v>23</v>
      </c>
      <c r="AJ629" s="877" t="s">
        <v>1526</v>
      </c>
    </row>
    <row r="630" spans="1:36" x14ac:dyDescent="0.2">
      <c r="A630" s="492">
        <f>INDEX(Country!$F$31:$G$76, MATCH(AI630, Country!$O$31:$O$76, 0), 1)</f>
        <v>2.0699999999999985</v>
      </c>
      <c r="B630" s="2" t="str">
        <f>INDEX(Country!$F$31:$G$76, MATCH(AI630, Country!$O$31:$O$76, 0), 2)</f>
        <v>Loans, grants, grant programs</v>
      </c>
      <c r="C630" s="436" t="str">
        <f>INDEX(Country!$K$31:$K$76, MATCH(AI630, Country!$O$31:$O$76, 0), 1)</f>
        <v>USDm</v>
      </c>
      <c r="D630" s="4" t="str">
        <f t="shared" si="493"/>
        <v>Peru</v>
      </c>
      <c r="E630" s="5">
        <f t="shared" si="510"/>
        <v>9</v>
      </c>
      <c r="F630" s="5">
        <f t="shared" si="497"/>
        <v>9</v>
      </c>
      <c r="G630" s="5">
        <f t="shared" si="498"/>
        <v>10</v>
      </c>
      <c r="H630" s="5">
        <f t="shared" si="499"/>
        <v>396</v>
      </c>
      <c r="I630" s="5">
        <f t="shared" si="500"/>
        <v>472.6</v>
      </c>
      <c r="J630" s="5">
        <f t="shared" si="501"/>
        <v>507.6</v>
      </c>
      <c r="K630" s="6">
        <f t="shared" si="502"/>
        <v>814.2</v>
      </c>
      <c r="L630" s="457">
        <f t="shared" si="503"/>
        <v>26.516995525595675</v>
      </c>
      <c r="M630" s="458">
        <f t="shared" si="504"/>
        <v>20.084727814725667</v>
      </c>
      <c r="N630" s="458">
        <f t="shared" si="505"/>
        <v>16.841518942110891</v>
      </c>
      <c r="O630" s="458">
        <f t="shared" si="506"/>
        <v>29.856341423015252</v>
      </c>
      <c r="P630" s="458">
        <f t="shared" si="507"/>
        <v>10.440189156064601</v>
      </c>
      <c r="Q630" s="458">
        <f t="shared" si="508"/>
        <v>5.3717010914006602</v>
      </c>
      <c r="R630" s="459">
        <f t="shared" si="509"/>
        <v>6.1204901392862485</v>
      </c>
      <c r="S630" s="538">
        <v>9</v>
      </c>
      <c r="T630" s="101">
        <v>0</v>
      </c>
      <c r="U630" s="101">
        <v>1</v>
      </c>
      <c r="V630" s="101">
        <v>386</v>
      </c>
      <c r="W630" s="101">
        <v>76.599999999999994</v>
      </c>
      <c r="X630" s="101">
        <v>35</v>
      </c>
      <c r="Y630" s="101">
        <v>306.60000000000002</v>
      </c>
      <c r="Z630" s="421">
        <f>IFERROR(E630/Levelisation!F1436, 0)</f>
        <v>9.748277804254582E-2</v>
      </c>
      <c r="AA630" s="471">
        <f>IFERROR(F630/Levelisation!G1436, 0)</f>
        <v>8.3915301489030397E-2</v>
      </c>
      <c r="AB630" s="471">
        <f>IFERROR(G630/Levelisation!H1436, 0)</f>
        <v>7.882146150753927E-2</v>
      </c>
      <c r="AC630" s="5">
        <f>IFERROR(H630/Levelisation!I1436, 0)</f>
        <v>3.1192646097374617</v>
      </c>
      <c r="AD630" s="5">
        <f>IFERROR(I630/Levelisation!J1436, 0)</f>
        <v>3.0711444984533811</v>
      </c>
      <c r="AE630" s="5">
        <f>IFERROR(J630/Levelisation!J1436, 0)</f>
        <v>3.2985885472173848</v>
      </c>
      <c r="AF630" s="6">
        <f>IFERROR(K630/Levelisation!L1436, 0)</f>
        <v>4.0913956071014006</v>
      </c>
      <c r="AG630" s="33" t="str">
        <f t="shared" si="492"/>
        <v>2.07 &gt; Peru</v>
      </c>
      <c r="AH630" s="84">
        <f t="shared" si="494"/>
        <v>616</v>
      </c>
      <c r="AI630" s="84">
        <f t="shared" si="495"/>
        <v>23</v>
      </c>
      <c r="AJ630" s="877" t="s">
        <v>1526</v>
      </c>
    </row>
    <row r="631" spans="1:36" x14ac:dyDescent="0.2">
      <c r="A631" s="492">
        <f>INDEX(Country!$F$31:$G$76, MATCH(AI631, Country!$O$31:$O$76, 0), 1)</f>
        <v>2.0699999999999985</v>
      </c>
      <c r="B631" s="2" t="str">
        <f>INDEX(Country!$F$31:$G$76, MATCH(AI631, Country!$O$31:$O$76, 0), 2)</f>
        <v>Loans, grants, grant programs</v>
      </c>
      <c r="C631" s="436" t="str">
        <f>INDEX(Country!$K$31:$K$76, MATCH(AI631, Country!$O$31:$O$76, 0), 1)</f>
        <v>USDm</v>
      </c>
      <c r="D631" s="4" t="str">
        <f t="shared" si="493"/>
        <v>Suriname</v>
      </c>
      <c r="E631" s="5">
        <f t="shared" si="510"/>
        <v>0</v>
      </c>
      <c r="F631" s="5">
        <f t="shared" si="497"/>
        <v>0</v>
      </c>
      <c r="G631" s="5">
        <f t="shared" si="498"/>
        <v>0</v>
      </c>
      <c r="H631" s="5">
        <f t="shared" si="499"/>
        <v>1.2000000000000002</v>
      </c>
      <c r="I631" s="5">
        <f t="shared" si="500"/>
        <v>1.2000000000000002</v>
      </c>
      <c r="J631" s="5">
        <f t="shared" si="501"/>
        <v>5.6000000000000005</v>
      </c>
      <c r="K631" s="6">
        <f t="shared" si="502"/>
        <v>18.8</v>
      </c>
      <c r="L631" s="457">
        <f t="shared" si="503"/>
        <v>0</v>
      </c>
      <c r="M631" s="458">
        <f t="shared" si="504"/>
        <v>0</v>
      </c>
      <c r="N631" s="458">
        <f t="shared" si="505"/>
        <v>0</v>
      </c>
      <c r="O631" s="458">
        <f t="shared" si="506"/>
        <v>2.9633424904431758</v>
      </c>
      <c r="P631" s="458">
        <f t="shared" si="507"/>
        <v>0.93412752847827063</v>
      </c>
      <c r="Q631" s="458">
        <f t="shared" si="508"/>
        <v>2.0882790263041642</v>
      </c>
      <c r="R631" s="459">
        <f t="shared" si="509"/>
        <v>5.9357762383225312</v>
      </c>
      <c r="S631" s="538">
        <v>0</v>
      </c>
      <c r="T631" s="101">
        <v>0</v>
      </c>
      <c r="U631" s="101">
        <v>0</v>
      </c>
      <c r="V631" s="101">
        <v>1.2000000000000002</v>
      </c>
      <c r="W631" s="101">
        <v>0</v>
      </c>
      <c r="X631" s="101">
        <v>4.4000000000000004</v>
      </c>
      <c r="Y631" s="101">
        <v>13.200000000000001</v>
      </c>
      <c r="Z631" s="421">
        <f>IFERROR(E631/Levelisation!F1437, 0)</f>
        <v>0</v>
      </c>
      <c r="AA631" s="471">
        <f>IFERROR(F631/Levelisation!G1437, 0)</f>
        <v>0</v>
      </c>
      <c r="AB631" s="471">
        <f>IFERROR(G631/Levelisation!H1437, 0)</f>
        <v>0</v>
      </c>
      <c r="AC631" s="5">
        <f>IFERROR(H631/Levelisation!I1437, 0)</f>
        <v>0.30959752321981432</v>
      </c>
      <c r="AD631" s="5">
        <f>IFERROR(I631/Levelisation!J1437, 0)</f>
        <v>0.27478818410808337</v>
      </c>
      <c r="AE631" s="5">
        <f>IFERROR(J631/Levelisation!J1437, 0)</f>
        <v>1.2823448591710558</v>
      </c>
      <c r="AF631" s="6">
        <f>IFERROR(K631/Levelisation!L1437, 0)</f>
        <v>3.9679189531447867</v>
      </c>
      <c r="AG631" s="33" t="str">
        <f t="shared" si="492"/>
        <v>2.07 &gt; Suriname</v>
      </c>
      <c r="AH631" s="84">
        <f t="shared" si="494"/>
        <v>617</v>
      </c>
      <c r="AI631" s="84">
        <f t="shared" si="495"/>
        <v>23</v>
      </c>
      <c r="AJ631" s="877" t="s">
        <v>1526</v>
      </c>
    </row>
    <row r="632" spans="1:36" x14ac:dyDescent="0.2">
      <c r="A632" s="492">
        <f>INDEX(Country!$F$31:$G$76, MATCH(AI632, Country!$O$31:$O$76, 0), 1)</f>
        <v>2.0699999999999985</v>
      </c>
      <c r="B632" s="2" t="str">
        <f>INDEX(Country!$F$31:$G$76, MATCH(AI632, Country!$O$31:$O$76, 0), 2)</f>
        <v>Loans, grants, grant programs</v>
      </c>
      <c r="C632" s="436" t="str">
        <f>INDEX(Country!$K$31:$K$76, MATCH(AI632, Country!$O$31:$O$76, 0), 1)</f>
        <v>USDm</v>
      </c>
      <c r="D632" s="4" t="str">
        <f t="shared" si="493"/>
        <v>Trinidad &amp; Tobago</v>
      </c>
      <c r="E632" s="5">
        <f t="shared" si="510"/>
        <v>0</v>
      </c>
      <c r="F632" s="5">
        <f t="shared" si="497"/>
        <v>0</v>
      </c>
      <c r="G632" s="5">
        <f t="shared" si="498"/>
        <v>0</v>
      </c>
      <c r="H632" s="5">
        <f t="shared" si="499"/>
        <v>0</v>
      </c>
      <c r="I632" s="5">
        <f t="shared" si="500"/>
        <v>4.9000000000000004</v>
      </c>
      <c r="J632" s="5">
        <f t="shared" si="501"/>
        <v>64.900000000000006</v>
      </c>
      <c r="K632" s="6">
        <f t="shared" si="502"/>
        <v>64.900000000000006</v>
      </c>
      <c r="L632" s="457">
        <f t="shared" si="503"/>
        <v>0</v>
      </c>
      <c r="M632" s="458">
        <f t="shared" si="504"/>
        <v>0</v>
      </c>
      <c r="N632" s="458">
        <f t="shared" si="505"/>
        <v>0</v>
      </c>
      <c r="O632" s="458">
        <f t="shared" si="506"/>
        <v>0</v>
      </c>
      <c r="P632" s="458">
        <f t="shared" si="507"/>
        <v>0.80888089369513017</v>
      </c>
      <c r="Q632" s="458">
        <f t="shared" si="508"/>
        <v>5.1322614095703587</v>
      </c>
      <c r="R632" s="459">
        <f t="shared" si="509"/>
        <v>3.8409079259979699</v>
      </c>
      <c r="S632" s="538">
        <v>0</v>
      </c>
      <c r="T632" s="101">
        <v>0</v>
      </c>
      <c r="U632" s="101">
        <v>0</v>
      </c>
      <c r="V632" s="101">
        <v>0</v>
      </c>
      <c r="W632" s="101">
        <v>4.9000000000000004</v>
      </c>
      <c r="X632" s="101">
        <v>60</v>
      </c>
      <c r="Y632" s="101">
        <v>0</v>
      </c>
      <c r="Z632" s="421">
        <f>IFERROR(E632/Levelisation!F1438, 0)</f>
        <v>0</v>
      </c>
      <c r="AA632" s="471">
        <f>IFERROR(F632/Levelisation!G1438, 0)</f>
        <v>0</v>
      </c>
      <c r="AB632" s="471">
        <f>IFERROR(G632/Levelisation!H1438, 0)</f>
        <v>0</v>
      </c>
      <c r="AC632" s="5">
        <f>IFERROR(H632/Levelisation!I1438, 0)</f>
        <v>0</v>
      </c>
      <c r="AD632" s="5">
        <f>IFERROR(I632/Levelisation!J1438, 0)</f>
        <v>0.23794493274413636</v>
      </c>
      <c r="AE632" s="5">
        <f>IFERROR(J632/Levelisation!J1438, 0)</f>
        <v>3.1515563541009084</v>
      </c>
      <c r="AF632" s="6">
        <f>IFERROR(K632/Levelisation!L1438, 0)</f>
        <v>2.5675515290580369</v>
      </c>
      <c r="AG632" s="33" t="str">
        <f t="shared" si="492"/>
        <v>2.07 &gt; Trinidad &amp; Tobago</v>
      </c>
      <c r="AH632" s="84">
        <f t="shared" si="494"/>
        <v>618</v>
      </c>
      <c r="AI632" s="84">
        <f t="shared" si="495"/>
        <v>23</v>
      </c>
      <c r="AJ632" s="877" t="s">
        <v>1526</v>
      </c>
    </row>
    <row r="633" spans="1:36" x14ac:dyDescent="0.2">
      <c r="A633" s="492">
        <f>INDEX(Country!$F$31:$G$76, MATCH(AI633, Country!$O$31:$O$76, 0), 1)</f>
        <v>2.0699999999999985</v>
      </c>
      <c r="B633" s="2" t="str">
        <f>INDEX(Country!$F$31:$G$76, MATCH(AI633, Country!$O$31:$O$76, 0), 2)</f>
        <v>Loans, grants, grant programs</v>
      </c>
      <c r="C633" s="436" t="str">
        <f>INDEX(Country!$K$31:$K$76, MATCH(AI633, Country!$O$31:$O$76, 0), 1)</f>
        <v>USDm</v>
      </c>
      <c r="D633" s="4" t="str">
        <f t="shared" si="493"/>
        <v>Uruguay</v>
      </c>
      <c r="E633" s="5">
        <f t="shared" si="510"/>
        <v>0</v>
      </c>
      <c r="F633" s="5">
        <f t="shared" si="497"/>
        <v>0.98</v>
      </c>
      <c r="G633" s="5">
        <f t="shared" si="498"/>
        <v>0.98</v>
      </c>
      <c r="H633" s="5">
        <f t="shared" si="499"/>
        <v>1.98</v>
      </c>
      <c r="I633" s="5">
        <f t="shared" si="500"/>
        <v>1.98</v>
      </c>
      <c r="J633" s="5">
        <f t="shared" si="501"/>
        <v>3.48</v>
      </c>
      <c r="K633" s="6">
        <f t="shared" si="502"/>
        <v>3.48</v>
      </c>
      <c r="L633" s="457">
        <f t="shared" si="503"/>
        <v>0</v>
      </c>
      <c r="M633" s="458">
        <f t="shared" si="504"/>
        <v>10.019150541768113</v>
      </c>
      <c r="N633" s="458">
        <f t="shared" si="505"/>
        <v>6.8956508375595504</v>
      </c>
      <c r="O633" s="458">
        <f t="shared" si="506"/>
        <v>0.62143032309342827</v>
      </c>
      <c r="P633" s="458">
        <f t="shared" si="507"/>
        <v>0.17078307654588967</v>
      </c>
      <c r="Q633" s="458">
        <f t="shared" si="508"/>
        <v>0.14379191293890087</v>
      </c>
      <c r="R633" s="459">
        <f t="shared" si="509"/>
        <v>0.10537361003131702</v>
      </c>
      <c r="S633" s="538">
        <v>0</v>
      </c>
      <c r="T633" s="101">
        <v>0.98</v>
      </c>
      <c r="U633" s="101">
        <v>0</v>
      </c>
      <c r="V633" s="101">
        <v>1</v>
      </c>
      <c r="W633" s="101">
        <v>0</v>
      </c>
      <c r="X633" s="101">
        <v>1.5</v>
      </c>
      <c r="Y633" s="101">
        <v>0</v>
      </c>
      <c r="Z633" s="421">
        <f>IFERROR(E633/Levelisation!F1439, 0)</f>
        <v>0</v>
      </c>
      <c r="AA633" s="471">
        <f>IFERROR(F633/Levelisation!G1439, 0)</f>
        <v>4.1860663790525818E-2</v>
      </c>
      <c r="AB633" s="471">
        <f>IFERROR(G633/Levelisation!H1439, 0)</f>
        <v>3.2272936837252186E-2</v>
      </c>
      <c r="AC633" s="5">
        <f>IFERROR(H633/Levelisation!I1439, 0)</f>
        <v>6.4924418795291344E-2</v>
      </c>
      <c r="AD633" s="5">
        <f>IFERROR(I633/Levelisation!J1439, 0)</f>
        <v>5.023850603876992E-2</v>
      </c>
      <c r="AE633" s="5">
        <f>IFERROR(J633/Levelisation!J1439, 0)</f>
        <v>8.8297980310565308E-2</v>
      </c>
      <c r="AF633" s="6">
        <f>IFERROR(K633/Levelisation!L1439, 0)</f>
        <v>7.0439640514938062E-2</v>
      </c>
      <c r="AG633" s="33" t="str">
        <f t="shared" si="492"/>
        <v>2.07 &gt; Uruguay</v>
      </c>
      <c r="AH633" s="84">
        <f t="shared" si="494"/>
        <v>619</v>
      </c>
      <c r="AI633" s="84">
        <f t="shared" si="495"/>
        <v>23</v>
      </c>
      <c r="AJ633" s="877" t="s">
        <v>1526</v>
      </c>
    </row>
    <row r="634" spans="1:36" x14ac:dyDescent="0.2">
      <c r="A634" s="491">
        <f>INDEX(Country!$F$31:$G$76, MATCH(AI634, Country!$O$31:$O$76, 0), 1)</f>
        <v>2.0699999999999985</v>
      </c>
      <c r="B634" s="386" t="str">
        <f>INDEX(Country!$F$31:$G$76, MATCH(AI634, Country!$O$31:$O$76, 0), 2)</f>
        <v>Loans, grants, grant programs</v>
      </c>
      <c r="C634" s="437" t="str">
        <f>INDEX(Country!$K$31:$K$76, MATCH(AI634, Country!$O$31:$O$76, 0), 1)</f>
        <v>USDm</v>
      </c>
      <c r="D634" s="86" t="str">
        <f t="shared" si="493"/>
        <v>Venezuela</v>
      </c>
      <c r="E634" s="364">
        <f t="shared" si="510"/>
        <v>0</v>
      </c>
      <c r="F634" s="364">
        <f t="shared" si="497"/>
        <v>0</v>
      </c>
      <c r="G634" s="364">
        <f t="shared" si="498"/>
        <v>0</v>
      </c>
      <c r="H634" s="364">
        <f t="shared" si="499"/>
        <v>0</v>
      </c>
      <c r="I634" s="364">
        <f t="shared" si="500"/>
        <v>0</v>
      </c>
      <c r="J634" s="364">
        <f t="shared" si="501"/>
        <v>0</v>
      </c>
      <c r="K634" s="390">
        <f t="shared" si="502"/>
        <v>0</v>
      </c>
      <c r="L634" s="460">
        <f t="shared" si="503"/>
        <v>0</v>
      </c>
      <c r="M634" s="461">
        <f t="shared" si="504"/>
        <v>0</v>
      </c>
      <c r="N634" s="461">
        <f t="shared" si="505"/>
        <v>0</v>
      </c>
      <c r="O634" s="461">
        <f t="shared" si="506"/>
        <v>0</v>
      </c>
      <c r="P634" s="461">
        <f t="shared" si="507"/>
        <v>0</v>
      </c>
      <c r="Q634" s="461">
        <f t="shared" si="508"/>
        <v>0</v>
      </c>
      <c r="R634" s="462">
        <f t="shared" si="509"/>
        <v>0</v>
      </c>
      <c r="S634" s="539">
        <v>0</v>
      </c>
      <c r="T634" s="369">
        <v>0</v>
      </c>
      <c r="U634" s="369">
        <v>0</v>
      </c>
      <c r="V634" s="369">
        <v>0</v>
      </c>
      <c r="W634" s="369">
        <v>0</v>
      </c>
      <c r="X634" s="369">
        <v>0</v>
      </c>
      <c r="Y634" s="369">
        <v>0</v>
      </c>
      <c r="Z634" s="422">
        <f>IFERROR(E634/Levelisation!F1440, 0)</f>
        <v>0</v>
      </c>
      <c r="AA634" s="470">
        <f>IFERROR(F634/Levelisation!G1440, 0)</f>
        <v>0</v>
      </c>
      <c r="AB634" s="470">
        <f>IFERROR(G634/Levelisation!H1440, 0)</f>
        <v>0</v>
      </c>
      <c r="AC634" s="364">
        <f>IFERROR(H634/Levelisation!I1440, 0)</f>
        <v>0</v>
      </c>
      <c r="AD634" s="364">
        <f>IFERROR(I634/Levelisation!J1440, 0)</f>
        <v>0</v>
      </c>
      <c r="AE634" s="364">
        <f>IFERROR(J634/Levelisation!J1440, 0)</f>
        <v>0</v>
      </c>
      <c r="AF634" s="390">
        <f>IFERROR(K634/Levelisation!L1440, 0)</f>
        <v>0</v>
      </c>
      <c r="AG634" s="90" t="str">
        <f t="shared" si="492"/>
        <v>2.07 &gt; Venezuela</v>
      </c>
      <c r="AH634" s="392">
        <f t="shared" si="494"/>
        <v>620</v>
      </c>
      <c r="AI634" s="392">
        <f t="shared" si="495"/>
        <v>23</v>
      </c>
      <c r="AJ634" s="878" t="s">
        <v>1526</v>
      </c>
    </row>
    <row r="635" spans="1:36" x14ac:dyDescent="0.2">
      <c r="A635" s="490">
        <f>INDEX(Country!$F$31:$G$76, MATCH(AI635, Country!$O$31:$O$76, 0), 1)</f>
        <v>2.0699999999999985</v>
      </c>
      <c r="B635" s="387" t="str">
        <f>INDEX(Country!$F$31:$G$76, MATCH(AI635, Country!$O$31:$O$76, 0), 2)</f>
        <v>Loans, grants, grant programs</v>
      </c>
      <c r="C635" s="438" t="str">
        <f>INDEX(Country!$K$31:$K$76, MATCH(AI635, Country!$O$31:$O$76, 0), 1)</f>
        <v>USDm</v>
      </c>
      <c r="D635" s="32" t="str">
        <f t="shared" si="493"/>
        <v>Benchmark</v>
      </c>
      <c r="E635" s="365">
        <f>IFERROR(MAX(E609:E634), 0)</f>
        <v>400.4</v>
      </c>
      <c r="F635" s="365">
        <f t="shared" ref="F635:K635" si="511">IFERROR(MAX(F609:F634), 0)</f>
        <v>401.15</v>
      </c>
      <c r="G635" s="365">
        <f t="shared" si="511"/>
        <v>428.25</v>
      </c>
      <c r="H635" s="365">
        <f t="shared" si="511"/>
        <v>2443.6499999999992</v>
      </c>
      <c r="I635" s="365">
        <f t="shared" si="511"/>
        <v>2500.349999999999</v>
      </c>
      <c r="J635" s="365">
        <f t="shared" si="511"/>
        <v>2502.0499999999988</v>
      </c>
      <c r="K635" s="593">
        <f t="shared" si="511"/>
        <v>2505.849999999999</v>
      </c>
      <c r="L635" s="585">
        <f t="shared" ref="L635:M635" si="512">MAX(Z609:Z634)</f>
        <v>0.36762376773963718</v>
      </c>
      <c r="M635" s="463">
        <f t="shared" si="512"/>
        <v>0.41780651579209155</v>
      </c>
      <c r="N635" s="463">
        <f t="shared" ref="N635" si="513">MAX(AB609:AB634)</f>
        <v>0.46801872074882994</v>
      </c>
      <c r="O635" s="463">
        <f t="shared" ref="O635" si="514">MAX(AC609:AC634)</f>
        <v>10.447578172900062</v>
      </c>
      <c r="P635" s="463">
        <f t="shared" ref="P635" si="515">MAX(AD609:AD634)</f>
        <v>29.416559916152327</v>
      </c>
      <c r="Q635" s="463">
        <f t="shared" ref="Q635" si="516">MAX(AE609:AE634)</f>
        <v>61.406777687201583</v>
      </c>
      <c r="R635" s="586">
        <f t="shared" ref="R635" si="517">MAX(AF609:AF634)</f>
        <v>66.847515705311238</v>
      </c>
      <c r="S635" s="393"/>
      <c r="T635" s="394"/>
      <c r="U635" s="376"/>
      <c r="V635" s="376"/>
      <c r="W635" s="376"/>
      <c r="X635" s="376"/>
      <c r="Y635" s="376"/>
      <c r="Z635" s="393" t="s">
        <v>1241</v>
      </c>
      <c r="AA635" s="394"/>
      <c r="AB635" s="376"/>
      <c r="AC635" s="376"/>
      <c r="AD635" s="376"/>
      <c r="AE635" s="376"/>
      <c r="AF635" s="401"/>
      <c r="AG635" s="34" t="str">
        <f t="shared" si="492"/>
        <v>2.07 &gt; Benchmark</v>
      </c>
      <c r="AH635" s="85">
        <f t="shared" si="494"/>
        <v>621</v>
      </c>
      <c r="AI635" s="85">
        <f t="shared" si="495"/>
        <v>23</v>
      </c>
      <c r="AJ635" s="871" t="s">
        <v>1526</v>
      </c>
    </row>
    <row r="636" spans="1:36" x14ac:dyDescent="0.2">
      <c r="A636" s="587">
        <f>INDEX(Country!$F$31:$G$76, MATCH(AI636, Country!$O$31:$O$76, 0), 1)</f>
        <v>2.0799999999999983</v>
      </c>
      <c r="B636" s="588" t="str">
        <f>INDEX(Country!$F$31:$G$76, MATCH(AI636, Country!$O$31:$O$76, 0), 2)</f>
        <v>Local investments</v>
      </c>
      <c r="C636" s="589" t="str">
        <f>INDEX(Country!$K$31:$K$76, MATCH(AI636, Country!$O$31:$O$76, 0), 1)</f>
        <v>USDm</v>
      </c>
      <c r="D636" s="590" t="str">
        <f t="shared" si="493"/>
        <v>Argentina</v>
      </c>
      <c r="E636" s="605">
        <v>90.089936825438798</v>
      </c>
      <c r="F636" s="605">
        <v>215.55753081624559</v>
      </c>
      <c r="G636" s="605">
        <v>282.50913770939627</v>
      </c>
      <c r="H636" s="43">
        <v>94.389776163491987</v>
      </c>
      <c r="I636" s="43">
        <v>332.41595090169238</v>
      </c>
      <c r="J636" s="43">
        <v>154.13941400931986</v>
      </c>
      <c r="K636" s="604">
        <v>231.47823804006489</v>
      </c>
      <c r="L636" s="580">
        <f t="shared" ref="L636:L661" si="518">IFERROR(dbl_BenchmarkMax*Z636/L$662, 0)</f>
        <v>6.0648947475552015</v>
      </c>
      <c r="M636" s="581">
        <f t="shared" ref="M636:M661" si="519">IFERROR(dbl_BenchmarkMax*AA636/M$662, 0)</f>
        <v>5.4873367674452531</v>
      </c>
      <c r="N636" s="581">
        <f t="shared" ref="N636:N661" si="520">IFERROR(dbl_BenchmarkMax*AB636/N$662, 0)</f>
        <v>5.0366992890045994</v>
      </c>
      <c r="O636" s="581">
        <f t="shared" ref="O636:O661" si="521">IFERROR(dbl_BenchmarkMax*AC636/O$662, 0)</f>
        <v>5.3529780272608258</v>
      </c>
      <c r="P636" s="581">
        <f t="shared" ref="P636:P661" si="522">IFERROR(dbl_BenchmarkMax*AD636/P$662, 0)</f>
        <v>11.536145915629914</v>
      </c>
      <c r="Q636" s="581">
        <f t="shared" ref="Q636:Q661" si="523">IFERROR(dbl_BenchmarkMax*AE636/Q$662, 0)</f>
        <v>8.0759319590655458</v>
      </c>
      <c r="R636" s="582">
        <f t="shared" ref="R636:R661" si="524">IFERROR(dbl_BenchmarkMax*AF636/R$662, 0)</f>
        <v>13.68890677588889</v>
      </c>
      <c r="S636" s="455"/>
      <c r="T636" s="456"/>
      <c r="U636" s="456"/>
      <c r="V636" s="456"/>
      <c r="W636" s="456"/>
      <c r="X636" s="456"/>
      <c r="Y636" s="456"/>
      <c r="Z636" s="421">
        <f>IFERROR(E636/Levelisation!F1415, 0)</f>
        <v>0.42393867884558528</v>
      </c>
      <c r="AA636" s="471">
        <f>IFERROR(F636/Levelisation!G1415, 0)</f>
        <v>0.82884108884206842</v>
      </c>
      <c r="AB636" s="471">
        <f>IFERROR(G636/Levelisation!H1415, 0)</f>
        <v>0.87085321653302594</v>
      </c>
      <c r="AC636" s="5">
        <f>IFERROR(H636/Levelisation!I1415, 0)</f>
        <v>0.30870241384174013</v>
      </c>
      <c r="AD636" s="5">
        <f>IFERROR(I636/Levelisation!J1415, 0)</f>
        <v>0.90437324256034279</v>
      </c>
      <c r="AE636" s="5">
        <f>IFERROR(J636/Levelisation!K1415, 0)</f>
        <v>0.3466829820367418</v>
      </c>
      <c r="AF636" s="6">
        <f>IFERROR(K636/Levelisation!L1415, 0)</f>
        <v>0.48736980431802845</v>
      </c>
      <c r="AG636" s="396" t="str">
        <f t="shared" si="492"/>
        <v>2.08 &gt; Argentina</v>
      </c>
      <c r="AH636" s="397">
        <f t="shared" si="494"/>
        <v>622</v>
      </c>
      <c r="AI636" s="397">
        <f t="shared" si="495"/>
        <v>24</v>
      </c>
      <c r="AJ636" s="879" t="s">
        <v>1526</v>
      </c>
    </row>
    <row r="637" spans="1:36" x14ac:dyDescent="0.2">
      <c r="A637" s="492">
        <f>INDEX(Country!$F$31:$G$76, MATCH(AI637, Country!$O$31:$O$76, 0), 1)</f>
        <v>2.0799999999999983</v>
      </c>
      <c r="B637" s="2" t="str">
        <f>INDEX(Country!$F$31:$G$76, MATCH(AI637, Country!$O$31:$O$76, 0), 2)</f>
        <v>Local investments</v>
      </c>
      <c r="C637" s="436" t="str">
        <f>INDEX(Country!$K$31:$K$76, MATCH(AI637, Country!$O$31:$O$76, 0), 1)</f>
        <v>USDm</v>
      </c>
      <c r="D637" s="4" t="str">
        <f t="shared" si="493"/>
        <v>Bahamas</v>
      </c>
      <c r="E637" s="43"/>
      <c r="F637" s="43"/>
      <c r="G637" s="43"/>
      <c r="H637" s="43"/>
      <c r="I637" s="43"/>
      <c r="J637" s="43"/>
      <c r="K637" s="102"/>
      <c r="L637" s="457">
        <f t="shared" si="518"/>
        <v>0</v>
      </c>
      <c r="M637" s="458">
        <f t="shared" si="519"/>
        <v>0</v>
      </c>
      <c r="N637" s="458">
        <f t="shared" si="520"/>
        <v>0</v>
      </c>
      <c r="O637" s="458">
        <f t="shared" si="521"/>
        <v>0</v>
      </c>
      <c r="P637" s="458">
        <f t="shared" si="522"/>
        <v>0</v>
      </c>
      <c r="Q637" s="458">
        <f t="shared" si="523"/>
        <v>0</v>
      </c>
      <c r="R637" s="459">
        <f t="shared" si="524"/>
        <v>0</v>
      </c>
      <c r="S637" s="455"/>
      <c r="T637" s="456"/>
      <c r="U637" s="456"/>
      <c r="V637" s="456"/>
      <c r="W637" s="456"/>
      <c r="X637" s="456"/>
      <c r="Y637" s="456"/>
      <c r="Z637" s="421">
        <f>IFERROR(E637/Levelisation!F1416, 0)</f>
        <v>0</v>
      </c>
      <c r="AA637" s="471">
        <f>IFERROR(F637/Levelisation!G1416, 0)</f>
        <v>0</v>
      </c>
      <c r="AB637" s="471">
        <f>IFERROR(G637/Levelisation!H1416, 0)</f>
        <v>0</v>
      </c>
      <c r="AC637" s="5">
        <f>IFERROR(H637/Levelisation!I1416, 0)</f>
        <v>0</v>
      </c>
      <c r="AD637" s="5">
        <f>IFERROR(I637/Levelisation!J1416, 0)</f>
        <v>0</v>
      </c>
      <c r="AE637" s="5">
        <f>IFERROR(J637/Levelisation!K1416, 0)</f>
        <v>0</v>
      </c>
      <c r="AF637" s="6">
        <f>IFERROR(K637/Levelisation!L1416, 0)</f>
        <v>0</v>
      </c>
      <c r="AG637" s="33" t="str">
        <f t="shared" si="492"/>
        <v>2.08 &gt; Bahamas</v>
      </c>
      <c r="AH637" s="84">
        <f t="shared" si="494"/>
        <v>623</v>
      </c>
      <c r="AI637" s="84">
        <f t="shared" si="495"/>
        <v>24</v>
      </c>
      <c r="AJ637" s="877" t="s">
        <v>1526</v>
      </c>
    </row>
    <row r="638" spans="1:36" x14ac:dyDescent="0.2">
      <c r="A638" s="492">
        <f>INDEX(Country!$F$31:$G$76, MATCH(AI638, Country!$O$31:$O$76, 0), 1)</f>
        <v>2.0799999999999983</v>
      </c>
      <c r="B638" s="2" t="str">
        <f>INDEX(Country!$F$31:$G$76, MATCH(AI638, Country!$O$31:$O$76, 0), 2)</f>
        <v>Local investments</v>
      </c>
      <c r="C638" s="436" t="str">
        <f>INDEX(Country!$K$31:$K$76, MATCH(AI638, Country!$O$31:$O$76, 0), 1)</f>
        <v>USDm</v>
      </c>
      <c r="D638" s="4" t="str">
        <f t="shared" si="493"/>
        <v>Barbados</v>
      </c>
      <c r="E638" s="43"/>
      <c r="F638" s="43"/>
      <c r="G638" s="43"/>
      <c r="H638" s="43"/>
      <c r="I638" s="43"/>
      <c r="J638" s="43"/>
      <c r="K638" s="102"/>
      <c r="L638" s="457">
        <f t="shared" si="518"/>
        <v>0</v>
      </c>
      <c r="M638" s="458">
        <f t="shared" si="519"/>
        <v>0</v>
      </c>
      <c r="N638" s="458">
        <f t="shared" si="520"/>
        <v>0</v>
      </c>
      <c r="O638" s="458">
        <f t="shared" si="521"/>
        <v>0</v>
      </c>
      <c r="P638" s="458">
        <f t="shared" si="522"/>
        <v>0</v>
      </c>
      <c r="Q638" s="458">
        <f t="shared" si="523"/>
        <v>0</v>
      </c>
      <c r="R638" s="459">
        <f t="shared" si="524"/>
        <v>0</v>
      </c>
      <c r="S638" s="455"/>
      <c r="T638" s="456"/>
      <c r="U638" s="456"/>
      <c r="V638" s="456"/>
      <c r="W638" s="456"/>
      <c r="X638" s="456"/>
      <c r="Y638" s="456"/>
      <c r="Z638" s="421">
        <f>IFERROR(E638/Levelisation!F1417, 0)</f>
        <v>0</v>
      </c>
      <c r="AA638" s="471">
        <f>IFERROR(F638/Levelisation!G1417, 0)</f>
        <v>0</v>
      </c>
      <c r="AB638" s="471">
        <f>IFERROR(G638/Levelisation!H1417, 0)</f>
        <v>0</v>
      </c>
      <c r="AC638" s="5">
        <f>IFERROR(H638/Levelisation!I1417, 0)</f>
        <v>0</v>
      </c>
      <c r="AD638" s="5">
        <f>IFERROR(I638/Levelisation!J1417, 0)</f>
        <v>0</v>
      </c>
      <c r="AE638" s="5">
        <f>IFERROR(J638/Levelisation!K1417, 0)</f>
        <v>0</v>
      </c>
      <c r="AF638" s="6">
        <f>IFERROR(K638/Levelisation!L1417, 0)</f>
        <v>0</v>
      </c>
      <c r="AG638" s="33" t="str">
        <f t="shared" si="492"/>
        <v>2.08 &gt; Barbados</v>
      </c>
      <c r="AH638" s="84">
        <f t="shared" si="494"/>
        <v>624</v>
      </c>
      <c r="AI638" s="84">
        <f t="shared" si="495"/>
        <v>24</v>
      </c>
      <c r="AJ638" s="877" t="s">
        <v>1526</v>
      </c>
    </row>
    <row r="639" spans="1:36" x14ac:dyDescent="0.2">
      <c r="A639" s="492">
        <f>INDEX(Country!$F$31:$G$76, MATCH(AI639, Country!$O$31:$O$76, 0), 1)</f>
        <v>2.0799999999999983</v>
      </c>
      <c r="B639" s="2" t="str">
        <f>INDEX(Country!$F$31:$G$76, MATCH(AI639, Country!$O$31:$O$76, 0), 2)</f>
        <v>Local investments</v>
      </c>
      <c r="C639" s="436" t="str">
        <f>INDEX(Country!$K$31:$K$76, MATCH(AI639, Country!$O$31:$O$76, 0), 1)</f>
        <v>USDm</v>
      </c>
      <c r="D639" s="4" t="str">
        <f t="shared" si="493"/>
        <v>Belize</v>
      </c>
      <c r="E639" s="43">
        <v>0</v>
      </c>
      <c r="F639" s="43">
        <v>19.364116345099699</v>
      </c>
      <c r="G639" s="43">
        <v>0</v>
      </c>
      <c r="H639" s="43">
        <v>0</v>
      </c>
      <c r="I639" s="43">
        <v>0</v>
      </c>
      <c r="J639" s="43">
        <v>0</v>
      </c>
      <c r="K639" s="102">
        <v>0</v>
      </c>
      <c r="L639" s="457">
        <f t="shared" si="518"/>
        <v>0</v>
      </c>
      <c r="M639" s="458">
        <f t="shared" si="519"/>
        <v>100</v>
      </c>
      <c r="N639" s="458">
        <f t="shared" si="520"/>
        <v>0</v>
      </c>
      <c r="O639" s="458">
        <f t="shared" si="521"/>
        <v>0</v>
      </c>
      <c r="P639" s="458">
        <f t="shared" si="522"/>
        <v>0</v>
      </c>
      <c r="Q639" s="458">
        <f t="shared" si="523"/>
        <v>0</v>
      </c>
      <c r="R639" s="459">
        <f t="shared" si="524"/>
        <v>0</v>
      </c>
      <c r="S639" s="455"/>
      <c r="T639" s="456"/>
      <c r="U639" s="456"/>
      <c r="V639" s="456"/>
      <c r="W639" s="456"/>
      <c r="X639" s="456"/>
      <c r="Y639" s="456"/>
      <c r="Z639" s="421">
        <f>IFERROR(E639/Levelisation!F1418, 0)</f>
        <v>0</v>
      </c>
      <c r="AA639" s="471">
        <f>IFERROR(F639/Levelisation!G1418, 0)</f>
        <v>15.104614933775116</v>
      </c>
      <c r="AB639" s="471">
        <f>IFERROR(G639/Levelisation!H1418, 0)</f>
        <v>0</v>
      </c>
      <c r="AC639" s="5">
        <f>IFERROR(H639/Levelisation!I1418, 0)</f>
        <v>0</v>
      </c>
      <c r="AD639" s="5">
        <f>IFERROR(I639/Levelisation!J1418, 0)</f>
        <v>0</v>
      </c>
      <c r="AE639" s="5">
        <f>IFERROR(J639/Levelisation!K1418, 0)</f>
        <v>0</v>
      </c>
      <c r="AF639" s="6">
        <f>IFERROR(K639/Levelisation!L1418, 0)</f>
        <v>0</v>
      </c>
      <c r="AG639" s="33" t="str">
        <f t="shared" si="492"/>
        <v>2.08 &gt; Belize</v>
      </c>
      <c r="AH639" s="84">
        <f t="shared" si="494"/>
        <v>625</v>
      </c>
      <c r="AI639" s="84">
        <f t="shared" si="495"/>
        <v>24</v>
      </c>
      <c r="AJ639" s="877" t="s">
        <v>1526</v>
      </c>
    </row>
    <row r="640" spans="1:36" x14ac:dyDescent="0.2">
      <c r="A640" s="492">
        <f>INDEX(Country!$F$31:$G$76, MATCH(AI640, Country!$O$31:$O$76, 0), 1)</f>
        <v>2.0799999999999983</v>
      </c>
      <c r="B640" s="2" t="str">
        <f>INDEX(Country!$F$31:$G$76, MATCH(AI640, Country!$O$31:$O$76, 0), 2)</f>
        <v>Local investments</v>
      </c>
      <c r="C640" s="436" t="str">
        <f>INDEX(Country!$K$31:$K$76, MATCH(AI640, Country!$O$31:$O$76, 0), 1)</f>
        <v>USDm</v>
      </c>
      <c r="D640" s="4" t="str">
        <f t="shared" si="493"/>
        <v>Bolivia</v>
      </c>
      <c r="E640" s="43"/>
      <c r="F640" s="43"/>
      <c r="G640" s="43"/>
      <c r="H640" s="43"/>
      <c r="I640" s="43"/>
      <c r="J640" s="43"/>
      <c r="K640" s="102"/>
      <c r="L640" s="457">
        <f t="shared" si="518"/>
        <v>0</v>
      </c>
      <c r="M640" s="458">
        <f t="shared" si="519"/>
        <v>0</v>
      </c>
      <c r="N640" s="458">
        <f t="shared" si="520"/>
        <v>0</v>
      </c>
      <c r="O640" s="458">
        <f t="shared" si="521"/>
        <v>0</v>
      </c>
      <c r="P640" s="458">
        <f t="shared" si="522"/>
        <v>0</v>
      </c>
      <c r="Q640" s="458">
        <f t="shared" si="523"/>
        <v>0</v>
      </c>
      <c r="R640" s="459">
        <f t="shared" si="524"/>
        <v>0</v>
      </c>
      <c r="S640" s="455"/>
      <c r="T640" s="456"/>
      <c r="U640" s="456"/>
      <c r="V640" s="456"/>
      <c r="W640" s="456"/>
      <c r="X640" s="456"/>
      <c r="Y640" s="456"/>
      <c r="Z640" s="421">
        <f>IFERROR(E640/Levelisation!F1419, 0)</f>
        <v>0</v>
      </c>
      <c r="AA640" s="471">
        <f>IFERROR(F640/Levelisation!G1419, 0)</f>
        <v>0</v>
      </c>
      <c r="AB640" s="471">
        <f>IFERROR(G640/Levelisation!H1419, 0)</f>
        <v>0</v>
      </c>
      <c r="AC640" s="5">
        <f>IFERROR(H640/Levelisation!I1419, 0)</f>
        <v>0</v>
      </c>
      <c r="AD640" s="5">
        <f>IFERROR(I640/Levelisation!J1419, 0)</f>
        <v>0</v>
      </c>
      <c r="AE640" s="5">
        <f>IFERROR(J640/Levelisation!K1419, 0)</f>
        <v>0</v>
      </c>
      <c r="AF640" s="6">
        <f>IFERROR(K640/Levelisation!L1419, 0)</f>
        <v>0</v>
      </c>
      <c r="AG640" s="33" t="str">
        <f t="shared" si="492"/>
        <v>2.08 &gt; Bolivia</v>
      </c>
      <c r="AH640" s="84">
        <f t="shared" si="494"/>
        <v>626</v>
      </c>
      <c r="AI640" s="84">
        <f t="shared" si="495"/>
        <v>24</v>
      </c>
      <c r="AJ640" s="877" t="s">
        <v>1526</v>
      </c>
    </row>
    <row r="641" spans="1:36" x14ac:dyDescent="0.2">
      <c r="A641" s="492">
        <f>INDEX(Country!$F$31:$G$76, MATCH(AI641, Country!$O$31:$O$76, 0), 1)</f>
        <v>2.0799999999999983</v>
      </c>
      <c r="B641" s="2" t="str">
        <f>INDEX(Country!$F$31:$G$76, MATCH(AI641, Country!$O$31:$O$76, 0), 2)</f>
        <v>Local investments</v>
      </c>
      <c r="C641" s="436" t="str">
        <f>INDEX(Country!$K$31:$K$76, MATCH(AI641, Country!$O$31:$O$76, 0), 1)</f>
        <v>USDm</v>
      </c>
      <c r="D641" s="4" t="str">
        <f t="shared" si="493"/>
        <v>Brazil</v>
      </c>
      <c r="E641" s="43">
        <v>2932.4237482956605</v>
      </c>
      <c r="F641" s="43">
        <v>6434.3436772704381</v>
      </c>
      <c r="G641" s="43">
        <v>9337.2393589104722</v>
      </c>
      <c r="H641" s="43">
        <v>7438.6203884446995</v>
      </c>
      <c r="I641" s="43">
        <v>7974.1922315561187</v>
      </c>
      <c r="J641" s="43">
        <v>7995.3793617324727</v>
      </c>
      <c r="K641" s="102">
        <v>5936.3247916966739</v>
      </c>
      <c r="L641" s="457">
        <f t="shared" si="518"/>
        <v>38.517355970739587</v>
      </c>
      <c r="M641" s="458">
        <f t="shared" si="519"/>
        <v>31.179845388640505</v>
      </c>
      <c r="N641" s="458">
        <f t="shared" si="520"/>
        <v>32.721442765646657</v>
      </c>
      <c r="O641" s="458">
        <f t="shared" si="521"/>
        <v>79.508528994821404</v>
      </c>
      <c r="P641" s="458">
        <f t="shared" si="522"/>
        <v>47.467085079246182</v>
      </c>
      <c r="Q641" s="458">
        <f t="shared" si="523"/>
        <v>74.712475335968676</v>
      </c>
      <c r="R641" s="459">
        <f t="shared" si="524"/>
        <v>69.589992292478243</v>
      </c>
      <c r="S641" s="455"/>
      <c r="T641" s="456"/>
      <c r="U641" s="456"/>
      <c r="V641" s="456"/>
      <c r="W641" s="456"/>
      <c r="X641" s="456"/>
      <c r="Y641" s="456"/>
      <c r="Z641" s="421">
        <f>IFERROR(E641/Levelisation!F1420, 0)</f>
        <v>2.6923792881059945</v>
      </c>
      <c r="AA641" s="471">
        <f>IFERROR(F641/Levelisation!G1420, 0)</f>
        <v>4.7095955829005858</v>
      </c>
      <c r="AB641" s="471">
        <f>IFERROR(G641/Levelisation!H1420, 0)</f>
        <v>5.6575888388397857</v>
      </c>
      <c r="AC641" s="5">
        <f>IFERROR(H641/Levelisation!I1420, 0)</f>
        <v>4.5851999946031929</v>
      </c>
      <c r="AD641" s="5">
        <f>IFERROR(I641/Levelisation!J1420, 0)</f>
        <v>3.7211701344592014</v>
      </c>
      <c r="AE641" s="5">
        <f>IFERROR(J641/Levelisation!K1420, 0)</f>
        <v>3.207251358246606</v>
      </c>
      <c r="AF641" s="6">
        <f>IFERROR(K641/Levelisation!L1420, 0)</f>
        <v>2.4776310834271049</v>
      </c>
      <c r="AG641" s="33" t="str">
        <f t="shared" si="492"/>
        <v>2.08 &gt; Brazil</v>
      </c>
      <c r="AH641" s="84">
        <f t="shared" si="494"/>
        <v>627</v>
      </c>
      <c r="AI641" s="84">
        <f t="shared" si="495"/>
        <v>24</v>
      </c>
      <c r="AJ641" s="877" t="s">
        <v>1526</v>
      </c>
    </row>
    <row r="642" spans="1:36" x14ac:dyDescent="0.2">
      <c r="A642" s="492">
        <f>INDEX(Country!$F$31:$G$76, MATCH(AI642, Country!$O$31:$O$76, 0), 1)</f>
        <v>2.0799999999999983</v>
      </c>
      <c r="B642" s="2" t="str">
        <f>INDEX(Country!$F$31:$G$76, MATCH(AI642, Country!$O$31:$O$76, 0), 2)</f>
        <v>Local investments</v>
      </c>
      <c r="C642" s="436" t="str">
        <f>INDEX(Country!$K$31:$K$76, MATCH(AI642, Country!$O$31:$O$76, 0), 1)</f>
        <v>USDm</v>
      </c>
      <c r="D642" s="4" t="str">
        <f t="shared" si="493"/>
        <v>Chile</v>
      </c>
      <c r="E642" s="43">
        <v>27.864578518015268</v>
      </c>
      <c r="F642" s="43">
        <v>239.47416279425505</v>
      </c>
      <c r="G642" s="43">
        <v>539.02820241968027</v>
      </c>
      <c r="H642" s="43">
        <v>242.37935038641243</v>
      </c>
      <c r="I642" s="43">
        <v>483.12355956796949</v>
      </c>
      <c r="J642" s="43">
        <v>80.07264912295048</v>
      </c>
      <c r="K642" s="102">
        <v>395.12700335139419</v>
      </c>
      <c r="L642" s="457">
        <f t="shared" si="518"/>
        <v>2.5766767147384115</v>
      </c>
      <c r="M642" s="458">
        <f t="shared" si="519"/>
        <v>9.1609870284916806</v>
      </c>
      <c r="N642" s="458">
        <f t="shared" si="520"/>
        <v>17.365609644408377</v>
      </c>
      <c r="O642" s="458">
        <f t="shared" si="521"/>
        <v>24.420101867254512</v>
      </c>
      <c r="P642" s="458">
        <f t="shared" si="522"/>
        <v>28.358780015836754</v>
      </c>
      <c r="Q642" s="458">
        <f t="shared" si="523"/>
        <v>7.4315770497868447</v>
      </c>
      <c r="R642" s="459">
        <f t="shared" si="524"/>
        <v>41.383320084752519</v>
      </c>
      <c r="S642" s="455"/>
      <c r="T642" s="456"/>
      <c r="U642" s="456"/>
      <c r="V642" s="456"/>
      <c r="W642" s="456"/>
      <c r="X642" s="456"/>
      <c r="Y642" s="456"/>
      <c r="Z642" s="421">
        <f>IFERROR(E642/Levelisation!F1421, 0)</f>
        <v>0.18011077977877851</v>
      </c>
      <c r="AA642" s="471">
        <f>IFERROR(F642/Levelisation!G1421, 0)</f>
        <v>1.3837318147867554</v>
      </c>
      <c r="AB642" s="471">
        <f>IFERROR(G642/Levelisation!H1421, 0)</f>
        <v>3.0025411778908686</v>
      </c>
      <c r="AC642" s="5">
        <f>IFERROR(H642/Levelisation!I1421, 0)</f>
        <v>1.4082898069619394</v>
      </c>
      <c r="AD642" s="5">
        <f>IFERROR(I642/Levelisation!J1421, 0)</f>
        <v>2.2231793898540784</v>
      </c>
      <c r="AE642" s="5">
        <f>IFERROR(J642/Levelisation!K1421, 0)</f>
        <v>0.31902216436628161</v>
      </c>
      <c r="AF642" s="6">
        <f>IFERROR(K642/Levelisation!L1421, 0)</f>
        <v>1.4733813986710051</v>
      </c>
      <c r="AG642" s="33" t="str">
        <f t="shared" si="492"/>
        <v>2.08 &gt; Chile</v>
      </c>
      <c r="AH642" s="84">
        <f t="shared" si="494"/>
        <v>628</v>
      </c>
      <c r="AI642" s="84">
        <f t="shared" si="495"/>
        <v>24</v>
      </c>
      <c r="AJ642" s="877" t="s">
        <v>1526</v>
      </c>
    </row>
    <row r="643" spans="1:36" x14ac:dyDescent="0.2">
      <c r="A643" s="492">
        <f>INDEX(Country!$F$31:$G$76, MATCH(AI643, Country!$O$31:$O$76, 0), 1)</f>
        <v>2.0799999999999983</v>
      </c>
      <c r="B643" s="2" t="str">
        <f>INDEX(Country!$F$31:$G$76, MATCH(AI643, Country!$O$31:$O$76, 0), 2)</f>
        <v>Local investments</v>
      </c>
      <c r="C643" s="436" t="str">
        <f>INDEX(Country!$K$31:$K$76, MATCH(AI643, Country!$O$31:$O$76, 0), 1)</f>
        <v>USDm</v>
      </c>
      <c r="D643" s="4" t="str">
        <f t="shared" si="493"/>
        <v>Colombia</v>
      </c>
      <c r="E643" s="43">
        <v>114.51802828019623</v>
      </c>
      <c r="F643" s="43">
        <v>278.89813964139955</v>
      </c>
      <c r="G643" s="43">
        <v>171.90524321568438</v>
      </c>
      <c r="H643" s="43">
        <v>122.57468404142462</v>
      </c>
      <c r="I643" s="43">
        <v>206.60071494610341</v>
      </c>
      <c r="J643" s="43">
        <v>73.389503900152448</v>
      </c>
      <c r="K643" s="102">
        <v>0</v>
      </c>
      <c r="L643" s="457">
        <f t="shared" si="518"/>
        <v>10.195359281727518</v>
      </c>
      <c r="M643" s="458">
        <f t="shared" si="519"/>
        <v>8.7689940329009932</v>
      </c>
      <c r="N643" s="458">
        <f t="shared" si="520"/>
        <v>4.2262124289113983</v>
      </c>
      <c r="O643" s="458">
        <f t="shared" si="521"/>
        <v>9.1774766524737714</v>
      </c>
      <c r="P643" s="458">
        <f t="shared" si="522"/>
        <v>9.2509741833059422</v>
      </c>
      <c r="Q643" s="458">
        <f t="shared" si="523"/>
        <v>5.2181399200798504</v>
      </c>
      <c r="R643" s="459">
        <f t="shared" si="524"/>
        <v>0</v>
      </c>
      <c r="S643" s="455"/>
      <c r="T643" s="456"/>
      <c r="U643" s="456"/>
      <c r="V643" s="456"/>
      <c r="W643" s="456"/>
      <c r="X643" s="456"/>
      <c r="Y643" s="456"/>
      <c r="Z643" s="421">
        <f>IFERROR(E643/Levelisation!F1422, 0)</f>
        <v>0.71265987690783072</v>
      </c>
      <c r="AA643" s="471">
        <f>IFERROR(F643/Levelisation!G1422, 0)</f>
        <v>1.3245227822354122</v>
      </c>
      <c r="AB643" s="471">
        <f>IFERROR(G643/Levelisation!H1422, 0)</f>
        <v>0.73071876566144989</v>
      </c>
      <c r="AC643" s="5">
        <f>IFERROR(H643/Levelisation!I1422, 0)</f>
        <v>0.52925851389018252</v>
      </c>
      <c r="AD643" s="5">
        <f>IFERROR(I643/Levelisation!J1422, 0)</f>
        <v>0.72522778232747254</v>
      </c>
      <c r="AE643" s="5">
        <f>IFERROR(J643/Levelisation!K1422, 0)</f>
        <v>0.22400390658907551</v>
      </c>
      <c r="AF643" s="6">
        <f>IFERROR(K643/Levelisation!L1422, 0)</f>
        <v>0</v>
      </c>
      <c r="AG643" s="33" t="str">
        <f t="shared" si="492"/>
        <v>2.08 &gt; Colombia</v>
      </c>
      <c r="AH643" s="84">
        <f t="shared" si="494"/>
        <v>629</v>
      </c>
      <c r="AI643" s="84">
        <f t="shared" si="495"/>
        <v>24</v>
      </c>
      <c r="AJ643" s="877" t="s">
        <v>1526</v>
      </c>
    </row>
    <row r="644" spans="1:36" x14ac:dyDescent="0.2">
      <c r="A644" s="492">
        <f>INDEX(Country!$F$31:$G$76, MATCH(AI644, Country!$O$31:$O$76, 0), 1)</f>
        <v>2.0799999999999983</v>
      </c>
      <c r="B644" s="2" t="str">
        <f>INDEX(Country!$F$31:$G$76, MATCH(AI644, Country!$O$31:$O$76, 0), 2)</f>
        <v>Local investments</v>
      </c>
      <c r="C644" s="436" t="str">
        <f>INDEX(Country!$K$31:$K$76, MATCH(AI644, Country!$O$31:$O$76, 0), 1)</f>
        <v>USDm</v>
      </c>
      <c r="D644" s="4" t="str">
        <f t="shared" si="493"/>
        <v>Costa Rica</v>
      </c>
      <c r="E644" s="43">
        <v>0</v>
      </c>
      <c r="F644" s="43">
        <v>0</v>
      </c>
      <c r="G644" s="43">
        <v>26.961067164273793</v>
      </c>
      <c r="H644" s="43">
        <v>3.2884023904718873</v>
      </c>
      <c r="I644" s="43">
        <v>75.903814483833941</v>
      </c>
      <c r="J644" s="43">
        <v>68.613451604932024</v>
      </c>
      <c r="K644" s="102">
        <v>8.2819425879942603</v>
      </c>
      <c r="L644" s="457">
        <f t="shared" si="518"/>
        <v>0</v>
      </c>
      <c r="M644" s="458">
        <f t="shared" si="519"/>
        <v>0</v>
      </c>
      <c r="N644" s="458">
        <f t="shared" si="520"/>
        <v>5.2259882742644646</v>
      </c>
      <c r="O644" s="458">
        <f t="shared" si="521"/>
        <v>1.9406367681070928</v>
      </c>
      <c r="P644" s="458">
        <f t="shared" si="522"/>
        <v>26.733275452095953</v>
      </c>
      <c r="Q644" s="458">
        <f t="shared" si="523"/>
        <v>39.107923513287091</v>
      </c>
      <c r="R644" s="459">
        <f t="shared" si="524"/>
        <v>5.153930270449985</v>
      </c>
      <c r="S644" s="455"/>
      <c r="T644" s="456"/>
      <c r="U644" s="456"/>
      <c r="V644" s="456"/>
      <c r="W644" s="456"/>
      <c r="X644" s="456"/>
      <c r="Y644" s="456"/>
      <c r="Z644" s="421">
        <f>IFERROR(E644/Levelisation!F1423, 0)</f>
        <v>0</v>
      </c>
      <c r="AA644" s="471">
        <f>IFERROR(F644/Levelisation!G1423, 0)</f>
        <v>0</v>
      </c>
      <c r="AB644" s="471">
        <f>IFERROR(G644/Levelisation!H1423, 0)</f>
        <v>0.90358157933754912</v>
      </c>
      <c r="AC644" s="5">
        <f>IFERROR(H644/Levelisation!I1423, 0)</f>
        <v>0.11191513427736743</v>
      </c>
      <c r="AD644" s="5">
        <f>IFERROR(I644/Levelisation!J1423, 0)</f>
        <v>2.0957483705294035</v>
      </c>
      <c r="AE644" s="5">
        <f>IFERROR(J644/Levelisation!K1423, 0)</f>
        <v>1.6788219135045761</v>
      </c>
      <c r="AF644" s="6">
        <f>IFERROR(K644/Levelisation!L1423, 0)</f>
        <v>0.18349675605960608</v>
      </c>
      <c r="AG644" s="33" t="str">
        <f t="shared" si="492"/>
        <v>2.08 &gt; Costa Rica</v>
      </c>
      <c r="AH644" s="84">
        <f t="shared" si="494"/>
        <v>630</v>
      </c>
      <c r="AI644" s="84">
        <f t="shared" si="495"/>
        <v>24</v>
      </c>
      <c r="AJ644" s="877" t="s">
        <v>1526</v>
      </c>
    </row>
    <row r="645" spans="1:36" x14ac:dyDescent="0.2">
      <c r="A645" s="492">
        <f>INDEX(Country!$F$31:$G$76, MATCH(AI645, Country!$O$31:$O$76, 0), 1)</f>
        <v>2.0799999999999983</v>
      </c>
      <c r="B645" s="2" t="str">
        <f>INDEX(Country!$F$31:$G$76, MATCH(AI645, Country!$O$31:$O$76, 0), 2)</f>
        <v>Local investments</v>
      </c>
      <c r="C645" s="436" t="str">
        <f>INDEX(Country!$K$31:$K$76, MATCH(AI645, Country!$O$31:$O$76, 0), 1)</f>
        <v>USDm</v>
      </c>
      <c r="D645" s="4" t="str">
        <f t="shared" si="493"/>
        <v>Dominican Republic</v>
      </c>
      <c r="E645" s="43">
        <v>0</v>
      </c>
      <c r="F645" s="43">
        <v>0</v>
      </c>
      <c r="G645" s="43">
        <v>0</v>
      </c>
      <c r="H645" s="43">
        <v>208</v>
      </c>
      <c r="I645" s="43">
        <v>29.704063087804233</v>
      </c>
      <c r="J645" s="43">
        <v>0</v>
      </c>
      <c r="K645" s="102">
        <v>107.77684818728189</v>
      </c>
      <c r="L645" s="457">
        <f t="shared" si="518"/>
        <v>0</v>
      </c>
      <c r="M645" s="458">
        <f t="shared" si="519"/>
        <v>0</v>
      </c>
      <c r="N645" s="458">
        <f t="shared" si="520"/>
        <v>0</v>
      </c>
      <c r="O645" s="458">
        <f t="shared" si="521"/>
        <v>77.209673135492906</v>
      </c>
      <c r="P645" s="458">
        <f t="shared" si="522"/>
        <v>7.3328638784762319</v>
      </c>
      <c r="Q645" s="458">
        <f t="shared" si="523"/>
        <v>0</v>
      </c>
      <c r="R645" s="459">
        <f t="shared" si="524"/>
        <v>51.311304923678293</v>
      </c>
      <c r="S645" s="455"/>
      <c r="T645" s="456"/>
      <c r="U645" s="456"/>
      <c r="V645" s="456"/>
      <c r="W645" s="456"/>
      <c r="X645" s="456"/>
      <c r="Y645" s="456"/>
      <c r="Z645" s="421">
        <f>IFERROR(E645/Levelisation!F1424, 0)</f>
        <v>0</v>
      </c>
      <c r="AA645" s="471">
        <f>IFERROR(F645/Levelisation!G1424, 0)</f>
        <v>0</v>
      </c>
      <c r="AB645" s="471">
        <f>IFERROR(G645/Levelisation!H1424, 0)</f>
        <v>0</v>
      </c>
      <c r="AC645" s="5">
        <f>IFERROR(H645/Levelisation!I1424, 0)</f>
        <v>4.4526266215695509</v>
      </c>
      <c r="AD645" s="5">
        <f>IFERROR(I645/Levelisation!J1424, 0)</f>
        <v>0.57485800990486602</v>
      </c>
      <c r="AE645" s="5">
        <f>IFERROR(J645/Levelisation!K1424, 0)</f>
        <v>0</v>
      </c>
      <c r="AF645" s="6">
        <f>IFERROR(K645/Levelisation!L1424, 0)</f>
        <v>1.8268500947061137</v>
      </c>
      <c r="AG645" s="33" t="str">
        <f t="shared" si="492"/>
        <v>2.08 &gt; Dominican Republic</v>
      </c>
      <c r="AH645" s="84">
        <f t="shared" si="494"/>
        <v>631</v>
      </c>
      <c r="AI645" s="84">
        <f t="shared" si="495"/>
        <v>24</v>
      </c>
      <c r="AJ645" s="877" t="s">
        <v>1526</v>
      </c>
    </row>
    <row r="646" spans="1:36" x14ac:dyDescent="0.2">
      <c r="A646" s="492">
        <f>INDEX(Country!$F$31:$G$76, MATCH(AI646, Country!$O$31:$O$76, 0), 1)</f>
        <v>2.0799999999999983</v>
      </c>
      <c r="B646" s="2" t="str">
        <f>INDEX(Country!$F$31:$G$76, MATCH(AI646, Country!$O$31:$O$76, 0), 2)</f>
        <v>Local investments</v>
      </c>
      <c r="C646" s="436" t="str">
        <f>INDEX(Country!$K$31:$K$76, MATCH(AI646, Country!$O$31:$O$76, 0), 1)</f>
        <v>USDm</v>
      </c>
      <c r="D646" s="4" t="str">
        <f t="shared" si="493"/>
        <v>Ecuador</v>
      </c>
      <c r="E646" s="43">
        <v>0</v>
      </c>
      <c r="F646" s="43">
        <v>6.3841150529509267</v>
      </c>
      <c r="G646" s="43">
        <v>0</v>
      </c>
      <c r="H646" s="43">
        <v>58.844823727333761</v>
      </c>
      <c r="I646" s="43">
        <v>0</v>
      </c>
      <c r="J646" s="43">
        <v>95.103790036133063</v>
      </c>
      <c r="K646" s="102">
        <v>119.67604447154373</v>
      </c>
      <c r="L646" s="457">
        <f t="shared" si="518"/>
        <v>0</v>
      </c>
      <c r="M646" s="458">
        <f t="shared" si="519"/>
        <v>0.82861492516149826</v>
      </c>
      <c r="N646" s="458">
        <f t="shared" si="520"/>
        <v>0</v>
      </c>
      <c r="O646" s="458">
        <f t="shared" si="521"/>
        <v>17.635703078639477</v>
      </c>
      <c r="P646" s="458">
        <f t="shared" si="522"/>
        <v>0</v>
      </c>
      <c r="Q646" s="458">
        <f t="shared" si="523"/>
        <v>30.33131517654207</v>
      </c>
      <c r="R646" s="459">
        <f t="shared" si="524"/>
        <v>41.535929417870435</v>
      </c>
      <c r="S646" s="455"/>
      <c r="T646" s="456"/>
      <c r="U646" s="456"/>
      <c r="V646" s="456"/>
      <c r="W646" s="456"/>
      <c r="X646" s="456"/>
      <c r="Y646" s="456"/>
      <c r="Z646" s="421">
        <f>IFERROR(E646/Levelisation!F1425, 0)</f>
        <v>0</v>
      </c>
      <c r="AA646" s="471">
        <f>IFERROR(F646/Levelisation!G1425, 0)</f>
        <v>0.12515909372943315</v>
      </c>
      <c r="AB646" s="471">
        <f>IFERROR(G646/Levelisation!H1425, 0)</f>
        <v>0</v>
      </c>
      <c r="AC646" s="5">
        <f>IFERROR(H646/Levelisation!I1425, 0)</f>
        <v>1.0170383817095656</v>
      </c>
      <c r="AD646" s="5">
        <f>IFERROR(I646/Levelisation!J1425, 0)</f>
        <v>0</v>
      </c>
      <c r="AE646" s="5">
        <f>IFERROR(J646/Levelisation!K1425, 0)</f>
        <v>1.3020603501613213</v>
      </c>
      <c r="AF646" s="6">
        <f>IFERROR(K646/Levelisation!L1425, 0)</f>
        <v>1.4788147895207251</v>
      </c>
      <c r="AG646" s="33" t="str">
        <f t="shared" si="492"/>
        <v>2.08 &gt; Ecuador</v>
      </c>
      <c r="AH646" s="84">
        <f t="shared" si="494"/>
        <v>632</v>
      </c>
      <c r="AI646" s="84">
        <f t="shared" si="495"/>
        <v>24</v>
      </c>
      <c r="AJ646" s="877" t="s">
        <v>1526</v>
      </c>
    </row>
    <row r="647" spans="1:36" x14ac:dyDescent="0.2">
      <c r="A647" s="492">
        <f>INDEX(Country!$F$31:$G$76, MATCH(AI647, Country!$O$31:$O$76, 0), 1)</f>
        <v>2.0799999999999983</v>
      </c>
      <c r="B647" s="2" t="str">
        <f>INDEX(Country!$F$31:$G$76, MATCH(AI647, Country!$O$31:$O$76, 0), 2)</f>
        <v>Local investments</v>
      </c>
      <c r="C647" s="436" t="str">
        <f>INDEX(Country!$K$31:$K$76, MATCH(AI647, Country!$O$31:$O$76, 0), 1)</f>
        <v>USDm</v>
      </c>
      <c r="D647" s="4" t="str">
        <f t="shared" si="493"/>
        <v>El Salvador</v>
      </c>
      <c r="E647" s="43">
        <v>6.7299487239288629</v>
      </c>
      <c r="F647" s="43">
        <v>0</v>
      </c>
      <c r="G647" s="43">
        <v>0</v>
      </c>
      <c r="H647" s="43">
        <v>0</v>
      </c>
      <c r="I647" s="43">
        <v>0</v>
      </c>
      <c r="J647" s="43">
        <v>0</v>
      </c>
      <c r="K647" s="102">
        <v>0</v>
      </c>
      <c r="L647" s="457">
        <f t="shared" si="518"/>
        <v>5.1899677142057872</v>
      </c>
      <c r="M647" s="458">
        <f t="shared" si="519"/>
        <v>0</v>
      </c>
      <c r="N647" s="458">
        <f t="shared" si="520"/>
        <v>0</v>
      </c>
      <c r="O647" s="458">
        <f t="shared" si="521"/>
        <v>0</v>
      </c>
      <c r="P647" s="458">
        <f t="shared" si="522"/>
        <v>0</v>
      </c>
      <c r="Q647" s="458">
        <f t="shared" si="523"/>
        <v>0</v>
      </c>
      <c r="R647" s="459">
        <f t="shared" si="524"/>
        <v>0</v>
      </c>
      <c r="S647" s="455"/>
      <c r="T647" s="456"/>
      <c r="U647" s="456"/>
      <c r="V647" s="456"/>
      <c r="W647" s="456"/>
      <c r="X647" s="456"/>
      <c r="Y647" s="456"/>
      <c r="Z647" s="421">
        <f>IFERROR(E647/Levelisation!F1426, 0)</f>
        <v>0.36278091337010748</v>
      </c>
      <c r="AA647" s="471">
        <f>IFERROR(F647/Levelisation!G1426, 0)</f>
        <v>0</v>
      </c>
      <c r="AB647" s="471">
        <f>IFERROR(G647/Levelisation!H1426, 0)</f>
        <v>0</v>
      </c>
      <c r="AC647" s="5">
        <f>IFERROR(H647/Levelisation!I1426, 0)</f>
        <v>0</v>
      </c>
      <c r="AD647" s="5">
        <f>IFERROR(I647/Levelisation!J1426, 0)</f>
        <v>0</v>
      </c>
      <c r="AE647" s="5">
        <f>IFERROR(J647/Levelisation!K1426, 0)</f>
        <v>0</v>
      </c>
      <c r="AF647" s="6">
        <f>IFERROR(K647/Levelisation!L1426, 0)</f>
        <v>0</v>
      </c>
      <c r="AG647" s="33" t="str">
        <f t="shared" si="492"/>
        <v>2.08 &gt; El Salvador</v>
      </c>
      <c r="AH647" s="84">
        <f t="shared" si="494"/>
        <v>633</v>
      </c>
      <c r="AI647" s="84">
        <f t="shared" si="495"/>
        <v>24</v>
      </c>
      <c r="AJ647" s="877" t="s">
        <v>1526</v>
      </c>
    </row>
    <row r="648" spans="1:36" x14ac:dyDescent="0.2">
      <c r="A648" s="492">
        <f>INDEX(Country!$F$31:$G$76, MATCH(AI648, Country!$O$31:$O$76, 0), 1)</f>
        <v>2.0799999999999983</v>
      </c>
      <c r="B648" s="2" t="str">
        <f>INDEX(Country!$F$31:$G$76, MATCH(AI648, Country!$O$31:$O$76, 0), 2)</f>
        <v>Local investments</v>
      </c>
      <c r="C648" s="436" t="str">
        <f>INDEX(Country!$K$31:$K$76, MATCH(AI648, Country!$O$31:$O$76, 0), 1)</f>
        <v>USDm</v>
      </c>
      <c r="D648" s="4" t="str">
        <f t="shared" si="493"/>
        <v>Guatemala</v>
      </c>
      <c r="E648" s="43">
        <v>14.659840114747954</v>
      </c>
      <c r="F648" s="43">
        <v>32.068035152420201</v>
      </c>
      <c r="G648" s="43">
        <v>0</v>
      </c>
      <c r="H648" s="43">
        <v>46.511296737127502</v>
      </c>
      <c r="I648" s="43">
        <v>15.500915188374071</v>
      </c>
      <c r="J648" s="43">
        <v>0</v>
      </c>
      <c r="K648" s="102">
        <v>0</v>
      </c>
      <c r="L648" s="457">
        <f t="shared" si="518"/>
        <v>6.9374033674231628</v>
      </c>
      <c r="M648" s="458">
        <f t="shared" si="519"/>
        <v>6.2236158558990144</v>
      </c>
      <c r="N648" s="458">
        <f t="shared" si="520"/>
        <v>0</v>
      </c>
      <c r="O648" s="458">
        <f t="shared" si="521"/>
        <v>21.373765390798862</v>
      </c>
      <c r="P648" s="458">
        <f t="shared" si="522"/>
        <v>4.7828790506140173</v>
      </c>
      <c r="Q648" s="458">
        <f t="shared" si="523"/>
        <v>0</v>
      </c>
      <c r="R648" s="459">
        <f t="shared" si="524"/>
        <v>0</v>
      </c>
      <c r="S648" s="455"/>
      <c r="T648" s="456"/>
      <c r="U648" s="456"/>
      <c r="V648" s="456"/>
      <c r="W648" s="456"/>
      <c r="X648" s="456"/>
      <c r="Y648" s="456"/>
      <c r="Z648" s="421">
        <f>IFERROR(E648/Levelisation!F1427, 0)</f>
        <v>0.48492739620746761</v>
      </c>
      <c r="AA648" s="471">
        <f>IFERROR(F648/Levelisation!G1427, 0)</f>
        <v>0.94005320999091846</v>
      </c>
      <c r="AB648" s="471">
        <f>IFERROR(G648/Levelisation!H1427, 0)</f>
        <v>0</v>
      </c>
      <c r="AC648" s="5">
        <f>IFERROR(H648/Levelisation!I1427, 0)</f>
        <v>1.232609761412188</v>
      </c>
      <c r="AD648" s="5">
        <f>IFERROR(I648/Levelisation!J1427, 0)</f>
        <v>0.37495259399564768</v>
      </c>
      <c r="AE648" s="5">
        <f>IFERROR(J648/Levelisation!K1427, 0)</f>
        <v>0</v>
      </c>
      <c r="AF648" s="6">
        <f>IFERROR(K648/Levelisation!L1427, 0)</f>
        <v>0</v>
      </c>
      <c r="AG648" s="33" t="str">
        <f t="shared" si="492"/>
        <v>2.08 &gt; Guatemala</v>
      </c>
      <c r="AH648" s="84">
        <f t="shared" si="494"/>
        <v>634</v>
      </c>
      <c r="AI648" s="84">
        <f t="shared" si="495"/>
        <v>24</v>
      </c>
      <c r="AJ648" s="877" t="s">
        <v>1526</v>
      </c>
    </row>
    <row r="649" spans="1:36" x14ac:dyDescent="0.2">
      <c r="A649" s="492">
        <f>INDEX(Country!$F$31:$G$76, MATCH(AI649, Country!$O$31:$O$76, 0), 1)</f>
        <v>2.0799999999999983</v>
      </c>
      <c r="B649" s="2" t="str">
        <f>INDEX(Country!$F$31:$G$76, MATCH(AI649, Country!$O$31:$O$76, 0), 2)</f>
        <v>Local investments</v>
      </c>
      <c r="C649" s="436" t="str">
        <f>INDEX(Country!$K$31:$K$76, MATCH(AI649, Country!$O$31:$O$76, 0), 1)</f>
        <v>USDm</v>
      </c>
      <c r="D649" s="4" t="str">
        <f t="shared" si="493"/>
        <v>Guyana</v>
      </c>
      <c r="E649" s="43">
        <v>0</v>
      </c>
      <c r="F649" s="43">
        <v>0</v>
      </c>
      <c r="G649" s="43">
        <v>33.248971981489277</v>
      </c>
      <c r="H649" s="43">
        <v>0</v>
      </c>
      <c r="I649" s="43">
        <v>0</v>
      </c>
      <c r="J649" s="43">
        <v>0</v>
      </c>
      <c r="K649" s="102">
        <v>0</v>
      </c>
      <c r="L649" s="457">
        <f t="shared" si="518"/>
        <v>0</v>
      </c>
      <c r="M649" s="458">
        <f t="shared" si="519"/>
        <v>0</v>
      </c>
      <c r="N649" s="458">
        <f t="shared" si="520"/>
        <v>100</v>
      </c>
      <c r="O649" s="458">
        <f t="shared" si="521"/>
        <v>0</v>
      </c>
      <c r="P649" s="458">
        <f t="shared" si="522"/>
        <v>0</v>
      </c>
      <c r="Q649" s="458">
        <f t="shared" si="523"/>
        <v>0</v>
      </c>
      <c r="R649" s="459">
        <f t="shared" si="524"/>
        <v>0</v>
      </c>
      <c r="S649" s="455"/>
      <c r="T649" s="456"/>
      <c r="U649" s="456"/>
      <c r="V649" s="456"/>
      <c r="W649" s="456"/>
      <c r="X649" s="456"/>
      <c r="Y649" s="456"/>
      <c r="Z649" s="421">
        <f>IFERROR(E649/Levelisation!F1428, 0)</f>
        <v>0</v>
      </c>
      <c r="AA649" s="471">
        <f>IFERROR(F649/Levelisation!G1428, 0)</f>
        <v>0</v>
      </c>
      <c r="AB649" s="471">
        <f>IFERROR(G649/Levelisation!H1428, 0)</f>
        <v>17.290157036655891</v>
      </c>
      <c r="AC649" s="5">
        <f>IFERROR(H649/Levelisation!I1428, 0)</f>
        <v>0</v>
      </c>
      <c r="AD649" s="5">
        <f>IFERROR(I649/Levelisation!J1428, 0)</f>
        <v>0</v>
      </c>
      <c r="AE649" s="5">
        <f>IFERROR(J649/Levelisation!K1428, 0)</f>
        <v>0</v>
      </c>
      <c r="AF649" s="6">
        <f>IFERROR(K649/Levelisation!L1428, 0)</f>
        <v>0</v>
      </c>
      <c r="AG649" s="33" t="str">
        <f t="shared" si="492"/>
        <v>2.08 &gt; Guyana</v>
      </c>
      <c r="AH649" s="84">
        <f t="shared" si="494"/>
        <v>635</v>
      </c>
      <c r="AI649" s="84">
        <f t="shared" si="495"/>
        <v>24</v>
      </c>
      <c r="AJ649" s="877" t="s">
        <v>1526</v>
      </c>
    </row>
    <row r="650" spans="1:36" x14ac:dyDescent="0.2">
      <c r="A650" s="492">
        <f>INDEX(Country!$F$31:$G$76, MATCH(AI650, Country!$O$31:$O$76, 0), 1)</f>
        <v>2.0799999999999983</v>
      </c>
      <c r="B650" s="2" t="str">
        <f>INDEX(Country!$F$31:$G$76, MATCH(AI650, Country!$O$31:$O$76, 0), 2)</f>
        <v>Local investments</v>
      </c>
      <c r="C650" s="436" t="str">
        <f>INDEX(Country!$K$31:$K$76, MATCH(AI650, Country!$O$31:$O$76, 0), 1)</f>
        <v>USDm</v>
      </c>
      <c r="D650" s="4" t="str">
        <f t="shared" si="493"/>
        <v>Haiti</v>
      </c>
      <c r="E650" s="43"/>
      <c r="F650" s="43"/>
      <c r="G650" s="43"/>
      <c r="H650" s="43"/>
      <c r="I650" s="43"/>
      <c r="J650" s="43"/>
      <c r="K650" s="102"/>
      <c r="L650" s="457">
        <f t="shared" si="518"/>
        <v>0</v>
      </c>
      <c r="M650" s="458">
        <f t="shared" si="519"/>
        <v>0</v>
      </c>
      <c r="N650" s="458">
        <f t="shared" si="520"/>
        <v>0</v>
      </c>
      <c r="O650" s="458">
        <f t="shared" si="521"/>
        <v>0</v>
      </c>
      <c r="P650" s="458">
        <f t="shared" si="522"/>
        <v>0</v>
      </c>
      <c r="Q650" s="458">
        <f t="shared" si="523"/>
        <v>0</v>
      </c>
      <c r="R650" s="459">
        <f t="shared" si="524"/>
        <v>0</v>
      </c>
      <c r="S650" s="455"/>
      <c r="T650" s="456"/>
      <c r="U650" s="456"/>
      <c r="V650" s="456"/>
      <c r="W650" s="456"/>
      <c r="X650" s="456"/>
      <c r="Y650" s="456"/>
      <c r="Z650" s="421">
        <f>IFERROR(E650/Levelisation!F1429, 0)</f>
        <v>0</v>
      </c>
      <c r="AA650" s="471">
        <f>IFERROR(F650/Levelisation!G1429, 0)</f>
        <v>0</v>
      </c>
      <c r="AB650" s="471">
        <f>IFERROR(G650/Levelisation!H1429, 0)</f>
        <v>0</v>
      </c>
      <c r="AC650" s="5">
        <f>IFERROR(H650/Levelisation!I1429, 0)</f>
        <v>0</v>
      </c>
      <c r="AD650" s="5">
        <f>IFERROR(I650/Levelisation!J1429, 0)</f>
        <v>0</v>
      </c>
      <c r="AE650" s="5">
        <f>IFERROR(J650/Levelisation!K1429, 0)</f>
        <v>0</v>
      </c>
      <c r="AF650" s="6">
        <f>IFERROR(K650/Levelisation!L1429, 0)</f>
        <v>0</v>
      </c>
      <c r="AG650" s="33" t="str">
        <f t="shared" si="492"/>
        <v>2.08 &gt; Haiti</v>
      </c>
      <c r="AH650" s="84">
        <f t="shared" si="494"/>
        <v>636</v>
      </c>
      <c r="AI650" s="84">
        <f t="shared" si="495"/>
        <v>24</v>
      </c>
      <c r="AJ650" s="877" t="s">
        <v>1526</v>
      </c>
    </row>
    <row r="651" spans="1:36" x14ac:dyDescent="0.2">
      <c r="A651" s="492">
        <f>INDEX(Country!$F$31:$G$76, MATCH(AI651, Country!$O$31:$O$76, 0), 1)</f>
        <v>2.0799999999999983</v>
      </c>
      <c r="B651" s="2" t="str">
        <f>INDEX(Country!$F$31:$G$76, MATCH(AI651, Country!$O$31:$O$76, 0), 2)</f>
        <v>Local investments</v>
      </c>
      <c r="C651" s="436" t="str">
        <f>INDEX(Country!$K$31:$K$76, MATCH(AI651, Country!$O$31:$O$76, 0), 1)</f>
        <v>USDm</v>
      </c>
      <c r="D651" s="4" t="str">
        <f t="shared" si="493"/>
        <v>Honduras</v>
      </c>
      <c r="E651" s="43">
        <v>0</v>
      </c>
      <c r="F651" s="43">
        <v>0</v>
      </c>
      <c r="G651" s="43">
        <v>22.025132443241933</v>
      </c>
      <c r="H651" s="43">
        <v>0</v>
      </c>
      <c r="I651" s="43">
        <v>123.73826895889263</v>
      </c>
      <c r="J651" s="43">
        <v>30.223541909668697</v>
      </c>
      <c r="K651" s="102">
        <v>0</v>
      </c>
      <c r="L651" s="457">
        <f t="shared" si="518"/>
        <v>0</v>
      </c>
      <c r="M651" s="458">
        <f t="shared" si="519"/>
        <v>0</v>
      </c>
      <c r="N651" s="458">
        <f t="shared" si="520"/>
        <v>9.2054763082701214</v>
      </c>
      <c r="O651" s="458">
        <f t="shared" si="521"/>
        <v>0</v>
      </c>
      <c r="P651" s="458">
        <f t="shared" si="522"/>
        <v>100</v>
      </c>
      <c r="Q651" s="458">
        <f t="shared" si="523"/>
        <v>39.966690214266208</v>
      </c>
      <c r="R651" s="459">
        <f t="shared" si="524"/>
        <v>0</v>
      </c>
      <c r="S651" s="455"/>
      <c r="T651" s="456"/>
      <c r="U651" s="456"/>
      <c r="V651" s="456"/>
      <c r="W651" s="456"/>
      <c r="X651" s="456"/>
      <c r="Y651" s="456"/>
      <c r="Z651" s="421">
        <f>IFERROR(E651/Levelisation!F1430, 0)</f>
        <v>0</v>
      </c>
      <c r="AA651" s="471">
        <f>IFERROR(F651/Levelisation!G1430, 0)</f>
        <v>0</v>
      </c>
      <c r="AB651" s="471">
        <f>IFERROR(G651/Levelisation!H1430, 0)</f>
        <v>1.5916413096720576</v>
      </c>
      <c r="AC651" s="5">
        <f>IFERROR(H651/Levelisation!I1430, 0)</f>
        <v>0</v>
      </c>
      <c r="AD651" s="5">
        <f>IFERROR(I651/Levelisation!J1430, 0)</f>
        <v>7.8394747186323253</v>
      </c>
      <c r="AE651" s="5">
        <f>IFERROR(J651/Levelisation!K1430, 0)</f>
        <v>1.7156869839730187</v>
      </c>
      <c r="AF651" s="6">
        <f>IFERROR(K651/Levelisation!L1430, 0)</f>
        <v>0</v>
      </c>
      <c r="AG651" s="33" t="str">
        <f t="shared" si="492"/>
        <v>2.08 &gt; Honduras</v>
      </c>
      <c r="AH651" s="84">
        <f t="shared" si="494"/>
        <v>637</v>
      </c>
      <c r="AI651" s="84">
        <f t="shared" si="495"/>
        <v>24</v>
      </c>
      <c r="AJ651" s="877" t="s">
        <v>1526</v>
      </c>
    </row>
    <row r="652" spans="1:36" x14ac:dyDescent="0.2">
      <c r="A652" s="492">
        <f>INDEX(Country!$F$31:$G$76, MATCH(AI652, Country!$O$31:$O$76, 0), 1)</f>
        <v>2.0799999999999983</v>
      </c>
      <c r="B652" s="2" t="str">
        <f>INDEX(Country!$F$31:$G$76, MATCH(AI652, Country!$O$31:$O$76, 0), 2)</f>
        <v>Local investments</v>
      </c>
      <c r="C652" s="436" t="str">
        <f>INDEX(Country!$K$31:$K$76, MATCH(AI652, Country!$O$31:$O$76, 0), 1)</f>
        <v>USDm</v>
      </c>
      <c r="D652" s="4" t="str">
        <f t="shared" si="493"/>
        <v>Jamaica</v>
      </c>
      <c r="E652" s="43">
        <v>19.615079451316507</v>
      </c>
      <c r="F652" s="43">
        <v>0</v>
      </c>
      <c r="G652" s="43">
        <v>0</v>
      </c>
      <c r="H652" s="43">
        <v>0</v>
      </c>
      <c r="I652" s="43">
        <v>53.335460758143363</v>
      </c>
      <c r="J652" s="43">
        <v>0</v>
      </c>
      <c r="K652" s="102">
        <v>0</v>
      </c>
      <c r="L652" s="457">
        <f t="shared" si="518"/>
        <v>23.496158630413927</v>
      </c>
      <c r="M652" s="458">
        <f t="shared" si="519"/>
        <v>0</v>
      </c>
      <c r="N652" s="458">
        <f t="shared" si="520"/>
        <v>0</v>
      </c>
      <c r="O652" s="458">
        <f t="shared" si="521"/>
        <v>0</v>
      </c>
      <c r="P652" s="458">
        <f t="shared" si="522"/>
        <v>50.425795107189941</v>
      </c>
      <c r="Q652" s="458">
        <f t="shared" si="523"/>
        <v>0</v>
      </c>
      <c r="R652" s="459">
        <f t="shared" si="524"/>
        <v>0</v>
      </c>
      <c r="S652" s="455"/>
      <c r="T652" s="456"/>
      <c r="U652" s="456"/>
      <c r="V652" s="456"/>
      <c r="W652" s="456"/>
      <c r="X652" s="456"/>
      <c r="Y652" s="456"/>
      <c r="Z652" s="421">
        <f>IFERROR(E652/Levelisation!F1431, 0)</f>
        <v>1.6423913130131884</v>
      </c>
      <c r="AA652" s="471">
        <f>IFERROR(F652/Levelisation!G1431, 0)</f>
        <v>0</v>
      </c>
      <c r="AB652" s="471">
        <f>IFERROR(G652/Levelisation!H1431, 0)</f>
        <v>0</v>
      </c>
      <c r="AC652" s="5">
        <f>IFERROR(H652/Levelisation!I1431, 0)</f>
        <v>0</v>
      </c>
      <c r="AD652" s="5">
        <f>IFERROR(I652/Levelisation!J1431, 0)</f>
        <v>3.9531174590974918</v>
      </c>
      <c r="AE652" s="5">
        <f>IFERROR(J652/Levelisation!K1431, 0)</f>
        <v>0</v>
      </c>
      <c r="AF652" s="6">
        <f>IFERROR(K652/Levelisation!L1431, 0)</f>
        <v>0</v>
      </c>
      <c r="AG652" s="33" t="str">
        <f t="shared" si="492"/>
        <v>2.08 &gt; Jamaica</v>
      </c>
      <c r="AH652" s="84">
        <f t="shared" si="494"/>
        <v>638</v>
      </c>
      <c r="AI652" s="84">
        <f t="shared" si="495"/>
        <v>24</v>
      </c>
      <c r="AJ652" s="877" t="s">
        <v>1526</v>
      </c>
    </row>
    <row r="653" spans="1:36" x14ac:dyDescent="0.2">
      <c r="A653" s="492">
        <f>INDEX(Country!$F$31:$G$76, MATCH(AI653, Country!$O$31:$O$76, 0), 1)</f>
        <v>2.0799999999999983</v>
      </c>
      <c r="B653" s="2" t="str">
        <f>INDEX(Country!$F$31:$G$76, MATCH(AI653, Country!$O$31:$O$76, 0), 2)</f>
        <v>Local investments</v>
      </c>
      <c r="C653" s="436" t="str">
        <f>INDEX(Country!$K$31:$K$76, MATCH(AI653, Country!$O$31:$O$76, 0), 1)</f>
        <v>USDm</v>
      </c>
      <c r="D653" s="4" t="str">
        <f t="shared" si="493"/>
        <v>Mexico</v>
      </c>
      <c r="E653" s="43">
        <v>169.52557407955561</v>
      </c>
      <c r="F653" s="43">
        <v>208.56811339382284</v>
      </c>
      <c r="G653" s="43">
        <v>309.38542667791546</v>
      </c>
      <c r="H653" s="43">
        <v>213.64833112326659</v>
      </c>
      <c r="I653" s="43">
        <v>1182.8296077361058</v>
      </c>
      <c r="J653" s="43">
        <v>140.19260607188818</v>
      </c>
      <c r="K653" s="102">
        <v>915.90019667377157</v>
      </c>
      <c r="L653" s="457">
        <f t="shared" si="518"/>
        <v>2.548381874875687</v>
      </c>
      <c r="M653" s="458">
        <f t="shared" si="519"/>
        <v>1.3340879993477746</v>
      </c>
      <c r="N653" s="458">
        <f t="shared" si="520"/>
        <v>1.6360072783283126</v>
      </c>
      <c r="O653" s="458">
        <f t="shared" si="521"/>
        <v>4.1963904458017058</v>
      </c>
      <c r="P653" s="458">
        <f t="shared" si="522"/>
        <v>14.5899353190581</v>
      </c>
      <c r="Q653" s="458">
        <f t="shared" si="523"/>
        <v>2.8194437241850929</v>
      </c>
      <c r="R653" s="459">
        <f t="shared" si="524"/>
        <v>21.8544075079202</v>
      </c>
      <c r="S653" s="455"/>
      <c r="T653" s="456"/>
      <c r="U653" s="456"/>
      <c r="V653" s="456"/>
      <c r="W653" s="456"/>
      <c r="X653" s="456"/>
      <c r="Y653" s="456"/>
      <c r="Z653" s="421">
        <f>IFERROR(E653/Levelisation!F1432, 0)</f>
        <v>0.17813295864109324</v>
      </c>
      <c r="AA653" s="471">
        <f>IFERROR(F653/Levelisation!G1432, 0)</f>
        <v>0.20150885517918563</v>
      </c>
      <c r="AB653" s="471">
        <f>IFERROR(G653/Levelisation!H1432, 0)</f>
        <v>0.28286822755408531</v>
      </c>
      <c r="AC653" s="5">
        <f>IFERROR(H653/Levelisation!I1432, 0)</f>
        <v>0.24200283532721509</v>
      </c>
      <c r="AD653" s="5">
        <f>IFERROR(I653/Levelisation!J1432, 0)</f>
        <v>1.1437742908023683</v>
      </c>
      <c r="AE653" s="5">
        <f>IFERROR(J653/Levelisation!K1432, 0)</f>
        <v>0.12103286195818379</v>
      </c>
      <c r="AF653" s="6">
        <f>IFERROR(K653/Levelisation!L1432, 0)</f>
        <v>0.77808830792697714</v>
      </c>
      <c r="AG653" s="33" t="str">
        <f t="shared" si="492"/>
        <v>2.08 &gt; Mexico</v>
      </c>
      <c r="AH653" s="84">
        <f t="shared" si="494"/>
        <v>639</v>
      </c>
      <c r="AI653" s="84">
        <f t="shared" si="495"/>
        <v>24</v>
      </c>
      <c r="AJ653" s="877" t="s">
        <v>1526</v>
      </c>
    </row>
    <row r="654" spans="1:36" x14ac:dyDescent="0.2">
      <c r="A654" s="492">
        <f>INDEX(Country!$F$31:$G$76, MATCH(AI654, Country!$O$31:$O$76, 0), 1)</f>
        <v>2.0799999999999983</v>
      </c>
      <c r="B654" s="2" t="str">
        <f>INDEX(Country!$F$31:$G$76, MATCH(AI654, Country!$O$31:$O$76, 0), 2)</f>
        <v>Local investments</v>
      </c>
      <c r="C654" s="436" t="str">
        <f>INDEX(Country!$K$31:$K$76, MATCH(AI654, Country!$O$31:$O$76, 0), 1)</f>
        <v>USDm</v>
      </c>
      <c r="D654" s="4" t="str">
        <f t="shared" si="493"/>
        <v>Nicaragua</v>
      </c>
      <c r="E654" s="43">
        <v>47.434423751637532</v>
      </c>
      <c r="F654" s="43">
        <v>7.7346009295366986</v>
      </c>
      <c r="G654" s="43">
        <v>13.992514920671304</v>
      </c>
      <c r="H654" s="43">
        <v>0</v>
      </c>
      <c r="I654" s="43">
        <v>0</v>
      </c>
      <c r="J654" s="43">
        <v>41.365346214390151</v>
      </c>
      <c r="K654" s="102">
        <v>6.1954811633240929</v>
      </c>
      <c r="L654" s="457">
        <f t="shared" si="518"/>
        <v>100</v>
      </c>
      <c r="M654" s="458">
        <f t="shared" si="519"/>
        <v>6.8761746507787729</v>
      </c>
      <c r="N654" s="458">
        <f t="shared" si="520"/>
        <v>9.8046563501692443</v>
      </c>
      <c r="O654" s="458">
        <f t="shared" si="521"/>
        <v>0</v>
      </c>
      <c r="P654" s="458">
        <f t="shared" si="522"/>
        <v>0</v>
      </c>
      <c r="Q654" s="458">
        <f t="shared" si="523"/>
        <v>100</v>
      </c>
      <c r="R654" s="459">
        <f t="shared" si="524"/>
        <v>16.563335237007429</v>
      </c>
      <c r="S654" s="455"/>
      <c r="T654" s="456"/>
      <c r="U654" s="456"/>
      <c r="V654" s="456"/>
      <c r="W654" s="456"/>
      <c r="X654" s="456"/>
      <c r="Y654" s="456"/>
      <c r="Z654" s="421">
        <f>IFERROR(E654/Levelisation!F1433, 0)</f>
        <v>6.9900418142701941</v>
      </c>
      <c r="AA654" s="471">
        <f>IFERROR(F654/Levelisation!G1433, 0)</f>
        <v>1.0386197031739894</v>
      </c>
      <c r="AB654" s="471">
        <f>IFERROR(G654/Levelisation!H1433, 0)</f>
        <v>1.6952404798487164</v>
      </c>
      <c r="AC654" s="5">
        <f>IFERROR(H654/Levelisation!I1433, 0)</f>
        <v>0</v>
      </c>
      <c r="AD654" s="5">
        <f>IFERROR(I654/Levelisation!J1433, 0)</f>
        <v>0</v>
      </c>
      <c r="AE654" s="5">
        <f>IFERROR(J654/Levelisation!K1433, 0)</f>
        <v>4.2927922596917965</v>
      </c>
      <c r="AF654" s="6">
        <f>IFERROR(K654/Levelisation!L1433, 0)</f>
        <v>0.58970884859357442</v>
      </c>
      <c r="AG654" s="33" t="str">
        <f t="shared" si="492"/>
        <v>2.08 &gt; Nicaragua</v>
      </c>
      <c r="AH654" s="84">
        <f t="shared" si="494"/>
        <v>640</v>
      </c>
      <c r="AI654" s="84">
        <f t="shared" si="495"/>
        <v>24</v>
      </c>
      <c r="AJ654" s="877" t="s">
        <v>1526</v>
      </c>
    </row>
    <row r="655" spans="1:36" x14ac:dyDescent="0.2">
      <c r="A655" s="492">
        <f>INDEX(Country!$F$31:$G$76, MATCH(AI655, Country!$O$31:$O$76, 0), 1)</f>
        <v>2.0799999999999983</v>
      </c>
      <c r="B655" s="2" t="str">
        <f>INDEX(Country!$F$31:$G$76, MATCH(AI655, Country!$O$31:$O$76, 0), 2)</f>
        <v>Local investments</v>
      </c>
      <c r="C655" s="436" t="str">
        <f>INDEX(Country!$K$31:$K$76, MATCH(AI655, Country!$O$31:$O$76, 0), 1)</f>
        <v>USDm</v>
      </c>
      <c r="D655" s="4" t="str">
        <f t="shared" si="493"/>
        <v>Panama</v>
      </c>
      <c r="E655" s="43">
        <v>7.6767671466861254</v>
      </c>
      <c r="F655" s="43">
        <v>41.803479624135491</v>
      </c>
      <c r="G655" s="43">
        <v>143.39278934402302</v>
      </c>
      <c r="H655" s="43">
        <v>139.34629261825876</v>
      </c>
      <c r="I655" s="43">
        <v>56.732844829817942</v>
      </c>
      <c r="J655" s="43">
        <v>101.23578161301364</v>
      </c>
      <c r="K655" s="102">
        <v>129.07252423591856</v>
      </c>
      <c r="L655" s="457">
        <f t="shared" si="518"/>
        <v>6.4086093233839803</v>
      </c>
      <c r="M655" s="458">
        <f t="shared" si="519"/>
        <v>13.981997136569841</v>
      </c>
      <c r="N655" s="458">
        <f t="shared" si="520"/>
        <v>36.054773869822569</v>
      </c>
      <c r="O655" s="458">
        <f t="shared" si="521"/>
        <v>99.999999999999986</v>
      </c>
      <c r="P655" s="458">
        <f t="shared" si="522"/>
        <v>26.750516085870469</v>
      </c>
      <c r="Q655" s="458">
        <f t="shared" si="523"/>
        <v>75.305705859213887</v>
      </c>
      <c r="R655" s="459">
        <f t="shared" si="524"/>
        <v>100</v>
      </c>
      <c r="S655" s="455"/>
      <c r="T655" s="456"/>
      <c r="U655" s="456"/>
      <c r="V655" s="456"/>
      <c r="W655" s="456"/>
      <c r="X655" s="456"/>
      <c r="Y655" s="456"/>
      <c r="Z655" s="421">
        <f>IFERROR(E655/Levelisation!F1434, 0)</f>
        <v>0.44796447141775836</v>
      </c>
      <c r="AA655" s="471">
        <f>IFERROR(F655/Levelisation!G1434, 0)</f>
        <v>2.1119268275303371</v>
      </c>
      <c r="AB655" s="471">
        <f>IFERROR(G655/Levelisation!H1434, 0)</f>
        <v>6.2339270213034963</v>
      </c>
      <c r="AC655" s="5">
        <f>IFERROR(H655/Levelisation!I1434, 0)</f>
        <v>5.7669284699026928</v>
      </c>
      <c r="AD655" s="5">
        <f>IFERROR(I655/Levelisation!J1434, 0)</f>
        <v>2.0970999456554891</v>
      </c>
      <c r="AE655" s="5">
        <f>IFERROR(J655/Levelisation!K1434, 0)</f>
        <v>3.2327175122306055</v>
      </c>
      <c r="AF655" s="6">
        <f>IFERROR(K655/Levelisation!L1434, 0)</f>
        <v>3.5603267105044702</v>
      </c>
      <c r="AG655" s="33" t="str">
        <f t="shared" ref="AG655:AG718" si="525">A655&amp;" &gt; " &amp;D655</f>
        <v>2.08 &gt; Panama</v>
      </c>
      <c r="AH655" s="84">
        <f t="shared" si="494"/>
        <v>641</v>
      </c>
      <c r="AI655" s="84">
        <f t="shared" si="495"/>
        <v>24</v>
      </c>
      <c r="AJ655" s="877" t="s">
        <v>1526</v>
      </c>
    </row>
    <row r="656" spans="1:36" x14ac:dyDescent="0.2">
      <c r="A656" s="492">
        <f>INDEX(Country!$F$31:$G$76, MATCH(AI656, Country!$O$31:$O$76, 0), 1)</f>
        <v>2.0799999999999983</v>
      </c>
      <c r="B656" s="2" t="str">
        <f>INDEX(Country!$F$31:$G$76, MATCH(AI656, Country!$O$31:$O$76, 0), 2)</f>
        <v>Local investments</v>
      </c>
      <c r="C656" s="436" t="str">
        <f>INDEX(Country!$K$31:$K$76, MATCH(AI656, Country!$O$31:$O$76, 0), 1)</f>
        <v>USDm</v>
      </c>
      <c r="D656" s="4" t="str">
        <f t="shared" ref="D656:D719" si="526">D629</f>
        <v>Paraguay</v>
      </c>
      <c r="E656" s="43">
        <v>0</v>
      </c>
      <c r="F656" s="43">
        <v>9.6204105457260614</v>
      </c>
      <c r="G656" s="43">
        <v>0</v>
      </c>
      <c r="H656" s="43">
        <v>0</v>
      </c>
      <c r="I656" s="43">
        <v>0</v>
      </c>
      <c r="J656" s="43">
        <v>20.45992149915822</v>
      </c>
      <c r="K656" s="102">
        <v>0</v>
      </c>
      <c r="L656" s="457">
        <f t="shared" si="518"/>
        <v>0</v>
      </c>
      <c r="M656" s="458">
        <f t="shared" si="519"/>
        <v>4.5795126767101619</v>
      </c>
      <c r="N656" s="458">
        <f t="shared" si="520"/>
        <v>0</v>
      </c>
      <c r="O656" s="458">
        <f t="shared" si="521"/>
        <v>0</v>
      </c>
      <c r="P656" s="458">
        <f t="shared" si="522"/>
        <v>0</v>
      </c>
      <c r="Q656" s="458">
        <f t="shared" si="523"/>
        <v>19.792816951865401</v>
      </c>
      <c r="R656" s="459">
        <f t="shared" si="524"/>
        <v>0</v>
      </c>
      <c r="S656" s="455"/>
      <c r="T656" s="456"/>
      <c r="U656" s="456"/>
      <c r="V656" s="456"/>
      <c r="W656" s="456"/>
      <c r="X656" s="456"/>
      <c r="Y656" s="456"/>
      <c r="Z656" s="421">
        <f>IFERROR(E656/Levelisation!F1435, 0)</f>
        <v>0</v>
      </c>
      <c r="AA656" s="471">
        <f>IFERROR(F656/Levelisation!G1435, 0)</f>
        <v>0.69171775566048765</v>
      </c>
      <c r="AB656" s="471">
        <f>IFERROR(G656/Levelisation!H1435, 0)</f>
        <v>0</v>
      </c>
      <c r="AC656" s="5">
        <f>IFERROR(H656/Levelisation!I1435, 0)</f>
        <v>0</v>
      </c>
      <c r="AD656" s="5">
        <f>IFERROR(I656/Levelisation!J1435, 0)</f>
        <v>0</v>
      </c>
      <c r="AE656" s="5">
        <f>IFERROR(J656/Levelisation!K1435, 0)</f>
        <v>0.84966451408464372</v>
      </c>
      <c r="AF656" s="6">
        <f>IFERROR(K656/Levelisation!L1435, 0)</f>
        <v>0</v>
      </c>
      <c r="AG656" s="33" t="str">
        <f t="shared" si="525"/>
        <v>2.08 &gt; Paraguay</v>
      </c>
      <c r="AH656" s="84">
        <f t="shared" si="494"/>
        <v>642</v>
      </c>
      <c r="AI656" s="84">
        <f t="shared" si="495"/>
        <v>24</v>
      </c>
      <c r="AJ656" s="877" t="s">
        <v>1526</v>
      </c>
    </row>
    <row r="657" spans="1:36" x14ac:dyDescent="0.2">
      <c r="A657" s="492">
        <f>INDEX(Country!$F$31:$G$76, MATCH(AI657, Country!$O$31:$O$76, 0), 1)</f>
        <v>2.0799999999999983</v>
      </c>
      <c r="B657" s="2" t="str">
        <f>INDEX(Country!$F$31:$G$76, MATCH(AI657, Country!$O$31:$O$76, 0), 2)</f>
        <v>Local investments</v>
      </c>
      <c r="C657" s="436" t="str">
        <f>INDEX(Country!$K$31:$K$76, MATCH(AI657, Country!$O$31:$O$76, 0), 1)</f>
        <v>USDm</v>
      </c>
      <c r="D657" s="4" t="str">
        <f t="shared" si="526"/>
        <v>Peru</v>
      </c>
      <c r="E657" s="43">
        <v>0</v>
      </c>
      <c r="F657" s="43">
        <v>0</v>
      </c>
      <c r="G657" s="43">
        <v>38.612238124671691</v>
      </c>
      <c r="H657" s="43">
        <v>209.54350711823184</v>
      </c>
      <c r="I657" s="43">
        <v>391.2880717897612</v>
      </c>
      <c r="J657" s="43">
        <v>0.88662373230712022</v>
      </c>
      <c r="K657" s="102">
        <v>83.170039672898554</v>
      </c>
      <c r="L657" s="457">
        <f t="shared" si="518"/>
        <v>0</v>
      </c>
      <c r="M657" s="458">
        <f t="shared" si="519"/>
        <v>0</v>
      </c>
      <c r="N657" s="458">
        <f t="shared" si="520"/>
        <v>1.7602344701736679</v>
      </c>
      <c r="O657" s="458">
        <f t="shared" si="521"/>
        <v>28.62112336956611</v>
      </c>
      <c r="P657" s="458">
        <f t="shared" si="522"/>
        <v>32.43516998454124</v>
      </c>
      <c r="Q657" s="458">
        <f t="shared" si="523"/>
        <v>0.1157171572496867</v>
      </c>
      <c r="R657" s="459">
        <f t="shared" si="524"/>
        <v>11.738630505851836</v>
      </c>
      <c r="S657" s="455"/>
      <c r="T657" s="456"/>
      <c r="U657" s="456"/>
      <c r="V657" s="456"/>
      <c r="W657" s="456"/>
      <c r="X657" s="456"/>
      <c r="Y657" s="456"/>
      <c r="Z657" s="421">
        <f>IFERROR(E657/Levelisation!F1436, 0)</f>
        <v>0</v>
      </c>
      <c r="AA657" s="471">
        <f>IFERROR(F657/Levelisation!G1436, 0)</f>
        <v>0</v>
      </c>
      <c r="AB657" s="471">
        <f>IFERROR(G657/Levelisation!H1436, 0)</f>
        <v>0.30434730410637501</v>
      </c>
      <c r="AC657" s="5">
        <f>IFERROR(H657/Levelisation!I1436, 0)</f>
        <v>1.6505597120054811</v>
      </c>
      <c r="AD657" s="5">
        <f>IFERROR(I657/Levelisation!J1436, 0)</f>
        <v>2.5427469508835308</v>
      </c>
      <c r="AE657" s="5">
        <f>IFERROR(J657/Levelisation!K1436, 0)</f>
        <v>4.9674971695499353E-3</v>
      </c>
      <c r="AF657" s="6">
        <f>IFERROR(K657/Levelisation!L1436, 0)</f>
        <v>0.41793359734726893</v>
      </c>
      <c r="AG657" s="33" t="str">
        <f t="shared" si="525"/>
        <v>2.08 &gt; Peru</v>
      </c>
      <c r="AH657" s="84">
        <f t="shared" ref="AH657:AH720" si="527">AH656+1</f>
        <v>643</v>
      </c>
      <c r="AI657" s="84">
        <f t="shared" ref="AI657:AI720" si="528">ROUNDUP(AH657/COUNTA($D$15:$D$41),0)</f>
        <v>24</v>
      </c>
      <c r="AJ657" s="877" t="s">
        <v>1526</v>
      </c>
    </row>
    <row r="658" spans="1:36" x14ac:dyDescent="0.2">
      <c r="A658" s="492">
        <f>INDEX(Country!$F$31:$G$76, MATCH(AI658, Country!$O$31:$O$76, 0), 1)</f>
        <v>2.0799999999999983</v>
      </c>
      <c r="B658" s="2" t="str">
        <f>INDEX(Country!$F$31:$G$76, MATCH(AI658, Country!$O$31:$O$76, 0), 2)</f>
        <v>Local investments</v>
      </c>
      <c r="C658" s="436" t="str">
        <f>INDEX(Country!$K$31:$K$76, MATCH(AI658, Country!$O$31:$O$76, 0), 1)</f>
        <v>USDm</v>
      </c>
      <c r="D658" s="4" t="str">
        <f t="shared" si="526"/>
        <v>Suriname</v>
      </c>
      <c r="E658" s="43"/>
      <c r="F658" s="43"/>
      <c r="G658" s="43"/>
      <c r="H658" s="43"/>
      <c r="I658" s="43"/>
      <c r="J658" s="43"/>
      <c r="K658" s="102"/>
      <c r="L658" s="457">
        <f t="shared" si="518"/>
        <v>0</v>
      </c>
      <c r="M658" s="458">
        <f t="shared" si="519"/>
        <v>0</v>
      </c>
      <c r="N658" s="458">
        <f t="shared" si="520"/>
        <v>0</v>
      </c>
      <c r="O658" s="458">
        <f t="shared" si="521"/>
        <v>0</v>
      </c>
      <c r="P658" s="458">
        <f t="shared" si="522"/>
        <v>0</v>
      </c>
      <c r="Q658" s="458">
        <f t="shared" si="523"/>
        <v>0</v>
      </c>
      <c r="R658" s="459">
        <f t="shared" si="524"/>
        <v>0</v>
      </c>
      <c r="S658" s="455"/>
      <c r="T658" s="456"/>
      <c r="U658" s="456"/>
      <c r="V658" s="456"/>
      <c r="W658" s="456"/>
      <c r="X658" s="456"/>
      <c r="Y658" s="456"/>
      <c r="Z658" s="421">
        <f>IFERROR(E658/Levelisation!F1437, 0)</f>
        <v>0</v>
      </c>
      <c r="AA658" s="471">
        <f>IFERROR(F658/Levelisation!G1437, 0)</f>
        <v>0</v>
      </c>
      <c r="AB658" s="471">
        <f>IFERROR(G658/Levelisation!H1437, 0)</f>
        <v>0</v>
      </c>
      <c r="AC658" s="5">
        <f>IFERROR(H658/Levelisation!I1437, 0)</f>
        <v>0</v>
      </c>
      <c r="AD658" s="5">
        <f>IFERROR(I658/Levelisation!J1437, 0)</f>
        <v>0</v>
      </c>
      <c r="AE658" s="5">
        <f>IFERROR(J658/Levelisation!K1437, 0)</f>
        <v>0</v>
      </c>
      <c r="AF658" s="6">
        <f>IFERROR(K658/Levelisation!L1437, 0)</f>
        <v>0</v>
      </c>
      <c r="AG658" s="33" t="str">
        <f t="shared" si="525"/>
        <v>2.08 &gt; Suriname</v>
      </c>
      <c r="AH658" s="84">
        <f t="shared" si="527"/>
        <v>644</v>
      </c>
      <c r="AI658" s="84">
        <f t="shared" si="528"/>
        <v>24</v>
      </c>
      <c r="AJ658" s="877" t="s">
        <v>1526</v>
      </c>
    </row>
    <row r="659" spans="1:36" x14ac:dyDescent="0.2">
      <c r="A659" s="492">
        <f>INDEX(Country!$F$31:$G$76, MATCH(AI659, Country!$O$31:$O$76, 0), 1)</f>
        <v>2.0799999999999983</v>
      </c>
      <c r="B659" s="2" t="str">
        <f>INDEX(Country!$F$31:$G$76, MATCH(AI659, Country!$O$31:$O$76, 0), 2)</f>
        <v>Local investments</v>
      </c>
      <c r="C659" s="436" t="str">
        <f>INDEX(Country!$K$31:$K$76, MATCH(AI659, Country!$O$31:$O$76, 0), 1)</f>
        <v>USDm</v>
      </c>
      <c r="D659" s="4" t="str">
        <f t="shared" si="526"/>
        <v>Trinidad &amp; Tobago</v>
      </c>
      <c r="E659" s="43">
        <v>0</v>
      </c>
      <c r="F659" s="43">
        <v>0</v>
      </c>
      <c r="G659" s="43">
        <v>0</v>
      </c>
      <c r="H659" s="43">
        <v>0</v>
      </c>
      <c r="I659" s="43">
        <v>0</v>
      </c>
      <c r="J659" s="43">
        <v>0</v>
      </c>
      <c r="K659" s="102">
        <v>0</v>
      </c>
      <c r="L659" s="457">
        <f t="shared" si="518"/>
        <v>0</v>
      </c>
      <c r="M659" s="458">
        <f t="shared" si="519"/>
        <v>0</v>
      </c>
      <c r="N659" s="458">
        <f t="shared" si="520"/>
        <v>0</v>
      </c>
      <c r="O659" s="458">
        <f t="shared" si="521"/>
        <v>0</v>
      </c>
      <c r="P659" s="458">
        <f t="shared" si="522"/>
        <v>0</v>
      </c>
      <c r="Q659" s="458">
        <f t="shared" si="523"/>
        <v>0</v>
      </c>
      <c r="R659" s="459">
        <f t="shared" si="524"/>
        <v>0</v>
      </c>
      <c r="S659" s="455"/>
      <c r="T659" s="456"/>
      <c r="U659" s="456"/>
      <c r="V659" s="456"/>
      <c r="W659" s="456"/>
      <c r="X659" s="456"/>
      <c r="Y659" s="456"/>
      <c r="Z659" s="421">
        <f>IFERROR(E659/Levelisation!F1438, 0)</f>
        <v>0</v>
      </c>
      <c r="AA659" s="471">
        <f>IFERROR(F659/Levelisation!G1438, 0)</f>
        <v>0</v>
      </c>
      <c r="AB659" s="471">
        <f>IFERROR(G659/Levelisation!H1438, 0)</f>
        <v>0</v>
      </c>
      <c r="AC659" s="5">
        <f>IFERROR(H659/Levelisation!I1438, 0)</f>
        <v>0</v>
      </c>
      <c r="AD659" s="5">
        <f>IFERROR(I659/Levelisation!J1438, 0)</f>
        <v>0</v>
      </c>
      <c r="AE659" s="5">
        <f>IFERROR(J659/Levelisation!K1438, 0)</f>
        <v>0</v>
      </c>
      <c r="AF659" s="6">
        <f>IFERROR(K659/Levelisation!L1438, 0)</f>
        <v>0</v>
      </c>
      <c r="AG659" s="33" t="str">
        <f t="shared" si="525"/>
        <v>2.08 &gt; Trinidad &amp; Tobago</v>
      </c>
      <c r="AH659" s="84">
        <f t="shared" si="527"/>
        <v>645</v>
      </c>
      <c r="AI659" s="84">
        <f t="shared" si="528"/>
        <v>24</v>
      </c>
      <c r="AJ659" s="877" t="s">
        <v>1526</v>
      </c>
    </row>
    <row r="660" spans="1:36" x14ac:dyDescent="0.2">
      <c r="A660" s="492">
        <f>INDEX(Country!$F$31:$G$76, MATCH(AI660, Country!$O$31:$O$76, 0), 1)</f>
        <v>2.0799999999999983</v>
      </c>
      <c r="B660" s="2" t="str">
        <f>INDEX(Country!$F$31:$G$76, MATCH(AI660, Country!$O$31:$O$76, 0), 2)</f>
        <v>Local investments</v>
      </c>
      <c r="C660" s="436" t="str">
        <f>INDEX(Country!$K$31:$K$76, MATCH(AI660, Country!$O$31:$O$76, 0), 1)</f>
        <v>USDm</v>
      </c>
      <c r="D660" s="4" t="str">
        <f t="shared" si="526"/>
        <v>Uruguay</v>
      </c>
      <c r="E660" s="43">
        <v>26.97568428778002</v>
      </c>
      <c r="F660" s="43">
        <v>0</v>
      </c>
      <c r="G660" s="43">
        <v>95.520304041435935</v>
      </c>
      <c r="H660" s="43">
        <v>56.01537950516537</v>
      </c>
      <c r="I660" s="43">
        <v>43.791220411949297</v>
      </c>
      <c r="J660" s="43">
        <v>27.207342419093379</v>
      </c>
      <c r="K660" s="102">
        <v>0</v>
      </c>
      <c r="L660" s="457">
        <f t="shared" si="518"/>
        <v>19.710706450799222</v>
      </c>
      <c r="M660" s="458">
        <f t="shared" si="519"/>
        <v>0</v>
      </c>
      <c r="N660" s="458">
        <f t="shared" si="520"/>
        <v>18.193203222379374</v>
      </c>
      <c r="O660" s="458">
        <f t="shared" si="521"/>
        <v>31.849718501094831</v>
      </c>
      <c r="P660" s="458">
        <f t="shared" si="522"/>
        <v>14.173320589434194</v>
      </c>
      <c r="Q660" s="458">
        <f t="shared" si="523"/>
        <v>13.568641965845131</v>
      </c>
      <c r="R660" s="459">
        <f t="shared" si="524"/>
        <v>0</v>
      </c>
      <c r="S660" s="455"/>
      <c r="T660" s="456"/>
      <c r="U660" s="456"/>
      <c r="V660" s="456"/>
      <c r="W660" s="456"/>
      <c r="X660" s="456"/>
      <c r="Y660" s="456"/>
      <c r="Z660" s="421">
        <f>IFERROR(E660/Levelisation!F1439, 0)</f>
        <v>1.3777866227989182</v>
      </c>
      <c r="AA660" s="471">
        <f>IFERROR(F660/Levelisation!G1439, 0)</f>
        <v>0</v>
      </c>
      <c r="AB660" s="471">
        <f>IFERROR(G660/Levelisation!H1439, 0)</f>
        <v>3.1456334071473337</v>
      </c>
      <c r="AC660" s="5">
        <f>IFERROR(H660/Levelisation!I1439, 0)</f>
        <v>1.8367504838235029</v>
      </c>
      <c r="AD660" s="5">
        <f>IFERROR(I660/Levelisation!J1439, 0)</f>
        <v>1.1111138843994037</v>
      </c>
      <c r="AE660" s="5">
        <f>IFERROR(J660/Levelisation!K1439, 0)</f>
        <v>0.58247361205509263</v>
      </c>
      <c r="AF660" s="6">
        <f>IFERROR(K660/Levelisation!L1439, 0)</f>
        <v>0</v>
      </c>
      <c r="AG660" s="33" t="str">
        <f t="shared" si="525"/>
        <v>2.08 &gt; Uruguay</v>
      </c>
      <c r="AH660" s="84">
        <f t="shared" si="527"/>
        <v>646</v>
      </c>
      <c r="AI660" s="84">
        <f t="shared" si="528"/>
        <v>24</v>
      </c>
      <c r="AJ660" s="877" t="s">
        <v>1526</v>
      </c>
    </row>
    <row r="661" spans="1:36" x14ac:dyDescent="0.2">
      <c r="A661" s="491">
        <f>INDEX(Country!$F$31:$G$76, MATCH(AI661, Country!$O$31:$O$76, 0), 1)</f>
        <v>2.0799999999999983</v>
      </c>
      <c r="B661" s="386" t="str">
        <f>INDEX(Country!$F$31:$G$76, MATCH(AI661, Country!$O$31:$O$76, 0), 2)</f>
        <v>Local investments</v>
      </c>
      <c r="C661" s="437" t="str">
        <f>INDEX(Country!$K$31:$K$76, MATCH(AI661, Country!$O$31:$O$76, 0), 1)</f>
        <v>USDm</v>
      </c>
      <c r="D661" s="86" t="str">
        <f t="shared" si="526"/>
        <v>Venezuela</v>
      </c>
      <c r="E661" s="374">
        <v>0</v>
      </c>
      <c r="F661" s="374">
        <v>0</v>
      </c>
      <c r="G661" s="374">
        <v>175.48781135224985</v>
      </c>
      <c r="H661" s="374">
        <v>43.750798310285326</v>
      </c>
      <c r="I661" s="374">
        <v>0</v>
      </c>
      <c r="J661" s="374">
        <v>70.739090289642775</v>
      </c>
      <c r="K661" s="391">
        <v>75.443793731097315</v>
      </c>
      <c r="L661" s="460">
        <f t="shared" si="518"/>
        <v>0</v>
      </c>
      <c r="M661" s="461">
        <f t="shared" si="519"/>
        <v>0</v>
      </c>
      <c r="N661" s="461">
        <f t="shared" si="520"/>
        <v>3.2159628651977994</v>
      </c>
      <c r="O661" s="461">
        <f t="shared" si="521"/>
        <v>2.3029938209607348</v>
      </c>
      <c r="P661" s="461">
        <f t="shared" si="522"/>
        <v>0</v>
      </c>
      <c r="Q661" s="461">
        <f t="shared" si="523"/>
        <v>5.2067962543968616</v>
      </c>
      <c r="R661" s="462">
        <f t="shared" si="524"/>
        <v>5.5410048053838858</v>
      </c>
      <c r="S661" s="455"/>
      <c r="T661" s="456"/>
      <c r="U661" s="456"/>
      <c r="V661" s="456"/>
      <c r="W661" s="456"/>
      <c r="X661" s="456"/>
      <c r="Y661" s="456"/>
      <c r="Z661" s="422">
        <f>IFERROR(E661/Levelisation!F1440, 0)</f>
        <v>0</v>
      </c>
      <c r="AA661" s="470">
        <f>IFERROR(F661/Levelisation!G1440, 0)</f>
        <v>0</v>
      </c>
      <c r="AB661" s="470">
        <f>IFERROR(G661/Levelisation!H1440, 0)</f>
        <v>0.55604502963323776</v>
      </c>
      <c r="AC661" s="364">
        <f>IFERROR(H661/Levelisation!I1440, 0)</f>
        <v>0.13281200632108447</v>
      </c>
      <c r="AD661" s="364">
        <f>IFERROR(I661/Levelisation!J1440, 0)</f>
        <v>0</v>
      </c>
      <c r="AE661" s="364">
        <f>IFERROR(J661/Levelisation!K1440, 0)</f>
        <v>0.22351694658667087</v>
      </c>
      <c r="AF661" s="390">
        <f>IFERROR(K661/Levelisation!L1440, 0)</f>
        <v>0.19727787411641873</v>
      </c>
      <c r="AG661" s="90" t="str">
        <f t="shared" si="525"/>
        <v>2.08 &gt; Venezuela</v>
      </c>
      <c r="AH661" s="392">
        <f t="shared" si="527"/>
        <v>647</v>
      </c>
      <c r="AI661" s="392">
        <f t="shared" si="528"/>
        <v>24</v>
      </c>
      <c r="AJ661" s="878" t="s">
        <v>1526</v>
      </c>
    </row>
    <row r="662" spans="1:36" x14ac:dyDescent="0.2">
      <c r="A662" s="490">
        <f>INDEX(Country!$F$31:$G$76, MATCH(AI662, Country!$O$31:$O$76, 0), 1)</f>
        <v>2.0799999999999983</v>
      </c>
      <c r="B662" s="387" t="str">
        <f>INDEX(Country!$F$31:$G$76, MATCH(AI662, Country!$O$31:$O$76, 0), 2)</f>
        <v>Local investments</v>
      </c>
      <c r="C662" s="438" t="str">
        <f>INDEX(Country!$K$31:$K$76, MATCH(AI662, Country!$O$31:$O$76, 0), 1)</f>
        <v>USDm</v>
      </c>
      <c r="D662" s="32" t="str">
        <f t="shared" si="526"/>
        <v>Benchmark</v>
      </c>
      <c r="E662" s="365">
        <f>IFERROR(MAX(E636:E661), 0)</f>
        <v>2932.4237482956605</v>
      </c>
      <c r="F662" s="365">
        <f t="shared" ref="F662" si="529">IFERROR(MAX(F636:F661), 0)</f>
        <v>6434.3436772704381</v>
      </c>
      <c r="G662" s="365">
        <f t="shared" ref="G662" si="530">IFERROR(MAX(G636:G661), 0)</f>
        <v>9337.2393589104722</v>
      </c>
      <c r="H662" s="365">
        <f t="shared" ref="H662" si="531">IFERROR(MAX(H636:H661), 0)</f>
        <v>7438.6203884446995</v>
      </c>
      <c r="I662" s="365">
        <f t="shared" ref="I662" si="532">IFERROR(MAX(I636:I661), 0)</f>
        <v>7974.1922315561187</v>
      </c>
      <c r="J662" s="365">
        <f t="shared" ref="J662:K662" si="533">IFERROR(MAX(J636:J661), 0)</f>
        <v>7995.3793617324727</v>
      </c>
      <c r="K662" s="593">
        <f t="shared" si="533"/>
        <v>5936.3247916966739</v>
      </c>
      <c r="L662" s="585">
        <f t="shared" ref="L662:M662" si="534">MAX(Z636:Z661)</f>
        <v>6.9900418142701941</v>
      </c>
      <c r="M662" s="463">
        <f t="shared" si="534"/>
        <v>15.104614933775116</v>
      </c>
      <c r="N662" s="463">
        <f t="shared" ref="N662" si="535">MAX(AB636:AB661)</f>
        <v>17.290157036655891</v>
      </c>
      <c r="O662" s="463">
        <f t="shared" ref="O662" si="536">MAX(AC636:AC661)</f>
        <v>5.7669284699026928</v>
      </c>
      <c r="P662" s="463">
        <f t="shared" ref="P662" si="537">MAX(AD636:AD661)</f>
        <v>7.8394747186323253</v>
      </c>
      <c r="Q662" s="463">
        <f t="shared" ref="Q662" si="538">MAX(AE636:AE661)</f>
        <v>4.2927922596917965</v>
      </c>
      <c r="R662" s="586">
        <f t="shared" ref="R662" si="539">MAX(AF636:AF661)</f>
        <v>3.5603267105044702</v>
      </c>
      <c r="S662" s="393" t="s">
        <v>3281</v>
      </c>
      <c r="T662" s="394"/>
      <c r="U662" s="376"/>
      <c r="V662" s="376"/>
      <c r="W662" s="376"/>
      <c r="X662" s="376"/>
      <c r="Y662" s="376"/>
      <c r="Z662" s="393" t="s">
        <v>3297</v>
      </c>
      <c r="AA662" s="394"/>
      <c r="AB662" s="376"/>
      <c r="AC662" s="376"/>
      <c r="AD662" s="376"/>
      <c r="AE662" s="376"/>
      <c r="AF662" s="401"/>
      <c r="AG662" s="34" t="str">
        <f t="shared" si="525"/>
        <v>2.08 &gt; Benchmark</v>
      </c>
      <c r="AH662" s="85">
        <f t="shared" si="527"/>
        <v>648</v>
      </c>
      <c r="AI662" s="85">
        <f t="shared" si="528"/>
        <v>24</v>
      </c>
      <c r="AJ662" s="871" t="s">
        <v>1526</v>
      </c>
    </row>
    <row r="663" spans="1:36" x14ac:dyDescent="0.2">
      <c r="A663" s="587">
        <f>INDEX(Country!$F$31:$G$76, MATCH(AI663, Country!$O$31:$O$76, 0), 1)</f>
        <v>2.0899999999999981</v>
      </c>
      <c r="B663" s="588" t="str">
        <f>INDEX(Country!$F$31:$G$76, MATCH(AI663, Country!$O$31:$O$76, 0), 2)</f>
        <v>Number of Green MFI</v>
      </c>
      <c r="C663" s="589" t="str">
        <f>INDEX(Country!$K$31:$K$76, MATCH(AI663, Country!$O$31:$O$76, 0), 1)</f>
        <v>Companies</v>
      </c>
      <c r="D663" s="590" t="str">
        <f t="shared" si="526"/>
        <v>Argentina</v>
      </c>
      <c r="E663" s="614">
        <v>3</v>
      </c>
      <c r="F663" s="614">
        <v>3</v>
      </c>
      <c r="G663" s="614">
        <v>3</v>
      </c>
      <c r="H663" s="47">
        <v>3</v>
      </c>
      <c r="I663" s="47">
        <v>3</v>
      </c>
      <c r="J663" s="47">
        <v>3</v>
      </c>
      <c r="K663" s="592">
        <v>1</v>
      </c>
      <c r="L663" s="580">
        <f t="shared" ref="L663:L688" si="540">IFERROR(dbl_BenchmarkMax*Z663/L$689, 0)</f>
        <v>0.64000000000000012</v>
      </c>
      <c r="M663" s="581">
        <f t="shared" ref="M663:M688" si="541">IFERROR(dbl_BenchmarkMax*AA663/M$689, 0)</f>
        <v>0.64000000000000012</v>
      </c>
      <c r="N663" s="581">
        <f t="shared" ref="N663:N688" si="542">IFERROR(dbl_BenchmarkMax*AB663/N$689, 0)</f>
        <v>0.64000000000000012</v>
      </c>
      <c r="O663" s="581">
        <f t="shared" ref="O663:O688" si="543">IFERROR(dbl_BenchmarkMax*AC663/O$689, 0)</f>
        <v>0.64000000000000012</v>
      </c>
      <c r="P663" s="581">
        <f t="shared" ref="P663:P688" si="544">IFERROR(dbl_BenchmarkMax*AD663/P$689, 0)</f>
        <v>0.64000000000000012</v>
      </c>
      <c r="Q663" s="581">
        <f t="shared" ref="Q663:Q688" si="545">IFERROR(dbl_BenchmarkMax*AE663/Q$689, 0)</f>
        <v>0.64000000000000012</v>
      </c>
      <c r="R663" s="582">
        <f t="shared" ref="R663:R688" si="546">IFERROR(dbl_BenchmarkMax*AF663/R$689, 0)</f>
        <v>0.2359882005899705</v>
      </c>
      <c r="S663" s="420">
        <f t="shared" ref="S663:T678" si="547">T663</f>
        <v>3</v>
      </c>
      <c r="T663" s="367">
        <f t="shared" si="547"/>
        <v>3</v>
      </c>
      <c r="U663" s="367">
        <f t="shared" ref="U663:U688" si="548">V663</f>
        <v>3</v>
      </c>
      <c r="V663" s="367">
        <f t="shared" ref="V663:V688" si="549">W663</f>
        <v>3</v>
      </c>
      <c r="W663" s="367">
        <f t="shared" ref="W663:W688" si="550">X663</f>
        <v>3</v>
      </c>
      <c r="X663" s="367">
        <f>COUNTIF(Levelisation!$A$2536:$A$2635, $D$582)</f>
        <v>3</v>
      </c>
      <c r="Y663" s="367">
        <v>1</v>
      </c>
      <c r="Z663" s="420">
        <f>IFERROR(E663*Levelisation!F1363, 0)</f>
        <v>2.4000000000000004</v>
      </c>
      <c r="AA663" s="367">
        <f>IFERROR(F663*Levelisation!G1363, 0)</f>
        <v>2.4000000000000004</v>
      </c>
      <c r="AB663" s="367">
        <f>IFERROR(G663*Levelisation!H1363, 0)</f>
        <v>2.4000000000000004</v>
      </c>
      <c r="AC663" s="367">
        <f>IFERROR(H663*Levelisation!I1363, 0)</f>
        <v>2.4000000000000004</v>
      </c>
      <c r="AD663" s="367">
        <f>IFERROR(I663*Levelisation!J1363, 0)</f>
        <v>2.4000000000000004</v>
      </c>
      <c r="AE663" s="367">
        <f>IFERROR(J663*Levelisation!J1363, 0)</f>
        <v>2.4000000000000004</v>
      </c>
      <c r="AF663" s="388">
        <f>IFERROR(K663*Levelisation!L1363, 0)</f>
        <v>0.8</v>
      </c>
      <c r="AG663" s="396" t="str">
        <f t="shared" si="525"/>
        <v>2.09 &gt; Argentina</v>
      </c>
      <c r="AH663" s="397">
        <f t="shared" si="527"/>
        <v>649</v>
      </c>
      <c r="AI663" s="397">
        <f t="shared" si="528"/>
        <v>25</v>
      </c>
      <c r="AJ663" s="879" t="s">
        <v>1526</v>
      </c>
    </row>
    <row r="664" spans="1:36" x14ac:dyDescent="0.2">
      <c r="A664" s="492">
        <f>INDEX(Country!$F$31:$G$76, MATCH(AI664, Country!$O$31:$O$76, 0), 1)</f>
        <v>2.0899999999999981</v>
      </c>
      <c r="B664" s="2" t="str">
        <f>INDEX(Country!$F$31:$G$76, MATCH(AI664, Country!$O$31:$O$76, 0), 2)</f>
        <v>Number of Green MFI</v>
      </c>
      <c r="C664" s="436" t="str">
        <f>INDEX(Country!$K$31:$K$76, MATCH(AI664, Country!$O$31:$O$76, 0), 1)</f>
        <v>Companies</v>
      </c>
      <c r="D664" s="4" t="str">
        <f t="shared" si="526"/>
        <v>Bahamas</v>
      </c>
      <c r="E664" s="47">
        <v>0</v>
      </c>
      <c r="F664" s="47">
        <v>0</v>
      </c>
      <c r="G664" s="47">
        <v>0</v>
      </c>
      <c r="H664" s="47">
        <v>0</v>
      </c>
      <c r="I664" s="47">
        <v>0</v>
      </c>
      <c r="J664" s="47">
        <v>0</v>
      </c>
      <c r="K664" s="17">
        <v>0</v>
      </c>
      <c r="L664" s="457">
        <f t="shared" si="540"/>
        <v>0</v>
      </c>
      <c r="M664" s="458">
        <f t="shared" si="541"/>
        <v>0</v>
      </c>
      <c r="N664" s="458">
        <f t="shared" si="542"/>
        <v>0</v>
      </c>
      <c r="O664" s="458">
        <f t="shared" si="543"/>
        <v>0</v>
      </c>
      <c r="P664" s="458">
        <f t="shared" si="544"/>
        <v>0</v>
      </c>
      <c r="Q664" s="458">
        <f t="shared" si="545"/>
        <v>0</v>
      </c>
      <c r="R664" s="459">
        <f t="shared" si="546"/>
        <v>0</v>
      </c>
      <c r="S664" s="421">
        <f t="shared" si="547"/>
        <v>0</v>
      </c>
      <c r="T664" s="5">
        <f t="shared" si="547"/>
        <v>0</v>
      </c>
      <c r="U664" s="5">
        <f t="shared" si="548"/>
        <v>0</v>
      </c>
      <c r="V664" s="5">
        <f t="shared" si="549"/>
        <v>0</v>
      </c>
      <c r="W664" s="5">
        <f t="shared" si="550"/>
        <v>0</v>
      </c>
      <c r="X664" s="5">
        <f>COUNTIF(Levelisation!$A$2536:$A$2635, $D$583)</f>
        <v>0</v>
      </c>
      <c r="Y664" s="5">
        <v>0</v>
      </c>
      <c r="Z664" s="421">
        <f>IFERROR(E664*Levelisation!F1364, 0)</f>
        <v>0</v>
      </c>
      <c r="AA664" s="5">
        <f>IFERROR(F664*Levelisation!G1364, 0)</f>
        <v>0</v>
      </c>
      <c r="AB664" s="5">
        <f>IFERROR(G664*Levelisation!H1364, 0)</f>
        <v>0</v>
      </c>
      <c r="AC664" s="5">
        <f>IFERROR(H664*Levelisation!I1364, 0)</f>
        <v>0</v>
      </c>
      <c r="AD664" s="5">
        <f>IFERROR(I664*Levelisation!J1364, 0)</f>
        <v>0</v>
      </c>
      <c r="AE664" s="5">
        <f>IFERROR(J664*Levelisation!J1364, 0)</f>
        <v>0</v>
      </c>
      <c r="AF664" s="6">
        <f>IFERROR(K664*Levelisation!L1364, 0)</f>
        <v>0</v>
      </c>
      <c r="AG664" s="33" t="str">
        <f t="shared" si="525"/>
        <v>2.09 &gt; Bahamas</v>
      </c>
      <c r="AH664" s="84">
        <f t="shared" si="527"/>
        <v>650</v>
      </c>
      <c r="AI664" s="84">
        <f t="shared" si="528"/>
        <v>25</v>
      </c>
      <c r="AJ664" s="877" t="s">
        <v>1526</v>
      </c>
    </row>
    <row r="665" spans="1:36" x14ac:dyDescent="0.2">
      <c r="A665" s="492">
        <f>INDEX(Country!$F$31:$G$76, MATCH(AI665, Country!$O$31:$O$76, 0), 1)</f>
        <v>2.0899999999999981</v>
      </c>
      <c r="B665" s="2" t="str">
        <f>INDEX(Country!$F$31:$G$76, MATCH(AI665, Country!$O$31:$O$76, 0), 2)</f>
        <v>Number of Green MFI</v>
      </c>
      <c r="C665" s="436" t="str">
        <f>INDEX(Country!$K$31:$K$76, MATCH(AI665, Country!$O$31:$O$76, 0), 1)</f>
        <v>Companies</v>
      </c>
      <c r="D665" s="4" t="str">
        <f t="shared" si="526"/>
        <v>Barbados</v>
      </c>
      <c r="E665" s="47">
        <v>0</v>
      </c>
      <c r="F665" s="47">
        <v>0</v>
      </c>
      <c r="G665" s="47">
        <v>0</v>
      </c>
      <c r="H665" s="47">
        <v>0</v>
      </c>
      <c r="I665" s="47">
        <v>0</v>
      </c>
      <c r="J665" s="47">
        <v>0</v>
      </c>
      <c r="K665" s="17">
        <v>0</v>
      </c>
      <c r="L665" s="457">
        <f t="shared" si="540"/>
        <v>0</v>
      </c>
      <c r="M665" s="458">
        <f t="shared" si="541"/>
        <v>0</v>
      </c>
      <c r="N665" s="458">
        <f t="shared" si="542"/>
        <v>0</v>
      </c>
      <c r="O665" s="458">
        <f t="shared" si="543"/>
        <v>0</v>
      </c>
      <c r="P665" s="458">
        <f t="shared" si="544"/>
        <v>0</v>
      </c>
      <c r="Q665" s="458">
        <f t="shared" si="545"/>
        <v>0</v>
      </c>
      <c r="R665" s="459">
        <f t="shared" si="546"/>
        <v>0</v>
      </c>
      <c r="S665" s="421">
        <f t="shared" si="547"/>
        <v>0</v>
      </c>
      <c r="T665" s="5">
        <f t="shared" si="547"/>
        <v>0</v>
      </c>
      <c r="U665" s="5">
        <f t="shared" si="548"/>
        <v>0</v>
      </c>
      <c r="V665" s="5">
        <f t="shared" si="549"/>
        <v>0</v>
      </c>
      <c r="W665" s="5">
        <f t="shared" si="550"/>
        <v>0</v>
      </c>
      <c r="X665" s="5">
        <f>COUNTIF(Levelisation!$A$2536:$A$2635, $D$584)</f>
        <v>0</v>
      </c>
      <c r="Y665" s="5">
        <v>0</v>
      </c>
      <c r="Z665" s="421">
        <f>IFERROR(E665*Levelisation!F1365, 0)</f>
        <v>0</v>
      </c>
      <c r="AA665" s="5">
        <f>IFERROR(F665*Levelisation!G1365, 0)</f>
        <v>0</v>
      </c>
      <c r="AB665" s="5">
        <f>IFERROR(G665*Levelisation!H1365, 0)</f>
        <v>0</v>
      </c>
      <c r="AC665" s="5">
        <f>IFERROR(H665*Levelisation!I1365, 0)</f>
        <v>0</v>
      </c>
      <c r="AD665" s="5">
        <f>IFERROR(I665*Levelisation!J1365, 0)</f>
        <v>0</v>
      </c>
      <c r="AE665" s="5">
        <f>IFERROR(J665*Levelisation!J1365, 0)</f>
        <v>0</v>
      </c>
      <c r="AF665" s="6">
        <f>IFERROR(K665*Levelisation!L1365, 0)</f>
        <v>0</v>
      </c>
      <c r="AG665" s="33" t="str">
        <f t="shared" si="525"/>
        <v>2.09 &gt; Barbados</v>
      </c>
      <c r="AH665" s="84">
        <f t="shared" si="527"/>
        <v>651</v>
      </c>
      <c r="AI665" s="84">
        <f t="shared" si="528"/>
        <v>25</v>
      </c>
      <c r="AJ665" s="877" t="s">
        <v>1526</v>
      </c>
    </row>
    <row r="666" spans="1:36" x14ac:dyDescent="0.2">
      <c r="A666" s="492">
        <f>INDEX(Country!$F$31:$G$76, MATCH(AI666, Country!$O$31:$O$76, 0), 1)</f>
        <v>2.0899999999999981</v>
      </c>
      <c r="B666" s="2" t="str">
        <f>INDEX(Country!$F$31:$G$76, MATCH(AI666, Country!$O$31:$O$76, 0), 2)</f>
        <v>Number of Green MFI</v>
      </c>
      <c r="C666" s="436" t="str">
        <f>INDEX(Country!$K$31:$K$76, MATCH(AI666, Country!$O$31:$O$76, 0), 1)</f>
        <v>Companies</v>
      </c>
      <c r="D666" s="4" t="str">
        <f t="shared" si="526"/>
        <v>Belize</v>
      </c>
      <c r="E666" s="47">
        <v>0</v>
      </c>
      <c r="F666" s="47">
        <v>0</v>
      </c>
      <c r="G666" s="47">
        <v>0</v>
      </c>
      <c r="H666" s="47">
        <v>0</v>
      </c>
      <c r="I666" s="47">
        <v>0</v>
      </c>
      <c r="J666" s="47">
        <v>0</v>
      </c>
      <c r="K666" s="17">
        <v>0</v>
      </c>
      <c r="L666" s="457">
        <f t="shared" si="540"/>
        <v>0</v>
      </c>
      <c r="M666" s="458">
        <f t="shared" si="541"/>
        <v>0</v>
      </c>
      <c r="N666" s="458">
        <f t="shared" si="542"/>
        <v>0</v>
      </c>
      <c r="O666" s="458">
        <f t="shared" si="543"/>
        <v>0</v>
      </c>
      <c r="P666" s="458">
        <f t="shared" si="544"/>
        <v>0</v>
      </c>
      <c r="Q666" s="458">
        <f t="shared" si="545"/>
        <v>0</v>
      </c>
      <c r="R666" s="459">
        <f t="shared" si="546"/>
        <v>0</v>
      </c>
      <c r="S666" s="421">
        <f t="shared" si="547"/>
        <v>0</v>
      </c>
      <c r="T666" s="5">
        <f t="shared" si="547"/>
        <v>0</v>
      </c>
      <c r="U666" s="5">
        <f t="shared" si="548"/>
        <v>0</v>
      </c>
      <c r="V666" s="5">
        <f t="shared" si="549"/>
        <v>0</v>
      </c>
      <c r="W666" s="5">
        <f t="shared" si="550"/>
        <v>0</v>
      </c>
      <c r="X666" s="5">
        <f>COUNTIF(Levelisation!$A$2536:$A$2635, $D$585)</f>
        <v>0</v>
      </c>
      <c r="Y666" s="5">
        <v>0</v>
      </c>
      <c r="Z666" s="421">
        <f>IFERROR(E666*Levelisation!F1366, 0)</f>
        <v>0</v>
      </c>
      <c r="AA666" s="5">
        <f>IFERROR(F666*Levelisation!G1366, 0)</f>
        <v>0</v>
      </c>
      <c r="AB666" s="5">
        <f>IFERROR(G666*Levelisation!H1366, 0)</f>
        <v>0</v>
      </c>
      <c r="AC666" s="5">
        <f>IFERROR(H666*Levelisation!I1366, 0)</f>
        <v>0</v>
      </c>
      <c r="AD666" s="5">
        <f>IFERROR(I666*Levelisation!J1366, 0)</f>
        <v>0</v>
      </c>
      <c r="AE666" s="5">
        <f>IFERROR(J666*Levelisation!J1366, 0)</f>
        <v>0</v>
      </c>
      <c r="AF666" s="6">
        <f>IFERROR(K666*Levelisation!L1366, 0)</f>
        <v>0</v>
      </c>
      <c r="AG666" s="33" t="str">
        <f t="shared" si="525"/>
        <v>2.09 &gt; Belize</v>
      </c>
      <c r="AH666" s="84">
        <f t="shared" si="527"/>
        <v>652</v>
      </c>
      <c r="AI666" s="84">
        <f t="shared" si="528"/>
        <v>25</v>
      </c>
      <c r="AJ666" s="877" t="s">
        <v>1526</v>
      </c>
    </row>
    <row r="667" spans="1:36" x14ac:dyDescent="0.2">
      <c r="A667" s="492">
        <f>INDEX(Country!$F$31:$G$76, MATCH(AI667, Country!$O$31:$O$76, 0), 1)</f>
        <v>2.0899999999999981</v>
      </c>
      <c r="B667" s="2" t="str">
        <f>INDEX(Country!$F$31:$G$76, MATCH(AI667, Country!$O$31:$O$76, 0), 2)</f>
        <v>Number of Green MFI</v>
      </c>
      <c r="C667" s="436" t="str">
        <f>INDEX(Country!$K$31:$K$76, MATCH(AI667, Country!$O$31:$O$76, 0), 1)</f>
        <v>Companies</v>
      </c>
      <c r="D667" s="4" t="str">
        <f t="shared" si="526"/>
        <v>Bolivia</v>
      </c>
      <c r="E667" s="47">
        <v>6</v>
      </c>
      <c r="F667" s="47">
        <v>6</v>
      </c>
      <c r="G667" s="47">
        <v>6</v>
      </c>
      <c r="H667" s="47">
        <v>6</v>
      </c>
      <c r="I667" s="47">
        <v>6</v>
      </c>
      <c r="J667" s="47">
        <v>6</v>
      </c>
      <c r="K667" s="17">
        <v>6</v>
      </c>
      <c r="L667" s="457">
        <f t="shared" si="540"/>
        <v>69.599999999999994</v>
      </c>
      <c r="M667" s="458">
        <f t="shared" si="541"/>
        <v>69.599999999999994</v>
      </c>
      <c r="N667" s="458">
        <f t="shared" si="542"/>
        <v>69.599999999999994</v>
      </c>
      <c r="O667" s="458">
        <f t="shared" si="543"/>
        <v>69.599999999999994</v>
      </c>
      <c r="P667" s="458">
        <f t="shared" si="544"/>
        <v>69.599999999999994</v>
      </c>
      <c r="Q667" s="458">
        <f t="shared" si="545"/>
        <v>69.599999999999994</v>
      </c>
      <c r="R667" s="459">
        <f t="shared" si="546"/>
        <v>76.991150442477874</v>
      </c>
      <c r="S667" s="421">
        <f t="shared" si="547"/>
        <v>6</v>
      </c>
      <c r="T667" s="5">
        <f t="shared" si="547"/>
        <v>6</v>
      </c>
      <c r="U667" s="5">
        <f t="shared" si="548"/>
        <v>6</v>
      </c>
      <c r="V667" s="5">
        <f t="shared" si="549"/>
        <v>6</v>
      </c>
      <c r="W667" s="5">
        <f t="shared" si="550"/>
        <v>6</v>
      </c>
      <c r="X667" s="5">
        <f>COUNTIF(Levelisation!$A$2536:$A$2635, $D$586)</f>
        <v>6</v>
      </c>
      <c r="Y667" s="5">
        <v>6</v>
      </c>
      <c r="Z667" s="421">
        <f>IFERROR(E667*Levelisation!F1367, 0)</f>
        <v>261</v>
      </c>
      <c r="AA667" s="5">
        <f>IFERROR(F667*Levelisation!G1367, 0)</f>
        <v>261</v>
      </c>
      <c r="AB667" s="5">
        <f>IFERROR(G667*Levelisation!H1367, 0)</f>
        <v>261</v>
      </c>
      <c r="AC667" s="5">
        <f>IFERROR(H667*Levelisation!I1367, 0)</f>
        <v>261</v>
      </c>
      <c r="AD667" s="5">
        <f>IFERROR(I667*Levelisation!J1367, 0)</f>
        <v>261</v>
      </c>
      <c r="AE667" s="5">
        <f>IFERROR(J667*Levelisation!J1367, 0)</f>
        <v>261</v>
      </c>
      <c r="AF667" s="6">
        <f>IFERROR(K667*Levelisation!L1367, 0)</f>
        <v>261</v>
      </c>
      <c r="AG667" s="33" t="str">
        <f t="shared" si="525"/>
        <v>2.09 &gt; Bolivia</v>
      </c>
      <c r="AH667" s="84">
        <f t="shared" si="527"/>
        <v>653</v>
      </c>
      <c r="AI667" s="84">
        <f t="shared" si="528"/>
        <v>25</v>
      </c>
      <c r="AJ667" s="877" t="s">
        <v>1526</v>
      </c>
    </row>
    <row r="668" spans="1:36" x14ac:dyDescent="0.2">
      <c r="A668" s="492">
        <f>INDEX(Country!$F$31:$G$76, MATCH(AI668, Country!$O$31:$O$76, 0), 1)</f>
        <v>2.0899999999999981</v>
      </c>
      <c r="B668" s="2" t="str">
        <f>INDEX(Country!$F$31:$G$76, MATCH(AI668, Country!$O$31:$O$76, 0), 2)</f>
        <v>Number of Green MFI</v>
      </c>
      <c r="C668" s="436" t="str">
        <f>INDEX(Country!$K$31:$K$76, MATCH(AI668, Country!$O$31:$O$76, 0), 1)</f>
        <v>Companies</v>
      </c>
      <c r="D668" s="4" t="str">
        <f t="shared" si="526"/>
        <v>Brazil</v>
      </c>
      <c r="E668" s="47">
        <v>9</v>
      </c>
      <c r="F668" s="47">
        <v>9</v>
      </c>
      <c r="G668" s="47">
        <v>9</v>
      </c>
      <c r="H668" s="47">
        <v>9</v>
      </c>
      <c r="I668" s="47">
        <v>9</v>
      </c>
      <c r="J668" s="47">
        <v>9</v>
      </c>
      <c r="K668" s="17">
        <v>2</v>
      </c>
      <c r="L668" s="457">
        <f t="shared" si="540"/>
        <v>19.439999999999998</v>
      </c>
      <c r="M668" s="458">
        <f t="shared" si="541"/>
        <v>19.439999999999998</v>
      </c>
      <c r="N668" s="458">
        <f t="shared" si="542"/>
        <v>19.439999999999998</v>
      </c>
      <c r="O668" s="458">
        <f t="shared" si="543"/>
        <v>19.439999999999998</v>
      </c>
      <c r="P668" s="458">
        <f t="shared" si="544"/>
        <v>19.439999999999998</v>
      </c>
      <c r="Q668" s="458">
        <f t="shared" si="545"/>
        <v>19.439999999999998</v>
      </c>
      <c r="R668" s="459">
        <f t="shared" si="546"/>
        <v>4.778761061946903</v>
      </c>
      <c r="S668" s="421">
        <f t="shared" si="547"/>
        <v>9</v>
      </c>
      <c r="T668" s="5">
        <f t="shared" si="547"/>
        <v>9</v>
      </c>
      <c r="U668" s="5">
        <f t="shared" si="548"/>
        <v>9</v>
      </c>
      <c r="V668" s="5">
        <f t="shared" si="549"/>
        <v>9</v>
      </c>
      <c r="W668" s="5">
        <f t="shared" si="550"/>
        <v>9</v>
      </c>
      <c r="X668" s="5">
        <f>COUNTIF(Levelisation!$A$2536:$A$2635, $D$587)</f>
        <v>9</v>
      </c>
      <c r="Y668" s="5">
        <v>2</v>
      </c>
      <c r="Z668" s="421">
        <f>IFERROR(E668*Levelisation!F1368, 0)</f>
        <v>72.899999999999991</v>
      </c>
      <c r="AA668" s="5">
        <f>IFERROR(F668*Levelisation!G1368, 0)</f>
        <v>72.899999999999991</v>
      </c>
      <c r="AB668" s="5">
        <f>IFERROR(G668*Levelisation!H1368, 0)</f>
        <v>72.899999999999991</v>
      </c>
      <c r="AC668" s="5">
        <f>IFERROR(H668*Levelisation!I1368, 0)</f>
        <v>72.899999999999991</v>
      </c>
      <c r="AD668" s="5">
        <f>IFERROR(I668*Levelisation!J1368, 0)</f>
        <v>72.899999999999991</v>
      </c>
      <c r="AE668" s="5">
        <f>IFERROR(J668*Levelisation!J1368, 0)</f>
        <v>72.899999999999991</v>
      </c>
      <c r="AF668" s="6">
        <f>IFERROR(K668*Levelisation!L1368, 0)</f>
        <v>16.2</v>
      </c>
      <c r="AG668" s="33" t="str">
        <f t="shared" si="525"/>
        <v>2.09 &gt; Brazil</v>
      </c>
      <c r="AH668" s="84">
        <f t="shared" si="527"/>
        <v>654</v>
      </c>
      <c r="AI668" s="84">
        <f t="shared" si="528"/>
        <v>25</v>
      </c>
      <c r="AJ668" s="877" t="s">
        <v>1526</v>
      </c>
    </row>
    <row r="669" spans="1:36" x14ac:dyDescent="0.2">
      <c r="A669" s="492">
        <f>INDEX(Country!$F$31:$G$76, MATCH(AI669, Country!$O$31:$O$76, 0), 1)</f>
        <v>2.0899999999999981</v>
      </c>
      <c r="B669" s="2" t="str">
        <f>INDEX(Country!$F$31:$G$76, MATCH(AI669, Country!$O$31:$O$76, 0), 2)</f>
        <v>Number of Green MFI</v>
      </c>
      <c r="C669" s="436" t="str">
        <f>INDEX(Country!$K$31:$K$76, MATCH(AI669, Country!$O$31:$O$76, 0), 1)</f>
        <v>Companies</v>
      </c>
      <c r="D669" s="4" t="str">
        <f t="shared" si="526"/>
        <v>Chile</v>
      </c>
      <c r="E669" s="47">
        <v>0</v>
      </c>
      <c r="F669" s="47">
        <v>0</v>
      </c>
      <c r="G669" s="47">
        <v>0</v>
      </c>
      <c r="H669" s="47">
        <v>0</v>
      </c>
      <c r="I669" s="47">
        <v>0</v>
      </c>
      <c r="J669" s="47">
        <v>0</v>
      </c>
      <c r="K669" s="17">
        <v>1</v>
      </c>
      <c r="L669" s="457">
        <f t="shared" si="540"/>
        <v>0</v>
      </c>
      <c r="M669" s="458">
        <f t="shared" si="541"/>
        <v>0</v>
      </c>
      <c r="N669" s="458">
        <f t="shared" si="542"/>
        <v>0</v>
      </c>
      <c r="O669" s="458">
        <f t="shared" si="543"/>
        <v>0</v>
      </c>
      <c r="P669" s="458">
        <f t="shared" si="544"/>
        <v>0</v>
      </c>
      <c r="Q669" s="458">
        <f t="shared" si="545"/>
        <v>0</v>
      </c>
      <c r="R669" s="459">
        <f t="shared" si="546"/>
        <v>5.3097345132743365</v>
      </c>
      <c r="S669" s="421">
        <f t="shared" si="547"/>
        <v>0</v>
      </c>
      <c r="T669" s="5">
        <f t="shared" si="547"/>
        <v>0</v>
      </c>
      <c r="U669" s="5">
        <f t="shared" si="548"/>
        <v>0</v>
      </c>
      <c r="V669" s="5">
        <f t="shared" si="549"/>
        <v>0</v>
      </c>
      <c r="W669" s="5">
        <f t="shared" si="550"/>
        <v>0</v>
      </c>
      <c r="X669" s="5">
        <f>COUNTIF(Levelisation!$A$2536:$A$2635, $D$588)</f>
        <v>0</v>
      </c>
      <c r="Y669" s="5">
        <v>1</v>
      </c>
      <c r="Z669" s="421">
        <f>IFERROR(E669*Levelisation!F1369, 0)</f>
        <v>0</v>
      </c>
      <c r="AA669" s="5">
        <f>IFERROR(F669*Levelisation!G1369, 0)</f>
        <v>0</v>
      </c>
      <c r="AB669" s="5">
        <f>IFERROR(G669*Levelisation!H1369, 0)</f>
        <v>0</v>
      </c>
      <c r="AC669" s="5">
        <f>IFERROR(H669*Levelisation!I1369, 0)</f>
        <v>0</v>
      </c>
      <c r="AD669" s="5">
        <f>IFERROR(I669*Levelisation!J1369, 0)</f>
        <v>0</v>
      </c>
      <c r="AE669" s="5">
        <f>IFERROR(J669*Levelisation!J1369, 0)</f>
        <v>0</v>
      </c>
      <c r="AF669" s="6">
        <f>IFERROR(K669*Levelisation!L1369, 0)</f>
        <v>18</v>
      </c>
      <c r="AG669" s="33" t="str">
        <f t="shared" si="525"/>
        <v>2.09 &gt; Chile</v>
      </c>
      <c r="AH669" s="84">
        <f t="shared" si="527"/>
        <v>655</v>
      </c>
      <c r="AI669" s="84">
        <f t="shared" si="528"/>
        <v>25</v>
      </c>
      <c r="AJ669" s="877" t="s">
        <v>1526</v>
      </c>
    </row>
    <row r="670" spans="1:36" x14ac:dyDescent="0.2">
      <c r="A670" s="492">
        <f>INDEX(Country!$F$31:$G$76, MATCH(AI670, Country!$O$31:$O$76, 0), 1)</f>
        <v>2.0899999999999981</v>
      </c>
      <c r="B670" s="2" t="str">
        <f>INDEX(Country!$F$31:$G$76, MATCH(AI670, Country!$O$31:$O$76, 0), 2)</f>
        <v>Number of Green MFI</v>
      </c>
      <c r="C670" s="436" t="str">
        <f>INDEX(Country!$K$31:$K$76, MATCH(AI670, Country!$O$31:$O$76, 0), 1)</f>
        <v>Companies</v>
      </c>
      <c r="D670" s="4" t="str">
        <f t="shared" si="526"/>
        <v>Colombia</v>
      </c>
      <c r="E670" s="47">
        <v>3</v>
      </c>
      <c r="F670" s="47">
        <v>3</v>
      </c>
      <c r="G670" s="47">
        <v>3</v>
      </c>
      <c r="H670" s="47">
        <v>3</v>
      </c>
      <c r="I670" s="47">
        <v>3</v>
      </c>
      <c r="J670" s="47">
        <v>3</v>
      </c>
      <c r="K670" s="17">
        <v>0</v>
      </c>
      <c r="L670" s="457">
        <f t="shared" si="540"/>
        <v>15.52</v>
      </c>
      <c r="M670" s="458">
        <f t="shared" si="541"/>
        <v>15.52</v>
      </c>
      <c r="N670" s="458">
        <f t="shared" si="542"/>
        <v>15.52</v>
      </c>
      <c r="O670" s="458">
        <f t="shared" si="543"/>
        <v>15.52</v>
      </c>
      <c r="P670" s="458">
        <f t="shared" si="544"/>
        <v>15.52</v>
      </c>
      <c r="Q670" s="458">
        <f t="shared" si="545"/>
        <v>15.52</v>
      </c>
      <c r="R670" s="459">
        <f t="shared" si="546"/>
        <v>0</v>
      </c>
      <c r="S670" s="421">
        <f t="shared" si="547"/>
        <v>3</v>
      </c>
      <c r="T670" s="5">
        <f t="shared" si="547"/>
        <v>3</v>
      </c>
      <c r="U670" s="5">
        <f t="shared" si="548"/>
        <v>3</v>
      </c>
      <c r="V670" s="5">
        <f t="shared" si="549"/>
        <v>3</v>
      </c>
      <c r="W670" s="5">
        <f t="shared" si="550"/>
        <v>3</v>
      </c>
      <c r="X670" s="5">
        <f>COUNTIF(Levelisation!$A$2536:$A$2635, $D$589)</f>
        <v>3</v>
      </c>
      <c r="Y670" s="5">
        <v>0</v>
      </c>
      <c r="Z670" s="421">
        <f>IFERROR(E670*Levelisation!F1370, 0)</f>
        <v>58.199999999999996</v>
      </c>
      <c r="AA670" s="5">
        <f>IFERROR(F670*Levelisation!G1370, 0)</f>
        <v>58.199999999999996</v>
      </c>
      <c r="AB670" s="5">
        <f>IFERROR(G670*Levelisation!H1370, 0)</f>
        <v>58.199999999999996</v>
      </c>
      <c r="AC670" s="5">
        <f>IFERROR(H670*Levelisation!I1370, 0)</f>
        <v>58.199999999999996</v>
      </c>
      <c r="AD670" s="5">
        <f>IFERROR(I670*Levelisation!J1370, 0)</f>
        <v>58.199999999999996</v>
      </c>
      <c r="AE670" s="5">
        <f>IFERROR(J670*Levelisation!J1370, 0)</f>
        <v>58.199999999999996</v>
      </c>
      <c r="AF670" s="6">
        <f>IFERROR(K670*Levelisation!L1370, 0)</f>
        <v>0</v>
      </c>
      <c r="AG670" s="33" t="str">
        <f t="shared" si="525"/>
        <v>2.09 &gt; Colombia</v>
      </c>
      <c r="AH670" s="84">
        <f t="shared" si="527"/>
        <v>656</v>
      </c>
      <c r="AI670" s="84">
        <f t="shared" si="528"/>
        <v>25</v>
      </c>
      <c r="AJ670" s="877" t="s">
        <v>1526</v>
      </c>
    </row>
    <row r="671" spans="1:36" x14ac:dyDescent="0.2">
      <c r="A671" s="492">
        <f>INDEX(Country!$F$31:$G$76, MATCH(AI671, Country!$O$31:$O$76, 0), 1)</f>
        <v>2.0899999999999981</v>
      </c>
      <c r="B671" s="2" t="str">
        <f>INDEX(Country!$F$31:$G$76, MATCH(AI671, Country!$O$31:$O$76, 0), 2)</f>
        <v>Number of Green MFI</v>
      </c>
      <c r="C671" s="436" t="str">
        <f>INDEX(Country!$K$31:$K$76, MATCH(AI671, Country!$O$31:$O$76, 0), 1)</f>
        <v>Companies</v>
      </c>
      <c r="D671" s="4" t="str">
        <f t="shared" si="526"/>
        <v>Costa Rica</v>
      </c>
      <c r="E671" s="47">
        <v>3</v>
      </c>
      <c r="F671" s="47">
        <v>3</v>
      </c>
      <c r="G671" s="47">
        <v>3</v>
      </c>
      <c r="H671" s="47">
        <v>3</v>
      </c>
      <c r="I671" s="47">
        <v>3</v>
      </c>
      <c r="J671" s="47">
        <v>3</v>
      </c>
      <c r="K671" s="17">
        <v>4</v>
      </c>
      <c r="L671" s="457">
        <f t="shared" si="540"/>
        <v>8.879999999999999</v>
      </c>
      <c r="M671" s="458">
        <f t="shared" si="541"/>
        <v>8.879999999999999</v>
      </c>
      <c r="N671" s="458">
        <f t="shared" si="542"/>
        <v>8.879999999999999</v>
      </c>
      <c r="O671" s="458">
        <f t="shared" si="543"/>
        <v>8.879999999999999</v>
      </c>
      <c r="P671" s="458">
        <f t="shared" si="544"/>
        <v>8.879999999999999</v>
      </c>
      <c r="Q671" s="458">
        <f t="shared" si="545"/>
        <v>8.879999999999999</v>
      </c>
      <c r="R671" s="459">
        <f t="shared" si="546"/>
        <v>13.097345132743364</v>
      </c>
      <c r="S671" s="421">
        <f t="shared" si="547"/>
        <v>3</v>
      </c>
      <c r="T671" s="5">
        <f t="shared" si="547"/>
        <v>3</v>
      </c>
      <c r="U671" s="5">
        <f t="shared" si="548"/>
        <v>3</v>
      </c>
      <c r="V671" s="5">
        <f t="shared" si="549"/>
        <v>3</v>
      </c>
      <c r="W671" s="5">
        <f t="shared" si="550"/>
        <v>3</v>
      </c>
      <c r="X671" s="5">
        <f>COUNTIF(Levelisation!$A$2536:$A$2635, $D$590)</f>
        <v>3</v>
      </c>
      <c r="Y671" s="5">
        <v>4</v>
      </c>
      <c r="Z671" s="421">
        <f>IFERROR(E671*Levelisation!F1371, 0)</f>
        <v>33.299999999999997</v>
      </c>
      <c r="AA671" s="5">
        <f>IFERROR(F671*Levelisation!G1371, 0)</f>
        <v>33.299999999999997</v>
      </c>
      <c r="AB671" s="5">
        <f>IFERROR(G671*Levelisation!H1371, 0)</f>
        <v>33.299999999999997</v>
      </c>
      <c r="AC671" s="5">
        <f>IFERROR(H671*Levelisation!I1371, 0)</f>
        <v>33.299999999999997</v>
      </c>
      <c r="AD671" s="5">
        <f>IFERROR(I671*Levelisation!J1371, 0)</f>
        <v>33.299999999999997</v>
      </c>
      <c r="AE671" s="5">
        <f>IFERROR(J671*Levelisation!J1371, 0)</f>
        <v>33.299999999999997</v>
      </c>
      <c r="AF671" s="6">
        <f>IFERROR(K671*Levelisation!L1371, 0)</f>
        <v>44.4</v>
      </c>
      <c r="AG671" s="33" t="str">
        <f t="shared" si="525"/>
        <v>2.09 &gt; Costa Rica</v>
      </c>
      <c r="AH671" s="84">
        <f t="shared" si="527"/>
        <v>657</v>
      </c>
      <c r="AI671" s="84">
        <f t="shared" si="528"/>
        <v>25</v>
      </c>
      <c r="AJ671" s="877" t="s">
        <v>1526</v>
      </c>
    </row>
    <row r="672" spans="1:36" x14ac:dyDescent="0.2">
      <c r="A672" s="492">
        <f>INDEX(Country!$F$31:$G$76, MATCH(AI672, Country!$O$31:$O$76, 0), 1)</f>
        <v>2.0899999999999981</v>
      </c>
      <c r="B672" s="2" t="str">
        <f>INDEX(Country!$F$31:$G$76, MATCH(AI672, Country!$O$31:$O$76, 0), 2)</f>
        <v>Number of Green MFI</v>
      </c>
      <c r="C672" s="436" t="str">
        <f>INDEX(Country!$K$31:$K$76, MATCH(AI672, Country!$O$31:$O$76, 0), 1)</f>
        <v>Companies</v>
      </c>
      <c r="D672" s="4" t="str">
        <f t="shared" si="526"/>
        <v>Dominican Republic</v>
      </c>
      <c r="E672" s="47">
        <v>0</v>
      </c>
      <c r="F672" s="47">
        <v>0</v>
      </c>
      <c r="G672" s="47">
        <v>0</v>
      </c>
      <c r="H672" s="47">
        <v>0</v>
      </c>
      <c r="I672" s="47">
        <v>0</v>
      </c>
      <c r="J672" s="47">
        <v>0</v>
      </c>
      <c r="K672" s="17">
        <v>5</v>
      </c>
      <c r="L672" s="457">
        <f t="shared" si="540"/>
        <v>0</v>
      </c>
      <c r="M672" s="458">
        <f t="shared" si="541"/>
        <v>0</v>
      </c>
      <c r="N672" s="458">
        <f t="shared" si="542"/>
        <v>0</v>
      </c>
      <c r="O672" s="458">
        <f t="shared" si="543"/>
        <v>0</v>
      </c>
      <c r="P672" s="458">
        <f t="shared" si="544"/>
        <v>0</v>
      </c>
      <c r="Q672" s="458">
        <f t="shared" si="545"/>
        <v>0</v>
      </c>
      <c r="R672" s="459">
        <f t="shared" si="546"/>
        <v>22.418879056047199</v>
      </c>
      <c r="S672" s="421">
        <f t="shared" si="547"/>
        <v>0</v>
      </c>
      <c r="T672" s="5">
        <f t="shared" si="547"/>
        <v>0</v>
      </c>
      <c r="U672" s="5">
        <f t="shared" si="548"/>
        <v>0</v>
      </c>
      <c r="V672" s="5">
        <f t="shared" si="549"/>
        <v>0</v>
      </c>
      <c r="W672" s="5">
        <f t="shared" si="550"/>
        <v>0</v>
      </c>
      <c r="X672" s="5">
        <f>COUNTIF(Levelisation!$A$2536:$A$2635, $D$591)</f>
        <v>0</v>
      </c>
      <c r="Y672" s="5">
        <v>5</v>
      </c>
      <c r="Z672" s="421">
        <f>IFERROR(E672*Levelisation!F1372, 0)</f>
        <v>0</v>
      </c>
      <c r="AA672" s="5">
        <f>IFERROR(F672*Levelisation!G1372, 0)</f>
        <v>0</v>
      </c>
      <c r="AB672" s="5">
        <f>IFERROR(G672*Levelisation!H1372, 0)</f>
        <v>0</v>
      </c>
      <c r="AC672" s="5">
        <f>IFERROR(H672*Levelisation!I1372, 0)</f>
        <v>0</v>
      </c>
      <c r="AD672" s="5">
        <f>IFERROR(I672*Levelisation!J1372, 0)</f>
        <v>0</v>
      </c>
      <c r="AE672" s="5">
        <f>IFERROR(J672*Levelisation!J1372, 0)</f>
        <v>0</v>
      </c>
      <c r="AF672" s="6">
        <f>IFERROR(K672*Levelisation!L1372, 0)</f>
        <v>76</v>
      </c>
      <c r="AG672" s="33" t="str">
        <f t="shared" si="525"/>
        <v>2.09 &gt; Dominican Republic</v>
      </c>
      <c r="AH672" s="84">
        <f t="shared" si="527"/>
        <v>658</v>
      </c>
      <c r="AI672" s="84">
        <f t="shared" si="528"/>
        <v>25</v>
      </c>
      <c r="AJ672" s="877" t="s">
        <v>1526</v>
      </c>
    </row>
    <row r="673" spans="1:36" x14ac:dyDescent="0.2">
      <c r="A673" s="492">
        <f>INDEX(Country!$F$31:$G$76, MATCH(AI673, Country!$O$31:$O$76, 0), 1)</f>
        <v>2.0899999999999981</v>
      </c>
      <c r="B673" s="2" t="str">
        <f>INDEX(Country!$F$31:$G$76, MATCH(AI673, Country!$O$31:$O$76, 0), 2)</f>
        <v>Number of Green MFI</v>
      </c>
      <c r="C673" s="436" t="str">
        <f>INDEX(Country!$K$31:$K$76, MATCH(AI673, Country!$O$31:$O$76, 0), 1)</f>
        <v>Companies</v>
      </c>
      <c r="D673" s="4" t="str">
        <f t="shared" si="526"/>
        <v>Ecuador</v>
      </c>
      <c r="E673" s="47">
        <v>3</v>
      </c>
      <c r="F673" s="47">
        <v>3</v>
      </c>
      <c r="G673" s="47">
        <v>3</v>
      </c>
      <c r="H673" s="47">
        <v>3</v>
      </c>
      <c r="I673" s="47">
        <v>3</v>
      </c>
      <c r="J673" s="47">
        <v>3</v>
      </c>
      <c r="K673" s="17">
        <v>5</v>
      </c>
      <c r="L673" s="457">
        <f t="shared" si="540"/>
        <v>19.600000000000001</v>
      </c>
      <c r="M673" s="458">
        <f t="shared" si="541"/>
        <v>19.600000000000001</v>
      </c>
      <c r="N673" s="458">
        <f t="shared" si="542"/>
        <v>19.600000000000001</v>
      </c>
      <c r="O673" s="458">
        <f t="shared" si="543"/>
        <v>19.600000000000001</v>
      </c>
      <c r="P673" s="458">
        <f t="shared" si="544"/>
        <v>19.600000000000001</v>
      </c>
      <c r="Q673" s="458">
        <f t="shared" si="545"/>
        <v>19.600000000000001</v>
      </c>
      <c r="R673" s="459">
        <f t="shared" si="546"/>
        <v>36.135693215339231</v>
      </c>
      <c r="S673" s="421">
        <f t="shared" si="547"/>
        <v>3</v>
      </c>
      <c r="T673" s="5">
        <f t="shared" si="547"/>
        <v>3</v>
      </c>
      <c r="U673" s="5">
        <f t="shared" si="548"/>
        <v>3</v>
      </c>
      <c r="V673" s="5">
        <f t="shared" si="549"/>
        <v>3</v>
      </c>
      <c r="W673" s="5">
        <f t="shared" si="550"/>
        <v>3</v>
      </c>
      <c r="X673" s="5">
        <f>COUNTIF(Levelisation!$A$2536:$A$2635, $D$592)</f>
        <v>3</v>
      </c>
      <c r="Y673" s="5">
        <v>5</v>
      </c>
      <c r="Z673" s="421">
        <f>IFERROR(E673*Levelisation!F1373, 0)</f>
        <v>73.5</v>
      </c>
      <c r="AA673" s="5">
        <f>IFERROR(F673*Levelisation!G1373, 0)</f>
        <v>73.5</v>
      </c>
      <c r="AB673" s="5">
        <f>IFERROR(G673*Levelisation!H1373, 0)</f>
        <v>73.5</v>
      </c>
      <c r="AC673" s="5">
        <f>IFERROR(H673*Levelisation!I1373, 0)</f>
        <v>73.5</v>
      </c>
      <c r="AD673" s="5">
        <f>IFERROR(I673*Levelisation!J1373, 0)</f>
        <v>73.5</v>
      </c>
      <c r="AE673" s="5">
        <f>IFERROR(J673*Levelisation!J1373, 0)</f>
        <v>73.5</v>
      </c>
      <c r="AF673" s="6">
        <f>IFERROR(K673*Levelisation!L1373, 0)</f>
        <v>122.5</v>
      </c>
      <c r="AG673" s="33" t="str">
        <f t="shared" si="525"/>
        <v>2.09 &gt; Ecuador</v>
      </c>
      <c r="AH673" s="84">
        <f t="shared" si="527"/>
        <v>659</v>
      </c>
      <c r="AI673" s="84">
        <f t="shared" si="528"/>
        <v>25</v>
      </c>
      <c r="AJ673" s="877" t="s">
        <v>1526</v>
      </c>
    </row>
    <row r="674" spans="1:36" x14ac:dyDescent="0.2">
      <c r="A674" s="492">
        <f>INDEX(Country!$F$31:$G$76, MATCH(AI674, Country!$O$31:$O$76, 0), 1)</f>
        <v>2.0899999999999981</v>
      </c>
      <c r="B674" s="2" t="str">
        <f>INDEX(Country!$F$31:$G$76, MATCH(AI674, Country!$O$31:$O$76, 0), 2)</f>
        <v>Number of Green MFI</v>
      </c>
      <c r="C674" s="436" t="str">
        <f>INDEX(Country!$K$31:$K$76, MATCH(AI674, Country!$O$31:$O$76, 0), 1)</f>
        <v>Companies</v>
      </c>
      <c r="D674" s="4" t="str">
        <f t="shared" si="526"/>
        <v>El Salvador</v>
      </c>
      <c r="E674" s="47">
        <v>3</v>
      </c>
      <c r="F674" s="47">
        <v>3</v>
      </c>
      <c r="G674" s="47">
        <v>3</v>
      </c>
      <c r="H674" s="47">
        <v>3</v>
      </c>
      <c r="I674" s="47">
        <v>3</v>
      </c>
      <c r="J674" s="47">
        <v>3</v>
      </c>
      <c r="K674" s="17">
        <v>1</v>
      </c>
      <c r="L674" s="457">
        <f t="shared" si="540"/>
        <v>21.119999999999997</v>
      </c>
      <c r="M674" s="458">
        <f t="shared" si="541"/>
        <v>21.119999999999997</v>
      </c>
      <c r="N674" s="458">
        <f t="shared" si="542"/>
        <v>21.119999999999997</v>
      </c>
      <c r="O674" s="458">
        <f t="shared" si="543"/>
        <v>21.119999999999997</v>
      </c>
      <c r="P674" s="458">
        <f t="shared" si="544"/>
        <v>21.119999999999997</v>
      </c>
      <c r="Q674" s="458">
        <f t="shared" si="545"/>
        <v>21.119999999999997</v>
      </c>
      <c r="R674" s="459">
        <f t="shared" si="546"/>
        <v>7.7876106194690262</v>
      </c>
      <c r="S674" s="421">
        <f t="shared" si="547"/>
        <v>3</v>
      </c>
      <c r="T674" s="5">
        <f t="shared" si="547"/>
        <v>3</v>
      </c>
      <c r="U674" s="5">
        <f t="shared" si="548"/>
        <v>3</v>
      </c>
      <c r="V674" s="5">
        <f t="shared" si="549"/>
        <v>3</v>
      </c>
      <c r="W674" s="5">
        <f t="shared" si="550"/>
        <v>3</v>
      </c>
      <c r="X674" s="5">
        <f>COUNTIF(Levelisation!$A$2536:$A$2635, $D$593)</f>
        <v>3</v>
      </c>
      <c r="Y674" s="5">
        <v>1</v>
      </c>
      <c r="Z674" s="421">
        <f>IFERROR(E674*Levelisation!F1374, 0)</f>
        <v>79.199999999999989</v>
      </c>
      <c r="AA674" s="5">
        <f>IFERROR(F674*Levelisation!G1374, 0)</f>
        <v>79.199999999999989</v>
      </c>
      <c r="AB674" s="5">
        <f>IFERROR(G674*Levelisation!H1374, 0)</f>
        <v>79.199999999999989</v>
      </c>
      <c r="AC674" s="5">
        <f>IFERROR(H674*Levelisation!I1374, 0)</f>
        <v>79.199999999999989</v>
      </c>
      <c r="AD674" s="5">
        <f>IFERROR(I674*Levelisation!J1374, 0)</f>
        <v>79.199999999999989</v>
      </c>
      <c r="AE674" s="5">
        <f>IFERROR(J674*Levelisation!J1374, 0)</f>
        <v>79.199999999999989</v>
      </c>
      <c r="AF674" s="6">
        <f>IFERROR(K674*Levelisation!L1374, 0)</f>
        <v>26.4</v>
      </c>
      <c r="AG674" s="33" t="str">
        <f t="shared" si="525"/>
        <v>2.09 &gt; El Salvador</v>
      </c>
      <c r="AH674" s="84">
        <f t="shared" si="527"/>
        <v>660</v>
      </c>
      <c r="AI674" s="84">
        <f t="shared" si="528"/>
        <v>25</v>
      </c>
      <c r="AJ674" s="877" t="s">
        <v>1526</v>
      </c>
    </row>
    <row r="675" spans="1:36" x14ac:dyDescent="0.2">
      <c r="A675" s="492">
        <f>INDEX(Country!$F$31:$G$76, MATCH(AI675, Country!$O$31:$O$76, 0), 1)</f>
        <v>2.0899999999999981</v>
      </c>
      <c r="B675" s="2" t="str">
        <f>INDEX(Country!$F$31:$G$76, MATCH(AI675, Country!$O$31:$O$76, 0), 2)</f>
        <v>Number of Green MFI</v>
      </c>
      <c r="C675" s="436" t="str">
        <f>INDEX(Country!$K$31:$K$76, MATCH(AI675, Country!$O$31:$O$76, 0), 1)</f>
        <v>Companies</v>
      </c>
      <c r="D675" s="4" t="str">
        <f t="shared" si="526"/>
        <v>Guatemala</v>
      </c>
      <c r="E675" s="47">
        <v>3</v>
      </c>
      <c r="F675" s="47">
        <v>3</v>
      </c>
      <c r="G675" s="47">
        <v>3</v>
      </c>
      <c r="H675" s="47">
        <v>3</v>
      </c>
      <c r="I675" s="47">
        <v>3</v>
      </c>
      <c r="J675" s="47">
        <v>3</v>
      </c>
      <c r="K675" s="17">
        <v>3</v>
      </c>
      <c r="L675" s="457">
        <f t="shared" si="540"/>
        <v>19.919999999999998</v>
      </c>
      <c r="M675" s="458">
        <f t="shared" si="541"/>
        <v>19.919999999999998</v>
      </c>
      <c r="N675" s="458">
        <f t="shared" si="542"/>
        <v>19.919999999999998</v>
      </c>
      <c r="O675" s="458">
        <f t="shared" si="543"/>
        <v>19.919999999999998</v>
      </c>
      <c r="P675" s="458">
        <f t="shared" si="544"/>
        <v>19.919999999999998</v>
      </c>
      <c r="Q675" s="458">
        <f t="shared" si="545"/>
        <v>19.919999999999998</v>
      </c>
      <c r="R675" s="459">
        <f t="shared" si="546"/>
        <v>22.035398230088493</v>
      </c>
      <c r="S675" s="421">
        <f t="shared" si="547"/>
        <v>3</v>
      </c>
      <c r="T675" s="5">
        <f t="shared" si="547"/>
        <v>3</v>
      </c>
      <c r="U675" s="5">
        <f t="shared" si="548"/>
        <v>3</v>
      </c>
      <c r="V675" s="5">
        <f t="shared" si="549"/>
        <v>3</v>
      </c>
      <c r="W675" s="5">
        <f t="shared" si="550"/>
        <v>3</v>
      </c>
      <c r="X675" s="5">
        <f>COUNTIF(Levelisation!$A$2536:$A$2635, $D$594)</f>
        <v>3</v>
      </c>
      <c r="Y675" s="5">
        <v>3</v>
      </c>
      <c r="Z675" s="421">
        <f>IFERROR(E675*Levelisation!F1375, 0)</f>
        <v>74.699999999999989</v>
      </c>
      <c r="AA675" s="5">
        <f>IFERROR(F675*Levelisation!G1375, 0)</f>
        <v>74.699999999999989</v>
      </c>
      <c r="AB675" s="5">
        <f>IFERROR(G675*Levelisation!H1375, 0)</f>
        <v>74.699999999999989</v>
      </c>
      <c r="AC675" s="5">
        <f>IFERROR(H675*Levelisation!I1375, 0)</f>
        <v>74.699999999999989</v>
      </c>
      <c r="AD675" s="5">
        <f>IFERROR(I675*Levelisation!J1375, 0)</f>
        <v>74.699999999999989</v>
      </c>
      <c r="AE675" s="5">
        <f>IFERROR(J675*Levelisation!J1375, 0)</f>
        <v>74.699999999999989</v>
      </c>
      <c r="AF675" s="6">
        <f>IFERROR(K675*Levelisation!L1375, 0)</f>
        <v>74.699999999999989</v>
      </c>
      <c r="AG675" s="33" t="str">
        <f t="shared" si="525"/>
        <v>2.09 &gt; Guatemala</v>
      </c>
      <c r="AH675" s="84">
        <f t="shared" si="527"/>
        <v>661</v>
      </c>
      <c r="AI675" s="84">
        <f t="shared" si="528"/>
        <v>25</v>
      </c>
      <c r="AJ675" s="877" t="s">
        <v>1526</v>
      </c>
    </row>
    <row r="676" spans="1:36" x14ac:dyDescent="0.2">
      <c r="A676" s="492">
        <f>INDEX(Country!$F$31:$G$76, MATCH(AI676, Country!$O$31:$O$76, 0), 1)</f>
        <v>2.0899999999999981</v>
      </c>
      <c r="B676" s="2" t="str">
        <f>INDEX(Country!$F$31:$G$76, MATCH(AI676, Country!$O$31:$O$76, 0), 2)</f>
        <v>Number of Green MFI</v>
      </c>
      <c r="C676" s="436" t="str">
        <f>INDEX(Country!$K$31:$K$76, MATCH(AI676, Country!$O$31:$O$76, 0), 1)</f>
        <v>Companies</v>
      </c>
      <c r="D676" s="4" t="str">
        <f t="shared" si="526"/>
        <v>Guyana</v>
      </c>
      <c r="E676" s="47">
        <v>0</v>
      </c>
      <c r="F676" s="47">
        <v>0</v>
      </c>
      <c r="G676" s="47">
        <v>0</v>
      </c>
      <c r="H676" s="47">
        <v>0</v>
      </c>
      <c r="I676" s="47">
        <v>0</v>
      </c>
      <c r="J676" s="47">
        <v>0</v>
      </c>
      <c r="K676" s="17">
        <v>0</v>
      </c>
      <c r="L676" s="457">
        <f t="shared" si="540"/>
        <v>0</v>
      </c>
      <c r="M676" s="458">
        <f t="shared" si="541"/>
        <v>0</v>
      </c>
      <c r="N676" s="458">
        <f t="shared" si="542"/>
        <v>0</v>
      </c>
      <c r="O676" s="458">
        <f t="shared" si="543"/>
        <v>0</v>
      </c>
      <c r="P676" s="458">
        <f t="shared" si="544"/>
        <v>0</v>
      </c>
      <c r="Q676" s="458">
        <f t="shared" si="545"/>
        <v>0</v>
      </c>
      <c r="R676" s="459">
        <f t="shared" si="546"/>
        <v>0</v>
      </c>
      <c r="S676" s="421">
        <f t="shared" si="547"/>
        <v>0</v>
      </c>
      <c r="T676" s="5">
        <f t="shared" si="547"/>
        <v>0</v>
      </c>
      <c r="U676" s="5">
        <f t="shared" si="548"/>
        <v>0</v>
      </c>
      <c r="V676" s="5">
        <f t="shared" si="549"/>
        <v>0</v>
      </c>
      <c r="W676" s="5">
        <f t="shared" si="550"/>
        <v>0</v>
      </c>
      <c r="X676" s="5">
        <f>COUNTIF(Levelisation!$A$2536:$A$2635, $D$595)</f>
        <v>0</v>
      </c>
      <c r="Y676" s="5">
        <v>0</v>
      </c>
      <c r="Z676" s="421">
        <f>IFERROR(E676*Levelisation!F1376, 0)</f>
        <v>0</v>
      </c>
      <c r="AA676" s="5">
        <f>IFERROR(F676*Levelisation!G1376, 0)</f>
        <v>0</v>
      </c>
      <c r="AB676" s="5">
        <f>IFERROR(G676*Levelisation!H1376, 0)</f>
        <v>0</v>
      </c>
      <c r="AC676" s="5">
        <f>IFERROR(H676*Levelisation!I1376, 0)</f>
        <v>0</v>
      </c>
      <c r="AD676" s="5">
        <f>IFERROR(I676*Levelisation!J1376, 0)</f>
        <v>0</v>
      </c>
      <c r="AE676" s="5">
        <f>IFERROR(J676*Levelisation!J1376, 0)</f>
        <v>0</v>
      </c>
      <c r="AF676" s="6">
        <f>IFERROR(K676*Levelisation!L1376, 0)</f>
        <v>0</v>
      </c>
      <c r="AG676" s="33" t="str">
        <f t="shared" si="525"/>
        <v>2.09 &gt; Guyana</v>
      </c>
      <c r="AH676" s="84">
        <f t="shared" si="527"/>
        <v>662</v>
      </c>
      <c r="AI676" s="84">
        <f t="shared" si="528"/>
        <v>25</v>
      </c>
      <c r="AJ676" s="877" t="s">
        <v>1526</v>
      </c>
    </row>
    <row r="677" spans="1:36" x14ac:dyDescent="0.2">
      <c r="A677" s="492">
        <f>INDEX(Country!$F$31:$G$76, MATCH(AI677, Country!$O$31:$O$76, 0), 1)</f>
        <v>2.0899999999999981</v>
      </c>
      <c r="B677" s="2" t="str">
        <f>INDEX(Country!$F$31:$G$76, MATCH(AI677, Country!$O$31:$O$76, 0), 2)</f>
        <v>Number of Green MFI</v>
      </c>
      <c r="C677" s="436" t="str">
        <f>INDEX(Country!$K$31:$K$76, MATCH(AI677, Country!$O$31:$O$76, 0), 1)</f>
        <v>Companies</v>
      </c>
      <c r="D677" s="4" t="str">
        <f t="shared" si="526"/>
        <v>Haiti</v>
      </c>
      <c r="E677" s="47">
        <v>1</v>
      </c>
      <c r="F677" s="47">
        <v>1</v>
      </c>
      <c r="G677" s="47">
        <v>1</v>
      </c>
      <c r="H677" s="47">
        <v>1</v>
      </c>
      <c r="I677" s="47">
        <v>1</v>
      </c>
      <c r="J677" s="47">
        <v>1</v>
      </c>
      <c r="K677" s="17">
        <v>0</v>
      </c>
      <c r="L677" s="457">
        <f t="shared" si="540"/>
        <v>7.7333333333333334</v>
      </c>
      <c r="M677" s="458">
        <f t="shared" si="541"/>
        <v>7.7333333333333334</v>
      </c>
      <c r="N677" s="458">
        <f t="shared" si="542"/>
        <v>7.7333333333333334</v>
      </c>
      <c r="O677" s="458">
        <f t="shared" si="543"/>
        <v>7.7333333333333334</v>
      </c>
      <c r="P677" s="458">
        <f t="shared" si="544"/>
        <v>7.7333333333333334</v>
      </c>
      <c r="Q677" s="458">
        <f t="shared" si="545"/>
        <v>7.7333333333333334</v>
      </c>
      <c r="R677" s="459">
        <f t="shared" si="546"/>
        <v>0</v>
      </c>
      <c r="S677" s="421">
        <f t="shared" si="547"/>
        <v>0</v>
      </c>
      <c r="T677" s="5">
        <f t="shared" si="547"/>
        <v>0</v>
      </c>
      <c r="U677" s="5">
        <f t="shared" si="548"/>
        <v>0</v>
      </c>
      <c r="V677" s="5">
        <f t="shared" si="549"/>
        <v>0</v>
      </c>
      <c r="W677" s="5">
        <f t="shared" si="550"/>
        <v>0</v>
      </c>
      <c r="X677" s="5">
        <f>COUNTIF(Levelisation!$A$2536:$A$2635, C596)</f>
        <v>0</v>
      </c>
      <c r="Y677" s="5">
        <v>0</v>
      </c>
      <c r="Z677" s="421">
        <f>IFERROR(E677*Levelisation!F1377, 0)</f>
        <v>29</v>
      </c>
      <c r="AA677" s="5">
        <f>IFERROR(F677*Levelisation!G1377, 0)</f>
        <v>29</v>
      </c>
      <c r="AB677" s="5">
        <f>IFERROR(G677*Levelisation!H1377, 0)</f>
        <v>29</v>
      </c>
      <c r="AC677" s="5">
        <f>IFERROR(H677*Levelisation!I1377, 0)</f>
        <v>29</v>
      </c>
      <c r="AD677" s="5">
        <f>IFERROR(I677*Levelisation!J1377, 0)</f>
        <v>29</v>
      </c>
      <c r="AE677" s="5">
        <f>IFERROR(J677*Levelisation!J1377, 0)</f>
        <v>29</v>
      </c>
      <c r="AF677" s="6">
        <f>IFERROR(K677*Levelisation!L1377, 0)</f>
        <v>0</v>
      </c>
      <c r="AG677" s="33" t="str">
        <f t="shared" si="525"/>
        <v>2.09 &gt; Haiti</v>
      </c>
      <c r="AH677" s="84">
        <f t="shared" si="527"/>
        <v>663</v>
      </c>
      <c r="AI677" s="84">
        <f t="shared" si="528"/>
        <v>25</v>
      </c>
      <c r="AJ677" s="877" t="s">
        <v>1526</v>
      </c>
    </row>
    <row r="678" spans="1:36" x14ac:dyDescent="0.2">
      <c r="A678" s="492">
        <f>INDEX(Country!$F$31:$G$76, MATCH(AI678, Country!$O$31:$O$76, 0), 1)</f>
        <v>2.0899999999999981</v>
      </c>
      <c r="B678" s="2" t="str">
        <f>INDEX(Country!$F$31:$G$76, MATCH(AI678, Country!$O$31:$O$76, 0), 2)</f>
        <v>Number of Green MFI</v>
      </c>
      <c r="C678" s="436" t="str">
        <f>INDEX(Country!$K$31:$K$76, MATCH(AI678, Country!$O$31:$O$76, 0), 1)</f>
        <v>Companies</v>
      </c>
      <c r="D678" s="4" t="str">
        <f t="shared" si="526"/>
        <v>Honduras</v>
      </c>
      <c r="E678" s="47">
        <v>6</v>
      </c>
      <c r="F678" s="47">
        <v>6</v>
      </c>
      <c r="G678" s="47">
        <v>6</v>
      </c>
      <c r="H678" s="47">
        <v>6</v>
      </c>
      <c r="I678" s="47">
        <v>6</v>
      </c>
      <c r="J678" s="47">
        <v>6</v>
      </c>
      <c r="K678" s="17">
        <v>5</v>
      </c>
      <c r="L678" s="457">
        <f t="shared" si="540"/>
        <v>19.840000000000003</v>
      </c>
      <c r="M678" s="458">
        <f t="shared" si="541"/>
        <v>19.840000000000003</v>
      </c>
      <c r="N678" s="458">
        <f t="shared" si="542"/>
        <v>19.840000000000003</v>
      </c>
      <c r="O678" s="458">
        <f t="shared" si="543"/>
        <v>19.840000000000003</v>
      </c>
      <c r="P678" s="458">
        <f t="shared" si="544"/>
        <v>19.840000000000003</v>
      </c>
      <c r="Q678" s="458">
        <f t="shared" si="545"/>
        <v>19.840000000000003</v>
      </c>
      <c r="R678" s="459">
        <f t="shared" si="546"/>
        <v>18.289085545722713</v>
      </c>
      <c r="S678" s="421">
        <f t="shared" si="547"/>
        <v>6</v>
      </c>
      <c r="T678" s="5">
        <f t="shared" si="547"/>
        <v>6</v>
      </c>
      <c r="U678" s="5">
        <f t="shared" si="548"/>
        <v>6</v>
      </c>
      <c r="V678" s="5">
        <f t="shared" si="549"/>
        <v>6</v>
      </c>
      <c r="W678" s="5">
        <f t="shared" si="550"/>
        <v>6</v>
      </c>
      <c r="X678" s="5">
        <f>COUNTIF(Levelisation!$A$2536:$A$2635, $D$597)</f>
        <v>6</v>
      </c>
      <c r="Y678" s="5">
        <v>5</v>
      </c>
      <c r="Z678" s="421">
        <f>IFERROR(E678*Levelisation!F1378, 0)</f>
        <v>74.400000000000006</v>
      </c>
      <c r="AA678" s="5">
        <f>IFERROR(F678*Levelisation!G1378, 0)</f>
        <v>74.400000000000006</v>
      </c>
      <c r="AB678" s="5">
        <f>IFERROR(G678*Levelisation!H1378, 0)</f>
        <v>74.400000000000006</v>
      </c>
      <c r="AC678" s="5">
        <f>IFERROR(H678*Levelisation!I1378, 0)</f>
        <v>74.400000000000006</v>
      </c>
      <c r="AD678" s="5">
        <f>IFERROR(I678*Levelisation!J1378, 0)</f>
        <v>74.400000000000006</v>
      </c>
      <c r="AE678" s="5">
        <f>IFERROR(J678*Levelisation!J1378, 0)</f>
        <v>74.400000000000006</v>
      </c>
      <c r="AF678" s="6">
        <f>IFERROR(K678*Levelisation!L1378, 0)</f>
        <v>62</v>
      </c>
      <c r="AG678" s="33" t="str">
        <f t="shared" si="525"/>
        <v>2.09 &gt; Honduras</v>
      </c>
      <c r="AH678" s="84">
        <f t="shared" si="527"/>
        <v>664</v>
      </c>
      <c r="AI678" s="84">
        <f t="shared" si="528"/>
        <v>25</v>
      </c>
      <c r="AJ678" s="877" t="s">
        <v>1526</v>
      </c>
    </row>
    <row r="679" spans="1:36" x14ac:dyDescent="0.2">
      <c r="A679" s="492">
        <f>INDEX(Country!$F$31:$G$76, MATCH(AI679, Country!$O$31:$O$76, 0), 1)</f>
        <v>2.0899999999999981</v>
      </c>
      <c r="B679" s="2" t="str">
        <f>INDEX(Country!$F$31:$G$76, MATCH(AI679, Country!$O$31:$O$76, 0), 2)</f>
        <v>Number of Green MFI</v>
      </c>
      <c r="C679" s="436" t="str">
        <f>INDEX(Country!$K$31:$K$76, MATCH(AI679, Country!$O$31:$O$76, 0), 1)</f>
        <v>Companies</v>
      </c>
      <c r="D679" s="4" t="str">
        <f t="shared" si="526"/>
        <v>Jamaica</v>
      </c>
      <c r="E679" s="47">
        <v>0</v>
      </c>
      <c r="F679" s="47">
        <v>0</v>
      </c>
      <c r="G679" s="47">
        <v>0</v>
      </c>
      <c r="H679" s="47">
        <v>0</v>
      </c>
      <c r="I679" s="47">
        <v>0</v>
      </c>
      <c r="J679" s="47">
        <v>0</v>
      </c>
      <c r="K679" s="17">
        <v>1</v>
      </c>
      <c r="L679" s="457">
        <f t="shared" si="540"/>
        <v>0</v>
      </c>
      <c r="M679" s="458">
        <f t="shared" si="541"/>
        <v>0</v>
      </c>
      <c r="N679" s="458">
        <f t="shared" si="542"/>
        <v>0</v>
      </c>
      <c r="O679" s="458">
        <f t="shared" si="543"/>
        <v>0</v>
      </c>
      <c r="P679" s="458">
        <f t="shared" si="544"/>
        <v>0</v>
      </c>
      <c r="Q679" s="458">
        <f t="shared" si="545"/>
        <v>0</v>
      </c>
      <c r="R679" s="459">
        <f t="shared" si="546"/>
        <v>0</v>
      </c>
      <c r="S679" s="421">
        <f t="shared" ref="S679:T688" si="551">T679</f>
        <v>0</v>
      </c>
      <c r="T679" s="5">
        <f t="shared" si="551"/>
        <v>0</v>
      </c>
      <c r="U679" s="5">
        <f t="shared" si="548"/>
        <v>0</v>
      </c>
      <c r="V679" s="5">
        <f t="shared" si="549"/>
        <v>0</v>
      </c>
      <c r="W679" s="5">
        <f t="shared" si="550"/>
        <v>0</v>
      </c>
      <c r="X679" s="5">
        <f>COUNTIF(Levelisation!$A$2536:$A$2635, $D$598)</f>
        <v>0</v>
      </c>
      <c r="Y679" s="5">
        <v>1</v>
      </c>
      <c r="Z679" s="421">
        <f>IFERROR(E679*Levelisation!F1379, 0)</f>
        <v>0</v>
      </c>
      <c r="AA679" s="5">
        <f>IFERROR(F679*Levelisation!G1379, 0)</f>
        <v>0</v>
      </c>
      <c r="AB679" s="5">
        <f>IFERROR(G679*Levelisation!H1379, 0)</f>
        <v>0</v>
      </c>
      <c r="AC679" s="5">
        <f>IFERROR(H679*Levelisation!I1379, 0)</f>
        <v>0</v>
      </c>
      <c r="AD679" s="5">
        <f>IFERROR(I679*Levelisation!J1379, 0)</f>
        <v>0</v>
      </c>
      <c r="AE679" s="5">
        <f>IFERROR(J679*Levelisation!J1379, 0)</f>
        <v>0</v>
      </c>
      <c r="AF679" s="6">
        <f>IFERROR(K679*Levelisation!L1379, 0)</f>
        <v>0</v>
      </c>
      <c r="AG679" s="33" t="str">
        <f t="shared" si="525"/>
        <v>2.09 &gt; Jamaica</v>
      </c>
      <c r="AH679" s="84">
        <f t="shared" si="527"/>
        <v>665</v>
      </c>
      <c r="AI679" s="84">
        <f t="shared" si="528"/>
        <v>25</v>
      </c>
      <c r="AJ679" s="877" t="s">
        <v>1526</v>
      </c>
    </row>
    <row r="680" spans="1:36" x14ac:dyDescent="0.2">
      <c r="A680" s="492">
        <f>INDEX(Country!$F$31:$G$76, MATCH(AI680, Country!$O$31:$O$76, 0), 1)</f>
        <v>2.0899999999999981</v>
      </c>
      <c r="B680" s="2" t="str">
        <f>INDEX(Country!$F$31:$G$76, MATCH(AI680, Country!$O$31:$O$76, 0), 2)</f>
        <v>Number of Green MFI</v>
      </c>
      <c r="C680" s="436" t="str">
        <f>INDEX(Country!$K$31:$K$76, MATCH(AI680, Country!$O$31:$O$76, 0), 1)</f>
        <v>Companies</v>
      </c>
      <c r="D680" s="4" t="str">
        <f t="shared" si="526"/>
        <v>Mexico</v>
      </c>
      <c r="E680" s="47">
        <v>5</v>
      </c>
      <c r="F680" s="47">
        <v>5</v>
      </c>
      <c r="G680" s="47">
        <v>5</v>
      </c>
      <c r="H680" s="47">
        <v>5</v>
      </c>
      <c r="I680" s="47">
        <v>5</v>
      </c>
      <c r="J680" s="47">
        <v>5</v>
      </c>
      <c r="K680" s="17">
        <v>5</v>
      </c>
      <c r="L680" s="457">
        <f t="shared" si="540"/>
        <v>40.133333333333333</v>
      </c>
      <c r="M680" s="458">
        <f t="shared" si="541"/>
        <v>40.133333333333333</v>
      </c>
      <c r="N680" s="458">
        <f t="shared" si="542"/>
        <v>40.133333333333333</v>
      </c>
      <c r="O680" s="458">
        <f t="shared" si="543"/>
        <v>40.133333333333333</v>
      </c>
      <c r="P680" s="458">
        <f t="shared" si="544"/>
        <v>40.133333333333333</v>
      </c>
      <c r="Q680" s="458">
        <f t="shared" si="545"/>
        <v>40.133333333333333</v>
      </c>
      <c r="R680" s="459">
        <f t="shared" si="546"/>
        <v>44.395280235988203</v>
      </c>
      <c r="S680" s="421">
        <f t="shared" si="551"/>
        <v>5</v>
      </c>
      <c r="T680" s="5">
        <f t="shared" si="551"/>
        <v>5</v>
      </c>
      <c r="U680" s="5">
        <f t="shared" si="548"/>
        <v>5</v>
      </c>
      <c r="V680" s="5">
        <f t="shared" si="549"/>
        <v>5</v>
      </c>
      <c r="W680" s="5">
        <f t="shared" si="550"/>
        <v>5</v>
      </c>
      <c r="X680" s="5">
        <f>COUNTIF(Levelisation!$A$2536:$A$2635, $D$599)</f>
        <v>5</v>
      </c>
      <c r="Y680" s="5">
        <v>5</v>
      </c>
      <c r="Z680" s="421">
        <f>IFERROR(E680*Levelisation!F1380, 0)</f>
        <v>150.5</v>
      </c>
      <c r="AA680" s="5">
        <f>IFERROR(F680*Levelisation!G1380, 0)</f>
        <v>150.5</v>
      </c>
      <c r="AB680" s="5">
        <f>IFERROR(G680*Levelisation!H1380, 0)</f>
        <v>150.5</v>
      </c>
      <c r="AC680" s="5">
        <f>IFERROR(H680*Levelisation!I1380, 0)</f>
        <v>150.5</v>
      </c>
      <c r="AD680" s="5">
        <f>IFERROR(I680*Levelisation!J1380, 0)</f>
        <v>150.5</v>
      </c>
      <c r="AE680" s="5">
        <f>IFERROR(J680*Levelisation!J1380, 0)</f>
        <v>150.5</v>
      </c>
      <c r="AF680" s="6">
        <f>IFERROR(K680*Levelisation!L1380, 0)</f>
        <v>150.5</v>
      </c>
      <c r="AG680" s="33" t="str">
        <f t="shared" si="525"/>
        <v>2.09 &gt; Mexico</v>
      </c>
      <c r="AH680" s="84">
        <f t="shared" si="527"/>
        <v>666</v>
      </c>
      <c r="AI680" s="84">
        <f t="shared" si="528"/>
        <v>25</v>
      </c>
      <c r="AJ680" s="877" t="s">
        <v>1526</v>
      </c>
    </row>
    <row r="681" spans="1:36" x14ac:dyDescent="0.2">
      <c r="A681" s="492">
        <f>INDEX(Country!$F$31:$G$76, MATCH(AI681, Country!$O$31:$O$76, 0), 1)</f>
        <v>2.0899999999999981</v>
      </c>
      <c r="B681" s="2" t="str">
        <f>INDEX(Country!$F$31:$G$76, MATCH(AI681, Country!$O$31:$O$76, 0), 2)</f>
        <v>Number of Green MFI</v>
      </c>
      <c r="C681" s="436" t="str">
        <f>INDEX(Country!$K$31:$K$76, MATCH(AI681, Country!$O$31:$O$76, 0), 1)</f>
        <v>Companies</v>
      </c>
      <c r="D681" s="4" t="str">
        <f t="shared" si="526"/>
        <v>Nicaragua</v>
      </c>
      <c r="E681" s="47">
        <v>10</v>
      </c>
      <c r="F681" s="47">
        <v>10</v>
      </c>
      <c r="G681" s="47">
        <v>10</v>
      </c>
      <c r="H681" s="47">
        <v>10</v>
      </c>
      <c r="I681" s="47">
        <v>10</v>
      </c>
      <c r="J681" s="47">
        <v>10</v>
      </c>
      <c r="K681" s="17">
        <v>8</v>
      </c>
      <c r="L681" s="457">
        <f t="shared" si="540"/>
        <v>100</v>
      </c>
      <c r="M681" s="458">
        <f t="shared" si="541"/>
        <v>100</v>
      </c>
      <c r="N681" s="458">
        <f t="shared" si="542"/>
        <v>100</v>
      </c>
      <c r="O681" s="458">
        <f t="shared" si="543"/>
        <v>100</v>
      </c>
      <c r="P681" s="458">
        <f t="shared" si="544"/>
        <v>100</v>
      </c>
      <c r="Q681" s="458">
        <f t="shared" si="545"/>
        <v>100</v>
      </c>
      <c r="R681" s="459">
        <f t="shared" si="546"/>
        <v>88.495575221238937</v>
      </c>
      <c r="S681" s="421">
        <f t="shared" si="551"/>
        <v>10</v>
      </c>
      <c r="T681" s="5">
        <f t="shared" si="551"/>
        <v>10</v>
      </c>
      <c r="U681" s="5">
        <f t="shared" si="548"/>
        <v>10</v>
      </c>
      <c r="V681" s="5">
        <f t="shared" si="549"/>
        <v>10</v>
      </c>
      <c r="W681" s="5">
        <f t="shared" si="550"/>
        <v>10</v>
      </c>
      <c r="X681" s="5">
        <f>COUNTIF(Levelisation!$A$2536:$A$2635, $D$600)</f>
        <v>10</v>
      </c>
      <c r="Y681" s="5">
        <v>8</v>
      </c>
      <c r="Z681" s="421">
        <f>IFERROR(E681*Levelisation!F1381, 0)</f>
        <v>375</v>
      </c>
      <c r="AA681" s="5">
        <f>IFERROR(F681*Levelisation!G1381, 0)</f>
        <v>375</v>
      </c>
      <c r="AB681" s="5">
        <f>IFERROR(G681*Levelisation!H1381, 0)</f>
        <v>375</v>
      </c>
      <c r="AC681" s="5">
        <f>IFERROR(H681*Levelisation!I1381, 0)</f>
        <v>375</v>
      </c>
      <c r="AD681" s="5">
        <f>IFERROR(I681*Levelisation!J1381, 0)</f>
        <v>375</v>
      </c>
      <c r="AE681" s="5">
        <f>IFERROR(J681*Levelisation!J1381, 0)</f>
        <v>375</v>
      </c>
      <c r="AF681" s="6">
        <f>IFERROR(K681*Levelisation!L1381, 0)</f>
        <v>300</v>
      </c>
      <c r="AG681" s="33" t="str">
        <f t="shared" si="525"/>
        <v>2.09 &gt; Nicaragua</v>
      </c>
      <c r="AH681" s="84">
        <f t="shared" si="527"/>
        <v>667</v>
      </c>
      <c r="AI681" s="84">
        <f t="shared" si="528"/>
        <v>25</v>
      </c>
      <c r="AJ681" s="877" t="s">
        <v>1526</v>
      </c>
    </row>
    <row r="682" spans="1:36" x14ac:dyDescent="0.2">
      <c r="A682" s="492">
        <f>INDEX(Country!$F$31:$G$76, MATCH(AI682, Country!$O$31:$O$76, 0), 1)</f>
        <v>2.0899999999999981</v>
      </c>
      <c r="B682" s="2" t="str">
        <f>INDEX(Country!$F$31:$G$76, MATCH(AI682, Country!$O$31:$O$76, 0), 2)</f>
        <v>Number of Green MFI</v>
      </c>
      <c r="C682" s="436" t="str">
        <f>INDEX(Country!$K$31:$K$76, MATCH(AI682, Country!$O$31:$O$76, 0), 1)</f>
        <v>Companies</v>
      </c>
      <c r="D682" s="4" t="str">
        <f t="shared" si="526"/>
        <v>Panama</v>
      </c>
      <c r="E682" s="47">
        <v>0</v>
      </c>
      <c r="F682" s="47">
        <v>0</v>
      </c>
      <c r="G682" s="47">
        <v>0</v>
      </c>
      <c r="H682" s="47">
        <v>0</v>
      </c>
      <c r="I682" s="47">
        <v>0</v>
      </c>
      <c r="J682" s="47">
        <v>0</v>
      </c>
      <c r="K682" s="17">
        <v>1</v>
      </c>
      <c r="L682" s="457">
        <f t="shared" si="540"/>
        <v>0</v>
      </c>
      <c r="M682" s="458">
        <f t="shared" si="541"/>
        <v>0</v>
      </c>
      <c r="N682" s="458">
        <f t="shared" si="542"/>
        <v>0</v>
      </c>
      <c r="O682" s="458">
        <f t="shared" si="543"/>
        <v>0</v>
      </c>
      <c r="P682" s="458">
        <f t="shared" si="544"/>
        <v>0</v>
      </c>
      <c r="Q682" s="458">
        <f t="shared" si="545"/>
        <v>0</v>
      </c>
      <c r="R682" s="459">
        <f t="shared" si="546"/>
        <v>1.4454277286135695</v>
      </c>
      <c r="S682" s="421">
        <f t="shared" si="551"/>
        <v>0</v>
      </c>
      <c r="T682" s="5">
        <f t="shared" si="551"/>
        <v>0</v>
      </c>
      <c r="U682" s="5">
        <f t="shared" si="548"/>
        <v>0</v>
      </c>
      <c r="V682" s="5">
        <f t="shared" si="549"/>
        <v>0</v>
      </c>
      <c r="W682" s="5">
        <f t="shared" si="550"/>
        <v>0</v>
      </c>
      <c r="X682" s="5">
        <f>COUNTIF(Levelisation!$A$2536:$A$2635, $D$601)</f>
        <v>0</v>
      </c>
      <c r="Y682" s="5">
        <v>1</v>
      </c>
      <c r="Z682" s="421">
        <f>IFERROR(E682*Levelisation!F1382, 0)</f>
        <v>0</v>
      </c>
      <c r="AA682" s="5">
        <f>IFERROR(F682*Levelisation!G1382, 0)</f>
        <v>0</v>
      </c>
      <c r="AB682" s="5">
        <f>IFERROR(G682*Levelisation!H1382, 0)</f>
        <v>0</v>
      </c>
      <c r="AC682" s="5">
        <f>IFERROR(H682*Levelisation!I1382, 0)</f>
        <v>0</v>
      </c>
      <c r="AD682" s="5">
        <f>IFERROR(I682*Levelisation!J1382, 0)</f>
        <v>0</v>
      </c>
      <c r="AE682" s="5">
        <f>IFERROR(J682*Levelisation!J1382, 0)</f>
        <v>0</v>
      </c>
      <c r="AF682" s="6">
        <f>IFERROR(K682*Levelisation!L1382, 0)</f>
        <v>4.9000000000000004</v>
      </c>
      <c r="AG682" s="33" t="str">
        <f t="shared" si="525"/>
        <v>2.09 &gt; Panama</v>
      </c>
      <c r="AH682" s="84">
        <f t="shared" si="527"/>
        <v>668</v>
      </c>
      <c r="AI682" s="84">
        <f t="shared" si="528"/>
        <v>25</v>
      </c>
      <c r="AJ682" s="877" t="s">
        <v>1526</v>
      </c>
    </row>
    <row r="683" spans="1:36" x14ac:dyDescent="0.2">
      <c r="A683" s="492">
        <f>INDEX(Country!$F$31:$G$76, MATCH(AI683, Country!$O$31:$O$76, 0), 1)</f>
        <v>2.0899999999999981</v>
      </c>
      <c r="B683" s="2" t="str">
        <f>INDEX(Country!$F$31:$G$76, MATCH(AI683, Country!$O$31:$O$76, 0), 2)</f>
        <v>Number of Green MFI</v>
      </c>
      <c r="C683" s="436" t="str">
        <f>INDEX(Country!$K$31:$K$76, MATCH(AI683, Country!$O$31:$O$76, 0), 1)</f>
        <v>Companies</v>
      </c>
      <c r="D683" s="4" t="str">
        <f t="shared" si="526"/>
        <v>Paraguay</v>
      </c>
      <c r="E683" s="47">
        <v>2</v>
      </c>
      <c r="F683" s="47">
        <v>2</v>
      </c>
      <c r="G683" s="47">
        <v>2</v>
      </c>
      <c r="H683" s="47">
        <v>2</v>
      </c>
      <c r="I683" s="47">
        <v>2</v>
      </c>
      <c r="J683" s="47">
        <v>2</v>
      </c>
      <c r="K683" s="17">
        <v>2</v>
      </c>
      <c r="L683" s="457">
        <f t="shared" si="540"/>
        <v>5.12</v>
      </c>
      <c r="M683" s="458">
        <f t="shared" si="541"/>
        <v>5.12</v>
      </c>
      <c r="N683" s="458">
        <f t="shared" si="542"/>
        <v>5.12</v>
      </c>
      <c r="O683" s="458">
        <f t="shared" si="543"/>
        <v>5.12</v>
      </c>
      <c r="P683" s="458">
        <f t="shared" si="544"/>
        <v>5.12</v>
      </c>
      <c r="Q683" s="458">
        <f t="shared" si="545"/>
        <v>5.12</v>
      </c>
      <c r="R683" s="459">
        <f t="shared" si="546"/>
        <v>5.663716814159292</v>
      </c>
      <c r="S683" s="421">
        <f t="shared" si="551"/>
        <v>2</v>
      </c>
      <c r="T683" s="5">
        <f t="shared" si="551"/>
        <v>2</v>
      </c>
      <c r="U683" s="5">
        <f t="shared" si="548"/>
        <v>2</v>
      </c>
      <c r="V683" s="5">
        <f t="shared" si="549"/>
        <v>2</v>
      </c>
      <c r="W683" s="5">
        <f t="shared" si="550"/>
        <v>2</v>
      </c>
      <c r="X683" s="5">
        <f>COUNTIF(Levelisation!$A$2536:$A$2635, $D$602)</f>
        <v>2</v>
      </c>
      <c r="Y683" s="5">
        <v>2</v>
      </c>
      <c r="Z683" s="421">
        <f>IFERROR(E683*Levelisation!F1383, 0)</f>
        <v>19.2</v>
      </c>
      <c r="AA683" s="5">
        <f>IFERROR(F683*Levelisation!G1383, 0)</f>
        <v>19.2</v>
      </c>
      <c r="AB683" s="5">
        <f>IFERROR(G683*Levelisation!H1383, 0)</f>
        <v>19.2</v>
      </c>
      <c r="AC683" s="5">
        <f>IFERROR(H683*Levelisation!I1383, 0)</f>
        <v>19.2</v>
      </c>
      <c r="AD683" s="5">
        <f>IFERROR(I683*Levelisation!J1383, 0)</f>
        <v>19.2</v>
      </c>
      <c r="AE683" s="5">
        <f>IFERROR(J683*Levelisation!J1383, 0)</f>
        <v>19.2</v>
      </c>
      <c r="AF683" s="6">
        <f>IFERROR(K683*Levelisation!L1383, 0)</f>
        <v>19.2</v>
      </c>
      <c r="AG683" s="33" t="str">
        <f t="shared" si="525"/>
        <v>2.09 &gt; Paraguay</v>
      </c>
      <c r="AH683" s="84">
        <f t="shared" si="527"/>
        <v>669</v>
      </c>
      <c r="AI683" s="84">
        <f t="shared" si="528"/>
        <v>25</v>
      </c>
      <c r="AJ683" s="877" t="s">
        <v>1526</v>
      </c>
    </row>
    <row r="684" spans="1:36" x14ac:dyDescent="0.2">
      <c r="A684" s="492">
        <f>INDEX(Country!$F$31:$G$76, MATCH(AI684, Country!$O$31:$O$76, 0), 1)</f>
        <v>2.0899999999999981</v>
      </c>
      <c r="B684" s="2" t="str">
        <f>INDEX(Country!$F$31:$G$76, MATCH(AI684, Country!$O$31:$O$76, 0), 2)</f>
        <v>Number of Green MFI</v>
      </c>
      <c r="C684" s="436" t="str">
        <f>INDEX(Country!$K$31:$K$76, MATCH(AI684, Country!$O$31:$O$76, 0), 1)</f>
        <v>Companies</v>
      </c>
      <c r="D684" s="4" t="str">
        <f t="shared" si="526"/>
        <v>Peru</v>
      </c>
      <c r="E684" s="47">
        <v>11</v>
      </c>
      <c r="F684" s="47">
        <v>11</v>
      </c>
      <c r="G684" s="47">
        <v>11</v>
      </c>
      <c r="H684" s="47">
        <v>11</v>
      </c>
      <c r="I684" s="47">
        <v>11</v>
      </c>
      <c r="J684" s="47">
        <v>11</v>
      </c>
      <c r="K684" s="17">
        <v>10</v>
      </c>
      <c r="L684" s="457">
        <f t="shared" si="540"/>
        <v>99.44</v>
      </c>
      <c r="M684" s="458">
        <f t="shared" si="541"/>
        <v>99.44</v>
      </c>
      <c r="N684" s="458">
        <f t="shared" si="542"/>
        <v>99.44</v>
      </c>
      <c r="O684" s="458">
        <f t="shared" si="543"/>
        <v>99.44</v>
      </c>
      <c r="P684" s="458">
        <f t="shared" si="544"/>
        <v>99.44</v>
      </c>
      <c r="Q684" s="458">
        <f t="shared" si="545"/>
        <v>99.44</v>
      </c>
      <c r="R684" s="459">
        <f t="shared" si="546"/>
        <v>100</v>
      </c>
      <c r="S684" s="421">
        <f t="shared" si="551"/>
        <v>11</v>
      </c>
      <c r="T684" s="5">
        <f t="shared" si="551"/>
        <v>11</v>
      </c>
      <c r="U684" s="5">
        <f t="shared" si="548"/>
        <v>11</v>
      </c>
      <c r="V684" s="5">
        <f t="shared" si="549"/>
        <v>11</v>
      </c>
      <c r="W684" s="5">
        <f t="shared" si="550"/>
        <v>11</v>
      </c>
      <c r="X684" s="5">
        <f>COUNTIF(Levelisation!$A$2536:$A$2635, $D$603)</f>
        <v>11</v>
      </c>
      <c r="Y684" s="5">
        <v>10</v>
      </c>
      <c r="Z684" s="421">
        <f>IFERROR(E684*Levelisation!F1384, 0)</f>
        <v>372.9</v>
      </c>
      <c r="AA684" s="5">
        <f>IFERROR(F684*Levelisation!G1384, 0)</f>
        <v>372.9</v>
      </c>
      <c r="AB684" s="5">
        <f>IFERROR(G684*Levelisation!H1384, 0)</f>
        <v>372.9</v>
      </c>
      <c r="AC684" s="5">
        <f>IFERROR(H684*Levelisation!I1384, 0)</f>
        <v>372.9</v>
      </c>
      <c r="AD684" s="5">
        <f>IFERROR(I684*Levelisation!J1384, 0)</f>
        <v>372.9</v>
      </c>
      <c r="AE684" s="5">
        <f>IFERROR(J684*Levelisation!J1384, 0)</f>
        <v>372.9</v>
      </c>
      <c r="AF684" s="6">
        <f>IFERROR(K684*Levelisation!L1384, 0)</f>
        <v>339</v>
      </c>
      <c r="AG684" s="33" t="str">
        <f t="shared" si="525"/>
        <v>2.09 &gt; Peru</v>
      </c>
      <c r="AH684" s="84">
        <f t="shared" si="527"/>
        <v>670</v>
      </c>
      <c r="AI684" s="84">
        <f t="shared" si="528"/>
        <v>25</v>
      </c>
      <c r="AJ684" s="877" t="s">
        <v>1526</v>
      </c>
    </row>
    <row r="685" spans="1:36" x14ac:dyDescent="0.2">
      <c r="A685" s="492">
        <f>INDEX(Country!$F$31:$G$76, MATCH(AI685, Country!$O$31:$O$76, 0), 1)</f>
        <v>2.0899999999999981</v>
      </c>
      <c r="B685" s="2" t="str">
        <f>INDEX(Country!$F$31:$G$76, MATCH(AI685, Country!$O$31:$O$76, 0), 2)</f>
        <v>Number of Green MFI</v>
      </c>
      <c r="C685" s="436" t="str">
        <f>INDEX(Country!$K$31:$K$76, MATCH(AI685, Country!$O$31:$O$76, 0), 1)</f>
        <v>Companies</v>
      </c>
      <c r="D685" s="4" t="str">
        <f t="shared" si="526"/>
        <v>Suriname</v>
      </c>
      <c r="E685" s="47">
        <v>0</v>
      </c>
      <c r="F685" s="47">
        <v>0</v>
      </c>
      <c r="G685" s="47">
        <v>0</v>
      </c>
      <c r="H685" s="47">
        <v>0</v>
      </c>
      <c r="I685" s="47">
        <v>0</v>
      </c>
      <c r="J685" s="47">
        <v>0</v>
      </c>
      <c r="K685" s="17">
        <v>0</v>
      </c>
      <c r="L685" s="457">
        <f t="shared" si="540"/>
        <v>0</v>
      </c>
      <c r="M685" s="458">
        <f t="shared" si="541"/>
        <v>0</v>
      </c>
      <c r="N685" s="458">
        <f t="shared" si="542"/>
        <v>0</v>
      </c>
      <c r="O685" s="458">
        <f t="shared" si="543"/>
        <v>0</v>
      </c>
      <c r="P685" s="458">
        <f t="shared" si="544"/>
        <v>0</v>
      </c>
      <c r="Q685" s="458">
        <f t="shared" si="545"/>
        <v>0</v>
      </c>
      <c r="R685" s="459">
        <f t="shared" si="546"/>
        <v>0</v>
      </c>
      <c r="S685" s="421">
        <f t="shared" si="551"/>
        <v>0</v>
      </c>
      <c r="T685" s="5">
        <f t="shared" si="551"/>
        <v>0</v>
      </c>
      <c r="U685" s="5">
        <f t="shared" si="548"/>
        <v>0</v>
      </c>
      <c r="V685" s="5">
        <f t="shared" si="549"/>
        <v>0</v>
      </c>
      <c r="W685" s="5">
        <f t="shared" si="550"/>
        <v>0</v>
      </c>
      <c r="X685" s="5">
        <f>COUNTIF(Levelisation!$A$2536:$A$2635, $D$604)</f>
        <v>0</v>
      </c>
      <c r="Y685" s="5">
        <v>0</v>
      </c>
      <c r="Z685" s="421">
        <f>IFERROR(E685*Levelisation!F1385, 0)</f>
        <v>0</v>
      </c>
      <c r="AA685" s="5">
        <f>IFERROR(F685*Levelisation!G1385, 0)</f>
        <v>0</v>
      </c>
      <c r="AB685" s="5">
        <f>IFERROR(G685*Levelisation!H1385, 0)</f>
        <v>0</v>
      </c>
      <c r="AC685" s="5">
        <f>IFERROR(H685*Levelisation!I1385, 0)</f>
        <v>0</v>
      </c>
      <c r="AD685" s="5">
        <f>IFERROR(I685*Levelisation!J1385, 0)</f>
        <v>0</v>
      </c>
      <c r="AE685" s="5">
        <f>IFERROR(J685*Levelisation!J1385, 0)</f>
        <v>0</v>
      </c>
      <c r="AF685" s="6">
        <f>IFERROR(K685*Levelisation!L1385, 0)</f>
        <v>0</v>
      </c>
      <c r="AG685" s="33" t="str">
        <f t="shared" si="525"/>
        <v>2.09 &gt; Suriname</v>
      </c>
      <c r="AH685" s="84">
        <f t="shared" si="527"/>
        <v>671</v>
      </c>
      <c r="AI685" s="84">
        <f t="shared" si="528"/>
        <v>25</v>
      </c>
      <c r="AJ685" s="877" t="s">
        <v>1526</v>
      </c>
    </row>
    <row r="686" spans="1:36" x14ac:dyDescent="0.2">
      <c r="A686" s="492">
        <f>INDEX(Country!$F$31:$G$76, MATCH(AI686, Country!$O$31:$O$76, 0), 1)</f>
        <v>2.0899999999999981</v>
      </c>
      <c r="B686" s="2" t="str">
        <f>INDEX(Country!$F$31:$G$76, MATCH(AI686, Country!$O$31:$O$76, 0), 2)</f>
        <v>Number of Green MFI</v>
      </c>
      <c r="C686" s="436" t="str">
        <f>INDEX(Country!$K$31:$K$76, MATCH(AI686, Country!$O$31:$O$76, 0), 1)</f>
        <v>Companies</v>
      </c>
      <c r="D686" s="4" t="str">
        <f t="shared" si="526"/>
        <v>Trinidad &amp; Tobago</v>
      </c>
      <c r="E686" s="47">
        <v>0</v>
      </c>
      <c r="F686" s="47">
        <v>0</v>
      </c>
      <c r="G686" s="47">
        <v>0</v>
      </c>
      <c r="H686" s="47">
        <v>0</v>
      </c>
      <c r="I686" s="47">
        <v>0</v>
      </c>
      <c r="J686" s="47">
        <v>0</v>
      </c>
      <c r="K686" s="17">
        <v>0</v>
      </c>
      <c r="L686" s="457">
        <f t="shared" si="540"/>
        <v>0</v>
      </c>
      <c r="M686" s="458">
        <f t="shared" si="541"/>
        <v>0</v>
      </c>
      <c r="N686" s="458">
        <f t="shared" si="542"/>
        <v>0</v>
      </c>
      <c r="O686" s="458">
        <f t="shared" si="543"/>
        <v>0</v>
      </c>
      <c r="P686" s="458">
        <f t="shared" si="544"/>
        <v>0</v>
      </c>
      <c r="Q686" s="458">
        <f t="shared" si="545"/>
        <v>0</v>
      </c>
      <c r="R686" s="459">
        <f t="shared" si="546"/>
        <v>0</v>
      </c>
      <c r="S686" s="421">
        <f t="shared" si="551"/>
        <v>0</v>
      </c>
      <c r="T686" s="5">
        <f t="shared" si="551"/>
        <v>0</v>
      </c>
      <c r="U686" s="5">
        <f t="shared" si="548"/>
        <v>0</v>
      </c>
      <c r="V686" s="5">
        <f t="shared" si="549"/>
        <v>0</v>
      </c>
      <c r="W686" s="5">
        <f t="shared" si="550"/>
        <v>0</v>
      </c>
      <c r="X686" s="5">
        <f>COUNTIF(Levelisation!$A$2536:$A$2635, $D$605)</f>
        <v>0</v>
      </c>
      <c r="Y686" s="5">
        <v>0</v>
      </c>
      <c r="Z686" s="421">
        <f>IFERROR(E686*Levelisation!F1386, 0)</f>
        <v>0</v>
      </c>
      <c r="AA686" s="5">
        <f>IFERROR(F686*Levelisation!G1386, 0)</f>
        <v>0</v>
      </c>
      <c r="AB686" s="5">
        <f>IFERROR(G686*Levelisation!H1386, 0)</f>
        <v>0</v>
      </c>
      <c r="AC686" s="5">
        <f>IFERROR(H686*Levelisation!I1386, 0)</f>
        <v>0</v>
      </c>
      <c r="AD686" s="5">
        <f>IFERROR(I686*Levelisation!J1386, 0)</f>
        <v>0</v>
      </c>
      <c r="AE686" s="5">
        <f>IFERROR(J686*Levelisation!J1386, 0)</f>
        <v>0</v>
      </c>
      <c r="AF686" s="6">
        <f>IFERROR(K686*Levelisation!L1386, 0)</f>
        <v>0</v>
      </c>
      <c r="AG686" s="33" t="str">
        <f t="shared" si="525"/>
        <v>2.09 &gt; Trinidad &amp; Tobago</v>
      </c>
      <c r="AH686" s="84">
        <f t="shared" si="527"/>
        <v>672</v>
      </c>
      <c r="AI686" s="84">
        <f t="shared" si="528"/>
        <v>25</v>
      </c>
      <c r="AJ686" s="877" t="s">
        <v>1526</v>
      </c>
    </row>
    <row r="687" spans="1:36" x14ac:dyDescent="0.2">
      <c r="A687" s="492">
        <f>INDEX(Country!$F$31:$G$76, MATCH(AI687, Country!$O$31:$O$76, 0), 1)</f>
        <v>2.0899999999999981</v>
      </c>
      <c r="B687" s="2" t="str">
        <f>INDEX(Country!$F$31:$G$76, MATCH(AI687, Country!$O$31:$O$76, 0), 2)</f>
        <v>Number of Green MFI</v>
      </c>
      <c r="C687" s="436" t="str">
        <f>INDEX(Country!$K$31:$K$76, MATCH(AI687, Country!$O$31:$O$76, 0), 1)</f>
        <v>Companies</v>
      </c>
      <c r="D687" s="4" t="str">
        <f t="shared" si="526"/>
        <v>Uruguay</v>
      </c>
      <c r="E687" s="47">
        <v>1</v>
      </c>
      <c r="F687" s="47">
        <v>1</v>
      </c>
      <c r="G687" s="47">
        <v>1</v>
      </c>
      <c r="H687" s="47">
        <v>1</v>
      </c>
      <c r="I687" s="47">
        <v>1</v>
      </c>
      <c r="J687" s="47">
        <v>1</v>
      </c>
      <c r="K687" s="17">
        <v>1</v>
      </c>
      <c r="L687" s="457">
        <f t="shared" si="540"/>
        <v>0.69333333333333336</v>
      </c>
      <c r="M687" s="458">
        <f t="shared" si="541"/>
        <v>0.69333333333333336</v>
      </c>
      <c r="N687" s="458">
        <f t="shared" si="542"/>
        <v>0.69333333333333336</v>
      </c>
      <c r="O687" s="458">
        <f t="shared" si="543"/>
        <v>0.69333333333333336</v>
      </c>
      <c r="P687" s="458">
        <f t="shared" si="544"/>
        <v>0.69333333333333336</v>
      </c>
      <c r="Q687" s="458">
        <f t="shared" si="545"/>
        <v>0.69333333333333336</v>
      </c>
      <c r="R687" s="459">
        <f t="shared" si="546"/>
        <v>0.76696165191740417</v>
      </c>
      <c r="S687" s="421">
        <f t="shared" si="551"/>
        <v>0</v>
      </c>
      <c r="T687" s="5">
        <f t="shared" si="551"/>
        <v>0</v>
      </c>
      <c r="U687" s="5">
        <f t="shared" si="548"/>
        <v>0</v>
      </c>
      <c r="V687" s="5">
        <f t="shared" si="549"/>
        <v>0</v>
      </c>
      <c r="W687" s="5">
        <f t="shared" si="550"/>
        <v>0</v>
      </c>
      <c r="X687" s="5">
        <f>COUNTIF(Levelisation!$A$2536:$A$2635, C606)</f>
        <v>0</v>
      </c>
      <c r="Y687" s="5">
        <v>1</v>
      </c>
      <c r="Z687" s="421">
        <f>IFERROR(E687*Levelisation!F1387, 0)</f>
        <v>2.6</v>
      </c>
      <c r="AA687" s="5">
        <f>IFERROR(F687*Levelisation!G1387, 0)</f>
        <v>2.6</v>
      </c>
      <c r="AB687" s="5">
        <f>IFERROR(G687*Levelisation!H1387, 0)</f>
        <v>2.6</v>
      </c>
      <c r="AC687" s="5">
        <f>IFERROR(H687*Levelisation!I1387, 0)</f>
        <v>2.6</v>
      </c>
      <c r="AD687" s="5">
        <f>IFERROR(I687*Levelisation!J1387, 0)</f>
        <v>2.6</v>
      </c>
      <c r="AE687" s="5">
        <f>IFERROR(J687*Levelisation!J1387, 0)</f>
        <v>2.6</v>
      </c>
      <c r="AF687" s="6">
        <f>IFERROR(K687*Levelisation!L1387, 0)</f>
        <v>2.6</v>
      </c>
      <c r="AG687" s="33" t="str">
        <f t="shared" si="525"/>
        <v>2.09 &gt; Uruguay</v>
      </c>
      <c r="AH687" s="84">
        <f t="shared" si="527"/>
        <v>673</v>
      </c>
      <c r="AI687" s="84">
        <f t="shared" si="528"/>
        <v>25</v>
      </c>
      <c r="AJ687" s="877" t="s">
        <v>1526</v>
      </c>
    </row>
    <row r="688" spans="1:36" x14ac:dyDescent="0.2">
      <c r="A688" s="491">
        <f>INDEX(Country!$F$31:$G$76, MATCH(AI688, Country!$O$31:$O$76, 0), 1)</f>
        <v>2.0899999999999981</v>
      </c>
      <c r="B688" s="386" t="str">
        <f>INDEX(Country!$F$31:$G$76, MATCH(AI688, Country!$O$31:$O$76, 0), 2)</f>
        <v>Number of Green MFI</v>
      </c>
      <c r="C688" s="437" t="str">
        <f>INDEX(Country!$K$31:$K$76, MATCH(AI688, Country!$O$31:$O$76, 0), 1)</f>
        <v>Companies</v>
      </c>
      <c r="D688" s="86" t="str">
        <f t="shared" si="526"/>
        <v>Venezuela</v>
      </c>
      <c r="E688" s="363">
        <v>2</v>
      </c>
      <c r="F688" s="363">
        <v>2</v>
      </c>
      <c r="G688" s="363">
        <v>2</v>
      </c>
      <c r="H688" s="363">
        <v>2</v>
      </c>
      <c r="I688" s="363">
        <v>2</v>
      </c>
      <c r="J688" s="363">
        <v>2</v>
      </c>
      <c r="K688" s="398">
        <v>2</v>
      </c>
      <c r="L688" s="460">
        <f t="shared" si="540"/>
        <v>0.26666666666666666</v>
      </c>
      <c r="M688" s="461">
        <f t="shared" si="541"/>
        <v>0.26666666666666666</v>
      </c>
      <c r="N688" s="461">
        <f t="shared" si="542"/>
        <v>0.26666666666666666</v>
      </c>
      <c r="O688" s="461">
        <f t="shared" si="543"/>
        <v>0.26666666666666666</v>
      </c>
      <c r="P688" s="461">
        <f t="shared" si="544"/>
        <v>0.26666666666666666</v>
      </c>
      <c r="Q688" s="461">
        <f t="shared" si="545"/>
        <v>0.26666666666666666</v>
      </c>
      <c r="R688" s="462">
        <f t="shared" si="546"/>
        <v>0.29498525073746312</v>
      </c>
      <c r="S688" s="422">
        <f t="shared" si="551"/>
        <v>2</v>
      </c>
      <c r="T688" s="364">
        <f t="shared" si="551"/>
        <v>2</v>
      </c>
      <c r="U688" s="364">
        <f t="shared" si="548"/>
        <v>2</v>
      </c>
      <c r="V688" s="364">
        <f t="shared" si="549"/>
        <v>2</v>
      </c>
      <c r="W688" s="364">
        <f t="shared" si="550"/>
        <v>2</v>
      </c>
      <c r="X688" s="364">
        <f>COUNTIF(Levelisation!$A$2536:$A$2635, $D$607)</f>
        <v>2</v>
      </c>
      <c r="Y688" s="364">
        <v>2</v>
      </c>
      <c r="Z688" s="422">
        <f>IFERROR(E688*Levelisation!F1388, 0)</f>
        <v>1</v>
      </c>
      <c r="AA688" s="364">
        <f>IFERROR(F688*Levelisation!G1388, 0)</f>
        <v>1</v>
      </c>
      <c r="AB688" s="364">
        <f>IFERROR(G688*Levelisation!H1388, 0)</f>
        <v>1</v>
      </c>
      <c r="AC688" s="364">
        <f>IFERROR(H688*Levelisation!I1388, 0)</f>
        <v>1</v>
      </c>
      <c r="AD688" s="364">
        <f>IFERROR(I688*Levelisation!J1388, 0)</f>
        <v>1</v>
      </c>
      <c r="AE688" s="364">
        <f>IFERROR(J688*Levelisation!J1388, 0)</f>
        <v>1</v>
      </c>
      <c r="AF688" s="390">
        <f>IFERROR(K688*Levelisation!L1388, 0)</f>
        <v>1</v>
      </c>
      <c r="AG688" s="90" t="str">
        <f t="shared" si="525"/>
        <v>2.09 &gt; Venezuela</v>
      </c>
      <c r="AH688" s="392">
        <f t="shared" si="527"/>
        <v>674</v>
      </c>
      <c r="AI688" s="392">
        <f t="shared" si="528"/>
        <v>25</v>
      </c>
      <c r="AJ688" s="878" t="s">
        <v>1526</v>
      </c>
    </row>
    <row r="689" spans="1:36" x14ac:dyDescent="0.2">
      <c r="A689" s="490">
        <f>INDEX(Country!$F$31:$G$76, MATCH(AI689, Country!$O$31:$O$76, 0), 1)</f>
        <v>2.0899999999999981</v>
      </c>
      <c r="B689" s="387" t="str">
        <f>INDEX(Country!$F$31:$G$76, MATCH(AI689, Country!$O$31:$O$76, 0), 2)</f>
        <v>Number of Green MFI</v>
      </c>
      <c r="C689" s="438" t="str">
        <f>INDEX(Country!$K$31:$K$76, MATCH(AI689, Country!$O$31:$O$76, 0), 1)</f>
        <v>Companies</v>
      </c>
      <c r="D689" s="32" t="str">
        <f t="shared" si="526"/>
        <v>Benchmark</v>
      </c>
      <c r="E689" s="362">
        <f>IFERROR(MAX(E663:E688), 0)</f>
        <v>11</v>
      </c>
      <c r="F689" s="362">
        <f t="shared" ref="F689" si="552">IFERROR(MAX(F663:F688), 0)</f>
        <v>11</v>
      </c>
      <c r="G689" s="362">
        <f t="shared" ref="G689" si="553">IFERROR(MAX(G663:G688), 0)</f>
        <v>11</v>
      </c>
      <c r="H689" s="362">
        <f t="shared" ref="H689" si="554">IFERROR(MAX(H663:H688), 0)</f>
        <v>11</v>
      </c>
      <c r="I689" s="362">
        <f t="shared" ref="I689" si="555">IFERROR(MAX(I663:I688), 0)</f>
        <v>11</v>
      </c>
      <c r="J689" s="362">
        <f t="shared" ref="J689:K689" si="556">IFERROR(MAX(J663:J688), 0)</f>
        <v>11</v>
      </c>
      <c r="K689" s="584">
        <f t="shared" si="556"/>
        <v>10</v>
      </c>
      <c r="L689" s="585">
        <f t="shared" ref="L689:M689" si="557">MAX(Z663:Z688)</f>
        <v>375</v>
      </c>
      <c r="M689" s="463">
        <f t="shared" si="557"/>
        <v>375</v>
      </c>
      <c r="N689" s="463">
        <f t="shared" ref="N689" si="558">MAX(AB663:AB688)</f>
        <v>375</v>
      </c>
      <c r="O689" s="463">
        <f t="shared" ref="O689" si="559">MAX(AC663:AC688)</f>
        <v>375</v>
      </c>
      <c r="P689" s="463">
        <f t="shared" ref="P689" si="560">MAX(AD663:AD688)</f>
        <v>375</v>
      </c>
      <c r="Q689" s="463">
        <f t="shared" ref="Q689" si="561">MAX(AE663:AE688)</f>
        <v>375</v>
      </c>
      <c r="R689" s="586">
        <f t="shared" ref="R689" si="562">MAX(AF663:AF688)</f>
        <v>339</v>
      </c>
      <c r="S689" s="393"/>
      <c r="T689" s="394"/>
      <c r="U689" s="376"/>
      <c r="V689" s="376"/>
      <c r="W689" s="376"/>
      <c r="X689" s="376"/>
      <c r="Y689" s="376"/>
      <c r="Z689" s="393" t="s">
        <v>1245</v>
      </c>
      <c r="AA689" s="394"/>
      <c r="AB689" s="376"/>
      <c r="AC689" s="376"/>
      <c r="AD689" s="376"/>
      <c r="AE689" s="376"/>
      <c r="AF689" s="401"/>
      <c r="AG689" s="34" t="str">
        <f t="shared" si="525"/>
        <v>2.09 &gt; Benchmark</v>
      </c>
      <c r="AH689" s="85">
        <f t="shared" si="527"/>
        <v>675</v>
      </c>
      <c r="AI689" s="85">
        <f t="shared" si="528"/>
        <v>25</v>
      </c>
      <c r="AJ689" s="871" t="s">
        <v>1526</v>
      </c>
    </row>
    <row r="690" spans="1:36" x14ac:dyDescent="0.2">
      <c r="A690" s="587">
        <f>INDEX(Country!$F$31:$G$76, MATCH(AI690, Country!$O$31:$O$76, 0), 1)</f>
        <v>2.0999999999999979</v>
      </c>
      <c r="B690" s="588" t="str">
        <f>INDEX(Country!$F$31:$G$76, MATCH(AI690, Country!$O$31:$O$76, 0), 2)</f>
        <v>Green micro-loans</v>
      </c>
      <c r="C690" s="589" t="str">
        <f>INDEX(Country!$K$31:$K$76, MATCH(AI690, Country!$O$31:$O$76, 0), 1)</f>
        <v>USD</v>
      </c>
      <c r="D690" s="590" t="str">
        <f t="shared" si="526"/>
        <v>Argentina</v>
      </c>
      <c r="E690" s="614">
        <v>153695.57999999999</v>
      </c>
      <c r="F690" s="614">
        <v>153695.57999999999</v>
      </c>
      <c r="G690" s="614">
        <v>153695.57999999999</v>
      </c>
      <c r="H690" s="47">
        <v>153695.57999999999</v>
      </c>
      <c r="I690" s="47">
        <v>153695.57999999999</v>
      </c>
      <c r="J690" s="47">
        <v>153695.57999999999</v>
      </c>
      <c r="K690" s="615">
        <v>750000</v>
      </c>
      <c r="L690" s="580">
        <f t="shared" ref="L690:L715" si="563">IFERROR(dbl_BenchmarkMax*Z690/L$716, 0)</f>
        <v>7.3759567583380035</v>
      </c>
      <c r="M690" s="581">
        <f t="shared" ref="M690:M715" si="564">IFERROR(dbl_BenchmarkMax*AA690/M$716, 0)</f>
        <v>7.3759567583380035</v>
      </c>
      <c r="N690" s="581">
        <f t="shared" ref="N690:N715" si="565">IFERROR(dbl_BenchmarkMax*AB690/N$716, 0)</f>
        <v>7.3759567583380035</v>
      </c>
      <c r="O690" s="581">
        <f t="shared" ref="O690:O715" si="566">IFERROR(dbl_BenchmarkMax*AC690/O$716, 0)</f>
        <v>7.3759567583380035</v>
      </c>
      <c r="P690" s="581">
        <f t="shared" ref="P690:P715" si="567">IFERROR(dbl_BenchmarkMax*AD690/P$716, 0)</f>
        <v>7.3759567583380035</v>
      </c>
      <c r="Q690" s="581">
        <f t="shared" ref="Q690:Q715" si="568">IFERROR(dbl_BenchmarkMax*AE690/Q$716, 0)</f>
        <v>7.3759567583380035</v>
      </c>
      <c r="R690" s="582">
        <f t="shared" ref="R690:R715" si="569">IFERROR(dbl_BenchmarkMax*AF690/R$716, 0)</f>
        <v>32.057552747945103</v>
      </c>
      <c r="S690" s="455"/>
      <c r="T690" s="456"/>
      <c r="U690" s="456"/>
      <c r="V690" s="456"/>
      <c r="W690" s="456"/>
      <c r="X690" s="456"/>
      <c r="Y690" s="456"/>
      <c r="Z690" s="421">
        <f>IFERROR(E690/Levelisation!F1389, 0)</f>
        <v>1.4348660692317487E-3</v>
      </c>
      <c r="AA690" s="471">
        <f>IFERROR(F690/Levelisation!G1389, 0)</f>
        <v>1.4348660692317487E-3</v>
      </c>
      <c r="AB690" s="471">
        <f>IFERROR(G690/Levelisation!H1389, 0)</f>
        <v>1.4348660692317487E-3</v>
      </c>
      <c r="AC690" s="5">
        <f>IFERROR(H690/Levelisation!I1389, 0)</f>
        <v>1.4348660692317487E-3</v>
      </c>
      <c r="AD690" s="5">
        <f>IFERROR(I690/Levelisation!J1389, 0)</f>
        <v>1.4348660692317487E-3</v>
      </c>
      <c r="AE690" s="5">
        <f>IFERROR(J690/Levelisation!J1389, 0)</f>
        <v>1.4348660692317487E-3</v>
      </c>
      <c r="AF690" s="6">
        <f>IFERROR(K690/Levelisation!L1389, 0)</f>
        <v>7.0018249836710442E-3</v>
      </c>
      <c r="AG690" s="396" t="str">
        <f t="shared" si="525"/>
        <v>2.1 &gt; Argentina</v>
      </c>
      <c r="AH690" s="397">
        <f t="shared" si="527"/>
        <v>676</v>
      </c>
      <c r="AI690" s="397">
        <f t="shared" si="528"/>
        <v>26</v>
      </c>
      <c r="AJ690" s="879" t="s">
        <v>1526</v>
      </c>
    </row>
    <row r="691" spans="1:36" x14ac:dyDescent="0.2">
      <c r="A691" s="492">
        <f>INDEX(Country!$F$31:$G$76, MATCH(AI691, Country!$O$31:$O$76, 0), 1)</f>
        <v>2.0999999999999979</v>
      </c>
      <c r="B691" s="2" t="str">
        <f>INDEX(Country!$F$31:$G$76, MATCH(AI691, Country!$O$31:$O$76, 0), 2)</f>
        <v>Green micro-loans</v>
      </c>
      <c r="C691" s="436" t="str">
        <f>INDEX(Country!$K$31:$K$76, MATCH(AI691, Country!$O$31:$O$76, 0), 1)</f>
        <v>USD</v>
      </c>
      <c r="D691" s="4" t="str">
        <f t="shared" si="526"/>
        <v>Bahamas</v>
      </c>
      <c r="E691" s="47">
        <v>0</v>
      </c>
      <c r="F691" s="47">
        <v>0</v>
      </c>
      <c r="G691" s="47">
        <v>0</v>
      </c>
      <c r="H691" s="47">
        <v>0</v>
      </c>
      <c r="I691" s="47">
        <v>0</v>
      </c>
      <c r="J691" s="47">
        <v>0</v>
      </c>
      <c r="K691" s="45">
        <v>0</v>
      </c>
      <c r="L691" s="457">
        <f t="shared" si="563"/>
        <v>0</v>
      </c>
      <c r="M691" s="458">
        <f t="shared" si="564"/>
        <v>0</v>
      </c>
      <c r="N691" s="458">
        <f t="shared" si="565"/>
        <v>0</v>
      </c>
      <c r="O691" s="458">
        <f t="shared" si="566"/>
        <v>0</v>
      </c>
      <c r="P691" s="458">
        <f t="shared" si="567"/>
        <v>0</v>
      </c>
      <c r="Q691" s="458">
        <f t="shared" si="568"/>
        <v>0</v>
      </c>
      <c r="R691" s="459">
        <f t="shared" si="569"/>
        <v>0</v>
      </c>
      <c r="S691" s="455"/>
      <c r="T691" s="456"/>
      <c r="U691" s="456"/>
      <c r="V691" s="456"/>
      <c r="W691" s="456"/>
      <c r="X691" s="456"/>
      <c r="Y691" s="456"/>
      <c r="Z691" s="421">
        <f>IFERROR(E691/Levelisation!F1390, 0)</f>
        <v>0</v>
      </c>
      <c r="AA691" s="471">
        <f>IFERROR(F691/Levelisation!G1390, 0)</f>
        <v>0</v>
      </c>
      <c r="AB691" s="471">
        <f>IFERROR(G691/Levelisation!H1390, 0)</f>
        <v>0</v>
      </c>
      <c r="AC691" s="5">
        <f>IFERROR(H691/Levelisation!I1390, 0)</f>
        <v>0</v>
      </c>
      <c r="AD691" s="5">
        <f>IFERROR(I691/Levelisation!J1390, 0)</f>
        <v>0</v>
      </c>
      <c r="AE691" s="5">
        <f>IFERROR(J691/Levelisation!J1390, 0)</f>
        <v>0</v>
      </c>
      <c r="AF691" s="6">
        <f>IFERROR(K691/Levelisation!L1390, 0)</f>
        <v>0</v>
      </c>
      <c r="AG691" s="33" t="str">
        <f t="shared" si="525"/>
        <v>2.1 &gt; Bahamas</v>
      </c>
      <c r="AH691" s="84">
        <f t="shared" si="527"/>
        <v>677</v>
      </c>
      <c r="AI691" s="84">
        <f t="shared" si="528"/>
        <v>26</v>
      </c>
      <c r="AJ691" s="877" t="s">
        <v>1526</v>
      </c>
    </row>
    <row r="692" spans="1:36" x14ac:dyDescent="0.2">
      <c r="A692" s="492">
        <f>INDEX(Country!$F$31:$G$76, MATCH(AI692, Country!$O$31:$O$76, 0), 1)</f>
        <v>2.0999999999999979</v>
      </c>
      <c r="B692" s="2" t="str">
        <f>INDEX(Country!$F$31:$G$76, MATCH(AI692, Country!$O$31:$O$76, 0), 2)</f>
        <v>Green micro-loans</v>
      </c>
      <c r="C692" s="436" t="str">
        <f>INDEX(Country!$K$31:$K$76, MATCH(AI692, Country!$O$31:$O$76, 0), 1)</f>
        <v>USD</v>
      </c>
      <c r="D692" s="4" t="str">
        <f t="shared" si="526"/>
        <v>Barbados</v>
      </c>
      <c r="E692" s="47">
        <v>0</v>
      </c>
      <c r="F692" s="47">
        <v>0</v>
      </c>
      <c r="G692" s="47">
        <v>0</v>
      </c>
      <c r="H692" s="47">
        <v>0</v>
      </c>
      <c r="I692" s="47">
        <v>0</v>
      </c>
      <c r="J692" s="47">
        <v>0</v>
      </c>
      <c r="K692" s="45">
        <v>0</v>
      </c>
      <c r="L692" s="457">
        <f t="shared" si="563"/>
        <v>0</v>
      </c>
      <c r="M692" s="458">
        <f t="shared" si="564"/>
        <v>0</v>
      </c>
      <c r="N692" s="458">
        <f t="shared" si="565"/>
        <v>0</v>
      </c>
      <c r="O692" s="458">
        <f t="shared" si="566"/>
        <v>0</v>
      </c>
      <c r="P692" s="458">
        <f t="shared" si="567"/>
        <v>0</v>
      </c>
      <c r="Q692" s="458">
        <f t="shared" si="568"/>
        <v>0</v>
      </c>
      <c r="R692" s="459">
        <f t="shared" si="569"/>
        <v>0</v>
      </c>
      <c r="S692" s="455"/>
      <c r="T692" s="456"/>
      <c r="U692" s="456"/>
      <c r="V692" s="456"/>
      <c r="W692" s="456"/>
      <c r="X692" s="456"/>
      <c r="Y692" s="456"/>
      <c r="Z692" s="421">
        <f>IFERROR(E692/Levelisation!F1391, 0)</f>
        <v>0</v>
      </c>
      <c r="AA692" s="471">
        <f>IFERROR(F692/Levelisation!G1391, 0)</f>
        <v>0</v>
      </c>
      <c r="AB692" s="471">
        <f>IFERROR(G692/Levelisation!H1391, 0)</f>
        <v>0</v>
      </c>
      <c r="AC692" s="5">
        <f>IFERROR(H692/Levelisation!I1391, 0)</f>
        <v>0</v>
      </c>
      <c r="AD692" s="5">
        <f>IFERROR(I692/Levelisation!J1391, 0)</f>
        <v>0</v>
      </c>
      <c r="AE692" s="5">
        <f>IFERROR(J692/Levelisation!J1391, 0)</f>
        <v>0</v>
      </c>
      <c r="AF692" s="6">
        <f>IFERROR(K692/Levelisation!L1391, 0)</f>
        <v>0</v>
      </c>
      <c r="AG692" s="33" t="str">
        <f t="shared" si="525"/>
        <v>2.1 &gt; Barbados</v>
      </c>
      <c r="AH692" s="84">
        <f t="shared" si="527"/>
        <v>678</v>
      </c>
      <c r="AI692" s="84">
        <f t="shared" si="528"/>
        <v>26</v>
      </c>
      <c r="AJ692" s="877" t="s">
        <v>1526</v>
      </c>
    </row>
    <row r="693" spans="1:36" x14ac:dyDescent="0.2">
      <c r="A693" s="492">
        <f>INDEX(Country!$F$31:$G$76, MATCH(AI693, Country!$O$31:$O$76, 0), 1)</f>
        <v>2.0999999999999979</v>
      </c>
      <c r="B693" s="2" t="str">
        <f>INDEX(Country!$F$31:$G$76, MATCH(AI693, Country!$O$31:$O$76, 0), 2)</f>
        <v>Green micro-loans</v>
      </c>
      <c r="C693" s="436" t="str">
        <f>INDEX(Country!$K$31:$K$76, MATCH(AI693, Country!$O$31:$O$76, 0), 1)</f>
        <v>USD</v>
      </c>
      <c r="D693" s="4" t="str">
        <f t="shared" si="526"/>
        <v>Belize</v>
      </c>
      <c r="E693" s="47">
        <v>0</v>
      </c>
      <c r="F693" s="47">
        <v>0</v>
      </c>
      <c r="G693" s="47">
        <v>0</v>
      </c>
      <c r="H693" s="47">
        <v>0</v>
      </c>
      <c r="I693" s="47">
        <v>0</v>
      </c>
      <c r="J693" s="47">
        <v>0</v>
      </c>
      <c r="K693" s="45">
        <v>0</v>
      </c>
      <c r="L693" s="457">
        <f t="shared" si="563"/>
        <v>0</v>
      </c>
      <c r="M693" s="458">
        <f t="shared" si="564"/>
        <v>0</v>
      </c>
      <c r="N693" s="458">
        <f t="shared" si="565"/>
        <v>0</v>
      </c>
      <c r="O693" s="458">
        <f t="shared" si="566"/>
        <v>0</v>
      </c>
      <c r="P693" s="458">
        <f t="shared" si="567"/>
        <v>0</v>
      </c>
      <c r="Q693" s="458">
        <f t="shared" si="568"/>
        <v>0</v>
      </c>
      <c r="R693" s="459">
        <f t="shared" si="569"/>
        <v>0</v>
      </c>
      <c r="S693" s="455"/>
      <c r="T693" s="456"/>
      <c r="U693" s="456"/>
      <c r="V693" s="456"/>
      <c r="W693" s="456"/>
      <c r="X693" s="456"/>
      <c r="Y693" s="456"/>
      <c r="Z693" s="421">
        <f>IFERROR(E693/Levelisation!F1392, 0)</f>
        <v>0</v>
      </c>
      <c r="AA693" s="471">
        <f>IFERROR(F693/Levelisation!G1392, 0)</f>
        <v>0</v>
      </c>
      <c r="AB693" s="471">
        <f>IFERROR(G693/Levelisation!H1392, 0)</f>
        <v>0</v>
      </c>
      <c r="AC693" s="5">
        <f>IFERROR(H693/Levelisation!I1392, 0)</f>
        <v>0</v>
      </c>
      <c r="AD693" s="5">
        <f>IFERROR(I693/Levelisation!J1392, 0)</f>
        <v>0</v>
      </c>
      <c r="AE693" s="5">
        <f>IFERROR(J693/Levelisation!J1392, 0)</f>
        <v>0</v>
      </c>
      <c r="AF693" s="6">
        <f>IFERROR(K693/Levelisation!L1392, 0)</f>
        <v>0</v>
      </c>
      <c r="AG693" s="33" t="str">
        <f t="shared" si="525"/>
        <v>2.1 &gt; Belize</v>
      </c>
      <c r="AH693" s="84">
        <f t="shared" si="527"/>
        <v>679</v>
      </c>
      <c r="AI693" s="84">
        <f t="shared" si="528"/>
        <v>26</v>
      </c>
      <c r="AJ693" s="877" t="s">
        <v>1526</v>
      </c>
    </row>
    <row r="694" spans="1:36" x14ac:dyDescent="0.2">
      <c r="A694" s="492">
        <f>INDEX(Country!$F$31:$G$76, MATCH(AI694, Country!$O$31:$O$76, 0), 1)</f>
        <v>2.0999999999999979</v>
      </c>
      <c r="B694" s="2" t="str">
        <f>INDEX(Country!$F$31:$G$76, MATCH(AI694, Country!$O$31:$O$76, 0), 2)</f>
        <v>Green micro-loans</v>
      </c>
      <c r="C694" s="436" t="str">
        <f>INDEX(Country!$K$31:$K$76, MATCH(AI694, Country!$O$31:$O$76, 0), 1)</f>
        <v>USD</v>
      </c>
      <c r="D694" s="4" t="str">
        <f t="shared" si="526"/>
        <v>Bolivia</v>
      </c>
      <c r="E694" s="47">
        <v>201014</v>
      </c>
      <c r="F694" s="47">
        <v>201014</v>
      </c>
      <c r="G694" s="47">
        <v>201014</v>
      </c>
      <c r="H694" s="47">
        <v>201014</v>
      </c>
      <c r="I694" s="47">
        <v>201014</v>
      </c>
      <c r="J694" s="47">
        <v>201014</v>
      </c>
      <c r="K694" s="45">
        <v>5719859</v>
      </c>
      <c r="L694" s="457">
        <f t="shared" si="563"/>
        <v>0.13364431954408021</v>
      </c>
      <c r="M694" s="458">
        <f t="shared" si="564"/>
        <v>0.13364431954408021</v>
      </c>
      <c r="N694" s="458">
        <f t="shared" si="565"/>
        <v>0.13364431954408021</v>
      </c>
      <c r="O694" s="458">
        <f t="shared" si="566"/>
        <v>0.13364431954408021</v>
      </c>
      <c r="P694" s="458">
        <f t="shared" si="567"/>
        <v>0.13364431954408021</v>
      </c>
      <c r="Q694" s="458">
        <f t="shared" si="568"/>
        <v>0.13364431954408021</v>
      </c>
      <c r="R694" s="459">
        <f t="shared" si="569"/>
        <v>3.3870502499905504</v>
      </c>
      <c r="S694" s="455"/>
      <c r="T694" s="456"/>
      <c r="U694" s="456"/>
      <c r="V694" s="456"/>
      <c r="W694" s="456"/>
      <c r="X694" s="456"/>
      <c r="Y694" s="456"/>
      <c r="Z694" s="421">
        <f>IFERROR(E694/Levelisation!F1393, 0)</f>
        <v>2.5998213620571049E-5</v>
      </c>
      <c r="AA694" s="471">
        <f>IFERROR(F694/Levelisation!G1393, 0)</f>
        <v>2.5998213620571049E-5</v>
      </c>
      <c r="AB694" s="471">
        <f>IFERROR(G694/Levelisation!H1393, 0)</f>
        <v>2.5998213620571049E-5</v>
      </c>
      <c r="AC694" s="5">
        <f>IFERROR(H694/Levelisation!I1393, 0)</f>
        <v>2.5998213620571049E-5</v>
      </c>
      <c r="AD694" s="5">
        <f>IFERROR(I694/Levelisation!J1393, 0)</f>
        <v>2.5998213620571049E-5</v>
      </c>
      <c r="AE694" s="5">
        <f>IFERROR(J694/Levelisation!J1393, 0)</f>
        <v>2.5998213620571049E-5</v>
      </c>
      <c r="AF694" s="6">
        <f>IFERROR(K694/Levelisation!L1393, 0)</f>
        <v>7.3977989673130182E-4</v>
      </c>
      <c r="AG694" s="33" t="str">
        <f t="shared" si="525"/>
        <v>2.1 &gt; Bolivia</v>
      </c>
      <c r="AH694" s="84">
        <f t="shared" si="527"/>
        <v>680</v>
      </c>
      <c r="AI694" s="84">
        <f t="shared" si="528"/>
        <v>26</v>
      </c>
      <c r="AJ694" s="877" t="s">
        <v>1526</v>
      </c>
    </row>
    <row r="695" spans="1:36" x14ac:dyDescent="0.2">
      <c r="A695" s="492">
        <f>INDEX(Country!$F$31:$G$76, MATCH(AI695, Country!$O$31:$O$76, 0), 1)</f>
        <v>2.0999999999999979</v>
      </c>
      <c r="B695" s="2" t="str">
        <f>INDEX(Country!$F$31:$G$76, MATCH(AI695, Country!$O$31:$O$76, 0), 2)</f>
        <v>Green micro-loans</v>
      </c>
      <c r="C695" s="436" t="str">
        <f>INDEX(Country!$K$31:$K$76, MATCH(AI695, Country!$O$31:$O$76, 0), 1)</f>
        <v>USD</v>
      </c>
      <c r="D695" s="4" t="str">
        <f t="shared" si="526"/>
        <v>Brazil</v>
      </c>
      <c r="E695" s="47">
        <v>71160000</v>
      </c>
      <c r="F695" s="47">
        <v>71160000</v>
      </c>
      <c r="G695" s="47">
        <v>71160000</v>
      </c>
      <c r="H695" s="47">
        <v>71160000</v>
      </c>
      <c r="I695" s="47">
        <v>71160000</v>
      </c>
      <c r="J695" s="47">
        <v>71160000</v>
      </c>
      <c r="K695" s="45">
        <v>0</v>
      </c>
      <c r="L695" s="457">
        <f t="shared" si="563"/>
        <v>100</v>
      </c>
      <c r="M695" s="458">
        <f t="shared" si="564"/>
        <v>100</v>
      </c>
      <c r="N695" s="458">
        <f t="shared" si="565"/>
        <v>100</v>
      </c>
      <c r="O695" s="458">
        <f t="shared" si="566"/>
        <v>100</v>
      </c>
      <c r="P695" s="458">
        <f t="shared" si="567"/>
        <v>100</v>
      </c>
      <c r="Q695" s="458">
        <f t="shared" si="568"/>
        <v>100</v>
      </c>
      <c r="R695" s="459">
        <f t="shared" si="569"/>
        <v>0</v>
      </c>
      <c r="S695" s="455"/>
      <c r="T695" s="456"/>
      <c r="U695" s="456"/>
      <c r="V695" s="456"/>
      <c r="W695" s="456"/>
      <c r="X695" s="456"/>
      <c r="Y695" s="456"/>
      <c r="Z695" s="421">
        <f>IFERROR(E695/Levelisation!F1394, 0)</f>
        <v>1.9453287434334984E-2</v>
      </c>
      <c r="AA695" s="471">
        <f>IFERROR(F695/Levelisation!G1394, 0)</f>
        <v>1.9453287434334984E-2</v>
      </c>
      <c r="AB695" s="471">
        <f>IFERROR(G695/Levelisation!H1394, 0)</f>
        <v>1.9453287434334984E-2</v>
      </c>
      <c r="AC695" s="5">
        <f>IFERROR(H695/Levelisation!I1394, 0)</f>
        <v>1.9453287434334984E-2</v>
      </c>
      <c r="AD695" s="5">
        <f>IFERROR(I695/Levelisation!J1394, 0)</f>
        <v>1.9453287434334984E-2</v>
      </c>
      <c r="AE695" s="5">
        <f>IFERROR(J695/Levelisation!J1394, 0)</f>
        <v>1.9453287434334984E-2</v>
      </c>
      <c r="AF695" s="6">
        <f>IFERROR(K695/Levelisation!L1394, 0)</f>
        <v>0</v>
      </c>
      <c r="AG695" s="33" t="str">
        <f t="shared" si="525"/>
        <v>2.1 &gt; Brazil</v>
      </c>
      <c r="AH695" s="84">
        <f t="shared" si="527"/>
        <v>681</v>
      </c>
      <c r="AI695" s="84">
        <f t="shared" si="528"/>
        <v>26</v>
      </c>
      <c r="AJ695" s="877" t="s">
        <v>1526</v>
      </c>
    </row>
    <row r="696" spans="1:36" x14ac:dyDescent="0.2">
      <c r="A696" s="492">
        <f>INDEX(Country!$F$31:$G$76, MATCH(AI696, Country!$O$31:$O$76, 0), 1)</f>
        <v>2.0999999999999979</v>
      </c>
      <c r="B696" s="2" t="str">
        <f>INDEX(Country!$F$31:$G$76, MATCH(AI696, Country!$O$31:$O$76, 0), 2)</f>
        <v>Green micro-loans</v>
      </c>
      <c r="C696" s="436" t="str">
        <f>INDEX(Country!$K$31:$K$76, MATCH(AI696, Country!$O$31:$O$76, 0), 1)</f>
        <v>USD</v>
      </c>
      <c r="D696" s="4" t="str">
        <f t="shared" si="526"/>
        <v>Chile</v>
      </c>
      <c r="E696" s="47">
        <v>0</v>
      </c>
      <c r="F696" s="47">
        <v>0</v>
      </c>
      <c r="G696" s="47">
        <v>0</v>
      </c>
      <c r="H696" s="47">
        <v>0</v>
      </c>
      <c r="I696" s="47">
        <v>0</v>
      </c>
      <c r="J696" s="47">
        <v>0</v>
      </c>
      <c r="K696" s="45">
        <v>120000000</v>
      </c>
      <c r="L696" s="457">
        <f t="shared" si="563"/>
        <v>0</v>
      </c>
      <c r="M696" s="458">
        <f t="shared" si="564"/>
        <v>0</v>
      </c>
      <c r="N696" s="458">
        <f t="shared" si="565"/>
        <v>0</v>
      </c>
      <c r="O696" s="458">
        <f t="shared" si="566"/>
        <v>0</v>
      </c>
      <c r="P696" s="458">
        <f t="shared" si="567"/>
        <v>0</v>
      </c>
      <c r="Q696" s="458">
        <f t="shared" si="568"/>
        <v>0</v>
      </c>
      <c r="R696" s="459">
        <f t="shared" si="569"/>
        <v>100</v>
      </c>
      <c r="S696" s="455"/>
      <c r="T696" s="456"/>
      <c r="U696" s="456"/>
      <c r="V696" s="456"/>
      <c r="W696" s="456"/>
      <c r="X696" s="456"/>
      <c r="Y696" s="456"/>
      <c r="Z696" s="421">
        <f>IFERROR(E696/Levelisation!F1395, 0)</f>
        <v>0</v>
      </c>
      <c r="AA696" s="471">
        <f>IFERROR(F696/Levelisation!G1395, 0)</f>
        <v>0</v>
      </c>
      <c r="AB696" s="471">
        <f>IFERROR(G696/Levelisation!H1395, 0)</f>
        <v>0</v>
      </c>
      <c r="AC696" s="5">
        <f>IFERROR(H696/Levelisation!I1395, 0)</f>
        <v>0</v>
      </c>
      <c r="AD696" s="5">
        <f>IFERROR(I696/Levelisation!J1395, 0)</f>
        <v>0</v>
      </c>
      <c r="AE696" s="5">
        <f>IFERROR(J696/Levelisation!J1395, 0)</f>
        <v>0</v>
      </c>
      <c r="AF696" s="6">
        <f>IFERROR(K696/Levelisation!L1395, 0)</f>
        <v>2.1841420768214638E-2</v>
      </c>
      <c r="AG696" s="33" t="str">
        <f t="shared" si="525"/>
        <v>2.1 &gt; Chile</v>
      </c>
      <c r="AH696" s="84">
        <f t="shared" si="527"/>
        <v>682</v>
      </c>
      <c r="AI696" s="84">
        <f t="shared" si="528"/>
        <v>26</v>
      </c>
      <c r="AJ696" s="877" t="s">
        <v>1526</v>
      </c>
    </row>
    <row r="697" spans="1:36" x14ac:dyDescent="0.2">
      <c r="A697" s="492">
        <f>INDEX(Country!$F$31:$G$76, MATCH(AI697, Country!$O$31:$O$76, 0), 1)</f>
        <v>2.0999999999999979</v>
      </c>
      <c r="B697" s="2" t="str">
        <f>INDEX(Country!$F$31:$G$76, MATCH(AI697, Country!$O$31:$O$76, 0), 2)</f>
        <v>Green micro-loans</v>
      </c>
      <c r="C697" s="436" t="str">
        <f>INDEX(Country!$K$31:$K$76, MATCH(AI697, Country!$O$31:$O$76, 0), 1)</f>
        <v>USD</v>
      </c>
      <c r="D697" s="4" t="str">
        <f t="shared" si="526"/>
        <v>Colombia</v>
      </c>
      <c r="E697" s="47">
        <v>0</v>
      </c>
      <c r="F697" s="47">
        <v>0</v>
      </c>
      <c r="G697" s="47">
        <v>0</v>
      </c>
      <c r="H697" s="47">
        <v>0</v>
      </c>
      <c r="I697" s="47">
        <v>0</v>
      </c>
      <c r="J697" s="47">
        <v>0</v>
      </c>
      <c r="K697" s="45">
        <v>0</v>
      </c>
      <c r="L697" s="457">
        <f t="shared" si="563"/>
        <v>0</v>
      </c>
      <c r="M697" s="458">
        <f t="shared" si="564"/>
        <v>0</v>
      </c>
      <c r="N697" s="458">
        <f t="shared" si="565"/>
        <v>0</v>
      </c>
      <c r="O697" s="458">
        <f t="shared" si="566"/>
        <v>0</v>
      </c>
      <c r="P697" s="458">
        <f t="shared" si="567"/>
        <v>0</v>
      </c>
      <c r="Q697" s="458">
        <f t="shared" si="568"/>
        <v>0</v>
      </c>
      <c r="R697" s="459">
        <f t="shared" si="569"/>
        <v>0</v>
      </c>
      <c r="S697" s="455"/>
      <c r="T697" s="456"/>
      <c r="U697" s="456"/>
      <c r="V697" s="456"/>
      <c r="W697" s="456"/>
      <c r="X697" s="456"/>
      <c r="Y697" s="456"/>
      <c r="Z697" s="421">
        <f>IFERROR(E697/Levelisation!F1396, 0)</f>
        <v>0</v>
      </c>
      <c r="AA697" s="471">
        <f>IFERROR(F697/Levelisation!G1396, 0)</f>
        <v>0</v>
      </c>
      <c r="AB697" s="471">
        <f>IFERROR(G697/Levelisation!H1396, 0)</f>
        <v>0</v>
      </c>
      <c r="AC697" s="5">
        <f>IFERROR(H697/Levelisation!I1396, 0)</f>
        <v>0</v>
      </c>
      <c r="AD697" s="5">
        <f>IFERROR(I697/Levelisation!J1396, 0)</f>
        <v>0</v>
      </c>
      <c r="AE697" s="5">
        <f>IFERROR(J697/Levelisation!J1396, 0)</f>
        <v>0</v>
      </c>
      <c r="AF697" s="6">
        <f>IFERROR(K697/Levelisation!L1396, 0)</f>
        <v>0</v>
      </c>
      <c r="AG697" s="33" t="str">
        <f t="shared" si="525"/>
        <v>2.1 &gt; Colombia</v>
      </c>
      <c r="AH697" s="84">
        <f t="shared" si="527"/>
        <v>683</v>
      </c>
      <c r="AI697" s="84">
        <f t="shared" si="528"/>
        <v>26</v>
      </c>
      <c r="AJ697" s="877" t="s">
        <v>1526</v>
      </c>
    </row>
    <row r="698" spans="1:36" x14ac:dyDescent="0.2">
      <c r="A698" s="492">
        <f>INDEX(Country!$F$31:$G$76, MATCH(AI698, Country!$O$31:$O$76, 0), 1)</f>
        <v>2.0999999999999979</v>
      </c>
      <c r="B698" s="2" t="str">
        <f>INDEX(Country!$F$31:$G$76, MATCH(AI698, Country!$O$31:$O$76, 0), 2)</f>
        <v>Green micro-loans</v>
      </c>
      <c r="C698" s="436" t="str">
        <f>INDEX(Country!$K$31:$K$76, MATCH(AI698, Country!$O$31:$O$76, 0), 1)</f>
        <v>USD</v>
      </c>
      <c r="D698" s="4" t="str">
        <f t="shared" si="526"/>
        <v>Costa Rica</v>
      </c>
      <c r="E698" s="47">
        <v>0</v>
      </c>
      <c r="F698" s="47">
        <v>0</v>
      </c>
      <c r="G698" s="47">
        <v>0</v>
      </c>
      <c r="H698" s="47">
        <v>0</v>
      </c>
      <c r="I698" s="47">
        <v>0</v>
      </c>
      <c r="J698" s="47">
        <v>0</v>
      </c>
      <c r="K698" s="45">
        <v>257500</v>
      </c>
      <c r="L698" s="457">
        <f t="shared" si="563"/>
        <v>0</v>
      </c>
      <c r="M698" s="458">
        <f t="shared" si="564"/>
        <v>0</v>
      </c>
      <c r="N698" s="458">
        <f t="shared" si="565"/>
        <v>0</v>
      </c>
      <c r="O698" s="458">
        <f t="shared" si="566"/>
        <v>0</v>
      </c>
      <c r="P698" s="458">
        <f t="shared" si="567"/>
        <v>0</v>
      </c>
      <c r="Q698" s="458">
        <f t="shared" si="568"/>
        <v>0</v>
      </c>
      <c r="R698" s="459">
        <f t="shared" si="569"/>
        <v>4.3065457661259163</v>
      </c>
      <c r="S698" s="455"/>
      <c r="T698" s="456"/>
      <c r="U698" s="456"/>
      <c r="V698" s="456"/>
      <c r="W698" s="456"/>
      <c r="X698" s="456"/>
      <c r="Y698" s="456"/>
      <c r="Z698" s="421">
        <f>IFERROR(E698/Levelisation!F1397, 0)</f>
        <v>0</v>
      </c>
      <c r="AA698" s="471">
        <f>IFERROR(F698/Levelisation!G1397, 0)</f>
        <v>0</v>
      </c>
      <c r="AB698" s="471">
        <f>IFERROR(G698/Levelisation!H1397, 0)</f>
        <v>0</v>
      </c>
      <c r="AC698" s="5">
        <f>IFERROR(H698/Levelisation!I1397, 0)</f>
        <v>0</v>
      </c>
      <c r="AD698" s="5">
        <f>IFERROR(I698/Levelisation!J1397, 0)</f>
        <v>0</v>
      </c>
      <c r="AE698" s="5">
        <f>IFERROR(J698/Levelisation!J1397, 0)</f>
        <v>0</v>
      </c>
      <c r="AF698" s="6">
        <f>IFERROR(K698/Levelisation!L1397, 0)</f>
        <v>9.406107813552942E-4</v>
      </c>
      <c r="AG698" s="33" t="str">
        <f t="shared" si="525"/>
        <v>2.1 &gt; Costa Rica</v>
      </c>
      <c r="AH698" s="84">
        <f t="shared" si="527"/>
        <v>684</v>
      </c>
      <c r="AI698" s="84">
        <f t="shared" si="528"/>
        <v>26</v>
      </c>
      <c r="AJ698" s="877" t="s">
        <v>1526</v>
      </c>
    </row>
    <row r="699" spans="1:36" x14ac:dyDescent="0.2">
      <c r="A699" s="492">
        <f>INDEX(Country!$F$31:$G$76, MATCH(AI699, Country!$O$31:$O$76, 0), 1)</f>
        <v>2.0999999999999979</v>
      </c>
      <c r="B699" s="2" t="str">
        <f>INDEX(Country!$F$31:$G$76, MATCH(AI699, Country!$O$31:$O$76, 0), 2)</f>
        <v>Green micro-loans</v>
      </c>
      <c r="C699" s="436" t="str">
        <f>INDEX(Country!$K$31:$K$76, MATCH(AI699, Country!$O$31:$O$76, 0), 1)</f>
        <v>USD</v>
      </c>
      <c r="D699" s="4" t="str">
        <f t="shared" si="526"/>
        <v>Dominican Republic</v>
      </c>
      <c r="E699" s="47">
        <v>0</v>
      </c>
      <c r="F699" s="47">
        <v>0</v>
      </c>
      <c r="G699" s="47">
        <v>0</v>
      </c>
      <c r="H699" s="47">
        <v>0</v>
      </c>
      <c r="I699" s="47">
        <v>0</v>
      </c>
      <c r="J699" s="47">
        <v>0</v>
      </c>
      <c r="K699" s="45">
        <v>1300800</v>
      </c>
      <c r="L699" s="457">
        <f t="shared" si="563"/>
        <v>0</v>
      </c>
      <c r="M699" s="458">
        <f t="shared" si="564"/>
        <v>0</v>
      </c>
      <c r="N699" s="458">
        <f t="shared" si="565"/>
        <v>0</v>
      </c>
      <c r="O699" s="458">
        <f t="shared" si="566"/>
        <v>0</v>
      </c>
      <c r="P699" s="458">
        <f t="shared" si="567"/>
        <v>0</v>
      </c>
      <c r="Q699" s="458">
        <f t="shared" si="568"/>
        <v>0</v>
      </c>
      <c r="R699" s="459">
        <f t="shared" si="569"/>
        <v>3.7564401512265535</v>
      </c>
      <c r="S699" s="455"/>
      <c r="T699" s="456"/>
      <c r="U699" s="456"/>
      <c r="V699" s="456"/>
      <c r="W699" s="456"/>
      <c r="X699" s="456"/>
      <c r="Y699" s="456"/>
      <c r="Z699" s="421">
        <f>IFERROR(E699/Levelisation!F1398, 0)</f>
        <v>0</v>
      </c>
      <c r="AA699" s="471">
        <f>IFERROR(F699/Levelisation!G1398, 0)</f>
        <v>0</v>
      </c>
      <c r="AB699" s="471">
        <f>IFERROR(G699/Levelisation!H1398, 0)</f>
        <v>0</v>
      </c>
      <c r="AC699" s="5">
        <f>IFERROR(H699/Levelisation!I1398, 0)</f>
        <v>0</v>
      </c>
      <c r="AD699" s="5">
        <f>IFERROR(I699/Levelisation!J1398, 0)</f>
        <v>0</v>
      </c>
      <c r="AE699" s="5">
        <f>IFERROR(J699/Levelisation!J1398, 0)</f>
        <v>0</v>
      </c>
      <c r="AF699" s="6">
        <f>IFERROR(K699/Levelisation!L1398, 0)</f>
        <v>8.2045989933554977E-4</v>
      </c>
      <c r="AG699" s="33" t="str">
        <f t="shared" si="525"/>
        <v>2.1 &gt; Dominican Republic</v>
      </c>
      <c r="AH699" s="84">
        <f t="shared" si="527"/>
        <v>685</v>
      </c>
      <c r="AI699" s="84">
        <f t="shared" si="528"/>
        <v>26</v>
      </c>
      <c r="AJ699" s="877" t="s">
        <v>1526</v>
      </c>
    </row>
    <row r="700" spans="1:36" x14ac:dyDescent="0.2">
      <c r="A700" s="492">
        <f>INDEX(Country!$F$31:$G$76, MATCH(AI700, Country!$O$31:$O$76, 0), 1)</f>
        <v>2.0999999999999979</v>
      </c>
      <c r="B700" s="2" t="str">
        <f>INDEX(Country!$F$31:$G$76, MATCH(AI700, Country!$O$31:$O$76, 0), 2)</f>
        <v>Green micro-loans</v>
      </c>
      <c r="C700" s="436" t="str">
        <f>INDEX(Country!$K$31:$K$76, MATCH(AI700, Country!$O$31:$O$76, 0), 1)</f>
        <v>USD</v>
      </c>
      <c r="D700" s="4" t="str">
        <f t="shared" si="526"/>
        <v>Ecuador</v>
      </c>
      <c r="E700" s="47">
        <v>0</v>
      </c>
      <c r="F700" s="47">
        <v>0</v>
      </c>
      <c r="G700" s="47">
        <v>0</v>
      </c>
      <c r="H700" s="47">
        <v>0</v>
      </c>
      <c r="I700" s="47">
        <v>0</v>
      </c>
      <c r="J700" s="47">
        <v>0</v>
      </c>
      <c r="K700" s="45">
        <v>8506000</v>
      </c>
      <c r="L700" s="457">
        <f t="shared" si="563"/>
        <v>0</v>
      </c>
      <c r="M700" s="458">
        <f t="shared" si="564"/>
        <v>0</v>
      </c>
      <c r="N700" s="458">
        <f t="shared" si="565"/>
        <v>0</v>
      </c>
      <c r="O700" s="458">
        <f t="shared" si="566"/>
        <v>0</v>
      </c>
      <c r="P700" s="458">
        <f t="shared" si="567"/>
        <v>0</v>
      </c>
      <c r="Q700" s="458">
        <f t="shared" si="568"/>
        <v>0</v>
      </c>
      <c r="R700" s="459">
        <f t="shared" si="569"/>
        <v>6.4337801398821188</v>
      </c>
      <c r="S700" s="455"/>
      <c r="T700" s="456"/>
      <c r="U700" s="456"/>
      <c r="V700" s="456"/>
      <c r="W700" s="456"/>
      <c r="X700" s="456"/>
      <c r="Y700" s="456"/>
      <c r="Z700" s="421">
        <f>IFERROR(E700/Levelisation!F1399, 0)</f>
        <v>0</v>
      </c>
      <c r="AA700" s="471">
        <f>IFERROR(F700/Levelisation!G1399, 0)</f>
        <v>0</v>
      </c>
      <c r="AB700" s="471">
        <f>IFERROR(G700/Levelisation!H1399, 0)</f>
        <v>0</v>
      </c>
      <c r="AC700" s="5">
        <f>IFERROR(H700/Levelisation!I1399, 0)</f>
        <v>0</v>
      </c>
      <c r="AD700" s="5">
        <f>IFERROR(I700/Levelisation!J1399, 0)</f>
        <v>0</v>
      </c>
      <c r="AE700" s="5">
        <f>IFERROR(J700/Levelisation!J1399, 0)</f>
        <v>0</v>
      </c>
      <c r="AF700" s="6">
        <f>IFERROR(K700/Levelisation!L1399, 0)</f>
        <v>1.4052289916534819E-3</v>
      </c>
      <c r="AG700" s="33" t="str">
        <f t="shared" si="525"/>
        <v>2.1 &gt; Ecuador</v>
      </c>
      <c r="AH700" s="84">
        <f t="shared" si="527"/>
        <v>686</v>
      </c>
      <c r="AI700" s="84">
        <f t="shared" si="528"/>
        <v>26</v>
      </c>
      <c r="AJ700" s="877" t="s">
        <v>1526</v>
      </c>
    </row>
    <row r="701" spans="1:36" x14ac:dyDescent="0.2">
      <c r="A701" s="492">
        <f>INDEX(Country!$F$31:$G$76, MATCH(AI701, Country!$O$31:$O$76, 0), 1)</f>
        <v>2.0999999999999979</v>
      </c>
      <c r="B701" s="2" t="str">
        <f>INDEX(Country!$F$31:$G$76, MATCH(AI701, Country!$O$31:$O$76, 0), 2)</f>
        <v>Green micro-loans</v>
      </c>
      <c r="C701" s="436" t="str">
        <f>INDEX(Country!$K$31:$K$76, MATCH(AI701, Country!$O$31:$O$76, 0), 1)</f>
        <v>USD</v>
      </c>
      <c r="D701" s="4" t="str">
        <f t="shared" si="526"/>
        <v>El Salvador</v>
      </c>
      <c r="E701" s="47">
        <v>250000</v>
      </c>
      <c r="F701" s="47">
        <v>250000</v>
      </c>
      <c r="G701" s="47">
        <v>250000</v>
      </c>
      <c r="H701" s="47">
        <v>250000</v>
      </c>
      <c r="I701" s="47">
        <v>250000</v>
      </c>
      <c r="J701" s="47">
        <v>250000</v>
      </c>
      <c r="K701" s="45">
        <v>25000</v>
      </c>
      <c r="L701" s="457">
        <f t="shared" si="563"/>
        <v>0.78805684083470962</v>
      </c>
      <c r="M701" s="458">
        <f t="shared" si="564"/>
        <v>0.78805684083470962</v>
      </c>
      <c r="N701" s="458">
        <f t="shared" si="565"/>
        <v>0.78805684083470962</v>
      </c>
      <c r="O701" s="458">
        <f t="shared" si="566"/>
        <v>0.78805684083470962</v>
      </c>
      <c r="P701" s="458">
        <f t="shared" si="567"/>
        <v>0.78805684083470962</v>
      </c>
      <c r="Q701" s="458">
        <f t="shared" si="568"/>
        <v>0.78805684083470962</v>
      </c>
      <c r="R701" s="459">
        <f t="shared" si="569"/>
        <v>7.0189098053829183E-2</v>
      </c>
      <c r="S701" s="455"/>
      <c r="T701" s="456"/>
      <c r="U701" s="456"/>
      <c r="V701" s="456"/>
      <c r="W701" s="456"/>
      <c r="X701" s="456"/>
      <c r="Y701" s="456"/>
      <c r="Z701" s="421">
        <f>IFERROR(E701/Levelisation!F1400, 0)</f>
        <v>1.5330296239351581E-4</v>
      </c>
      <c r="AA701" s="471">
        <f>IFERROR(F701/Levelisation!G1400, 0)</f>
        <v>1.5330296239351581E-4</v>
      </c>
      <c r="AB701" s="471">
        <f>IFERROR(G701/Levelisation!H1400, 0)</f>
        <v>1.5330296239351581E-4</v>
      </c>
      <c r="AC701" s="5">
        <f>IFERROR(H701/Levelisation!I1400, 0)</f>
        <v>1.5330296239351581E-4</v>
      </c>
      <c r="AD701" s="5">
        <f>IFERROR(I701/Levelisation!J1400, 0)</f>
        <v>1.5330296239351581E-4</v>
      </c>
      <c r="AE701" s="5">
        <f>IFERROR(J701/Levelisation!J1400, 0)</f>
        <v>1.5330296239351581E-4</v>
      </c>
      <c r="AF701" s="6">
        <f>IFERROR(K701/Levelisation!L1400, 0)</f>
        <v>1.5330296239351582E-5</v>
      </c>
      <c r="AG701" s="33" t="str">
        <f t="shared" si="525"/>
        <v>2.1 &gt; El Salvador</v>
      </c>
      <c r="AH701" s="84">
        <f t="shared" si="527"/>
        <v>687</v>
      </c>
      <c r="AI701" s="84">
        <f t="shared" si="528"/>
        <v>26</v>
      </c>
      <c r="AJ701" s="877" t="s">
        <v>1526</v>
      </c>
    </row>
    <row r="702" spans="1:36" x14ac:dyDescent="0.2">
      <c r="A702" s="492">
        <f>INDEX(Country!$F$31:$G$76, MATCH(AI702, Country!$O$31:$O$76, 0), 1)</f>
        <v>2.0999999999999979</v>
      </c>
      <c r="B702" s="2" t="str">
        <f>INDEX(Country!$F$31:$G$76, MATCH(AI702, Country!$O$31:$O$76, 0), 2)</f>
        <v>Green micro-loans</v>
      </c>
      <c r="C702" s="436" t="str">
        <f>INDEX(Country!$K$31:$K$76, MATCH(AI702, Country!$O$31:$O$76, 0), 1)</f>
        <v>USD</v>
      </c>
      <c r="D702" s="4" t="str">
        <f t="shared" si="526"/>
        <v>Guatemala</v>
      </c>
      <c r="E702" s="47">
        <v>0</v>
      </c>
      <c r="F702" s="47">
        <v>0</v>
      </c>
      <c r="G702" s="47">
        <v>0</v>
      </c>
      <c r="H702" s="47">
        <v>0</v>
      </c>
      <c r="I702" s="47">
        <v>0</v>
      </c>
      <c r="J702" s="47">
        <v>0</v>
      </c>
      <c r="K702" s="45">
        <v>179231</v>
      </c>
      <c r="L702" s="457">
        <f t="shared" si="563"/>
        <v>0</v>
      </c>
      <c r="M702" s="458">
        <f t="shared" si="564"/>
        <v>0</v>
      </c>
      <c r="N702" s="458">
        <f t="shared" si="565"/>
        <v>0</v>
      </c>
      <c r="O702" s="458">
        <f t="shared" si="566"/>
        <v>0</v>
      </c>
      <c r="P702" s="458">
        <f t="shared" si="567"/>
        <v>0</v>
      </c>
      <c r="Q702" s="458">
        <f t="shared" si="568"/>
        <v>0</v>
      </c>
      <c r="R702" s="459">
        <f t="shared" si="569"/>
        <v>1.203479461415931</v>
      </c>
      <c r="S702" s="455"/>
      <c r="T702" s="456"/>
      <c r="U702" s="456"/>
      <c r="V702" s="456"/>
      <c r="W702" s="456"/>
      <c r="X702" s="456"/>
      <c r="Y702" s="456"/>
      <c r="Z702" s="421">
        <f>IFERROR(E702/Levelisation!F1401, 0)</f>
        <v>0</v>
      </c>
      <c r="AA702" s="471">
        <f>IFERROR(F702/Levelisation!G1401, 0)</f>
        <v>0</v>
      </c>
      <c r="AB702" s="471">
        <f>IFERROR(G702/Levelisation!H1401, 0)</f>
        <v>0</v>
      </c>
      <c r="AC702" s="5">
        <f>IFERROR(H702/Levelisation!I1401, 0)</f>
        <v>0</v>
      </c>
      <c r="AD702" s="5">
        <f>IFERROR(I702/Levelisation!J1401, 0)</f>
        <v>0</v>
      </c>
      <c r="AE702" s="5">
        <f>IFERROR(J702/Levelisation!J1401, 0)</f>
        <v>0</v>
      </c>
      <c r="AF702" s="6">
        <f>IFERROR(K702/Levelisation!L1401, 0)</f>
        <v>2.628570130268968E-4</v>
      </c>
      <c r="AG702" s="33" t="str">
        <f t="shared" si="525"/>
        <v>2.1 &gt; Guatemala</v>
      </c>
      <c r="AH702" s="84">
        <f t="shared" si="527"/>
        <v>688</v>
      </c>
      <c r="AI702" s="84">
        <f t="shared" si="528"/>
        <v>26</v>
      </c>
      <c r="AJ702" s="877" t="s">
        <v>1526</v>
      </c>
    </row>
    <row r="703" spans="1:36" x14ac:dyDescent="0.2">
      <c r="A703" s="492">
        <f>INDEX(Country!$F$31:$G$76, MATCH(AI703, Country!$O$31:$O$76, 0), 1)</f>
        <v>2.0999999999999979</v>
      </c>
      <c r="B703" s="2" t="str">
        <f>INDEX(Country!$F$31:$G$76, MATCH(AI703, Country!$O$31:$O$76, 0), 2)</f>
        <v>Green micro-loans</v>
      </c>
      <c r="C703" s="436" t="str">
        <f>INDEX(Country!$K$31:$K$76, MATCH(AI703, Country!$O$31:$O$76, 0), 1)</f>
        <v>USD</v>
      </c>
      <c r="D703" s="4" t="str">
        <f t="shared" si="526"/>
        <v>Guyana</v>
      </c>
      <c r="E703" s="47">
        <v>0</v>
      </c>
      <c r="F703" s="47">
        <v>0</v>
      </c>
      <c r="G703" s="47">
        <v>0</v>
      </c>
      <c r="H703" s="47">
        <v>0</v>
      </c>
      <c r="I703" s="47">
        <v>0</v>
      </c>
      <c r="J703" s="47">
        <v>0</v>
      </c>
      <c r="K703" s="45">
        <v>0</v>
      </c>
      <c r="L703" s="457">
        <f t="shared" si="563"/>
        <v>0</v>
      </c>
      <c r="M703" s="458">
        <f t="shared" si="564"/>
        <v>0</v>
      </c>
      <c r="N703" s="458">
        <f t="shared" si="565"/>
        <v>0</v>
      </c>
      <c r="O703" s="458">
        <f t="shared" si="566"/>
        <v>0</v>
      </c>
      <c r="P703" s="458">
        <f t="shared" si="567"/>
        <v>0</v>
      </c>
      <c r="Q703" s="458">
        <f t="shared" si="568"/>
        <v>0</v>
      </c>
      <c r="R703" s="459">
        <f t="shared" si="569"/>
        <v>0</v>
      </c>
      <c r="S703" s="455"/>
      <c r="T703" s="456"/>
      <c r="U703" s="456"/>
      <c r="V703" s="456"/>
      <c r="W703" s="456"/>
      <c r="X703" s="456"/>
      <c r="Y703" s="456"/>
      <c r="Z703" s="421">
        <f>IFERROR(E703/Levelisation!F1402, 0)</f>
        <v>0</v>
      </c>
      <c r="AA703" s="471">
        <f>IFERROR(F703/Levelisation!G1402, 0)</f>
        <v>0</v>
      </c>
      <c r="AB703" s="471">
        <f>IFERROR(G703/Levelisation!H1402, 0)</f>
        <v>0</v>
      </c>
      <c r="AC703" s="5">
        <f>IFERROR(H703/Levelisation!I1402, 0)</f>
        <v>0</v>
      </c>
      <c r="AD703" s="5">
        <f>IFERROR(I703/Levelisation!J1402, 0)</f>
        <v>0</v>
      </c>
      <c r="AE703" s="5">
        <f>IFERROR(J703/Levelisation!J1402, 0)</f>
        <v>0</v>
      </c>
      <c r="AF703" s="6">
        <f>IFERROR(K703/Levelisation!L1402, 0)</f>
        <v>0</v>
      </c>
      <c r="AG703" s="33" t="str">
        <f t="shared" si="525"/>
        <v>2.1 &gt; Guyana</v>
      </c>
      <c r="AH703" s="84">
        <f t="shared" si="527"/>
        <v>689</v>
      </c>
      <c r="AI703" s="84">
        <f t="shared" si="528"/>
        <v>26</v>
      </c>
      <c r="AJ703" s="877" t="s">
        <v>1526</v>
      </c>
    </row>
    <row r="704" spans="1:36" x14ac:dyDescent="0.2">
      <c r="A704" s="492">
        <f>INDEX(Country!$F$31:$G$76, MATCH(AI704, Country!$O$31:$O$76, 0), 1)</f>
        <v>2.0999999999999979</v>
      </c>
      <c r="B704" s="2" t="str">
        <f>INDEX(Country!$F$31:$G$76, MATCH(AI704, Country!$O$31:$O$76, 0), 2)</f>
        <v>Green micro-loans</v>
      </c>
      <c r="C704" s="436" t="str">
        <f>INDEX(Country!$K$31:$K$76, MATCH(AI704, Country!$O$31:$O$76, 0), 1)</f>
        <v>USD</v>
      </c>
      <c r="D704" s="4" t="str">
        <f t="shared" si="526"/>
        <v>Haiti</v>
      </c>
      <c r="E704" s="47">
        <v>0</v>
      </c>
      <c r="F704" s="47">
        <v>0</v>
      </c>
      <c r="G704" s="47">
        <v>0</v>
      </c>
      <c r="H704" s="47">
        <v>0</v>
      </c>
      <c r="I704" s="47">
        <v>0</v>
      </c>
      <c r="J704" s="47">
        <v>0</v>
      </c>
      <c r="K704" s="45">
        <v>0</v>
      </c>
      <c r="L704" s="457">
        <f t="shared" si="563"/>
        <v>0</v>
      </c>
      <c r="M704" s="458">
        <f t="shared" si="564"/>
        <v>0</v>
      </c>
      <c r="N704" s="458">
        <f t="shared" si="565"/>
        <v>0</v>
      </c>
      <c r="O704" s="458">
        <f t="shared" si="566"/>
        <v>0</v>
      </c>
      <c r="P704" s="458">
        <f t="shared" si="567"/>
        <v>0</v>
      </c>
      <c r="Q704" s="458">
        <f t="shared" si="568"/>
        <v>0</v>
      </c>
      <c r="R704" s="459">
        <f t="shared" si="569"/>
        <v>0</v>
      </c>
      <c r="S704" s="455"/>
      <c r="T704" s="456"/>
      <c r="U704" s="456"/>
      <c r="V704" s="456"/>
      <c r="W704" s="456"/>
      <c r="X704" s="456"/>
      <c r="Y704" s="456"/>
      <c r="Z704" s="421">
        <f>IFERROR(E704/Levelisation!F1403, 0)</f>
        <v>0</v>
      </c>
      <c r="AA704" s="471">
        <f>IFERROR(F704/Levelisation!G1403, 0)</f>
        <v>0</v>
      </c>
      <c r="AB704" s="471">
        <f>IFERROR(G704/Levelisation!H1403, 0)</f>
        <v>0</v>
      </c>
      <c r="AC704" s="5">
        <f>IFERROR(H704/Levelisation!I1403, 0)</f>
        <v>0</v>
      </c>
      <c r="AD704" s="5">
        <f>IFERROR(I704/Levelisation!J1403, 0)</f>
        <v>0</v>
      </c>
      <c r="AE704" s="5">
        <f>IFERROR(J704/Levelisation!J1403, 0)</f>
        <v>0</v>
      </c>
      <c r="AF704" s="6">
        <f>IFERROR(K704/Levelisation!L1403, 0)</f>
        <v>0</v>
      </c>
      <c r="AG704" s="33" t="str">
        <f t="shared" si="525"/>
        <v>2.1 &gt; Haiti</v>
      </c>
      <c r="AH704" s="84">
        <f t="shared" si="527"/>
        <v>690</v>
      </c>
      <c r="AI704" s="84">
        <f t="shared" si="528"/>
        <v>26</v>
      </c>
      <c r="AJ704" s="877" t="s">
        <v>1526</v>
      </c>
    </row>
    <row r="705" spans="1:36" x14ac:dyDescent="0.2">
      <c r="A705" s="492">
        <f>INDEX(Country!$F$31:$G$76, MATCH(AI705, Country!$O$31:$O$76, 0), 1)</f>
        <v>2.0999999999999979</v>
      </c>
      <c r="B705" s="2" t="str">
        <f>INDEX(Country!$F$31:$G$76, MATCH(AI705, Country!$O$31:$O$76, 0), 2)</f>
        <v>Green micro-loans</v>
      </c>
      <c r="C705" s="436" t="str">
        <f>INDEX(Country!$K$31:$K$76, MATCH(AI705, Country!$O$31:$O$76, 0), 1)</f>
        <v>USD</v>
      </c>
      <c r="D705" s="4" t="str">
        <f t="shared" si="526"/>
        <v>Honduras</v>
      </c>
      <c r="E705" s="47">
        <v>0</v>
      </c>
      <c r="F705" s="47">
        <v>0</v>
      </c>
      <c r="G705" s="47">
        <v>0</v>
      </c>
      <c r="H705" s="47">
        <v>0</v>
      </c>
      <c r="I705" s="47">
        <v>0</v>
      </c>
      <c r="J705" s="47">
        <v>0</v>
      </c>
      <c r="K705" s="45">
        <v>7189056</v>
      </c>
      <c r="L705" s="457">
        <f t="shared" si="563"/>
        <v>0</v>
      </c>
      <c r="M705" s="458">
        <f t="shared" si="564"/>
        <v>0</v>
      </c>
      <c r="N705" s="458">
        <f t="shared" si="565"/>
        <v>0</v>
      </c>
      <c r="O705" s="458">
        <f t="shared" si="566"/>
        <v>0</v>
      </c>
      <c r="P705" s="458">
        <f t="shared" si="567"/>
        <v>0</v>
      </c>
      <c r="Q705" s="458">
        <f t="shared" si="568"/>
        <v>0</v>
      </c>
      <c r="R705" s="459">
        <f t="shared" si="569"/>
        <v>35.876701483056728</v>
      </c>
      <c r="S705" s="455"/>
      <c r="T705" s="456"/>
      <c r="U705" s="456"/>
      <c r="V705" s="456"/>
      <c r="W705" s="456"/>
      <c r="X705" s="456"/>
      <c r="Y705" s="456"/>
      <c r="Z705" s="421">
        <f>IFERROR(E705/Levelisation!F1404, 0)</f>
        <v>0</v>
      </c>
      <c r="AA705" s="471">
        <f>IFERROR(F705/Levelisation!G1404, 0)</f>
        <v>0</v>
      </c>
      <c r="AB705" s="471">
        <f>IFERROR(G705/Levelisation!H1404, 0)</f>
        <v>0</v>
      </c>
      <c r="AC705" s="5">
        <f>IFERROR(H705/Levelisation!I1404, 0)</f>
        <v>0</v>
      </c>
      <c r="AD705" s="5">
        <f>IFERROR(I705/Levelisation!J1404, 0)</f>
        <v>0</v>
      </c>
      <c r="AE705" s="5">
        <f>IFERROR(J705/Levelisation!J1404, 0)</f>
        <v>0</v>
      </c>
      <c r="AF705" s="6">
        <f>IFERROR(K705/Levelisation!L1404, 0)</f>
        <v>7.8359813286707214E-3</v>
      </c>
      <c r="AG705" s="33" t="str">
        <f t="shared" si="525"/>
        <v>2.1 &gt; Honduras</v>
      </c>
      <c r="AH705" s="84">
        <f t="shared" si="527"/>
        <v>691</v>
      </c>
      <c r="AI705" s="84">
        <f t="shared" si="528"/>
        <v>26</v>
      </c>
      <c r="AJ705" s="877" t="s">
        <v>1526</v>
      </c>
    </row>
    <row r="706" spans="1:36" x14ac:dyDescent="0.2">
      <c r="A706" s="492">
        <f>INDEX(Country!$F$31:$G$76, MATCH(AI706, Country!$O$31:$O$76, 0), 1)</f>
        <v>2.0999999999999979</v>
      </c>
      <c r="B706" s="2" t="str">
        <f>INDEX(Country!$F$31:$G$76, MATCH(AI706, Country!$O$31:$O$76, 0), 2)</f>
        <v>Green micro-loans</v>
      </c>
      <c r="C706" s="436" t="str">
        <f>INDEX(Country!$K$31:$K$76, MATCH(AI706, Country!$O$31:$O$76, 0), 1)</f>
        <v>USD</v>
      </c>
      <c r="D706" s="4" t="str">
        <f t="shared" si="526"/>
        <v>Jamaica</v>
      </c>
      <c r="E706" s="47">
        <v>0</v>
      </c>
      <c r="F706" s="47">
        <v>0</v>
      </c>
      <c r="G706" s="47">
        <v>0</v>
      </c>
      <c r="H706" s="47">
        <v>0</v>
      </c>
      <c r="I706" s="47">
        <v>0</v>
      </c>
      <c r="J706" s="47">
        <v>0</v>
      </c>
      <c r="K706" s="45">
        <v>0</v>
      </c>
      <c r="L706" s="457">
        <f t="shared" si="563"/>
        <v>0</v>
      </c>
      <c r="M706" s="458">
        <f t="shared" si="564"/>
        <v>0</v>
      </c>
      <c r="N706" s="458">
        <f t="shared" si="565"/>
        <v>0</v>
      </c>
      <c r="O706" s="458">
        <f t="shared" si="566"/>
        <v>0</v>
      </c>
      <c r="P706" s="458">
        <f t="shared" si="567"/>
        <v>0</v>
      </c>
      <c r="Q706" s="458">
        <f t="shared" si="568"/>
        <v>0</v>
      </c>
      <c r="R706" s="459">
        <f t="shared" si="569"/>
        <v>0</v>
      </c>
      <c r="S706" s="455"/>
      <c r="T706" s="456"/>
      <c r="U706" s="456"/>
      <c r="V706" s="456"/>
      <c r="W706" s="456"/>
      <c r="X706" s="456"/>
      <c r="Y706" s="456"/>
      <c r="Z706" s="421">
        <f>IFERROR(E706/Levelisation!F1405, 0)</f>
        <v>0</v>
      </c>
      <c r="AA706" s="471">
        <f>IFERROR(F706/Levelisation!G1405, 0)</f>
        <v>0</v>
      </c>
      <c r="AB706" s="471">
        <f>IFERROR(G706/Levelisation!H1405, 0)</f>
        <v>0</v>
      </c>
      <c r="AC706" s="5">
        <f>IFERROR(H706/Levelisation!I1405, 0)</f>
        <v>0</v>
      </c>
      <c r="AD706" s="5">
        <f>IFERROR(I706/Levelisation!J1405, 0)</f>
        <v>0</v>
      </c>
      <c r="AE706" s="5">
        <f>IFERROR(J706/Levelisation!J1405, 0)</f>
        <v>0</v>
      </c>
      <c r="AF706" s="6">
        <f>IFERROR(K706/Levelisation!L1405, 0)</f>
        <v>0</v>
      </c>
      <c r="AG706" s="33" t="str">
        <f t="shared" si="525"/>
        <v>2.1 &gt; Jamaica</v>
      </c>
      <c r="AH706" s="84">
        <f t="shared" si="527"/>
        <v>692</v>
      </c>
      <c r="AI706" s="84">
        <f t="shared" si="528"/>
        <v>26</v>
      </c>
      <c r="AJ706" s="877" t="s">
        <v>1526</v>
      </c>
    </row>
    <row r="707" spans="1:36" x14ac:dyDescent="0.2">
      <c r="A707" s="492">
        <f>INDEX(Country!$F$31:$G$76, MATCH(AI707, Country!$O$31:$O$76, 0), 1)</f>
        <v>2.0999999999999979</v>
      </c>
      <c r="B707" s="2" t="str">
        <f>INDEX(Country!$F$31:$G$76, MATCH(AI707, Country!$O$31:$O$76, 0), 2)</f>
        <v>Green micro-loans</v>
      </c>
      <c r="C707" s="436" t="str">
        <f>INDEX(Country!$K$31:$K$76, MATCH(AI707, Country!$O$31:$O$76, 0), 1)</f>
        <v>USD</v>
      </c>
      <c r="D707" s="4" t="str">
        <f t="shared" si="526"/>
        <v>Mexico</v>
      </c>
      <c r="E707" s="47">
        <v>371243.58</v>
      </c>
      <c r="F707" s="47">
        <v>371243.58</v>
      </c>
      <c r="G707" s="47">
        <v>371243.58</v>
      </c>
      <c r="H707" s="47">
        <v>371243.58</v>
      </c>
      <c r="I707" s="47">
        <v>371243.58</v>
      </c>
      <c r="J707" s="47">
        <v>371243.58</v>
      </c>
      <c r="K707" s="45">
        <v>150000</v>
      </c>
      <c r="L707" s="457">
        <f t="shared" si="563"/>
        <v>0.16668385430251997</v>
      </c>
      <c r="M707" s="458">
        <f t="shared" si="564"/>
        <v>0.16668385430251997</v>
      </c>
      <c r="N707" s="458">
        <f t="shared" si="565"/>
        <v>0.16668385430251997</v>
      </c>
      <c r="O707" s="458">
        <f t="shared" si="566"/>
        <v>0.16668385430251997</v>
      </c>
      <c r="P707" s="458">
        <f t="shared" si="567"/>
        <v>0.16668385430251997</v>
      </c>
      <c r="Q707" s="458">
        <f t="shared" si="568"/>
        <v>0.16668385430251997</v>
      </c>
      <c r="R707" s="459">
        <f t="shared" si="569"/>
        <v>5.9984350344088617E-2</v>
      </c>
      <c r="S707" s="455"/>
      <c r="T707" s="456"/>
      <c r="U707" s="456"/>
      <c r="V707" s="456"/>
      <c r="W707" s="456"/>
      <c r="X707" s="456"/>
      <c r="Y707" s="456"/>
      <c r="Z707" s="421">
        <f>IFERROR(E707/Levelisation!F1406, 0)</f>
        <v>3.2425489284097351E-5</v>
      </c>
      <c r="AA707" s="471">
        <f>IFERROR(F707/Levelisation!G1406, 0)</f>
        <v>3.2425489284097351E-5</v>
      </c>
      <c r="AB707" s="471">
        <f>IFERROR(G707/Levelisation!H1406, 0)</f>
        <v>3.2425489284097351E-5</v>
      </c>
      <c r="AC707" s="5">
        <f>IFERROR(H707/Levelisation!I1406, 0)</f>
        <v>3.2425489284097351E-5</v>
      </c>
      <c r="AD707" s="5">
        <f>IFERROR(I707/Levelisation!J1406, 0)</f>
        <v>3.2425489284097351E-5</v>
      </c>
      <c r="AE707" s="5">
        <f>IFERROR(J707/Levelisation!J1406, 0)</f>
        <v>3.2425489284097351E-5</v>
      </c>
      <c r="AF707" s="6">
        <f>IFERROR(K707/Levelisation!L1406, 0)</f>
        <v>1.31014343537324E-5</v>
      </c>
      <c r="AG707" s="33" t="str">
        <f t="shared" si="525"/>
        <v>2.1 &gt; Mexico</v>
      </c>
      <c r="AH707" s="84">
        <f t="shared" si="527"/>
        <v>693</v>
      </c>
      <c r="AI707" s="84">
        <f t="shared" si="528"/>
        <v>26</v>
      </c>
      <c r="AJ707" s="877" t="s">
        <v>1526</v>
      </c>
    </row>
    <row r="708" spans="1:36" x14ac:dyDescent="0.2">
      <c r="A708" s="492">
        <f>INDEX(Country!$F$31:$G$76, MATCH(AI708, Country!$O$31:$O$76, 0), 1)</f>
        <v>2.0999999999999979</v>
      </c>
      <c r="B708" s="2" t="str">
        <f>INDEX(Country!$F$31:$G$76, MATCH(AI708, Country!$O$31:$O$76, 0), 2)</f>
        <v>Green micro-loans</v>
      </c>
      <c r="C708" s="436" t="str">
        <f>INDEX(Country!$K$31:$K$76, MATCH(AI708, Country!$O$31:$O$76, 0), 1)</f>
        <v>USD</v>
      </c>
      <c r="D708" s="4" t="str">
        <f t="shared" si="526"/>
        <v>Nicaragua</v>
      </c>
      <c r="E708" s="47">
        <v>2934306.8299999996</v>
      </c>
      <c r="F708" s="47">
        <v>2934306.8299999996</v>
      </c>
      <c r="G708" s="47">
        <v>2934306.8299999996</v>
      </c>
      <c r="H708" s="47">
        <v>2934306.8299999996</v>
      </c>
      <c r="I708" s="47">
        <v>2934306.8299999996</v>
      </c>
      <c r="J708" s="47">
        <v>2934306.8299999996</v>
      </c>
      <c r="K708" s="45">
        <v>1266829</v>
      </c>
      <c r="L708" s="457">
        <f t="shared" si="563"/>
        <v>6.7499717426033259</v>
      </c>
      <c r="M708" s="458">
        <f t="shared" si="564"/>
        <v>6.7499717426033259</v>
      </c>
      <c r="N708" s="458">
        <f t="shared" si="565"/>
        <v>6.7499717426033259</v>
      </c>
      <c r="O708" s="458">
        <f t="shared" si="566"/>
        <v>6.7499717426033259</v>
      </c>
      <c r="P708" s="458">
        <f t="shared" si="567"/>
        <v>6.7499717426033259</v>
      </c>
      <c r="Q708" s="458">
        <f t="shared" si="568"/>
        <v>6.7499717426033259</v>
      </c>
      <c r="R708" s="459">
        <f t="shared" si="569"/>
        <v>2.5955329415868027</v>
      </c>
      <c r="S708" s="455"/>
      <c r="T708" s="456"/>
      <c r="U708" s="456"/>
      <c r="V708" s="456"/>
      <c r="W708" s="456"/>
      <c r="X708" s="456"/>
      <c r="Y708" s="456"/>
      <c r="Z708" s="421">
        <f>IFERROR(E708/Levelisation!F1407, 0)</f>
        <v>1.313091404825015E-3</v>
      </c>
      <c r="AA708" s="471">
        <f>IFERROR(F708/Levelisation!G1407, 0)</f>
        <v>1.313091404825015E-3</v>
      </c>
      <c r="AB708" s="471">
        <f>IFERROR(G708/Levelisation!H1407, 0)</f>
        <v>1.313091404825015E-3</v>
      </c>
      <c r="AC708" s="5">
        <f>IFERROR(H708/Levelisation!I1407, 0)</f>
        <v>1.313091404825015E-3</v>
      </c>
      <c r="AD708" s="5">
        <f>IFERROR(I708/Levelisation!J1407, 0)</f>
        <v>1.313091404825015E-3</v>
      </c>
      <c r="AE708" s="5">
        <f>IFERROR(J708/Levelisation!J1407, 0)</f>
        <v>1.313091404825015E-3</v>
      </c>
      <c r="AF708" s="6">
        <f>IFERROR(K708/Levelisation!L1407, 0)</f>
        <v>5.6690127094959227E-4</v>
      </c>
      <c r="AG708" s="33" t="str">
        <f t="shared" si="525"/>
        <v>2.1 &gt; Nicaragua</v>
      </c>
      <c r="AH708" s="84">
        <f t="shared" si="527"/>
        <v>694</v>
      </c>
      <c r="AI708" s="84">
        <f t="shared" si="528"/>
        <v>26</v>
      </c>
      <c r="AJ708" s="877" t="s">
        <v>1526</v>
      </c>
    </row>
    <row r="709" spans="1:36" x14ac:dyDescent="0.2">
      <c r="A709" s="492">
        <f>INDEX(Country!$F$31:$G$76, MATCH(AI709, Country!$O$31:$O$76, 0), 1)</f>
        <v>2.0999999999999979</v>
      </c>
      <c r="B709" s="2" t="str">
        <f>INDEX(Country!$F$31:$G$76, MATCH(AI709, Country!$O$31:$O$76, 0), 2)</f>
        <v>Green micro-loans</v>
      </c>
      <c r="C709" s="436" t="str">
        <f>INDEX(Country!$K$31:$K$76, MATCH(AI709, Country!$O$31:$O$76, 0), 1)</f>
        <v>USD</v>
      </c>
      <c r="D709" s="4" t="str">
        <f t="shared" si="526"/>
        <v>Panama</v>
      </c>
      <c r="E709" s="47">
        <v>0</v>
      </c>
      <c r="F709" s="47">
        <v>0</v>
      </c>
      <c r="G709" s="47">
        <v>0</v>
      </c>
      <c r="H709" s="47">
        <v>0</v>
      </c>
      <c r="I709" s="47">
        <v>0</v>
      </c>
      <c r="J709" s="47">
        <v>0</v>
      </c>
      <c r="K709" s="45">
        <v>6</v>
      </c>
      <c r="L709" s="457">
        <f t="shared" si="563"/>
        <v>0</v>
      </c>
      <c r="M709" s="458">
        <f t="shared" si="564"/>
        <v>0</v>
      </c>
      <c r="N709" s="458">
        <f t="shared" si="565"/>
        <v>0</v>
      </c>
      <c r="O709" s="458">
        <f t="shared" si="566"/>
        <v>0</v>
      </c>
      <c r="P709" s="458">
        <f t="shared" si="567"/>
        <v>0</v>
      </c>
      <c r="Q709" s="458">
        <f t="shared" si="568"/>
        <v>0</v>
      </c>
      <c r="R709" s="459">
        <f t="shared" si="569"/>
        <v>3.624027098628148E-4</v>
      </c>
      <c r="S709" s="455"/>
      <c r="T709" s="456"/>
      <c r="U709" s="456"/>
      <c r="V709" s="456"/>
      <c r="W709" s="456"/>
      <c r="X709" s="456"/>
      <c r="Y709" s="456"/>
      <c r="Z709" s="421">
        <f>IFERROR(E709/Levelisation!F1408, 0)</f>
        <v>0</v>
      </c>
      <c r="AA709" s="471">
        <f>IFERROR(F709/Levelisation!G1408, 0)</f>
        <v>0</v>
      </c>
      <c r="AB709" s="471">
        <f>IFERROR(G709/Levelisation!H1408, 0)</f>
        <v>0</v>
      </c>
      <c r="AC709" s="5">
        <f>IFERROR(H709/Levelisation!I1408, 0)</f>
        <v>0</v>
      </c>
      <c r="AD709" s="5">
        <f>IFERROR(I709/Levelisation!J1408, 0)</f>
        <v>0</v>
      </c>
      <c r="AE709" s="5">
        <f>IFERROR(J709/Levelisation!J1408, 0)</f>
        <v>0</v>
      </c>
      <c r="AF709" s="6">
        <f>IFERROR(K709/Levelisation!L1408, 0)</f>
        <v>7.9153900736549467E-8</v>
      </c>
      <c r="AG709" s="33" t="str">
        <f t="shared" si="525"/>
        <v>2.1 &gt; Panama</v>
      </c>
      <c r="AH709" s="84">
        <f t="shared" si="527"/>
        <v>695</v>
      </c>
      <c r="AI709" s="84">
        <f t="shared" si="528"/>
        <v>26</v>
      </c>
      <c r="AJ709" s="877" t="s">
        <v>1526</v>
      </c>
    </row>
    <row r="710" spans="1:36" x14ac:dyDescent="0.2">
      <c r="A710" s="492">
        <f>INDEX(Country!$F$31:$G$76, MATCH(AI710, Country!$O$31:$O$76, 0), 1)</f>
        <v>2.0999999999999979</v>
      </c>
      <c r="B710" s="2" t="str">
        <f>INDEX(Country!$F$31:$G$76, MATCH(AI710, Country!$O$31:$O$76, 0), 2)</f>
        <v>Green micro-loans</v>
      </c>
      <c r="C710" s="436" t="str">
        <f>INDEX(Country!$K$31:$K$76, MATCH(AI710, Country!$O$31:$O$76, 0), 1)</f>
        <v>USD</v>
      </c>
      <c r="D710" s="4" t="str">
        <f t="shared" si="526"/>
        <v>Paraguay</v>
      </c>
      <c r="E710" s="47">
        <v>0</v>
      </c>
      <c r="F710" s="47">
        <v>0</v>
      </c>
      <c r="G710" s="47">
        <v>0</v>
      </c>
      <c r="H710" s="47">
        <v>0</v>
      </c>
      <c r="I710" s="47">
        <v>0</v>
      </c>
      <c r="J710" s="47">
        <v>0</v>
      </c>
      <c r="K710" s="45">
        <v>1197335</v>
      </c>
      <c r="L710" s="457">
        <f t="shared" si="563"/>
        <v>0</v>
      </c>
      <c r="M710" s="458">
        <f t="shared" si="564"/>
        <v>0</v>
      </c>
      <c r="N710" s="458">
        <f t="shared" si="565"/>
        <v>0</v>
      </c>
      <c r="O710" s="458">
        <f t="shared" si="566"/>
        <v>0</v>
      </c>
      <c r="P710" s="458">
        <f t="shared" si="567"/>
        <v>0</v>
      </c>
      <c r="Q710" s="458">
        <f t="shared" si="568"/>
        <v>0</v>
      </c>
      <c r="R710" s="459">
        <f t="shared" si="569"/>
        <v>2.4122232950311377</v>
      </c>
      <c r="S710" s="455"/>
      <c r="T710" s="456"/>
      <c r="U710" s="456"/>
      <c r="V710" s="456"/>
      <c r="W710" s="456"/>
      <c r="X710" s="456"/>
      <c r="Y710" s="456"/>
      <c r="Z710" s="421">
        <f>IFERROR(E710/Levelisation!F1409, 0)</f>
        <v>0</v>
      </c>
      <c r="AA710" s="471">
        <f>IFERROR(F710/Levelisation!G1409, 0)</f>
        <v>0</v>
      </c>
      <c r="AB710" s="471">
        <f>IFERROR(G710/Levelisation!H1409, 0)</f>
        <v>0</v>
      </c>
      <c r="AC710" s="5">
        <f>IFERROR(H710/Levelisation!I1409, 0)</f>
        <v>0</v>
      </c>
      <c r="AD710" s="5">
        <f>IFERROR(I710/Levelisation!J1409, 0)</f>
        <v>0</v>
      </c>
      <c r="AE710" s="5">
        <f>IFERROR(J710/Levelisation!J1409, 0)</f>
        <v>0</v>
      </c>
      <c r="AF710" s="6">
        <f>IFERROR(K710/Levelisation!L1409, 0)</f>
        <v>5.2686383973664234E-4</v>
      </c>
      <c r="AG710" s="33" t="str">
        <f t="shared" si="525"/>
        <v>2.1 &gt; Paraguay</v>
      </c>
      <c r="AH710" s="84">
        <f t="shared" si="527"/>
        <v>696</v>
      </c>
      <c r="AI710" s="84">
        <f t="shared" si="528"/>
        <v>26</v>
      </c>
      <c r="AJ710" s="877" t="s">
        <v>1526</v>
      </c>
    </row>
    <row r="711" spans="1:36" x14ac:dyDescent="0.2">
      <c r="A711" s="492">
        <f>INDEX(Country!$F$31:$G$76, MATCH(AI711, Country!$O$31:$O$76, 0), 1)</f>
        <v>2.0999999999999979</v>
      </c>
      <c r="B711" s="2" t="str">
        <f>INDEX(Country!$F$31:$G$76, MATCH(AI711, Country!$O$31:$O$76, 0), 2)</f>
        <v>Green micro-loans</v>
      </c>
      <c r="C711" s="436" t="str">
        <f>INDEX(Country!$K$31:$K$76, MATCH(AI711, Country!$O$31:$O$76, 0), 1)</f>
        <v>USD</v>
      </c>
      <c r="D711" s="4" t="str">
        <f t="shared" si="526"/>
        <v>Peru</v>
      </c>
      <c r="E711" s="47">
        <v>245573.78599999999</v>
      </c>
      <c r="F711" s="47">
        <v>245573.78599999999</v>
      </c>
      <c r="G711" s="47">
        <v>245573.78599999999</v>
      </c>
      <c r="H711" s="47">
        <v>245573.78599999999</v>
      </c>
      <c r="I711" s="47">
        <v>245573.78599999999</v>
      </c>
      <c r="J711" s="47">
        <v>245573.78599999999</v>
      </c>
      <c r="K711" s="45">
        <v>252741192.32999998</v>
      </c>
      <c r="L711" s="457">
        <f t="shared" si="563"/>
        <v>5.9606197976146288E-2</v>
      </c>
      <c r="M711" s="458">
        <f t="shared" si="564"/>
        <v>5.9606197976146288E-2</v>
      </c>
      <c r="N711" s="458">
        <f t="shared" si="565"/>
        <v>5.9606197976146288E-2</v>
      </c>
      <c r="O711" s="458">
        <f t="shared" si="566"/>
        <v>5.9606197976146288E-2</v>
      </c>
      <c r="P711" s="458">
        <f t="shared" si="567"/>
        <v>5.9606197976146288E-2</v>
      </c>
      <c r="Q711" s="458">
        <f t="shared" si="568"/>
        <v>5.9606197976146288E-2</v>
      </c>
      <c r="R711" s="459">
        <f t="shared" si="569"/>
        <v>54.63834844723592</v>
      </c>
      <c r="S711" s="455"/>
      <c r="T711" s="456"/>
      <c r="U711" s="456"/>
      <c r="V711" s="456"/>
      <c r="W711" s="456"/>
      <c r="X711" s="456"/>
      <c r="Y711" s="456"/>
      <c r="Z711" s="421">
        <f>IFERROR(E711/Levelisation!F1410, 0)</f>
        <v>1.1595365020978499E-5</v>
      </c>
      <c r="AA711" s="471">
        <f>IFERROR(F711/Levelisation!G1410, 0)</f>
        <v>1.1595365020978499E-5</v>
      </c>
      <c r="AB711" s="471">
        <f>IFERROR(G711/Levelisation!H1410, 0)</f>
        <v>1.1595365020978499E-5</v>
      </c>
      <c r="AC711" s="5">
        <f>IFERROR(H711/Levelisation!I1410, 0)</f>
        <v>1.1595365020978499E-5</v>
      </c>
      <c r="AD711" s="5">
        <f>IFERROR(I711/Levelisation!J1410, 0)</f>
        <v>1.1595365020978499E-5</v>
      </c>
      <c r="AE711" s="5">
        <f>IFERROR(J711/Levelisation!J1410, 0)</f>
        <v>1.1595365020978499E-5</v>
      </c>
      <c r="AF711" s="6">
        <f>IFERROR(K711/Levelisation!L1410, 0)</f>
        <v>1.1933791585164066E-2</v>
      </c>
      <c r="AG711" s="33" t="str">
        <f t="shared" si="525"/>
        <v>2.1 &gt; Peru</v>
      </c>
      <c r="AH711" s="84">
        <f t="shared" si="527"/>
        <v>697</v>
      </c>
      <c r="AI711" s="84">
        <f t="shared" si="528"/>
        <v>26</v>
      </c>
      <c r="AJ711" s="877" t="s">
        <v>1526</v>
      </c>
    </row>
    <row r="712" spans="1:36" x14ac:dyDescent="0.2">
      <c r="A712" s="492">
        <f>INDEX(Country!$F$31:$G$76, MATCH(AI712, Country!$O$31:$O$76, 0), 1)</f>
        <v>2.0999999999999979</v>
      </c>
      <c r="B712" s="2" t="str">
        <f>INDEX(Country!$F$31:$G$76, MATCH(AI712, Country!$O$31:$O$76, 0), 2)</f>
        <v>Green micro-loans</v>
      </c>
      <c r="C712" s="436" t="str">
        <f>INDEX(Country!$K$31:$K$76, MATCH(AI712, Country!$O$31:$O$76, 0), 1)</f>
        <v>USD</v>
      </c>
      <c r="D712" s="4" t="str">
        <f t="shared" si="526"/>
        <v>Suriname</v>
      </c>
      <c r="E712" s="47">
        <v>0</v>
      </c>
      <c r="F712" s="47">
        <v>0</v>
      </c>
      <c r="G712" s="47">
        <v>0</v>
      </c>
      <c r="H712" s="47">
        <v>0</v>
      </c>
      <c r="I712" s="47">
        <v>0</v>
      </c>
      <c r="J712" s="47">
        <v>0</v>
      </c>
      <c r="K712" s="45">
        <v>0</v>
      </c>
      <c r="L712" s="457">
        <f t="shared" si="563"/>
        <v>0</v>
      </c>
      <c r="M712" s="458">
        <f t="shared" si="564"/>
        <v>0</v>
      </c>
      <c r="N712" s="458">
        <f t="shared" si="565"/>
        <v>0</v>
      </c>
      <c r="O712" s="458">
        <f t="shared" si="566"/>
        <v>0</v>
      </c>
      <c r="P712" s="458">
        <f t="shared" si="567"/>
        <v>0</v>
      </c>
      <c r="Q712" s="458">
        <f t="shared" si="568"/>
        <v>0</v>
      </c>
      <c r="R712" s="459">
        <f t="shared" si="569"/>
        <v>0</v>
      </c>
      <c r="S712" s="455"/>
      <c r="T712" s="456"/>
      <c r="U712" s="456"/>
      <c r="V712" s="456"/>
      <c r="W712" s="456"/>
      <c r="X712" s="456"/>
      <c r="Y712" s="456"/>
      <c r="Z712" s="421">
        <f>IFERROR(E712/Levelisation!F1411, 0)</f>
        <v>0</v>
      </c>
      <c r="AA712" s="471">
        <f>IFERROR(F712/Levelisation!G1411, 0)</f>
        <v>0</v>
      </c>
      <c r="AB712" s="471">
        <f>IFERROR(G712/Levelisation!H1411, 0)</f>
        <v>0</v>
      </c>
      <c r="AC712" s="5">
        <f>IFERROR(H712/Levelisation!I1411, 0)</f>
        <v>0</v>
      </c>
      <c r="AD712" s="5">
        <f>IFERROR(I712/Levelisation!J1411, 0)</f>
        <v>0</v>
      </c>
      <c r="AE712" s="5">
        <f>IFERROR(J712/Levelisation!J1411, 0)</f>
        <v>0</v>
      </c>
      <c r="AF712" s="6">
        <f>IFERROR(K712/Levelisation!L1411, 0)</f>
        <v>0</v>
      </c>
      <c r="AG712" s="33" t="str">
        <f t="shared" si="525"/>
        <v>2.1 &gt; Suriname</v>
      </c>
      <c r="AH712" s="84">
        <f t="shared" si="527"/>
        <v>698</v>
      </c>
      <c r="AI712" s="84">
        <f t="shared" si="528"/>
        <v>26</v>
      </c>
      <c r="AJ712" s="877" t="s">
        <v>1526</v>
      </c>
    </row>
    <row r="713" spans="1:36" x14ac:dyDescent="0.2">
      <c r="A713" s="492">
        <f>INDEX(Country!$F$31:$G$76, MATCH(AI713, Country!$O$31:$O$76, 0), 1)</f>
        <v>2.0999999999999979</v>
      </c>
      <c r="B713" s="2" t="str">
        <f>INDEX(Country!$F$31:$G$76, MATCH(AI713, Country!$O$31:$O$76, 0), 2)</f>
        <v>Green micro-loans</v>
      </c>
      <c r="C713" s="436" t="str">
        <f>INDEX(Country!$K$31:$K$76, MATCH(AI713, Country!$O$31:$O$76, 0), 1)</f>
        <v>USD</v>
      </c>
      <c r="D713" s="4" t="str">
        <f t="shared" si="526"/>
        <v>Trinidad &amp; Tobago</v>
      </c>
      <c r="E713" s="47">
        <v>0</v>
      </c>
      <c r="F713" s="47">
        <v>0</v>
      </c>
      <c r="G713" s="47">
        <v>0</v>
      </c>
      <c r="H713" s="47">
        <v>0</v>
      </c>
      <c r="I713" s="47">
        <v>0</v>
      </c>
      <c r="J713" s="47">
        <v>0</v>
      </c>
      <c r="K713" s="45">
        <v>0</v>
      </c>
      <c r="L713" s="457">
        <f t="shared" si="563"/>
        <v>0</v>
      </c>
      <c r="M713" s="458">
        <f t="shared" si="564"/>
        <v>0</v>
      </c>
      <c r="N713" s="458">
        <f t="shared" si="565"/>
        <v>0</v>
      </c>
      <c r="O713" s="458">
        <f t="shared" si="566"/>
        <v>0</v>
      </c>
      <c r="P713" s="458">
        <f t="shared" si="567"/>
        <v>0</v>
      </c>
      <c r="Q713" s="458">
        <f t="shared" si="568"/>
        <v>0</v>
      </c>
      <c r="R713" s="459">
        <f t="shared" si="569"/>
        <v>0</v>
      </c>
      <c r="S713" s="455"/>
      <c r="T713" s="456"/>
      <c r="U713" s="456"/>
      <c r="V713" s="456"/>
      <c r="W713" s="456"/>
      <c r="X713" s="456"/>
      <c r="Y713" s="456"/>
      <c r="Z713" s="421">
        <f>IFERROR(E713/Levelisation!F1412, 0)</f>
        <v>0</v>
      </c>
      <c r="AA713" s="471">
        <f>IFERROR(F713/Levelisation!G1412, 0)</f>
        <v>0</v>
      </c>
      <c r="AB713" s="471">
        <f>IFERROR(G713/Levelisation!H1412, 0)</f>
        <v>0</v>
      </c>
      <c r="AC713" s="5">
        <f>IFERROR(H713/Levelisation!I1412, 0)</f>
        <v>0</v>
      </c>
      <c r="AD713" s="5">
        <f>IFERROR(I713/Levelisation!J1412, 0)</f>
        <v>0</v>
      </c>
      <c r="AE713" s="5">
        <f>IFERROR(J713/Levelisation!J1412, 0)</f>
        <v>0</v>
      </c>
      <c r="AF713" s="6">
        <f>IFERROR(K713/Levelisation!L1412, 0)</f>
        <v>0</v>
      </c>
      <c r="AG713" s="33" t="str">
        <f t="shared" si="525"/>
        <v>2.1 &gt; Trinidad &amp; Tobago</v>
      </c>
      <c r="AH713" s="84">
        <f t="shared" si="527"/>
        <v>699</v>
      </c>
      <c r="AI713" s="84">
        <f t="shared" si="528"/>
        <v>26</v>
      </c>
      <c r="AJ713" s="877" t="s">
        <v>1526</v>
      </c>
    </row>
    <row r="714" spans="1:36" x14ac:dyDescent="0.2">
      <c r="A714" s="492">
        <f>INDEX(Country!$F$31:$G$76, MATCH(AI714, Country!$O$31:$O$76, 0), 1)</f>
        <v>2.0999999999999979</v>
      </c>
      <c r="B714" s="2" t="str">
        <f>INDEX(Country!$F$31:$G$76, MATCH(AI714, Country!$O$31:$O$76, 0), 2)</f>
        <v>Green micro-loans</v>
      </c>
      <c r="C714" s="436" t="str">
        <f>INDEX(Country!$K$31:$K$76, MATCH(AI714, Country!$O$31:$O$76, 0), 1)</f>
        <v>USD</v>
      </c>
      <c r="D714" s="4" t="str">
        <f t="shared" si="526"/>
        <v>Uruguay</v>
      </c>
      <c r="E714" s="47">
        <v>50000</v>
      </c>
      <c r="F714" s="47">
        <v>50000</v>
      </c>
      <c r="G714" s="47">
        <v>50000</v>
      </c>
      <c r="H714" s="47">
        <v>50000</v>
      </c>
      <c r="I714" s="47">
        <v>50000</v>
      </c>
      <c r="J714" s="47">
        <v>50000</v>
      </c>
      <c r="K714" s="45">
        <v>0</v>
      </c>
      <c r="L714" s="457">
        <f t="shared" si="563"/>
        <v>0</v>
      </c>
      <c r="M714" s="458">
        <f t="shared" si="564"/>
        <v>0</v>
      </c>
      <c r="N714" s="458">
        <f t="shared" si="565"/>
        <v>0</v>
      </c>
      <c r="O714" s="458">
        <f t="shared" si="566"/>
        <v>0</v>
      </c>
      <c r="P714" s="458">
        <f t="shared" si="567"/>
        <v>0</v>
      </c>
      <c r="Q714" s="458">
        <f t="shared" si="568"/>
        <v>0</v>
      </c>
      <c r="R714" s="459">
        <f t="shared" si="569"/>
        <v>0</v>
      </c>
      <c r="S714" s="455"/>
      <c r="T714" s="456"/>
      <c r="U714" s="456"/>
      <c r="V714" s="456"/>
      <c r="W714" s="456"/>
      <c r="X714" s="456"/>
      <c r="Y714" s="456"/>
      <c r="Z714" s="421">
        <f>IFERROR(E714/Levelisation!F1413, 0)</f>
        <v>0</v>
      </c>
      <c r="AA714" s="471">
        <f>IFERROR(F714/Levelisation!G1413, 0)</f>
        <v>0</v>
      </c>
      <c r="AB714" s="471">
        <f>IFERROR(G714/Levelisation!H1413, 0)</f>
        <v>0</v>
      </c>
      <c r="AC714" s="5">
        <f>IFERROR(H714/Levelisation!I1413, 0)</f>
        <v>0</v>
      </c>
      <c r="AD714" s="5">
        <f>IFERROR(I714/Levelisation!J1413, 0)</f>
        <v>0</v>
      </c>
      <c r="AE714" s="5">
        <f>IFERROR(J714/Levelisation!J1413, 0)</f>
        <v>0</v>
      </c>
      <c r="AF714" s="6">
        <f>IFERROR(K714/Levelisation!L1413, 0)</f>
        <v>0</v>
      </c>
      <c r="AG714" s="33" t="str">
        <f t="shared" si="525"/>
        <v>2.1 &gt; Uruguay</v>
      </c>
      <c r="AH714" s="84">
        <f t="shared" si="527"/>
        <v>700</v>
      </c>
      <c r="AI714" s="84">
        <f t="shared" si="528"/>
        <v>26</v>
      </c>
      <c r="AJ714" s="877" t="s">
        <v>1526</v>
      </c>
    </row>
    <row r="715" spans="1:36" x14ac:dyDescent="0.2">
      <c r="A715" s="491">
        <f>INDEX(Country!$F$31:$G$76, MATCH(AI715, Country!$O$31:$O$76, 0), 1)</f>
        <v>2.0999999999999979</v>
      </c>
      <c r="B715" s="386" t="str">
        <f>INDEX(Country!$F$31:$G$76, MATCH(AI715, Country!$O$31:$O$76, 0), 2)</f>
        <v>Green micro-loans</v>
      </c>
      <c r="C715" s="437" t="str">
        <f>INDEX(Country!$K$31:$K$76, MATCH(AI715, Country!$O$31:$O$76, 0), 1)</f>
        <v>USD</v>
      </c>
      <c r="D715" s="86" t="str">
        <f t="shared" si="526"/>
        <v>Venezuela</v>
      </c>
      <c r="E715" s="363">
        <v>200100</v>
      </c>
      <c r="F715" s="363">
        <v>200100</v>
      </c>
      <c r="G715" s="363">
        <v>200100</v>
      </c>
      <c r="H715" s="363">
        <v>200100</v>
      </c>
      <c r="I715" s="363">
        <v>200100</v>
      </c>
      <c r="J715" s="363">
        <v>200100</v>
      </c>
      <c r="K715" s="400">
        <v>31652.66</v>
      </c>
      <c r="L715" s="460">
        <f t="shared" si="563"/>
        <v>29.782292139314166</v>
      </c>
      <c r="M715" s="461">
        <f t="shared" si="564"/>
        <v>29.782292139314166</v>
      </c>
      <c r="N715" s="461">
        <f t="shared" si="565"/>
        <v>29.782292139314166</v>
      </c>
      <c r="O715" s="461">
        <f t="shared" si="566"/>
        <v>29.782292139314166</v>
      </c>
      <c r="P715" s="461">
        <f t="shared" si="567"/>
        <v>29.782292139314166</v>
      </c>
      <c r="Q715" s="461">
        <f t="shared" si="568"/>
        <v>29.782292139314166</v>
      </c>
      <c r="R715" s="462">
        <f t="shared" si="569"/>
        <v>4.1959795396752337</v>
      </c>
      <c r="S715" s="455"/>
      <c r="T715" s="456"/>
      <c r="U715" s="456"/>
      <c r="V715" s="456"/>
      <c r="W715" s="456"/>
      <c r="X715" s="456"/>
      <c r="Y715" s="456"/>
      <c r="Z715" s="422">
        <f>IFERROR(E715/Levelisation!F1414, 0)</f>
        <v>5.7936348943941384E-3</v>
      </c>
      <c r="AA715" s="470">
        <f>IFERROR(F715/Levelisation!G1414, 0)</f>
        <v>5.7936348943941384E-3</v>
      </c>
      <c r="AB715" s="470">
        <f>IFERROR(G715/Levelisation!H1414, 0)</f>
        <v>5.7936348943941384E-3</v>
      </c>
      <c r="AC715" s="364">
        <f>IFERROR(H715/Levelisation!I1414, 0)</f>
        <v>5.7936348943941384E-3</v>
      </c>
      <c r="AD715" s="364">
        <f>IFERROR(I715/Levelisation!J1414, 0)</f>
        <v>5.7936348943941384E-3</v>
      </c>
      <c r="AE715" s="364">
        <f>IFERROR(J715/Levelisation!J1414, 0)</f>
        <v>5.7936348943941384E-3</v>
      </c>
      <c r="AF715" s="390">
        <f>IFERROR(K715/Levelisation!L1414, 0)</f>
        <v>9.1646154660866353E-4</v>
      </c>
      <c r="AG715" s="90" t="str">
        <f t="shared" si="525"/>
        <v>2.1 &gt; Venezuela</v>
      </c>
      <c r="AH715" s="392">
        <f t="shared" si="527"/>
        <v>701</v>
      </c>
      <c r="AI715" s="392">
        <f t="shared" si="528"/>
        <v>26</v>
      </c>
      <c r="AJ715" s="878" t="s">
        <v>1526</v>
      </c>
    </row>
    <row r="716" spans="1:36" x14ac:dyDescent="0.2">
      <c r="A716" s="490">
        <f>INDEX(Country!$F$31:$G$76, MATCH(AI716, Country!$O$31:$O$76, 0), 1)</f>
        <v>2.0999999999999979</v>
      </c>
      <c r="B716" s="387" t="str">
        <f>INDEX(Country!$F$31:$G$76, MATCH(AI716, Country!$O$31:$O$76, 0), 2)</f>
        <v>Green micro-loans</v>
      </c>
      <c r="C716" s="438" t="str">
        <f>INDEX(Country!$K$31:$K$76, MATCH(AI716, Country!$O$31:$O$76, 0), 1)</f>
        <v>USD</v>
      </c>
      <c r="D716" s="32" t="str">
        <f t="shared" si="526"/>
        <v>Benchmark</v>
      </c>
      <c r="E716" s="362">
        <f>IFERROR(MAX(E690:E715), 0)</f>
        <v>71160000</v>
      </c>
      <c r="F716" s="362">
        <f t="shared" ref="F716" si="570">IFERROR(MAX(F690:F715), 0)</f>
        <v>71160000</v>
      </c>
      <c r="G716" s="362">
        <f t="shared" ref="G716" si="571">IFERROR(MAX(G690:G715), 0)</f>
        <v>71160000</v>
      </c>
      <c r="H716" s="362">
        <f t="shared" ref="H716" si="572">IFERROR(MAX(H690:H715), 0)</f>
        <v>71160000</v>
      </c>
      <c r="I716" s="362">
        <f t="shared" ref="I716" si="573">IFERROR(MAX(I690:I715), 0)</f>
        <v>71160000</v>
      </c>
      <c r="J716" s="362">
        <f t="shared" ref="J716:K716" si="574">IFERROR(MAX(J690:J715), 0)</f>
        <v>71160000</v>
      </c>
      <c r="K716" s="584">
        <f t="shared" si="574"/>
        <v>252741192.32999998</v>
      </c>
      <c r="L716" s="585">
        <f t="shared" ref="L716:M716" si="575">MAX(Z690:Z715)</f>
        <v>1.9453287434334984E-2</v>
      </c>
      <c r="M716" s="463">
        <f t="shared" si="575"/>
        <v>1.9453287434334984E-2</v>
      </c>
      <c r="N716" s="463">
        <f t="shared" ref="N716" si="576">MAX(AB690:AB715)</f>
        <v>1.9453287434334984E-2</v>
      </c>
      <c r="O716" s="463">
        <f t="shared" ref="O716" si="577">MAX(AC690:AC715)</f>
        <v>1.9453287434334984E-2</v>
      </c>
      <c r="P716" s="463">
        <f t="shared" ref="P716" si="578">MAX(AD690:AD715)</f>
        <v>1.9453287434334984E-2</v>
      </c>
      <c r="Q716" s="463">
        <f t="shared" ref="Q716" si="579">MAX(AE690:AE715)</f>
        <v>1.9453287434334984E-2</v>
      </c>
      <c r="R716" s="586">
        <f t="shared" ref="R716" si="580">MAX(AF690:AF715)</f>
        <v>2.1841420768214638E-2</v>
      </c>
      <c r="S716" s="393"/>
      <c r="T716" s="394"/>
      <c r="U716" s="376"/>
      <c r="V716" s="376"/>
      <c r="W716" s="376"/>
      <c r="X716" s="376"/>
      <c r="Y716" s="376"/>
      <c r="Z716" s="393" t="s">
        <v>1246</v>
      </c>
      <c r="AA716" s="394"/>
      <c r="AB716" s="376"/>
      <c r="AC716" s="376"/>
      <c r="AD716" s="376"/>
      <c r="AE716" s="376"/>
      <c r="AF716" s="401"/>
      <c r="AG716" s="34" t="str">
        <f t="shared" si="525"/>
        <v>2.1 &gt; Benchmark</v>
      </c>
      <c r="AH716" s="85">
        <f t="shared" si="527"/>
        <v>702</v>
      </c>
      <c r="AI716" s="85">
        <f t="shared" si="528"/>
        <v>26</v>
      </c>
      <c r="AJ716" s="871" t="s">
        <v>1526</v>
      </c>
    </row>
    <row r="717" spans="1:36" x14ac:dyDescent="0.2">
      <c r="A717" s="587">
        <f>INDEX(Country!$F$31:$G$76, MATCH(AI717, Country!$O$31:$O$76, 0), 1)</f>
        <v>2.1099999999999977</v>
      </c>
      <c r="B717" s="588" t="str">
        <f>INDEX(Country!$F$31:$G$76, MATCH(AI717, Country!$O$31:$O$76, 0), 2)</f>
        <v>Green micro-borrowers</v>
      </c>
      <c r="C717" s="589" t="str">
        <f>INDEX(Country!$K$31:$K$76, MATCH(AI717, Country!$O$31:$O$76, 0), 1)</f>
        <v>Borrowers</v>
      </c>
      <c r="D717" s="590" t="str">
        <f t="shared" si="526"/>
        <v>Argentina</v>
      </c>
      <c r="E717" s="614">
        <v>1002</v>
      </c>
      <c r="F717" s="614">
        <v>1002</v>
      </c>
      <c r="G717" s="614">
        <v>1002</v>
      </c>
      <c r="H717" s="47">
        <v>1002</v>
      </c>
      <c r="I717" s="47">
        <v>1002</v>
      </c>
      <c r="J717" s="47">
        <v>1002</v>
      </c>
      <c r="K717" s="615">
        <v>1500</v>
      </c>
      <c r="L717" s="580">
        <f t="shared" ref="L717:L742" si="581">IFERROR(dbl_BenchmarkMax*Z717/L$743, 0)</f>
        <v>4.136295704867222</v>
      </c>
      <c r="M717" s="581">
        <f t="shared" ref="M717:M742" si="582">IFERROR(dbl_BenchmarkMax*AA717/M$743, 0)</f>
        <v>4.1210233739381001</v>
      </c>
      <c r="N717" s="581">
        <f t="shared" ref="N717:N742" si="583">IFERROR(dbl_BenchmarkMax*AB717/N$743, 0)</f>
        <v>4.1288464688329842</v>
      </c>
      <c r="O717" s="581">
        <f t="shared" ref="O717:O742" si="584">IFERROR(dbl_BenchmarkMax*AC717/O$743, 0)</f>
        <v>4.1352559849444566</v>
      </c>
      <c r="P717" s="581">
        <f t="shared" ref="P717:P742" si="585">IFERROR(dbl_BenchmarkMax*AD717/P$743, 0)</f>
        <v>4.1381621815148257</v>
      </c>
      <c r="Q717" s="581">
        <f t="shared" ref="Q717:Q742" si="586">IFERROR(dbl_BenchmarkMax*AE717/Q$743, 0)</f>
        <v>4.1381621815148257</v>
      </c>
      <c r="R717" s="582">
        <f t="shared" ref="R717:R742" si="587">IFERROR(dbl_BenchmarkMax*AF717/R$743, 0)</f>
        <v>8.8494166946798494</v>
      </c>
      <c r="S717" s="455"/>
      <c r="T717" s="456"/>
      <c r="U717" s="456"/>
      <c r="V717" s="456"/>
      <c r="W717" s="456"/>
      <c r="X717" s="456"/>
      <c r="Y717" s="456"/>
      <c r="Z717" s="421">
        <f>IFERROR(E717/Levelisation!F1441, 0)</f>
        <v>26.124364489636296</v>
      </c>
      <c r="AA717" s="471">
        <f>IFERROR(F717/Levelisation!G1441, 0)</f>
        <v>25.832731772713213</v>
      </c>
      <c r="AB717" s="471">
        <f>IFERROR(G717/Levelisation!H1441, 0)</f>
        <v>25.544281853872434</v>
      </c>
      <c r="AC717" s="5">
        <f>IFERROR(H717/Levelisation!I1441, 0)</f>
        <v>25.259018377070259</v>
      </c>
      <c r="AD717" s="5">
        <f>IFERROR(I717/Levelisation!J1441, 0)</f>
        <v>24.976942443353195</v>
      </c>
      <c r="AE717" s="5">
        <f>IFERROR(J717/Levelisation!J1441, 0)</f>
        <v>24.976942443353195</v>
      </c>
      <c r="AF717" s="6">
        <f>IFERROR(K717/Levelisation!L1441, 0)</f>
        <v>36.560397777127818</v>
      </c>
      <c r="AG717" s="396" t="str">
        <f t="shared" si="525"/>
        <v>2.11 &gt; Argentina</v>
      </c>
      <c r="AH717" s="397">
        <f t="shared" si="527"/>
        <v>703</v>
      </c>
      <c r="AI717" s="397">
        <f t="shared" si="528"/>
        <v>27</v>
      </c>
      <c r="AJ717" s="879" t="s">
        <v>1526</v>
      </c>
    </row>
    <row r="718" spans="1:36" x14ac:dyDescent="0.2">
      <c r="A718" s="492">
        <f>INDEX(Country!$F$31:$G$76, MATCH(AI718, Country!$O$31:$O$76, 0), 1)</f>
        <v>2.1099999999999977</v>
      </c>
      <c r="B718" s="2" t="str">
        <f>INDEX(Country!$F$31:$G$76, MATCH(AI718, Country!$O$31:$O$76, 0), 2)</f>
        <v>Green micro-borrowers</v>
      </c>
      <c r="C718" s="436" t="str">
        <f>INDEX(Country!$K$31:$K$76, MATCH(AI718, Country!$O$31:$O$76, 0), 1)</f>
        <v>Borrowers</v>
      </c>
      <c r="D718" s="4" t="str">
        <f t="shared" si="526"/>
        <v>Bahamas</v>
      </c>
      <c r="E718" s="47">
        <v>0</v>
      </c>
      <c r="F718" s="47">
        <v>0</v>
      </c>
      <c r="G718" s="47">
        <v>0</v>
      </c>
      <c r="H718" s="47">
        <v>0</v>
      </c>
      <c r="I718" s="47">
        <v>0</v>
      </c>
      <c r="J718" s="47">
        <v>0</v>
      </c>
      <c r="K718" s="45">
        <v>0</v>
      </c>
      <c r="L718" s="457">
        <f t="shared" si="581"/>
        <v>0</v>
      </c>
      <c r="M718" s="458">
        <f t="shared" si="582"/>
        <v>0</v>
      </c>
      <c r="N718" s="458">
        <f t="shared" si="583"/>
        <v>0</v>
      </c>
      <c r="O718" s="458">
        <f t="shared" si="584"/>
        <v>0</v>
      </c>
      <c r="P718" s="458">
        <f t="shared" si="585"/>
        <v>0</v>
      </c>
      <c r="Q718" s="458">
        <f t="shared" si="586"/>
        <v>0</v>
      </c>
      <c r="R718" s="459">
        <f t="shared" si="587"/>
        <v>0</v>
      </c>
      <c r="S718" s="455"/>
      <c r="T718" s="456"/>
      <c r="U718" s="456"/>
      <c r="V718" s="456"/>
      <c r="W718" s="456"/>
      <c r="X718" s="456"/>
      <c r="Y718" s="456"/>
      <c r="Z718" s="421">
        <f>IFERROR(E718/Levelisation!F1442, 0)</f>
        <v>0</v>
      </c>
      <c r="AA718" s="471">
        <f>IFERROR(F718/Levelisation!G1442, 0)</f>
        <v>0</v>
      </c>
      <c r="AB718" s="471">
        <f>IFERROR(G718/Levelisation!H1442, 0)</f>
        <v>0</v>
      </c>
      <c r="AC718" s="5">
        <f>IFERROR(H718/Levelisation!I1442, 0)</f>
        <v>0</v>
      </c>
      <c r="AD718" s="5">
        <f>IFERROR(I718/Levelisation!J1442, 0)</f>
        <v>0</v>
      </c>
      <c r="AE718" s="5">
        <f>IFERROR(J718/Levelisation!J1442, 0)</f>
        <v>0</v>
      </c>
      <c r="AF718" s="6">
        <f>IFERROR(K718/Levelisation!L1442, 0)</f>
        <v>0</v>
      </c>
      <c r="AG718" s="33" t="str">
        <f t="shared" si="525"/>
        <v>2.11 &gt; Bahamas</v>
      </c>
      <c r="AH718" s="84">
        <f t="shared" si="527"/>
        <v>704</v>
      </c>
      <c r="AI718" s="84">
        <f t="shared" si="528"/>
        <v>27</v>
      </c>
      <c r="AJ718" s="877" t="s">
        <v>1526</v>
      </c>
    </row>
    <row r="719" spans="1:36" x14ac:dyDescent="0.2">
      <c r="A719" s="492">
        <f>INDEX(Country!$F$31:$G$76, MATCH(AI719, Country!$O$31:$O$76, 0), 1)</f>
        <v>2.1099999999999977</v>
      </c>
      <c r="B719" s="2" t="str">
        <f>INDEX(Country!$F$31:$G$76, MATCH(AI719, Country!$O$31:$O$76, 0), 2)</f>
        <v>Green micro-borrowers</v>
      </c>
      <c r="C719" s="436" t="str">
        <f>INDEX(Country!$K$31:$K$76, MATCH(AI719, Country!$O$31:$O$76, 0), 1)</f>
        <v>Borrowers</v>
      </c>
      <c r="D719" s="4" t="str">
        <f t="shared" si="526"/>
        <v>Barbados</v>
      </c>
      <c r="E719" s="47">
        <v>0</v>
      </c>
      <c r="F719" s="47">
        <v>0</v>
      </c>
      <c r="G719" s="47">
        <v>0</v>
      </c>
      <c r="H719" s="47">
        <v>0</v>
      </c>
      <c r="I719" s="47">
        <v>0</v>
      </c>
      <c r="J719" s="47">
        <v>0</v>
      </c>
      <c r="K719" s="45">
        <v>0</v>
      </c>
      <c r="L719" s="457">
        <f t="shared" si="581"/>
        <v>0</v>
      </c>
      <c r="M719" s="458">
        <f t="shared" si="582"/>
        <v>0</v>
      </c>
      <c r="N719" s="458">
        <f t="shared" si="583"/>
        <v>0</v>
      </c>
      <c r="O719" s="458">
        <f t="shared" si="584"/>
        <v>0</v>
      </c>
      <c r="P719" s="458">
        <f t="shared" si="585"/>
        <v>0</v>
      </c>
      <c r="Q719" s="458">
        <f t="shared" si="586"/>
        <v>0</v>
      </c>
      <c r="R719" s="459">
        <f t="shared" si="587"/>
        <v>0</v>
      </c>
      <c r="S719" s="455"/>
      <c r="T719" s="456"/>
      <c r="U719" s="456"/>
      <c r="V719" s="456"/>
      <c r="W719" s="456"/>
      <c r="X719" s="456"/>
      <c r="Y719" s="456"/>
      <c r="Z719" s="421">
        <f>IFERROR(E719/Levelisation!F1443, 0)</f>
        <v>0</v>
      </c>
      <c r="AA719" s="471">
        <f>IFERROR(F719/Levelisation!G1443, 0)</f>
        <v>0</v>
      </c>
      <c r="AB719" s="471">
        <f>IFERROR(G719/Levelisation!H1443, 0)</f>
        <v>0</v>
      </c>
      <c r="AC719" s="5">
        <f>IFERROR(H719/Levelisation!I1443, 0)</f>
        <v>0</v>
      </c>
      <c r="AD719" s="5">
        <f>IFERROR(I719/Levelisation!J1443, 0)</f>
        <v>0</v>
      </c>
      <c r="AE719" s="5">
        <f>IFERROR(J719/Levelisation!J1443, 0)</f>
        <v>0</v>
      </c>
      <c r="AF719" s="6">
        <f>IFERROR(K719/Levelisation!L1443, 0)</f>
        <v>0</v>
      </c>
      <c r="AG719" s="33" t="str">
        <f t="shared" ref="AG719:AG782" si="588">A719&amp;" &gt; " &amp;D719</f>
        <v>2.11 &gt; Barbados</v>
      </c>
      <c r="AH719" s="84">
        <f t="shared" si="527"/>
        <v>705</v>
      </c>
      <c r="AI719" s="84">
        <f t="shared" si="528"/>
        <v>27</v>
      </c>
      <c r="AJ719" s="877" t="s">
        <v>1526</v>
      </c>
    </row>
    <row r="720" spans="1:36" x14ac:dyDescent="0.2">
      <c r="A720" s="492">
        <f>INDEX(Country!$F$31:$G$76, MATCH(AI720, Country!$O$31:$O$76, 0), 1)</f>
        <v>2.1099999999999977</v>
      </c>
      <c r="B720" s="2" t="str">
        <f>INDEX(Country!$F$31:$G$76, MATCH(AI720, Country!$O$31:$O$76, 0), 2)</f>
        <v>Green micro-borrowers</v>
      </c>
      <c r="C720" s="436" t="str">
        <f>INDEX(Country!$K$31:$K$76, MATCH(AI720, Country!$O$31:$O$76, 0), 1)</f>
        <v>Borrowers</v>
      </c>
      <c r="D720" s="4" t="str">
        <f t="shared" ref="D720:D783" si="589">D693</f>
        <v>Belize</v>
      </c>
      <c r="E720" s="47">
        <v>0</v>
      </c>
      <c r="F720" s="47">
        <v>0</v>
      </c>
      <c r="G720" s="47">
        <v>0</v>
      </c>
      <c r="H720" s="47">
        <v>0</v>
      </c>
      <c r="I720" s="47">
        <v>0</v>
      </c>
      <c r="J720" s="47">
        <v>0</v>
      </c>
      <c r="K720" s="45">
        <v>0</v>
      </c>
      <c r="L720" s="457">
        <f t="shared" si="581"/>
        <v>0</v>
      </c>
      <c r="M720" s="458">
        <f t="shared" si="582"/>
        <v>0</v>
      </c>
      <c r="N720" s="458">
        <f t="shared" si="583"/>
        <v>0</v>
      </c>
      <c r="O720" s="458">
        <f t="shared" si="584"/>
        <v>0</v>
      </c>
      <c r="P720" s="458">
        <f t="shared" si="585"/>
        <v>0</v>
      </c>
      <c r="Q720" s="458">
        <f t="shared" si="586"/>
        <v>0</v>
      </c>
      <c r="R720" s="459">
        <f t="shared" si="587"/>
        <v>0</v>
      </c>
      <c r="S720" s="455"/>
      <c r="T720" s="456"/>
      <c r="U720" s="456"/>
      <c r="V720" s="456"/>
      <c r="W720" s="456"/>
      <c r="X720" s="456"/>
      <c r="Y720" s="456"/>
      <c r="Z720" s="421">
        <f>IFERROR(E720/Levelisation!F1444, 0)</f>
        <v>0</v>
      </c>
      <c r="AA720" s="471">
        <f>IFERROR(F720/Levelisation!G1444, 0)</f>
        <v>0</v>
      </c>
      <c r="AB720" s="471">
        <f>IFERROR(G720/Levelisation!H1444, 0)</f>
        <v>0</v>
      </c>
      <c r="AC720" s="5">
        <f>IFERROR(H720/Levelisation!I1444, 0)</f>
        <v>0</v>
      </c>
      <c r="AD720" s="5">
        <f>IFERROR(I720/Levelisation!J1444, 0)</f>
        <v>0</v>
      </c>
      <c r="AE720" s="5">
        <f>IFERROR(J720/Levelisation!J1444, 0)</f>
        <v>0</v>
      </c>
      <c r="AF720" s="6">
        <f>IFERROR(K720/Levelisation!L1444, 0)</f>
        <v>0</v>
      </c>
      <c r="AG720" s="33" t="str">
        <f t="shared" si="588"/>
        <v>2.11 &gt; Belize</v>
      </c>
      <c r="AH720" s="84">
        <f t="shared" si="527"/>
        <v>706</v>
      </c>
      <c r="AI720" s="84">
        <f t="shared" si="528"/>
        <v>27</v>
      </c>
      <c r="AJ720" s="877" t="s">
        <v>1526</v>
      </c>
    </row>
    <row r="721" spans="1:36" x14ac:dyDescent="0.2">
      <c r="A721" s="492">
        <f>INDEX(Country!$F$31:$G$76, MATCH(AI721, Country!$O$31:$O$76, 0), 1)</f>
        <v>2.1099999999999977</v>
      </c>
      <c r="B721" s="2" t="str">
        <f>INDEX(Country!$F$31:$G$76, MATCH(AI721, Country!$O$31:$O$76, 0), 2)</f>
        <v>Green micro-borrowers</v>
      </c>
      <c r="C721" s="436" t="str">
        <f>INDEX(Country!$K$31:$K$76, MATCH(AI721, Country!$O$31:$O$76, 0), 1)</f>
        <v>Borrowers</v>
      </c>
      <c r="D721" s="4" t="str">
        <f t="shared" si="589"/>
        <v>Bolivia</v>
      </c>
      <c r="E721" s="47">
        <v>1582</v>
      </c>
      <c r="F721" s="47">
        <v>1582</v>
      </c>
      <c r="G721" s="47">
        <v>1582</v>
      </c>
      <c r="H721" s="47">
        <v>1582</v>
      </c>
      <c r="I721" s="47">
        <v>1582</v>
      </c>
      <c r="J721" s="47">
        <v>1582</v>
      </c>
      <c r="K721" s="45">
        <v>572</v>
      </c>
      <c r="L721" s="457">
        <f t="shared" si="581"/>
        <v>26.018445878017349</v>
      </c>
      <c r="M721" s="458">
        <f t="shared" si="582"/>
        <v>25.678879808757337</v>
      </c>
      <c r="N721" s="458">
        <f t="shared" si="583"/>
        <v>25.499237282291439</v>
      </c>
      <c r="O721" s="458">
        <f t="shared" si="584"/>
        <v>25.324690895203513</v>
      </c>
      <c r="P721" s="458">
        <f t="shared" si="585"/>
        <v>25.139520674465707</v>
      </c>
      <c r="Q721" s="458">
        <f t="shared" si="586"/>
        <v>25.139520674465707</v>
      </c>
      <c r="R721" s="459">
        <f t="shared" si="587"/>
        <v>12.782953410360005</v>
      </c>
      <c r="S721" s="455"/>
      <c r="T721" s="456"/>
      <c r="U721" s="456"/>
      <c r="V721" s="456"/>
      <c r="W721" s="456"/>
      <c r="X721" s="456"/>
      <c r="Y721" s="456"/>
      <c r="Z721" s="421">
        <f>IFERROR(E721/Levelisation!F1445, 0)</f>
        <v>164.32948997610885</v>
      </c>
      <c r="AA721" s="471">
        <f>IFERROR(F721/Levelisation!G1445, 0)</f>
        <v>160.96866096866097</v>
      </c>
      <c r="AB721" s="471">
        <f>IFERROR(G721/Levelisation!H1445, 0)</f>
        <v>157.75827682489029</v>
      </c>
      <c r="AC721" s="5">
        <f>IFERROR(H721/Levelisation!I1445, 0)</f>
        <v>154.68856947296371</v>
      </c>
      <c r="AD721" s="5">
        <f>IFERROR(I721/Levelisation!J1445, 0)</f>
        <v>151.73604450412429</v>
      </c>
      <c r="AE721" s="5">
        <f>IFERROR(J721/Levelisation!J1445, 0)</f>
        <v>151.73604450412429</v>
      </c>
      <c r="AF721" s="6">
        <f>IFERROR(K721/Levelisation!L1445, 0)</f>
        <v>52.81137475764011</v>
      </c>
      <c r="AG721" s="33" t="str">
        <f t="shared" si="588"/>
        <v>2.11 &gt; Bolivia</v>
      </c>
      <c r="AH721" s="84">
        <f t="shared" ref="AH721:AH784" si="590">AH720+1</f>
        <v>707</v>
      </c>
      <c r="AI721" s="84">
        <f t="shared" ref="AI721:AI784" si="591">ROUNDUP(AH721/COUNTA($D$15:$D$41),0)</f>
        <v>27</v>
      </c>
      <c r="AJ721" s="877" t="s">
        <v>1526</v>
      </c>
    </row>
    <row r="722" spans="1:36" x14ac:dyDescent="0.2">
      <c r="A722" s="492">
        <f>INDEX(Country!$F$31:$G$76, MATCH(AI722, Country!$O$31:$O$76, 0), 1)</f>
        <v>2.1099999999999977</v>
      </c>
      <c r="B722" s="2" t="str">
        <f>INDEX(Country!$F$31:$G$76, MATCH(AI722, Country!$O$31:$O$76, 0), 2)</f>
        <v>Green micro-borrowers</v>
      </c>
      <c r="C722" s="436" t="str">
        <f>INDEX(Country!$K$31:$K$76, MATCH(AI722, Country!$O$31:$O$76, 0), 1)</f>
        <v>Borrowers</v>
      </c>
      <c r="D722" s="4" t="str">
        <f t="shared" si="589"/>
        <v>Brazil</v>
      </c>
      <c r="E722" s="47">
        <v>33708</v>
      </c>
      <c r="F722" s="47">
        <v>33708</v>
      </c>
      <c r="G722" s="47">
        <v>33708</v>
      </c>
      <c r="H722" s="47">
        <v>33708</v>
      </c>
      <c r="I722" s="47">
        <v>33708</v>
      </c>
      <c r="J722" s="47">
        <v>33708</v>
      </c>
      <c r="K722" s="45">
        <v>2</v>
      </c>
      <c r="L722" s="457">
        <f t="shared" si="581"/>
        <v>28.394747732491393</v>
      </c>
      <c r="M722" s="458">
        <f t="shared" si="582"/>
        <v>28.331925864764365</v>
      </c>
      <c r="N722" s="458">
        <f t="shared" si="583"/>
        <v>28.444724806797801</v>
      </c>
      <c r="O722" s="458">
        <f t="shared" si="584"/>
        <v>28.556577404564109</v>
      </c>
      <c r="P722" s="458">
        <f t="shared" si="585"/>
        <v>28.647363797877148</v>
      </c>
      <c r="Q722" s="458">
        <f t="shared" si="586"/>
        <v>28.647363797877148</v>
      </c>
      <c r="R722" s="459">
        <f t="shared" si="587"/>
        <v>2.4404922886341897E-3</v>
      </c>
      <c r="S722" s="455"/>
      <c r="T722" s="456"/>
      <c r="U722" s="456"/>
      <c r="V722" s="456"/>
      <c r="W722" s="456"/>
      <c r="X722" s="456"/>
      <c r="Y722" s="456"/>
      <c r="Z722" s="421">
        <f>IFERROR(E722/Levelisation!F1446, 0)</f>
        <v>179.33793719873589</v>
      </c>
      <c r="AA722" s="471">
        <f>IFERROR(F722/Levelisation!G1446, 0)</f>
        <v>177.59934245882465</v>
      </c>
      <c r="AB722" s="471">
        <f>IFERROR(G722/Levelisation!H1446, 0)</f>
        <v>175.98137232892876</v>
      </c>
      <c r="AC722" s="5">
        <f>IFERROR(H722/Levelisation!I1446, 0)</f>
        <v>174.42961598368925</v>
      </c>
      <c r="AD722" s="5">
        <f>IFERROR(I722/Levelisation!J1446, 0)</f>
        <v>172.90853411440031</v>
      </c>
      <c r="AE722" s="5">
        <f>IFERROR(J722/Levelisation!J1446, 0)</f>
        <v>172.90853411440031</v>
      </c>
      <c r="AF722" s="6">
        <f>IFERROR(K722/Levelisation!L1446, 0)</f>
        <v>1.0082627129324817E-2</v>
      </c>
      <c r="AG722" s="33" t="str">
        <f t="shared" si="588"/>
        <v>2.11 &gt; Brazil</v>
      </c>
      <c r="AH722" s="84">
        <f t="shared" si="590"/>
        <v>708</v>
      </c>
      <c r="AI722" s="84">
        <f t="shared" si="591"/>
        <v>27</v>
      </c>
      <c r="AJ722" s="877" t="s">
        <v>1526</v>
      </c>
    </row>
    <row r="723" spans="1:36" x14ac:dyDescent="0.2">
      <c r="A723" s="492">
        <f>INDEX(Country!$F$31:$G$76, MATCH(AI723, Country!$O$31:$O$76, 0), 1)</f>
        <v>2.1099999999999977</v>
      </c>
      <c r="B723" s="2" t="str">
        <f>INDEX(Country!$F$31:$G$76, MATCH(AI723, Country!$O$31:$O$76, 0), 2)</f>
        <v>Green micro-borrowers</v>
      </c>
      <c r="C723" s="436" t="str">
        <f>INDEX(Country!$K$31:$K$76, MATCH(AI723, Country!$O$31:$O$76, 0), 1)</f>
        <v>Borrowers</v>
      </c>
      <c r="D723" s="4" t="str">
        <f t="shared" si="589"/>
        <v>Chile</v>
      </c>
      <c r="E723" s="47">
        <v>0</v>
      </c>
      <c r="F723" s="47">
        <v>0</v>
      </c>
      <c r="G723" s="47">
        <v>0</v>
      </c>
      <c r="H723" s="47">
        <v>0</v>
      </c>
      <c r="I723" s="47">
        <v>0</v>
      </c>
      <c r="J723" s="47">
        <v>0</v>
      </c>
      <c r="K723" s="45">
        <v>3000</v>
      </c>
      <c r="L723" s="457">
        <f t="shared" si="581"/>
        <v>0</v>
      </c>
      <c r="M723" s="458">
        <f t="shared" si="582"/>
        <v>0</v>
      </c>
      <c r="N723" s="458">
        <f t="shared" si="583"/>
        <v>0</v>
      </c>
      <c r="O723" s="458">
        <f t="shared" si="584"/>
        <v>0</v>
      </c>
      <c r="P723" s="458">
        <f t="shared" si="585"/>
        <v>0</v>
      </c>
      <c r="Q723" s="458">
        <f t="shared" si="586"/>
        <v>0</v>
      </c>
      <c r="R723" s="459">
        <f t="shared" si="587"/>
        <v>41.725434482482896</v>
      </c>
      <c r="S723" s="455"/>
      <c r="T723" s="456"/>
      <c r="U723" s="456"/>
      <c r="V723" s="456"/>
      <c r="W723" s="456"/>
      <c r="X723" s="456"/>
      <c r="Y723" s="456"/>
      <c r="Z723" s="421">
        <f>IFERROR(E723/Levelisation!F1447, 0)</f>
        <v>0</v>
      </c>
      <c r="AA723" s="471">
        <f>IFERROR(F723/Levelisation!G1447, 0)</f>
        <v>0</v>
      </c>
      <c r="AB723" s="471">
        <f>IFERROR(G723/Levelisation!H1447, 0)</f>
        <v>0</v>
      </c>
      <c r="AC723" s="5">
        <f>IFERROR(H723/Levelisation!I1447, 0)</f>
        <v>0</v>
      </c>
      <c r="AD723" s="5">
        <f>IFERROR(I723/Levelisation!J1447, 0)</f>
        <v>0</v>
      </c>
      <c r="AE723" s="5">
        <f>IFERROR(J723/Levelisation!J1447, 0)</f>
        <v>0</v>
      </c>
      <c r="AF723" s="6">
        <f>IFERROR(K723/Levelisation!L1447, 0)</f>
        <v>172.38407171177386</v>
      </c>
      <c r="AG723" s="33" t="str">
        <f t="shared" si="588"/>
        <v>2.11 &gt; Chile</v>
      </c>
      <c r="AH723" s="84">
        <f t="shared" si="590"/>
        <v>709</v>
      </c>
      <c r="AI723" s="84">
        <f t="shared" si="591"/>
        <v>27</v>
      </c>
      <c r="AJ723" s="877" t="s">
        <v>1526</v>
      </c>
    </row>
    <row r="724" spans="1:36" x14ac:dyDescent="0.2">
      <c r="A724" s="492">
        <f>INDEX(Country!$F$31:$G$76, MATCH(AI724, Country!$O$31:$O$76, 0), 1)</f>
        <v>2.1099999999999977</v>
      </c>
      <c r="B724" s="2" t="str">
        <f>INDEX(Country!$F$31:$G$76, MATCH(AI724, Country!$O$31:$O$76, 0), 2)</f>
        <v>Green micro-borrowers</v>
      </c>
      <c r="C724" s="436" t="str">
        <f>INDEX(Country!$K$31:$K$76, MATCH(AI724, Country!$O$31:$O$76, 0), 1)</f>
        <v>Borrowers</v>
      </c>
      <c r="D724" s="4" t="str">
        <f t="shared" si="589"/>
        <v>Colombia</v>
      </c>
      <c r="E724" s="47">
        <v>0</v>
      </c>
      <c r="F724" s="47">
        <v>0</v>
      </c>
      <c r="G724" s="47">
        <v>0</v>
      </c>
      <c r="H724" s="47">
        <v>0</v>
      </c>
      <c r="I724" s="47">
        <v>0</v>
      </c>
      <c r="J724" s="47">
        <v>0</v>
      </c>
      <c r="K724" s="45">
        <v>0</v>
      </c>
      <c r="L724" s="457">
        <f t="shared" si="581"/>
        <v>0</v>
      </c>
      <c r="M724" s="458">
        <f t="shared" si="582"/>
        <v>0</v>
      </c>
      <c r="N724" s="458">
        <f t="shared" si="583"/>
        <v>0</v>
      </c>
      <c r="O724" s="458">
        <f t="shared" si="584"/>
        <v>0</v>
      </c>
      <c r="P724" s="458">
        <f t="shared" si="585"/>
        <v>0</v>
      </c>
      <c r="Q724" s="458">
        <f t="shared" si="586"/>
        <v>0</v>
      </c>
      <c r="R724" s="459">
        <f t="shared" si="587"/>
        <v>0</v>
      </c>
      <c r="S724" s="455"/>
      <c r="T724" s="456"/>
      <c r="U724" s="456"/>
      <c r="V724" s="456"/>
      <c r="W724" s="456"/>
      <c r="X724" s="456"/>
      <c r="Y724" s="456"/>
      <c r="Z724" s="421">
        <f>IFERROR(E724/Levelisation!F1448, 0)</f>
        <v>0</v>
      </c>
      <c r="AA724" s="471">
        <f>IFERROR(F724/Levelisation!G1448, 0)</f>
        <v>0</v>
      </c>
      <c r="AB724" s="471">
        <f>IFERROR(G724/Levelisation!H1448, 0)</f>
        <v>0</v>
      </c>
      <c r="AC724" s="5">
        <f>IFERROR(H724/Levelisation!I1448, 0)</f>
        <v>0</v>
      </c>
      <c r="AD724" s="5">
        <f>IFERROR(I724/Levelisation!J1448, 0)</f>
        <v>0</v>
      </c>
      <c r="AE724" s="5">
        <f>IFERROR(J724/Levelisation!J1448, 0)</f>
        <v>0</v>
      </c>
      <c r="AF724" s="6">
        <f>IFERROR(K724/Levelisation!L1448, 0)</f>
        <v>0</v>
      </c>
      <c r="AG724" s="33" t="str">
        <f t="shared" si="588"/>
        <v>2.11 &gt; Colombia</v>
      </c>
      <c r="AH724" s="84">
        <f t="shared" si="590"/>
        <v>710</v>
      </c>
      <c r="AI724" s="84">
        <f t="shared" si="591"/>
        <v>27</v>
      </c>
      <c r="AJ724" s="877" t="s">
        <v>1526</v>
      </c>
    </row>
    <row r="725" spans="1:36" x14ac:dyDescent="0.2">
      <c r="A725" s="492">
        <f>INDEX(Country!$F$31:$G$76, MATCH(AI725, Country!$O$31:$O$76, 0), 1)</f>
        <v>2.1099999999999977</v>
      </c>
      <c r="B725" s="2" t="str">
        <f>INDEX(Country!$F$31:$G$76, MATCH(AI725, Country!$O$31:$O$76, 0), 2)</f>
        <v>Green micro-borrowers</v>
      </c>
      <c r="C725" s="436" t="str">
        <f>INDEX(Country!$K$31:$K$76, MATCH(AI725, Country!$O$31:$O$76, 0), 1)</f>
        <v>Borrowers</v>
      </c>
      <c r="D725" s="4" t="str">
        <f t="shared" si="589"/>
        <v>Costa Rica</v>
      </c>
      <c r="E725" s="47">
        <v>0</v>
      </c>
      <c r="F725" s="47">
        <v>0</v>
      </c>
      <c r="G725" s="47">
        <v>0</v>
      </c>
      <c r="H725" s="47">
        <v>0</v>
      </c>
      <c r="I725" s="47">
        <v>0</v>
      </c>
      <c r="J725" s="47">
        <v>0</v>
      </c>
      <c r="K725" s="45">
        <v>82</v>
      </c>
      <c r="L725" s="457">
        <f t="shared" si="581"/>
        <v>0</v>
      </c>
      <c r="M725" s="458">
        <f t="shared" si="582"/>
        <v>0</v>
      </c>
      <c r="N725" s="458">
        <f t="shared" si="583"/>
        <v>0</v>
      </c>
      <c r="O725" s="458">
        <f t="shared" si="584"/>
        <v>0</v>
      </c>
      <c r="P725" s="458">
        <f t="shared" si="585"/>
        <v>0</v>
      </c>
      <c r="Q725" s="458">
        <f t="shared" si="586"/>
        <v>0</v>
      </c>
      <c r="R725" s="459">
        <f t="shared" si="587"/>
        <v>4.2537587067073348</v>
      </c>
      <c r="S725" s="455"/>
      <c r="T725" s="456"/>
      <c r="U725" s="456"/>
      <c r="V725" s="456"/>
      <c r="W725" s="456"/>
      <c r="X725" s="456"/>
      <c r="Y725" s="456"/>
      <c r="Z725" s="421">
        <f>IFERROR(E725/Levelisation!F1449, 0)</f>
        <v>0</v>
      </c>
      <c r="AA725" s="471">
        <f>IFERROR(F725/Levelisation!G1449, 0)</f>
        <v>0</v>
      </c>
      <c r="AB725" s="471">
        <f>IFERROR(G725/Levelisation!H1449, 0)</f>
        <v>0</v>
      </c>
      <c r="AC725" s="5">
        <f>IFERROR(H725/Levelisation!I1449, 0)</f>
        <v>0</v>
      </c>
      <c r="AD725" s="5">
        <f>IFERROR(I725/Levelisation!J1449, 0)</f>
        <v>0</v>
      </c>
      <c r="AE725" s="5">
        <f>IFERROR(J725/Levelisation!J1449, 0)</f>
        <v>0</v>
      </c>
      <c r="AF725" s="6">
        <f>IFERROR(K725/Levelisation!L1449, 0)</f>
        <v>17.573939134162021</v>
      </c>
      <c r="AG725" s="33" t="str">
        <f t="shared" si="588"/>
        <v>2.11 &gt; Costa Rica</v>
      </c>
      <c r="AH725" s="84">
        <f t="shared" si="590"/>
        <v>711</v>
      </c>
      <c r="AI725" s="84">
        <f t="shared" si="591"/>
        <v>27</v>
      </c>
      <c r="AJ725" s="877" t="s">
        <v>1526</v>
      </c>
    </row>
    <row r="726" spans="1:36" x14ac:dyDescent="0.2">
      <c r="A726" s="492">
        <f>INDEX(Country!$F$31:$G$76, MATCH(AI726, Country!$O$31:$O$76, 0), 1)</f>
        <v>2.1099999999999977</v>
      </c>
      <c r="B726" s="2" t="str">
        <f>INDEX(Country!$F$31:$G$76, MATCH(AI726, Country!$O$31:$O$76, 0), 2)</f>
        <v>Green micro-borrowers</v>
      </c>
      <c r="C726" s="436" t="str">
        <f>INDEX(Country!$K$31:$K$76, MATCH(AI726, Country!$O$31:$O$76, 0), 1)</f>
        <v>Borrowers</v>
      </c>
      <c r="D726" s="4" t="str">
        <f t="shared" si="589"/>
        <v>Dominican Republic</v>
      </c>
      <c r="E726" s="47">
        <v>0</v>
      </c>
      <c r="F726" s="47">
        <v>0</v>
      </c>
      <c r="G726" s="47">
        <v>0</v>
      </c>
      <c r="H726" s="47">
        <v>0</v>
      </c>
      <c r="I726" s="47">
        <v>0</v>
      </c>
      <c r="J726" s="47">
        <v>0</v>
      </c>
      <c r="K726" s="45">
        <v>243</v>
      </c>
      <c r="L726" s="457">
        <f t="shared" si="581"/>
        <v>0</v>
      </c>
      <c r="M726" s="458">
        <f t="shared" si="582"/>
        <v>0</v>
      </c>
      <c r="N726" s="458">
        <f t="shared" si="583"/>
        <v>0</v>
      </c>
      <c r="O726" s="458">
        <f t="shared" si="584"/>
        <v>0</v>
      </c>
      <c r="P726" s="458">
        <f t="shared" si="585"/>
        <v>0</v>
      </c>
      <c r="Q726" s="458">
        <f t="shared" si="586"/>
        <v>0</v>
      </c>
      <c r="R726" s="459">
        <f t="shared" si="587"/>
        <v>5.7456253433809348</v>
      </c>
      <c r="S726" s="455"/>
      <c r="T726" s="456"/>
      <c r="U726" s="456"/>
      <c r="V726" s="456"/>
      <c r="W726" s="456"/>
      <c r="X726" s="456"/>
      <c r="Y726" s="456"/>
      <c r="Z726" s="421">
        <f>IFERROR(E726/Levelisation!F1450, 0)</f>
        <v>0</v>
      </c>
      <c r="AA726" s="471">
        <f>IFERROR(F726/Levelisation!G1450, 0)</f>
        <v>0</v>
      </c>
      <c r="AB726" s="471">
        <f>IFERROR(G726/Levelisation!H1450, 0)</f>
        <v>0</v>
      </c>
      <c r="AC726" s="5">
        <f>IFERROR(H726/Levelisation!I1450, 0)</f>
        <v>0</v>
      </c>
      <c r="AD726" s="5">
        <f>IFERROR(I726/Levelisation!J1450, 0)</f>
        <v>0</v>
      </c>
      <c r="AE726" s="5">
        <f>IFERROR(J726/Levelisation!J1450, 0)</f>
        <v>0</v>
      </c>
      <c r="AF726" s="6">
        <f>IFERROR(K726/Levelisation!L1450, 0)</f>
        <v>23.737423073165967</v>
      </c>
      <c r="AG726" s="33" t="str">
        <f t="shared" si="588"/>
        <v>2.11 &gt; Dominican Republic</v>
      </c>
      <c r="AH726" s="84">
        <f t="shared" si="590"/>
        <v>712</v>
      </c>
      <c r="AI726" s="84">
        <f t="shared" si="591"/>
        <v>27</v>
      </c>
      <c r="AJ726" s="877" t="s">
        <v>1526</v>
      </c>
    </row>
    <row r="727" spans="1:36" x14ac:dyDescent="0.2">
      <c r="A727" s="492">
        <f>INDEX(Country!$F$31:$G$76, MATCH(AI727, Country!$O$31:$O$76, 0), 1)</f>
        <v>2.1099999999999977</v>
      </c>
      <c r="B727" s="2" t="str">
        <f>INDEX(Country!$F$31:$G$76, MATCH(AI727, Country!$O$31:$O$76, 0), 2)</f>
        <v>Green micro-borrowers</v>
      </c>
      <c r="C727" s="436" t="str">
        <f>INDEX(Country!$K$31:$K$76, MATCH(AI727, Country!$O$31:$O$76, 0), 1)</f>
        <v>Borrowers</v>
      </c>
      <c r="D727" s="4" t="str">
        <f t="shared" si="589"/>
        <v>Ecuador</v>
      </c>
      <c r="E727" s="47">
        <v>0</v>
      </c>
      <c r="F727" s="47">
        <v>0</v>
      </c>
      <c r="G727" s="47">
        <v>0</v>
      </c>
      <c r="H727" s="47">
        <v>0</v>
      </c>
      <c r="I727" s="47">
        <v>0</v>
      </c>
      <c r="J727" s="47">
        <v>0</v>
      </c>
      <c r="K727" s="45">
        <v>101</v>
      </c>
      <c r="L727" s="457">
        <f t="shared" si="581"/>
        <v>0</v>
      </c>
      <c r="M727" s="458">
        <f t="shared" si="582"/>
        <v>0</v>
      </c>
      <c r="N727" s="458">
        <f t="shared" si="583"/>
        <v>0</v>
      </c>
      <c r="O727" s="458">
        <f t="shared" si="584"/>
        <v>0</v>
      </c>
      <c r="P727" s="458">
        <f t="shared" si="585"/>
        <v>0</v>
      </c>
      <c r="Q727" s="458">
        <f t="shared" si="586"/>
        <v>0</v>
      </c>
      <c r="R727" s="459">
        <f t="shared" si="587"/>
        <v>1.6042374032890088</v>
      </c>
      <c r="S727" s="455"/>
      <c r="T727" s="456"/>
      <c r="U727" s="456"/>
      <c r="V727" s="456"/>
      <c r="W727" s="456"/>
      <c r="X727" s="456"/>
      <c r="Y727" s="456"/>
      <c r="Z727" s="421">
        <f>IFERROR(E727/Levelisation!F1451, 0)</f>
        <v>0</v>
      </c>
      <c r="AA727" s="471">
        <f>IFERROR(F727/Levelisation!G1451, 0)</f>
        <v>0</v>
      </c>
      <c r="AB727" s="471">
        <f>IFERROR(G727/Levelisation!H1451, 0)</f>
        <v>0</v>
      </c>
      <c r="AC727" s="5">
        <f>IFERROR(H727/Levelisation!I1451, 0)</f>
        <v>0</v>
      </c>
      <c r="AD727" s="5">
        <f>IFERROR(I727/Levelisation!J1451, 0)</f>
        <v>0</v>
      </c>
      <c r="AE727" s="5">
        <f>IFERROR(J727/Levelisation!J1451, 0)</f>
        <v>0</v>
      </c>
      <c r="AF727" s="6">
        <f>IFERROR(K727/Levelisation!L1451, 0)</f>
        <v>6.6277314784434669</v>
      </c>
      <c r="AG727" s="33" t="str">
        <f t="shared" si="588"/>
        <v>2.11 &gt; Ecuador</v>
      </c>
      <c r="AH727" s="84">
        <f t="shared" si="590"/>
        <v>713</v>
      </c>
      <c r="AI727" s="84">
        <f t="shared" si="591"/>
        <v>27</v>
      </c>
      <c r="AJ727" s="877" t="s">
        <v>1526</v>
      </c>
    </row>
    <row r="728" spans="1:36" x14ac:dyDescent="0.2">
      <c r="A728" s="492">
        <f>INDEX(Country!$F$31:$G$76, MATCH(AI728, Country!$O$31:$O$76, 0), 1)</f>
        <v>2.1099999999999977</v>
      </c>
      <c r="B728" s="2" t="str">
        <f>INDEX(Country!$F$31:$G$76, MATCH(AI728, Country!$O$31:$O$76, 0), 2)</f>
        <v>Green micro-borrowers</v>
      </c>
      <c r="C728" s="436" t="str">
        <f>INDEX(Country!$K$31:$K$76, MATCH(AI728, Country!$O$31:$O$76, 0), 1)</f>
        <v>Borrowers</v>
      </c>
      <c r="D728" s="4" t="str">
        <f t="shared" si="589"/>
        <v>El Salvador</v>
      </c>
      <c r="E728" s="47">
        <v>500</v>
      </c>
      <c r="F728" s="47">
        <v>500</v>
      </c>
      <c r="G728" s="47">
        <v>500</v>
      </c>
      <c r="H728" s="47">
        <v>500</v>
      </c>
      <c r="I728" s="47">
        <v>500</v>
      </c>
      <c r="J728" s="47">
        <v>500</v>
      </c>
      <c r="K728" s="45">
        <v>150</v>
      </c>
      <c r="L728" s="457">
        <f t="shared" si="581"/>
        <v>13.04208894897045</v>
      </c>
      <c r="M728" s="458">
        <f t="shared" si="582"/>
        <v>13.076000018676666</v>
      </c>
      <c r="N728" s="458">
        <f t="shared" si="583"/>
        <v>13.183920217187371</v>
      </c>
      <c r="O728" s="458">
        <f t="shared" si="584"/>
        <v>13.301433342833477</v>
      </c>
      <c r="P728" s="458">
        <f t="shared" si="585"/>
        <v>13.408813017848265</v>
      </c>
      <c r="Q728" s="458">
        <f t="shared" si="586"/>
        <v>13.408813017848265</v>
      </c>
      <c r="R728" s="459">
        <f t="shared" si="587"/>
        <v>5.8287665459837035</v>
      </c>
      <c r="S728" s="455"/>
      <c r="T728" s="456"/>
      <c r="U728" s="456"/>
      <c r="V728" s="456"/>
      <c r="W728" s="456"/>
      <c r="X728" s="456"/>
      <c r="Y728" s="456"/>
      <c r="Z728" s="421">
        <f>IFERROR(E728/Levelisation!F1452, 0)</f>
        <v>82.372322899505761</v>
      </c>
      <c r="AA728" s="471">
        <f>IFERROR(F728/Levelisation!G1452, 0)</f>
        <v>81.967213114754102</v>
      </c>
      <c r="AB728" s="471">
        <f>IFERROR(G728/Levelisation!H1452, 0)</f>
        <v>81.566068515497548</v>
      </c>
      <c r="AC728" s="5">
        <f>IFERROR(H728/Levelisation!I1452, 0)</f>
        <v>81.247968800779987</v>
      </c>
      <c r="AD728" s="5">
        <f>IFERROR(I728/Levelisation!J1452, 0)</f>
        <v>80.932340563289088</v>
      </c>
      <c r="AE728" s="5">
        <f>IFERROR(J728/Levelisation!J1452, 0)</f>
        <v>80.932340563289088</v>
      </c>
      <c r="AF728" s="6">
        <f>IFERROR(K728/Levelisation!L1452, 0)</f>
        <v>24.080911863862578</v>
      </c>
      <c r="AG728" s="33" t="str">
        <f t="shared" si="588"/>
        <v>2.11 &gt; El Salvador</v>
      </c>
      <c r="AH728" s="84">
        <f t="shared" si="590"/>
        <v>714</v>
      </c>
      <c r="AI728" s="84">
        <f t="shared" si="591"/>
        <v>27</v>
      </c>
      <c r="AJ728" s="877" t="s">
        <v>1526</v>
      </c>
    </row>
    <row r="729" spans="1:36" x14ac:dyDescent="0.2">
      <c r="A729" s="492">
        <f>INDEX(Country!$F$31:$G$76, MATCH(AI729, Country!$O$31:$O$76, 0), 1)</f>
        <v>2.1099999999999977</v>
      </c>
      <c r="B729" s="2" t="str">
        <f>INDEX(Country!$F$31:$G$76, MATCH(AI729, Country!$O$31:$O$76, 0), 2)</f>
        <v>Green micro-borrowers</v>
      </c>
      <c r="C729" s="436" t="str">
        <f>INDEX(Country!$K$31:$K$76, MATCH(AI729, Country!$O$31:$O$76, 0), 1)</f>
        <v>Borrowers</v>
      </c>
      <c r="D729" s="4" t="str">
        <f t="shared" si="589"/>
        <v>Guatemala</v>
      </c>
      <c r="E729" s="47">
        <v>0</v>
      </c>
      <c r="F729" s="47">
        <v>0</v>
      </c>
      <c r="G729" s="47">
        <v>0</v>
      </c>
      <c r="H729" s="47">
        <v>0</v>
      </c>
      <c r="I729" s="47">
        <v>0</v>
      </c>
      <c r="J729" s="47">
        <v>0</v>
      </c>
      <c r="K729" s="45">
        <v>820</v>
      </c>
      <c r="L729" s="457">
        <f t="shared" si="581"/>
        <v>0</v>
      </c>
      <c r="M729" s="458">
        <f t="shared" si="582"/>
        <v>0</v>
      </c>
      <c r="N729" s="458">
        <f t="shared" si="583"/>
        <v>0</v>
      </c>
      <c r="O729" s="458">
        <f t="shared" si="584"/>
        <v>0</v>
      </c>
      <c r="P729" s="458">
        <f t="shared" si="585"/>
        <v>0</v>
      </c>
      <c r="Q729" s="458">
        <f t="shared" si="586"/>
        <v>0</v>
      </c>
      <c r="R729" s="459">
        <f t="shared" si="587"/>
        <v>13.140045101288596</v>
      </c>
      <c r="S729" s="455"/>
      <c r="T729" s="456"/>
      <c r="U729" s="456"/>
      <c r="V729" s="456"/>
      <c r="W729" s="456"/>
      <c r="X729" s="456"/>
      <c r="Y729" s="456"/>
      <c r="Z729" s="421">
        <f>IFERROR(E729/Levelisation!F1453, 0)</f>
        <v>0</v>
      </c>
      <c r="AA729" s="471">
        <f>IFERROR(F729/Levelisation!G1453, 0)</f>
        <v>0</v>
      </c>
      <c r="AB729" s="471">
        <f>IFERROR(G729/Levelisation!H1453, 0)</f>
        <v>0</v>
      </c>
      <c r="AC729" s="5">
        <f>IFERROR(H729/Levelisation!I1453, 0)</f>
        <v>0</v>
      </c>
      <c r="AD729" s="5">
        <f>IFERROR(I729/Levelisation!J1453, 0)</f>
        <v>0</v>
      </c>
      <c r="AE729" s="5">
        <f>IFERROR(J729/Levelisation!J1453, 0)</f>
        <v>0</v>
      </c>
      <c r="AF729" s="6">
        <f>IFERROR(K729/Levelisation!L1453, 0)</f>
        <v>54.28666004634227</v>
      </c>
      <c r="AG729" s="33" t="str">
        <f t="shared" si="588"/>
        <v>2.11 &gt; Guatemala</v>
      </c>
      <c r="AH729" s="84">
        <f t="shared" si="590"/>
        <v>715</v>
      </c>
      <c r="AI729" s="84">
        <f t="shared" si="591"/>
        <v>27</v>
      </c>
      <c r="AJ729" s="877" t="s">
        <v>1526</v>
      </c>
    </row>
    <row r="730" spans="1:36" x14ac:dyDescent="0.2">
      <c r="A730" s="492">
        <f>INDEX(Country!$F$31:$G$76, MATCH(AI730, Country!$O$31:$O$76, 0), 1)</f>
        <v>2.1099999999999977</v>
      </c>
      <c r="B730" s="2" t="str">
        <f>INDEX(Country!$F$31:$G$76, MATCH(AI730, Country!$O$31:$O$76, 0), 2)</f>
        <v>Green micro-borrowers</v>
      </c>
      <c r="C730" s="436" t="str">
        <f>INDEX(Country!$K$31:$K$76, MATCH(AI730, Country!$O$31:$O$76, 0), 1)</f>
        <v>Borrowers</v>
      </c>
      <c r="D730" s="4" t="str">
        <f t="shared" si="589"/>
        <v>Guyana</v>
      </c>
      <c r="E730" s="47">
        <v>0</v>
      </c>
      <c r="F730" s="47">
        <v>0</v>
      </c>
      <c r="G730" s="47">
        <v>0</v>
      </c>
      <c r="H730" s="47">
        <v>0</v>
      </c>
      <c r="I730" s="47">
        <v>0</v>
      </c>
      <c r="J730" s="47">
        <v>0</v>
      </c>
      <c r="K730" s="45">
        <v>0</v>
      </c>
      <c r="L730" s="457">
        <f t="shared" si="581"/>
        <v>0</v>
      </c>
      <c r="M730" s="458">
        <f t="shared" si="582"/>
        <v>0</v>
      </c>
      <c r="N730" s="458">
        <f t="shared" si="583"/>
        <v>0</v>
      </c>
      <c r="O730" s="458">
        <f t="shared" si="584"/>
        <v>0</v>
      </c>
      <c r="P730" s="458">
        <f t="shared" si="585"/>
        <v>0</v>
      </c>
      <c r="Q730" s="458">
        <f t="shared" si="586"/>
        <v>0</v>
      </c>
      <c r="R730" s="459">
        <f t="shared" si="587"/>
        <v>0</v>
      </c>
      <c r="S730" s="455"/>
      <c r="T730" s="456"/>
      <c r="U730" s="456"/>
      <c r="V730" s="456"/>
      <c r="W730" s="456"/>
      <c r="X730" s="456"/>
      <c r="Y730" s="456"/>
      <c r="Z730" s="421">
        <f>IFERROR(E730/Levelisation!F1454, 0)</f>
        <v>0</v>
      </c>
      <c r="AA730" s="471">
        <f>IFERROR(F730/Levelisation!G1454, 0)</f>
        <v>0</v>
      </c>
      <c r="AB730" s="471">
        <f>IFERROR(G730/Levelisation!H1454, 0)</f>
        <v>0</v>
      </c>
      <c r="AC730" s="5">
        <f>IFERROR(H730/Levelisation!I1454, 0)</f>
        <v>0</v>
      </c>
      <c r="AD730" s="5">
        <f>IFERROR(I730/Levelisation!J1454, 0)</f>
        <v>0</v>
      </c>
      <c r="AE730" s="5">
        <f>IFERROR(J730/Levelisation!J1454, 0)</f>
        <v>0</v>
      </c>
      <c r="AF730" s="6">
        <f>IFERROR(K730/Levelisation!L1454, 0)</f>
        <v>0</v>
      </c>
      <c r="AG730" s="33" t="str">
        <f t="shared" si="588"/>
        <v>2.11 &gt; Guyana</v>
      </c>
      <c r="AH730" s="84">
        <f t="shared" si="590"/>
        <v>716</v>
      </c>
      <c r="AI730" s="84">
        <f t="shared" si="591"/>
        <v>27</v>
      </c>
      <c r="AJ730" s="877" t="s">
        <v>1526</v>
      </c>
    </row>
    <row r="731" spans="1:36" x14ac:dyDescent="0.2">
      <c r="A731" s="492">
        <f>INDEX(Country!$F$31:$G$76, MATCH(AI731, Country!$O$31:$O$76, 0), 1)</f>
        <v>2.1099999999999977</v>
      </c>
      <c r="B731" s="2" t="str">
        <f>INDEX(Country!$F$31:$G$76, MATCH(AI731, Country!$O$31:$O$76, 0), 2)</f>
        <v>Green micro-borrowers</v>
      </c>
      <c r="C731" s="436" t="str">
        <f>INDEX(Country!$K$31:$K$76, MATCH(AI731, Country!$O$31:$O$76, 0), 1)</f>
        <v>Borrowers</v>
      </c>
      <c r="D731" s="4" t="str">
        <f t="shared" si="589"/>
        <v>Haiti</v>
      </c>
      <c r="E731" s="47">
        <v>0</v>
      </c>
      <c r="F731" s="47">
        <v>0</v>
      </c>
      <c r="G731" s="47">
        <v>0</v>
      </c>
      <c r="H731" s="47">
        <v>0</v>
      </c>
      <c r="I731" s="47">
        <v>0</v>
      </c>
      <c r="J731" s="47">
        <v>0</v>
      </c>
      <c r="K731" s="45">
        <v>0</v>
      </c>
      <c r="L731" s="457">
        <f t="shared" si="581"/>
        <v>0</v>
      </c>
      <c r="M731" s="458">
        <f t="shared" si="582"/>
        <v>0</v>
      </c>
      <c r="N731" s="458">
        <f t="shared" si="583"/>
        <v>0</v>
      </c>
      <c r="O731" s="458">
        <f t="shared" si="584"/>
        <v>0</v>
      </c>
      <c r="P731" s="458">
        <f t="shared" si="585"/>
        <v>0</v>
      </c>
      <c r="Q731" s="458">
        <f t="shared" si="586"/>
        <v>0</v>
      </c>
      <c r="R731" s="459">
        <f t="shared" si="587"/>
        <v>0</v>
      </c>
      <c r="S731" s="455"/>
      <c r="T731" s="456"/>
      <c r="U731" s="456"/>
      <c r="V731" s="456"/>
      <c r="W731" s="456"/>
      <c r="X731" s="456"/>
      <c r="Y731" s="456"/>
      <c r="Z731" s="421">
        <f>IFERROR(E731/Levelisation!F1455, 0)</f>
        <v>0</v>
      </c>
      <c r="AA731" s="471">
        <f>IFERROR(F731/Levelisation!G1455, 0)</f>
        <v>0</v>
      </c>
      <c r="AB731" s="471">
        <f>IFERROR(G731/Levelisation!H1455, 0)</f>
        <v>0</v>
      </c>
      <c r="AC731" s="5">
        <f>IFERROR(H731/Levelisation!I1455, 0)</f>
        <v>0</v>
      </c>
      <c r="AD731" s="5">
        <f>IFERROR(I731/Levelisation!J1455, 0)</f>
        <v>0</v>
      </c>
      <c r="AE731" s="5">
        <f>IFERROR(J731/Levelisation!J1455, 0)</f>
        <v>0</v>
      </c>
      <c r="AF731" s="6">
        <f>IFERROR(K731/Levelisation!L1455, 0)</f>
        <v>0</v>
      </c>
      <c r="AG731" s="33" t="str">
        <f t="shared" si="588"/>
        <v>2.11 &gt; Haiti</v>
      </c>
      <c r="AH731" s="84">
        <f t="shared" si="590"/>
        <v>717</v>
      </c>
      <c r="AI731" s="84">
        <f t="shared" si="591"/>
        <v>27</v>
      </c>
      <c r="AJ731" s="877" t="s">
        <v>1526</v>
      </c>
    </row>
    <row r="732" spans="1:36" x14ac:dyDescent="0.2">
      <c r="A732" s="492">
        <f>INDEX(Country!$F$31:$G$76, MATCH(AI732, Country!$O$31:$O$76, 0), 1)</f>
        <v>2.1099999999999977</v>
      </c>
      <c r="B732" s="2" t="str">
        <f>INDEX(Country!$F$31:$G$76, MATCH(AI732, Country!$O$31:$O$76, 0), 2)</f>
        <v>Green micro-borrowers</v>
      </c>
      <c r="C732" s="436" t="str">
        <f>INDEX(Country!$K$31:$K$76, MATCH(AI732, Country!$O$31:$O$76, 0), 1)</f>
        <v>Borrowers</v>
      </c>
      <c r="D732" s="4" t="str">
        <f t="shared" si="589"/>
        <v>Honduras</v>
      </c>
      <c r="E732" s="47">
        <v>0</v>
      </c>
      <c r="F732" s="47">
        <v>0</v>
      </c>
      <c r="G732" s="47">
        <v>0</v>
      </c>
      <c r="H732" s="47">
        <v>0</v>
      </c>
      <c r="I732" s="47">
        <v>0</v>
      </c>
      <c r="J732" s="47">
        <v>0</v>
      </c>
      <c r="K732" s="45">
        <v>690</v>
      </c>
      <c r="L732" s="457">
        <f t="shared" si="581"/>
        <v>0</v>
      </c>
      <c r="M732" s="458">
        <f t="shared" si="582"/>
        <v>0</v>
      </c>
      <c r="N732" s="458">
        <f t="shared" si="583"/>
        <v>0</v>
      </c>
      <c r="O732" s="458">
        <f t="shared" si="584"/>
        <v>0</v>
      </c>
      <c r="P732" s="458">
        <f t="shared" si="585"/>
        <v>0</v>
      </c>
      <c r="Q732" s="458">
        <f t="shared" si="586"/>
        <v>0</v>
      </c>
      <c r="R732" s="459">
        <f t="shared" si="587"/>
        <v>20.365074911436341</v>
      </c>
      <c r="S732" s="455"/>
      <c r="T732" s="456"/>
      <c r="U732" s="456"/>
      <c r="V732" s="456"/>
      <c r="W732" s="456"/>
      <c r="X732" s="456"/>
      <c r="Y732" s="456"/>
      <c r="Z732" s="421">
        <f>IFERROR(E732/Levelisation!F1456, 0)</f>
        <v>0</v>
      </c>
      <c r="AA732" s="471">
        <f>IFERROR(F732/Levelisation!G1456, 0)</f>
        <v>0</v>
      </c>
      <c r="AB732" s="471">
        <f>IFERROR(G732/Levelisation!H1456, 0)</f>
        <v>0</v>
      </c>
      <c r="AC732" s="5">
        <f>IFERROR(H732/Levelisation!I1456, 0)</f>
        <v>0</v>
      </c>
      <c r="AD732" s="5">
        <f>IFERROR(I732/Levelisation!J1456, 0)</f>
        <v>0</v>
      </c>
      <c r="AE732" s="5">
        <f>IFERROR(J732/Levelisation!J1456, 0)</f>
        <v>0</v>
      </c>
      <c r="AF732" s="6">
        <f>IFERROR(K732/Levelisation!L1456, 0)</f>
        <v>84.136080965735886</v>
      </c>
      <c r="AG732" s="33" t="str">
        <f t="shared" si="588"/>
        <v>2.11 &gt; Honduras</v>
      </c>
      <c r="AH732" s="84">
        <f t="shared" si="590"/>
        <v>718</v>
      </c>
      <c r="AI732" s="84">
        <f t="shared" si="591"/>
        <v>27</v>
      </c>
      <c r="AJ732" s="877" t="s">
        <v>1526</v>
      </c>
    </row>
    <row r="733" spans="1:36" x14ac:dyDescent="0.2">
      <c r="A733" s="492">
        <f>INDEX(Country!$F$31:$G$76, MATCH(AI733, Country!$O$31:$O$76, 0), 1)</f>
        <v>2.1099999999999977</v>
      </c>
      <c r="B733" s="2" t="str">
        <f>INDEX(Country!$F$31:$G$76, MATCH(AI733, Country!$O$31:$O$76, 0), 2)</f>
        <v>Green micro-borrowers</v>
      </c>
      <c r="C733" s="436" t="str">
        <f>INDEX(Country!$K$31:$K$76, MATCH(AI733, Country!$O$31:$O$76, 0), 1)</f>
        <v>Borrowers</v>
      </c>
      <c r="D733" s="4" t="str">
        <f t="shared" si="589"/>
        <v>Jamaica</v>
      </c>
      <c r="E733" s="47">
        <v>0</v>
      </c>
      <c r="F733" s="47">
        <v>0</v>
      </c>
      <c r="G733" s="47">
        <v>0</v>
      </c>
      <c r="H733" s="47">
        <v>0</v>
      </c>
      <c r="I733" s="47">
        <v>0</v>
      </c>
      <c r="J733" s="47">
        <v>0</v>
      </c>
      <c r="K733" s="45">
        <v>0</v>
      </c>
      <c r="L733" s="457">
        <f t="shared" si="581"/>
        <v>0</v>
      </c>
      <c r="M733" s="458">
        <f t="shared" si="582"/>
        <v>0</v>
      </c>
      <c r="N733" s="458">
        <f t="shared" si="583"/>
        <v>0</v>
      </c>
      <c r="O733" s="458">
        <f t="shared" si="584"/>
        <v>0</v>
      </c>
      <c r="P733" s="458">
        <f t="shared" si="585"/>
        <v>0</v>
      </c>
      <c r="Q733" s="458">
        <f t="shared" si="586"/>
        <v>0</v>
      </c>
      <c r="R733" s="459">
        <f t="shared" si="587"/>
        <v>0</v>
      </c>
      <c r="S733" s="455"/>
      <c r="T733" s="456"/>
      <c r="U733" s="456"/>
      <c r="V733" s="456"/>
      <c r="W733" s="456"/>
      <c r="X733" s="456"/>
      <c r="Y733" s="456"/>
      <c r="Z733" s="421">
        <f>IFERROR(E733/Levelisation!F1457, 0)</f>
        <v>0</v>
      </c>
      <c r="AA733" s="471">
        <f>IFERROR(F733/Levelisation!G1457, 0)</f>
        <v>0</v>
      </c>
      <c r="AB733" s="471">
        <f>IFERROR(G733/Levelisation!H1457, 0)</f>
        <v>0</v>
      </c>
      <c r="AC733" s="5">
        <f>IFERROR(H733/Levelisation!I1457, 0)</f>
        <v>0</v>
      </c>
      <c r="AD733" s="5">
        <f>IFERROR(I733/Levelisation!J1457, 0)</f>
        <v>0</v>
      </c>
      <c r="AE733" s="5">
        <f>IFERROR(J733/Levelisation!J1457, 0)</f>
        <v>0</v>
      </c>
      <c r="AF733" s="6">
        <f>IFERROR(K733/Levelisation!L1457, 0)</f>
        <v>0</v>
      </c>
      <c r="AG733" s="33" t="str">
        <f t="shared" si="588"/>
        <v>2.11 &gt; Jamaica</v>
      </c>
      <c r="AH733" s="84">
        <f t="shared" si="590"/>
        <v>719</v>
      </c>
      <c r="AI733" s="84">
        <f t="shared" si="591"/>
        <v>27</v>
      </c>
      <c r="AJ733" s="877" t="s">
        <v>1526</v>
      </c>
    </row>
    <row r="734" spans="1:36" x14ac:dyDescent="0.2">
      <c r="A734" s="492">
        <f>INDEX(Country!$F$31:$G$76, MATCH(AI734, Country!$O$31:$O$76, 0), 1)</f>
        <v>2.1099999999999977</v>
      </c>
      <c r="B734" s="2" t="str">
        <f>INDEX(Country!$F$31:$G$76, MATCH(AI734, Country!$O$31:$O$76, 0), 2)</f>
        <v>Green micro-borrowers</v>
      </c>
      <c r="C734" s="436" t="str">
        <f>INDEX(Country!$K$31:$K$76, MATCH(AI734, Country!$O$31:$O$76, 0), 1)</f>
        <v>Borrowers</v>
      </c>
      <c r="D734" s="4" t="str">
        <f t="shared" si="589"/>
        <v>Mexico</v>
      </c>
      <c r="E734" s="47">
        <v>2854</v>
      </c>
      <c r="F734" s="47">
        <v>2854</v>
      </c>
      <c r="G734" s="47">
        <v>2854</v>
      </c>
      <c r="H734" s="47">
        <v>2854</v>
      </c>
      <c r="I734" s="47">
        <v>2854</v>
      </c>
      <c r="J734" s="47">
        <v>2854</v>
      </c>
      <c r="K734" s="45">
        <v>1460</v>
      </c>
      <c r="L734" s="457">
        <f t="shared" si="581"/>
        <v>4.2887594258401016</v>
      </c>
      <c r="M734" s="458">
        <f t="shared" si="582"/>
        <v>4.2513178091237513</v>
      </c>
      <c r="N734" s="458">
        <f t="shared" si="583"/>
        <v>4.2378405548367057</v>
      </c>
      <c r="O734" s="458">
        <f t="shared" si="584"/>
        <v>4.2229883288405716</v>
      </c>
      <c r="P734" s="458">
        <f t="shared" si="585"/>
        <v>4.2099477734707458</v>
      </c>
      <c r="Q734" s="458">
        <f t="shared" si="586"/>
        <v>4.2099477734707458</v>
      </c>
      <c r="R734" s="459">
        <f t="shared" si="587"/>
        <v>3.0763971928059886</v>
      </c>
      <c r="S734" s="455"/>
      <c r="T734" s="456"/>
      <c r="U734" s="456"/>
      <c r="V734" s="456"/>
      <c r="W734" s="456"/>
      <c r="X734" s="456"/>
      <c r="Y734" s="456"/>
      <c r="Z734" s="421">
        <f>IFERROR(E734/Levelisation!F1458, 0)</f>
        <v>27.087307688657308</v>
      </c>
      <c r="AA734" s="471">
        <f>IFERROR(F734/Levelisation!G1458, 0)</f>
        <v>26.64948549872075</v>
      </c>
      <c r="AB734" s="471">
        <f>IFERROR(G734/Levelisation!H1458, 0)</f>
        <v>26.218604736619692</v>
      </c>
      <c r="AC734" s="5">
        <f>IFERROR(H734/Levelisation!I1458, 0)</f>
        <v>25.794906093526873</v>
      </c>
      <c r="AD734" s="5">
        <f>IFERROR(I734/Levelisation!J1458, 0)</f>
        <v>25.410222851393826</v>
      </c>
      <c r="AE734" s="5">
        <f>IFERROR(J734/Levelisation!J1458, 0)</f>
        <v>25.410222851393826</v>
      </c>
      <c r="AF734" s="6">
        <f>IFERROR(K734/Levelisation!L1458, 0)</f>
        <v>12.709798732502263</v>
      </c>
      <c r="AG734" s="33" t="str">
        <f t="shared" si="588"/>
        <v>2.11 &gt; Mexico</v>
      </c>
      <c r="AH734" s="84">
        <f t="shared" si="590"/>
        <v>720</v>
      </c>
      <c r="AI734" s="84">
        <f t="shared" si="591"/>
        <v>27</v>
      </c>
      <c r="AJ734" s="877" t="s">
        <v>1526</v>
      </c>
    </row>
    <row r="735" spans="1:36" x14ac:dyDescent="0.2">
      <c r="A735" s="492">
        <f>INDEX(Country!$F$31:$G$76, MATCH(AI735, Country!$O$31:$O$76, 0), 1)</f>
        <v>2.1099999999999977</v>
      </c>
      <c r="B735" s="2" t="str">
        <f>INDEX(Country!$F$31:$G$76, MATCH(AI735, Country!$O$31:$O$76, 0), 2)</f>
        <v>Green micro-borrowers</v>
      </c>
      <c r="C735" s="436" t="str">
        <f>INDEX(Country!$K$31:$K$76, MATCH(AI735, Country!$O$31:$O$76, 0), 1)</f>
        <v>Borrowers</v>
      </c>
      <c r="D735" s="4" t="str">
        <f t="shared" si="589"/>
        <v>Nicaragua</v>
      </c>
      <c r="E735" s="47">
        <v>3511</v>
      </c>
      <c r="F735" s="47">
        <v>3511</v>
      </c>
      <c r="G735" s="47">
        <v>3511</v>
      </c>
      <c r="H735" s="47">
        <v>3511</v>
      </c>
      <c r="I735" s="47">
        <v>3511</v>
      </c>
      <c r="J735" s="47">
        <v>3511</v>
      </c>
      <c r="K735" s="45">
        <v>2348</v>
      </c>
      <c r="L735" s="457">
        <f t="shared" si="581"/>
        <v>100</v>
      </c>
      <c r="M735" s="458">
        <f t="shared" si="582"/>
        <v>100</v>
      </c>
      <c r="N735" s="458">
        <f t="shared" si="583"/>
        <v>100</v>
      </c>
      <c r="O735" s="458">
        <f t="shared" si="584"/>
        <v>100</v>
      </c>
      <c r="P735" s="458">
        <f t="shared" si="585"/>
        <v>100</v>
      </c>
      <c r="Q735" s="458">
        <f t="shared" si="586"/>
        <v>100</v>
      </c>
      <c r="R735" s="459">
        <f t="shared" si="587"/>
        <v>95.022843717841468</v>
      </c>
      <c r="S735" s="455"/>
      <c r="T735" s="456"/>
      <c r="U735" s="456"/>
      <c r="V735" s="456"/>
      <c r="W735" s="456"/>
      <c r="X735" s="456"/>
      <c r="Y735" s="456"/>
      <c r="Z735" s="421">
        <f>IFERROR(E735/Levelisation!F1459, 0)</f>
        <v>631.5884151825868</v>
      </c>
      <c r="AA735" s="471">
        <f>IFERROR(F735/Levelisation!G1459, 0)</f>
        <v>626.85234779503662</v>
      </c>
      <c r="AB735" s="471">
        <f>IFERROR(G735/Levelisation!H1459, 0)</f>
        <v>618.6784140969163</v>
      </c>
      <c r="AC735" s="5">
        <f>IFERROR(H735/Levelisation!I1459, 0)</f>
        <v>610.82115518441196</v>
      </c>
      <c r="AD735" s="5">
        <f>IFERROR(I735/Levelisation!J1459, 0)</f>
        <v>603.57572631940866</v>
      </c>
      <c r="AE735" s="5">
        <f>IFERROR(J735/Levelisation!J1459, 0)</f>
        <v>603.57572631940866</v>
      </c>
      <c r="AF735" s="6">
        <f>IFERROR(K735/Levelisation!L1459, 0)</f>
        <v>392.57649222538038</v>
      </c>
      <c r="AG735" s="33" t="str">
        <f t="shared" si="588"/>
        <v>2.11 &gt; Nicaragua</v>
      </c>
      <c r="AH735" s="84">
        <f t="shared" si="590"/>
        <v>721</v>
      </c>
      <c r="AI735" s="84">
        <f t="shared" si="591"/>
        <v>27</v>
      </c>
      <c r="AJ735" s="877" t="s">
        <v>1526</v>
      </c>
    </row>
    <row r="736" spans="1:36" x14ac:dyDescent="0.2">
      <c r="A736" s="492">
        <f>INDEX(Country!$F$31:$G$76, MATCH(AI736, Country!$O$31:$O$76, 0), 1)</f>
        <v>2.1099999999999977</v>
      </c>
      <c r="B736" s="2" t="str">
        <f>INDEX(Country!$F$31:$G$76, MATCH(AI736, Country!$O$31:$O$76, 0), 2)</f>
        <v>Green micro-borrowers</v>
      </c>
      <c r="C736" s="436" t="str">
        <f>INDEX(Country!$K$31:$K$76, MATCH(AI736, Country!$O$31:$O$76, 0), 1)</f>
        <v>Borrowers</v>
      </c>
      <c r="D736" s="4" t="str">
        <f t="shared" si="589"/>
        <v>Panama</v>
      </c>
      <c r="E736" s="47">
        <v>0</v>
      </c>
      <c r="F736" s="47">
        <v>0</v>
      </c>
      <c r="G736" s="47">
        <v>0</v>
      </c>
      <c r="H736" s="47">
        <v>0</v>
      </c>
      <c r="I736" s="47">
        <v>0</v>
      </c>
      <c r="J736" s="47">
        <v>0</v>
      </c>
      <c r="K736" s="45">
        <v>3</v>
      </c>
      <c r="L736" s="457">
        <f t="shared" si="581"/>
        <v>0</v>
      </c>
      <c r="M736" s="458">
        <f t="shared" si="582"/>
        <v>0</v>
      </c>
      <c r="N736" s="458">
        <f t="shared" si="583"/>
        <v>0</v>
      </c>
      <c r="O736" s="458">
        <f t="shared" si="584"/>
        <v>0</v>
      </c>
      <c r="P736" s="458">
        <f t="shared" si="585"/>
        <v>0</v>
      </c>
      <c r="Q736" s="458">
        <f t="shared" si="586"/>
        <v>0</v>
      </c>
      <c r="R736" s="459">
        <f t="shared" si="587"/>
        <v>0.19867243127186038</v>
      </c>
      <c r="S736" s="455"/>
      <c r="T736" s="456"/>
      <c r="U736" s="456"/>
      <c r="V736" s="456"/>
      <c r="W736" s="456"/>
      <c r="X736" s="456"/>
      <c r="Y736" s="456"/>
      <c r="Z736" s="421">
        <f>IFERROR(E736/Levelisation!F1460, 0)</f>
        <v>0</v>
      </c>
      <c r="AA736" s="471">
        <f>IFERROR(F736/Levelisation!G1460, 0)</f>
        <v>0</v>
      </c>
      <c r="AB736" s="471">
        <f>IFERROR(G736/Levelisation!H1460, 0)</f>
        <v>0</v>
      </c>
      <c r="AC736" s="5">
        <f>IFERROR(H736/Levelisation!I1460, 0)</f>
        <v>0</v>
      </c>
      <c r="AD736" s="5">
        <f>IFERROR(I736/Levelisation!J1460, 0)</f>
        <v>0</v>
      </c>
      <c r="AE736" s="5">
        <f>IFERROR(J736/Levelisation!J1460, 0)</f>
        <v>0</v>
      </c>
      <c r="AF736" s="6">
        <f>IFERROR(K736/Levelisation!L1460, 0)</f>
        <v>0.82079343365253077</v>
      </c>
      <c r="AG736" s="33" t="str">
        <f t="shared" si="588"/>
        <v>2.11 &gt; Panama</v>
      </c>
      <c r="AH736" s="84">
        <f t="shared" si="590"/>
        <v>722</v>
      </c>
      <c r="AI736" s="84">
        <f t="shared" si="591"/>
        <v>27</v>
      </c>
      <c r="AJ736" s="877" t="s">
        <v>1526</v>
      </c>
    </row>
    <row r="737" spans="1:36" x14ac:dyDescent="0.2">
      <c r="A737" s="492">
        <f>INDEX(Country!$F$31:$G$76, MATCH(AI737, Country!$O$31:$O$76, 0), 1)</f>
        <v>2.1099999999999977</v>
      </c>
      <c r="B737" s="2" t="str">
        <f>INDEX(Country!$F$31:$G$76, MATCH(AI737, Country!$O$31:$O$76, 0), 2)</f>
        <v>Green micro-borrowers</v>
      </c>
      <c r="C737" s="436" t="str">
        <f>INDEX(Country!$K$31:$K$76, MATCH(AI737, Country!$O$31:$O$76, 0), 1)</f>
        <v>Borrowers</v>
      </c>
      <c r="D737" s="4" t="str">
        <f t="shared" si="589"/>
        <v>Paraguay</v>
      </c>
      <c r="E737" s="47">
        <v>0</v>
      </c>
      <c r="F737" s="47">
        <v>0</v>
      </c>
      <c r="G737" s="47">
        <v>0</v>
      </c>
      <c r="H737" s="47">
        <v>0</v>
      </c>
      <c r="I737" s="47">
        <v>0</v>
      </c>
      <c r="J737" s="47">
        <v>0</v>
      </c>
      <c r="K737" s="45">
        <v>500</v>
      </c>
      <c r="L737" s="457">
        <f t="shared" si="581"/>
        <v>0</v>
      </c>
      <c r="M737" s="458">
        <f t="shared" si="582"/>
        <v>0</v>
      </c>
      <c r="N737" s="458">
        <f t="shared" si="583"/>
        <v>0</v>
      </c>
      <c r="O737" s="458">
        <f t="shared" si="584"/>
        <v>0</v>
      </c>
      <c r="P737" s="458">
        <f t="shared" si="585"/>
        <v>0</v>
      </c>
      <c r="Q737" s="458">
        <f t="shared" si="586"/>
        <v>0</v>
      </c>
      <c r="R737" s="459">
        <f t="shared" si="587"/>
        <v>18.169137174064197</v>
      </c>
      <c r="S737" s="455"/>
      <c r="T737" s="456"/>
      <c r="U737" s="456"/>
      <c r="V737" s="456"/>
      <c r="W737" s="456"/>
      <c r="X737" s="456"/>
      <c r="Y737" s="456"/>
      <c r="Z737" s="421">
        <f>IFERROR(E737/Levelisation!F1461, 0)</f>
        <v>0</v>
      </c>
      <c r="AA737" s="471">
        <f>IFERROR(F737/Levelisation!G1461, 0)</f>
        <v>0</v>
      </c>
      <c r="AB737" s="471">
        <f>IFERROR(G737/Levelisation!H1461, 0)</f>
        <v>0</v>
      </c>
      <c r="AC737" s="5">
        <f>IFERROR(H737/Levelisation!I1461, 0)</f>
        <v>0</v>
      </c>
      <c r="AD737" s="5">
        <f>IFERROR(I737/Levelisation!J1461, 0)</f>
        <v>0</v>
      </c>
      <c r="AE737" s="5">
        <f>IFERROR(J737/Levelisation!J1461, 0)</f>
        <v>0</v>
      </c>
      <c r="AF737" s="6">
        <f>IFERROR(K737/Levelisation!L1461, 0)</f>
        <v>75.06380423359856</v>
      </c>
      <c r="AG737" s="33" t="str">
        <f t="shared" si="588"/>
        <v>2.11 &gt; Paraguay</v>
      </c>
      <c r="AH737" s="84">
        <f t="shared" si="590"/>
        <v>723</v>
      </c>
      <c r="AI737" s="84">
        <f t="shared" si="591"/>
        <v>27</v>
      </c>
      <c r="AJ737" s="877" t="s">
        <v>1526</v>
      </c>
    </row>
    <row r="738" spans="1:36" x14ac:dyDescent="0.2">
      <c r="A738" s="492">
        <f>INDEX(Country!$F$31:$G$76, MATCH(AI738, Country!$O$31:$O$76, 0), 1)</f>
        <v>2.1099999999999977</v>
      </c>
      <c r="B738" s="2" t="str">
        <f>INDEX(Country!$F$31:$G$76, MATCH(AI738, Country!$O$31:$O$76, 0), 2)</f>
        <v>Green micro-borrowers</v>
      </c>
      <c r="C738" s="436" t="str">
        <f>INDEX(Country!$K$31:$K$76, MATCH(AI738, Country!$O$31:$O$76, 0), 1)</f>
        <v>Borrowers</v>
      </c>
      <c r="D738" s="4" t="str">
        <f t="shared" si="589"/>
        <v>Peru</v>
      </c>
      <c r="E738" s="47">
        <v>759</v>
      </c>
      <c r="F738" s="47">
        <v>759</v>
      </c>
      <c r="G738" s="47">
        <v>759</v>
      </c>
      <c r="H738" s="47">
        <v>759</v>
      </c>
      <c r="I738" s="47">
        <v>759</v>
      </c>
      <c r="J738" s="47">
        <v>759</v>
      </c>
      <c r="K738" s="45">
        <v>12590</v>
      </c>
      <c r="L738" s="457">
        <f t="shared" si="581"/>
        <v>4.3478002358516816</v>
      </c>
      <c r="M738" s="458">
        <f t="shared" si="582"/>
        <v>4.2904625978151794</v>
      </c>
      <c r="N738" s="458">
        <f t="shared" si="583"/>
        <v>4.2810084849705952</v>
      </c>
      <c r="O738" s="458">
        <f t="shared" si="584"/>
        <v>4.2699205375055209</v>
      </c>
      <c r="P738" s="458">
        <f t="shared" si="585"/>
        <v>4.2552309109108242</v>
      </c>
      <c r="Q738" s="458">
        <f t="shared" si="586"/>
        <v>4.2552309109108242</v>
      </c>
      <c r="R738" s="459">
        <f t="shared" si="587"/>
        <v>100</v>
      </c>
      <c r="S738" s="455"/>
      <c r="T738" s="456"/>
      <c r="U738" s="456"/>
      <c r="V738" s="456"/>
      <c r="W738" s="456"/>
      <c r="X738" s="456"/>
      <c r="Y738" s="456"/>
      <c r="Z738" s="421">
        <f>IFERROR(E738/Levelisation!F1462, 0)</f>
        <v>27.460202604920404</v>
      </c>
      <c r="AA738" s="471">
        <f>IFERROR(F738/Levelisation!G1462, 0)</f>
        <v>26.894865525672373</v>
      </c>
      <c r="AB738" s="471">
        <f>IFERROR(G738/Levelisation!H1462, 0)</f>
        <v>26.4856754021705</v>
      </c>
      <c r="AC738" s="5">
        <f>IFERROR(H738/Levelisation!I1462, 0)</f>
        <v>26.081577952647677</v>
      </c>
      <c r="AD738" s="5">
        <f>IFERROR(I738/Levelisation!J1462, 0)</f>
        <v>25.683540877097997</v>
      </c>
      <c r="AE738" s="5">
        <f>IFERROR(J738/Levelisation!J1462, 0)</f>
        <v>25.683540877097997</v>
      </c>
      <c r="AF738" s="6">
        <f>IFERROR(K738/Levelisation!L1462, 0)</f>
        <v>413.13906937061103</v>
      </c>
      <c r="AG738" s="33" t="str">
        <f t="shared" si="588"/>
        <v>2.11 &gt; Peru</v>
      </c>
      <c r="AH738" s="84">
        <f t="shared" si="590"/>
        <v>724</v>
      </c>
      <c r="AI738" s="84">
        <f t="shared" si="591"/>
        <v>27</v>
      </c>
      <c r="AJ738" s="877" t="s">
        <v>1526</v>
      </c>
    </row>
    <row r="739" spans="1:36" x14ac:dyDescent="0.2">
      <c r="A739" s="492">
        <f>INDEX(Country!$F$31:$G$76, MATCH(AI739, Country!$O$31:$O$76, 0), 1)</f>
        <v>2.1099999999999977</v>
      </c>
      <c r="B739" s="2" t="str">
        <f>INDEX(Country!$F$31:$G$76, MATCH(AI739, Country!$O$31:$O$76, 0), 2)</f>
        <v>Green micro-borrowers</v>
      </c>
      <c r="C739" s="436" t="str">
        <f>INDEX(Country!$K$31:$K$76, MATCH(AI739, Country!$O$31:$O$76, 0), 1)</f>
        <v>Borrowers</v>
      </c>
      <c r="D739" s="4" t="str">
        <f t="shared" si="589"/>
        <v>Suriname</v>
      </c>
      <c r="E739" s="47">
        <v>0</v>
      </c>
      <c r="F739" s="47">
        <v>0</v>
      </c>
      <c r="G739" s="47">
        <v>0</v>
      </c>
      <c r="H739" s="47">
        <v>0</v>
      </c>
      <c r="I739" s="47">
        <v>0</v>
      </c>
      <c r="J739" s="47">
        <v>0</v>
      </c>
      <c r="K739" s="45">
        <v>0</v>
      </c>
      <c r="L739" s="457">
        <f t="shared" si="581"/>
        <v>0</v>
      </c>
      <c r="M739" s="458">
        <f t="shared" si="582"/>
        <v>0</v>
      </c>
      <c r="N739" s="458">
        <f t="shared" si="583"/>
        <v>0</v>
      </c>
      <c r="O739" s="458">
        <f t="shared" si="584"/>
        <v>0</v>
      </c>
      <c r="P739" s="458">
        <f t="shared" si="585"/>
        <v>0</v>
      </c>
      <c r="Q739" s="458">
        <f t="shared" si="586"/>
        <v>0</v>
      </c>
      <c r="R739" s="459">
        <f t="shared" si="587"/>
        <v>0</v>
      </c>
      <c r="S739" s="455"/>
      <c r="T739" s="456"/>
      <c r="U739" s="456"/>
      <c r="V739" s="456"/>
      <c r="W739" s="456"/>
      <c r="X739" s="456"/>
      <c r="Y739" s="456"/>
      <c r="Z739" s="421">
        <f>IFERROR(E739/Levelisation!F1463, 0)</f>
        <v>0</v>
      </c>
      <c r="AA739" s="471">
        <f>IFERROR(F739/Levelisation!G1463, 0)</f>
        <v>0</v>
      </c>
      <c r="AB739" s="471">
        <f>IFERROR(G739/Levelisation!H1463, 0)</f>
        <v>0</v>
      </c>
      <c r="AC739" s="5">
        <f>IFERROR(H739/Levelisation!I1463, 0)</f>
        <v>0</v>
      </c>
      <c r="AD739" s="5">
        <f>IFERROR(I739/Levelisation!J1463, 0)</f>
        <v>0</v>
      </c>
      <c r="AE739" s="5">
        <f>IFERROR(J739/Levelisation!J1463, 0)</f>
        <v>0</v>
      </c>
      <c r="AF739" s="6">
        <f>IFERROR(K739/Levelisation!L1463, 0)</f>
        <v>0</v>
      </c>
      <c r="AG739" s="33" t="str">
        <f t="shared" si="588"/>
        <v>2.11 &gt; Suriname</v>
      </c>
      <c r="AH739" s="84">
        <f t="shared" si="590"/>
        <v>725</v>
      </c>
      <c r="AI739" s="84">
        <f t="shared" si="591"/>
        <v>27</v>
      </c>
      <c r="AJ739" s="877" t="s">
        <v>1526</v>
      </c>
    </row>
    <row r="740" spans="1:36" x14ac:dyDescent="0.2">
      <c r="A740" s="492">
        <f>INDEX(Country!$F$31:$G$76, MATCH(AI740, Country!$O$31:$O$76, 0), 1)</f>
        <v>2.1099999999999977</v>
      </c>
      <c r="B740" s="2" t="str">
        <f>INDEX(Country!$F$31:$G$76, MATCH(AI740, Country!$O$31:$O$76, 0), 2)</f>
        <v>Green micro-borrowers</v>
      </c>
      <c r="C740" s="436" t="str">
        <f>INDEX(Country!$K$31:$K$76, MATCH(AI740, Country!$O$31:$O$76, 0), 1)</f>
        <v>Borrowers</v>
      </c>
      <c r="D740" s="4" t="str">
        <f t="shared" si="589"/>
        <v>Trinidad &amp; Tobago</v>
      </c>
      <c r="E740" s="47">
        <v>0</v>
      </c>
      <c r="F740" s="47">
        <v>0</v>
      </c>
      <c r="G740" s="47">
        <v>0</v>
      </c>
      <c r="H740" s="47">
        <v>0</v>
      </c>
      <c r="I740" s="47">
        <v>0</v>
      </c>
      <c r="J740" s="47">
        <v>0</v>
      </c>
      <c r="K740" s="45">
        <v>0</v>
      </c>
      <c r="L740" s="457">
        <f t="shared" si="581"/>
        <v>0</v>
      </c>
      <c r="M740" s="458">
        <f t="shared" si="582"/>
        <v>0</v>
      </c>
      <c r="N740" s="458">
        <f t="shared" si="583"/>
        <v>0</v>
      </c>
      <c r="O740" s="458">
        <f t="shared" si="584"/>
        <v>0</v>
      </c>
      <c r="P740" s="458">
        <f t="shared" si="585"/>
        <v>0</v>
      </c>
      <c r="Q740" s="458">
        <f t="shared" si="586"/>
        <v>0</v>
      </c>
      <c r="R740" s="459">
        <f t="shared" si="587"/>
        <v>0</v>
      </c>
      <c r="S740" s="455"/>
      <c r="T740" s="456"/>
      <c r="U740" s="456"/>
      <c r="V740" s="456"/>
      <c r="W740" s="456"/>
      <c r="X740" s="456"/>
      <c r="Y740" s="456"/>
      <c r="Z740" s="421">
        <f>IFERROR(E740/Levelisation!F1464, 0)</f>
        <v>0</v>
      </c>
      <c r="AA740" s="471">
        <f>IFERROR(F740/Levelisation!G1464, 0)</f>
        <v>0</v>
      </c>
      <c r="AB740" s="471">
        <f>IFERROR(G740/Levelisation!H1464, 0)</f>
        <v>0</v>
      </c>
      <c r="AC740" s="5">
        <f>IFERROR(H740/Levelisation!I1464, 0)</f>
        <v>0</v>
      </c>
      <c r="AD740" s="5">
        <f>IFERROR(I740/Levelisation!J1464, 0)</f>
        <v>0</v>
      </c>
      <c r="AE740" s="5">
        <f>IFERROR(J740/Levelisation!J1464, 0)</f>
        <v>0</v>
      </c>
      <c r="AF740" s="6">
        <f>IFERROR(K740/Levelisation!L1464, 0)</f>
        <v>0</v>
      </c>
      <c r="AG740" s="33" t="str">
        <f t="shared" si="588"/>
        <v>2.11 &gt; Trinidad &amp; Tobago</v>
      </c>
      <c r="AH740" s="84">
        <f t="shared" si="590"/>
        <v>726</v>
      </c>
      <c r="AI740" s="84">
        <f t="shared" si="591"/>
        <v>27</v>
      </c>
      <c r="AJ740" s="877" t="s">
        <v>1526</v>
      </c>
    </row>
    <row r="741" spans="1:36" x14ac:dyDescent="0.2">
      <c r="A741" s="492">
        <f>INDEX(Country!$F$31:$G$76, MATCH(AI741, Country!$O$31:$O$76, 0), 1)</f>
        <v>2.1099999999999977</v>
      </c>
      <c r="B741" s="2" t="str">
        <f>INDEX(Country!$F$31:$G$76, MATCH(AI741, Country!$O$31:$O$76, 0), 2)</f>
        <v>Green micro-borrowers</v>
      </c>
      <c r="C741" s="436" t="str">
        <f>INDEX(Country!$K$31:$K$76, MATCH(AI741, Country!$O$31:$O$76, 0), 1)</f>
        <v>Borrowers</v>
      </c>
      <c r="D741" s="4" t="str">
        <f t="shared" si="589"/>
        <v>Uruguay</v>
      </c>
      <c r="E741" s="47">
        <v>10</v>
      </c>
      <c r="F741" s="47">
        <v>10</v>
      </c>
      <c r="G741" s="47">
        <v>10</v>
      </c>
      <c r="H741" s="47">
        <v>10</v>
      </c>
      <c r="I741" s="47">
        <v>10</v>
      </c>
      <c r="J741" s="47">
        <v>10</v>
      </c>
      <c r="K741" s="45">
        <v>720</v>
      </c>
      <c r="L741" s="457">
        <f t="shared" si="581"/>
        <v>0.47776391020066766</v>
      </c>
      <c r="M741" s="458">
        <f t="shared" si="582"/>
        <v>0.47992539178055144</v>
      </c>
      <c r="N741" s="458">
        <f t="shared" si="583"/>
        <v>0.48480762406333888</v>
      </c>
      <c r="O741" s="458">
        <f t="shared" si="584"/>
        <v>0.48942912282091006</v>
      </c>
      <c r="P741" s="458">
        <f t="shared" si="585"/>
        <v>0.49353379102929146</v>
      </c>
      <c r="Q741" s="458">
        <f t="shared" si="586"/>
        <v>0.49353379102929146</v>
      </c>
      <c r="R741" s="459">
        <f t="shared" si="587"/>
        <v>51.545535850835826</v>
      </c>
      <c r="S741" s="455"/>
      <c r="T741" s="456"/>
      <c r="U741" s="456"/>
      <c r="V741" s="456"/>
      <c r="W741" s="456"/>
      <c r="X741" s="456"/>
      <c r="Y741" s="456"/>
      <c r="Z741" s="421">
        <f>IFERROR(E741/Levelisation!F1465, 0)</f>
        <v>3.0175015087507542</v>
      </c>
      <c r="AA741" s="471">
        <f>IFERROR(F741/Levelisation!G1465, 0)</f>
        <v>3.0084235860409145</v>
      </c>
      <c r="AB741" s="471">
        <f>IFERROR(G741/Levelisation!H1465, 0)</f>
        <v>2.9994001199760048</v>
      </c>
      <c r="AC741" s="5">
        <f>IFERROR(H741/Levelisation!I1465, 0)</f>
        <v>2.9895366218236172</v>
      </c>
      <c r="AD741" s="5">
        <f>IFERROR(I741/Levelisation!J1465, 0)</f>
        <v>2.9788501638367588</v>
      </c>
      <c r="AE741" s="5">
        <f>IFERROR(J741/Levelisation!J1465, 0)</f>
        <v>2.9788501638367588</v>
      </c>
      <c r="AF741" s="6">
        <f>IFERROR(K741/Levelisation!L1465, 0)</f>
        <v>212.95474711623783</v>
      </c>
      <c r="AG741" s="33" t="str">
        <f t="shared" si="588"/>
        <v>2.11 &gt; Uruguay</v>
      </c>
      <c r="AH741" s="84">
        <f t="shared" si="590"/>
        <v>727</v>
      </c>
      <c r="AI741" s="84">
        <f t="shared" si="591"/>
        <v>27</v>
      </c>
      <c r="AJ741" s="877" t="s">
        <v>1526</v>
      </c>
    </row>
    <row r="742" spans="1:36" x14ac:dyDescent="0.2">
      <c r="A742" s="491">
        <f>INDEX(Country!$F$31:$G$76, MATCH(AI742, Country!$O$31:$O$76, 0), 1)</f>
        <v>2.1099999999999977</v>
      </c>
      <c r="B742" s="386" t="str">
        <f>INDEX(Country!$F$31:$G$76, MATCH(AI742, Country!$O$31:$O$76, 0), 2)</f>
        <v>Green micro-borrowers</v>
      </c>
      <c r="C742" s="437" t="str">
        <f>INDEX(Country!$K$31:$K$76, MATCH(AI742, Country!$O$31:$O$76, 0), 1)</f>
        <v>Borrowers</v>
      </c>
      <c r="D742" s="86" t="str">
        <f t="shared" si="589"/>
        <v>Venezuela</v>
      </c>
      <c r="E742" s="363">
        <v>200</v>
      </c>
      <c r="F742" s="363">
        <v>200</v>
      </c>
      <c r="G742" s="363">
        <v>200</v>
      </c>
      <c r="H742" s="363">
        <v>200</v>
      </c>
      <c r="I742" s="363">
        <v>200</v>
      </c>
      <c r="J742" s="363">
        <v>200</v>
      </c>
      <c r="K742" s="400">
        <v>17</v>
      </c>
      <c r="L742" s="460">
        <f t="shared" si="581"/>
        <v>1.1800332389826815</v>
      </c>
      <c r="M742" s="461">
        <f t="shared" si="582"/>
        <v>1.1693827901176905</v>
      </c>
      <c r="N742" s="461">
        <f t="shared" si="583"/>
        <v>1.1656500332651871</v>
      </c>
      <c r="O742" s="461">
        <f t="shared" si="584"/>
        <v>1.1618340897281556</v>
      </c>
      <c r="P742" s="461">
        <f t="shared" si="585"/>
        <v>1.157341997474997</v>
      </c>
      <c r="Q742" s="461">
        <f t="shared" si="586"/>
        <v>1.157341997474997</v>
      </c>
      <c r="R742" s="462">
        <f t="shared" si="587"/>
        <v>0.13940567037161686</v>
      </c>
      <c r="S742" s="455"/>
      <c r="T742" s="456"/>
      <c r="U742" s="456"/>
      <c r="V742" s="456"/>
      <c r="W742" s="456"/>
      <c r="X742" s="456"/>
      <c r="Y742" s="456"/>
      <c r="Z742" s="422">
        <f>IFERROR(E742/Levelisation!F1466, 0)</f>
        <v>7.4529532327184649</v>
      </c>
      <c r="AA742" s="470">
        <f>IFERROR(F742/Levelisation!G1466, 0)</f>
        <v>7.3303034745638476</v>
      </c>
      <c r="AB742" s="470">
        <f>IFERROR(G742/Levelisation!H1466, 0)</f>
        <v>7.2116251397252373</v>
      </c>
      <c r="AC742" s="364">
        <f>IFERROR(H742/Levelisation!I1466, 0)</f>
        <v>7.096728408203818</v>
      </c>
      <c r="AD742" s="364">
        <f>IFERROR(I742/Levelisation!J1466, 0)</f>
        <v>6.9854353672592646</v>
      </c>
      <c r="AE742" s="364">
        <f>IFERROR(J742/Levelisation!J1466, 0)</f>
        <v>6.9854353672592646</v>
      </c>
      <c r="AF742" s="390">
        <f>IFERROR(K742/Levelisation!L1466, 0)</f>
        <v>0.57593928922315951</v>
      </c>
      <c r="AG742" s="90" t="str">
        <f t="shared" si="588"/>
        <v>2.11 &gt; Venezuela</v>
      </c>
      <c r="AH742" s="392">
        <f t="shared" si="590"/>
        <v>728</v>
      </c>
      <c r="AI742" s="392">
        <f t="shared" si="591"/>
        <v>27</v>
      </c>
      <c r="AJ742" s="878" t="s">
        <v>1526</v>
      </c>
    </row>
    <row r="743" spans="1:36" x14ac:dyDescent="0.2">
      <c r="A743" s="490">
        <f>INDEX(Country!$F$31:$G$76, MATCH(AI743, Country!$O$31:$O$76, 0), 1)</f>
        <v>2.1099999999999977</v>
      </c>
      <c r="B743" s="387" t="str">
        <f>INDEX(Country!$F$31:$G$76, MATCH(AI743, Country!$O$31:$O$76, 0), 2)</f>
        <v>Green micro-borrowers</v>
      </c>
      <c r="C743" s="438" t="str">
        <f>INDEX(Country!$K$31:$K$76, MATCH(AI743, Country!$O$31:$O$76, 0), 1)</f>
        <v>Borrowers</v>
      </c>
      <c r="D743" s="32" t="str">
        <f t="shared" si="589"/>
        <v>Benchmark</v>
      </c>
      <c r="E743" s="365">
        <f>IFERROR(MAX(E717:E742), 0)</f>
        <v>33708</v>
      </c>
      <c r="F743" s="365">
        <f t="shared" ref="F743" si="592">IFERROR(MAX(F717:F742), 0)</f>
        <v>33708</v>
      </c>
      <c r="G743" s="365">
        <f t="shared" ref="G743" si="593">IFERROR(MAX(G717:G742), 0)</f>
        <v>33708</v>
      </c>
      <c r="H743" s="365">
        <f t="shared" ref="H743" si="594">IFERROR(MAX(H717:H742), 0)</f>
        <v>33708</v>
      </c>
      <c r="I743" s="365">
        <f t="shared" ref="I743" si="595">IFERROR(MAX(I717:I742), 0)</f>
        <v>33708</v>
      </c>
      <c r="J743" s="365">
        <f t="shared" ref="J743:K743" si="596">IFERROR(MAX(J717:J742), 0)</f>
        <v>33708</v>
      </c>
      <c r="K743" s="593">
        <f t="shared" si="596"/>
        <v>12590</v>
      </c>
      <c r="L743" s="585">
        <f t="shared" ref="L743:M743" si="597">MAX(Z717:Z742)</f>
        <v>631.5884151825868</v>
      </c>
      <c r="M743" s="463">
        <f t="shared" si="597"/>
        <v>626.85234779503662</v>
      </c>
      <c r="N743" s="463">
        <f t="shared" ref="N743" si="598">MAX(AB717:AB742)</f>
        <v>618.6784140969163</v>
      </c>
      <c r="O743" s="463">
        <f t="shared" ref="O743" si="599">MAX(AC717:AC742)</f>
        <v>610.82115518441196</v>
      </c>
      <c r="P743" s="463">
        <f t="shared" ref="P743" si="600">MAX(AD717:AD742)</f>
        <v>603.57572631940866</v>
      </c>
      <c r="Q743" s="463">
        <f t="shared" ref="Q743" si="601">MAX(AE717:AE742)</f>
        <v>603.57572631940866</v>
      </c>
      <c r="R743" s="586">
        <f t="shared" ref="R743" si="602">MAX(AF717:AF742)</f>
        <v>413.13906937061103</v>
      </c>
      <c r="S743" s="393" t="s">
        <v>3285</v>
      </c>
      <c r="T743" s="394"/>
      <c r="U743" s="376"/>
      <c r="V743" s="376"/>
      <c r="W743" s="376"/>
      <c r="X743" s="376"/>
      <c r="Y743" s="376"/>
      <c r="Z743" s="393"/>
      <c r="AA743" s="394"/>
      <c r="AB743" s="376"/>
      <c r="AC743" s="376"/>
      <c r="AD743" s="376"/>
      <c r="AE743" s="376"/>
      <c r="AF743" s="401"/>
      <c r="AG743" s="34" t="str">
        <f t="shared" si="588"/>
        <v>2.11 &gt; Benchmark</v>
      </c>
      <c r="AH743" s="85">
        <f t="shared" si="590"/>
        <v>729</v>
      </c>
      <c r="AI743" s="85">
        <f t="shared" si="591"/>
        <v>27</v>
      </c>
      <c r="AJ743" s="871" t="s">
        <v>1526</v>
      </c>
    </row>
    <row r="744" spans="1:36" x14ac:dyDescent="0.2">
      <c r="A744" s="587">
        <f>INDEX(Country!$F$31:$G$76, MATCH(AI744, Country!$O$31:$O$76, 0), 1)</f>
        <v>2.1199999999999974</v>
      </c>
      <c r="B744" s="588" t="str">
        <f>INDEX(Country!$F$31:$G$76, MATCH(AI744, Country!$O$31:$O$76, 0), 2)</f>
        <v>Average cost of green micro debt</v>
      </c>
      <c r="C744" s="589" t="str">
        <f>INDEX(Country!$K$31:$K$76, MATCH(AI744, Country!$O$31:$O$76, 0), 1)</f>
        <v>%</v>
      </c>
      <c r="D744" s="590" t="str">
        <f t="shared" si="589"/>
        <v>Argentina</v>
      </c>
      <c r="E744" s="616">
        <f>S744/100</f>
        <v>3.5000000000000003E-2</v>
      </c>
      <c r="F744" s="616">
        <f t="shared" ref="F744:K759" si="603">T744/100</f>
        <v>3.5000000000000003E-2</v>
      </c>
      <c r="G744" s="616">
        <f t="shared" si="603"/>
        <v>3.5000000000000003E-2</v>
      </c>
      <c r="H744" s="616">
        <f t="shared" si="603"/>
        <v>3.5000000000000003E-2</v>
      </c>
      <c r="I744" s="616">
        <f t="shared" si="603"/>
        <v>3.5000000000000003E-2</v>
      </c>
      <c r="J744" s="616">
        <f>X744/100</f>
        <v>3.5000000000000003E-2</v>
      </c>
      <c r="K744" s="617">
        <f>Y744/100</f>
        <v>0.03</v>
      </c>
      <c r="L744" s="580">
        <f t="shared" ref="L744:L775" si="604">IFERROR(dbl_BenchmarkMax*( SUMIFS(E$15:E$1256, $D$15:$D$1256, "Benchmark", $B$15:$B$1256,$B744)/E744), 0)</f>
        <v>74.285714285714292</v>
      </c>
      <c r="M744" s="581">
        <f t="shared" ref="M744:M775" si="605">IFERROR(dbl_BenchmarkMax*( SUMIFS(F$15:F$1256, $D$15:$D$1256, "Benchmark", $B$15:$B$1256,$B744)/F744), 0)</f>
        <v>74.285714285714292</v>
      </c>
      <c r="N744" s="581">
        <f t="shared" ref="N744:N807" si="606">IFERROR(dbl_BenchmarkMax*( SUMIFS(G$15:G$1256, $D$15:$D$1256, "Benchmark", $B$15:$B$1256,$B744)/G744), 0)</f>
        <v>74.285714285714292</v>
      </c>
      <c r="O744" s="581">
        <f t="shared" ref="O744:O807" si="607">IFERROR(dbl_BenchmarkMax*( SUMIFS(H$15:H$1256, $D$15:$D$1256, "Benchmark", $B$15:$B$1256,$B744)/H744), 0)</f>
        <v>74.285714285714292</v>
      </c>
      <c r="P744" s="581">
        <f t="shared" ref="P744:P807" si="608">IFERROR(dbl_BenchmarkMax*( SUMIFS(I$15:I$1256, $D$15:$D$1256, "Benchmark", $B$15:$B$1256,$B744)/I744), 0)</f>
        <v>74.285714285714292</v>
      </c>
      <c r="Q744" s="581">
        <f t="shared" ref="Q744:Q807" si="609">IFERROR(dbl_BenchmarkMax*( SUMIFS(J$15:J$1256, $D$15:$D$1256, "Benchmark", $B$15:$B$1256,$B744)/J744), 0)</f>
        <v>74.285714285714292</v>
      </c>
      <c r="R744" s="582">
        <f t="shared" ref="R744:R807" si="610">IFERROR(dbl_BenchmarkMax*( SUMIFS(K$15:K$1256, $D$15:$D$1256, "Benchmark", $B$15:$B$1256,$B744)/K744), 0)</f>
        <v>83.333333333333343</v>
      </c>
      <c r="S744" s="553">
        <f>T744</f>
        <v>3.5</v>
      </c>
      <c r="T744" s="377">
        <f t="shared" ref="T744:U744" si="611">U744</f>
        <v>3.5</v>
      </c>
      <c r="U744" s="377">
        <f t="shared" si="611"/>
        <v>3.5</v>
      </c>
      <c r="V744" s="43">
        <f>W744</f>
        <v>3.5</v>
      </c>
      <c r="W744" s="43">
        <f>X744</f>
        <v>3.5</v>
      </c>
      <c r="X744" s="43">
        <v>3.5</v>
      </c>
      <c r="Y744" s="368">
        <v>3</v>
      </c>
      <c r="Z744" s="455"/>
      <c r="AA744" s="456"/>
      <c r="AB744" s="456"/>
      <c r="AC744" s="456"/>
      <c r="AD744" s="456"/>
      <c r="AE744" s="456"/>
      <c r="AF744" s="456"/>
      <c r="AG744" s="396" t="str">
        <f t="shared" si="588"/>
        <v>2.12 &gt; Argentina</v>
      </c>
      <c r="AH744" s="397">
        <f t="shared" si="590"/>
        <v>730</v>
      </c>
      <c r="AI744" s="397">
        <f t="shared" si="591"/>
        <v>28</v>
      </c>
      <c r="AJ744" s="879" t="s">
        <v>1526</v>
      </c>
    </row>
    <row r="745" spans="1:36" x14ac:dyDescent="0.2">
      <c r="A745" s="492">
        <f>INDEX(Country!$F$31:$G$76, MATCH(AI745, Country!$O$31:$O$76, 0), 1)</f>
        <v>2.1199999999999974</v>
      </c>
      <c r="B745" s="2" t="str">
        <f>INDEX(Country!$F$31:$G$76, MATCH(AI745, Country!$O$31:$O$76, 0), 2)</f>
        <v>Average cost of green micro debt</v>
      </c>
      <c r="C745" s="436" t="str">
        <f>INDEX(Country!$K$31:$K$76, MATCH(AI745, Country!$O$31:$O$76, 0), 1)</f>
        <v>%</v>
      </c>
      <c r="D745" s="4" t="str">
        <f t="shared" si="589"/>
        <v>Bahamas</v>
      </c>
      <c r="E745" s="23">
        <f t="shared" ref="E745:E769" si="612">S745/100</f>
        <v>0</v>
      </c>
      <c r="F745" s="23">
        <f t="shared" si="603"/>
        <v>0</v>
      </c>
      <c r="G745" s="23">
        <f t="shared" si="603"/>
        <v>0</v>
      </c>
      <c r="H745" s="23">
        <f t="shared" si="603"/>
        <v>0</v>
      </c>
      <c r="I745" s="23">
        <f t="shared" si="603"/>
        <v>0</v>
      </c>
      <c r="J745" s="23">
        <f t="shared" si="603"/>
        <v>0</v>
      </c>
      <c r="K745" s="35">
        <f t="shared" si="603"/>
        <v>0</v>
      </c>
      <c r="L745" s="457">
        <f t="shared" si="604"/>
        <v>0</v>
      </c>
      <c r="M745" s="458">
        <f t="shared" si="605"/>
        <v>0</v>
      </c>
      <c r="N745" s="458">
        <f t="shared" si="606"/>
        <v>0</v>
      </c>
      <c r="O745" s="458">
        <f t="shared" si="607"/>
        <v>0</v>
      </c>
      <c r="P745" s="458">
        <f t="shared" si="608"/>
        <v>0</v>
      </c>
      <c r="Q745" s="458">
        <f t="shared" si="609"/>
        <v>0</v>
      </c>
      <c r="R745" s="459">
        <f t="shared" si="610"/>
        <v>0</v>
      </c>
      <c r="S745" s="554">
        <f t="shared" ref="S745:W760" si="613">T745</f>
        <v>0</v>
      </c>
      <c r="T745" s="43">
        <f t="shared" si="613"/>
        <v>0</v>
      </c>
      <c r="U745" s="43">
        <f t="shared" si="613"/>
        <v>0</v>
      </c>
      <c r="V745" s="43">
        <f t="shared" si="613"/>
        <v>0</v>
      </c>
      <c r="W745" s="43">
        <f t="shared" si="613"/>
        <v>0</v>
      </c>
      <c r="X745" s="43">
        <v>0</v>
      </c>
      <c r="Y745" s="101">
        <v>0</v>
      </c>
      <c r="Z745" s="455"/>
      <c r="AA745" s="456"/>
      <c r="AB745" s="456"/>
      <c r="AC745" s="456"/>
      <c r="AD745" s="456"/>
      <c r="AE745" s="456"/>
      <c r="AF745" s="456"/>
      <c r="AG745" s="33" t="str">
        <f t="shared" si="588"/>
        <v>2.12 &gt; Bahamas</v>
      </c>
      <c r="AH745" s="84">
        <f t="shared" si="590"/>
        <v>731</v>
      </c>
      <c r="AI745" s="84">
        <f t="shared" si="591"/>
        <v>28</v>
      </c>
      <c r="AJ745" s="877" t="s">
        <v>1526</v>
      </c>
    </row>
    <row r="746" spans="1:36" x14ac:dyDescent="0.2">
      <c r="A746" s="492">
        <f>INDEX(Country!$F$31:$G$76, MATCH(AI746, Country!$O$31:$O$76, 0), 1)</f>
        <v>2.1199999999999974</v>
      </c>
      <c r="B746" s="2" t="str">
        <f>INDEX(Country!$F$31:$G$76, MATCH(AI746, Country!$O$31:$O$76, 0), 2)</f>
        <v>Average cost of green micro debt</v>
      </c>
      <c r="C746" s="436" t="str">
        <f>INDEX(Country!$K$31:$K$76, MATCH(AI746, Country!$O$31:$O$76, 0), 1)</f>
        <v>%</v>
      </c>
      <c r="D746" s="4" t="str">
        <f t="shared" si="589"/>
        <v>Barbados</v>
      </c>
      <c r="E746" s="23">
        <f t="shared" si="612"/>
        <v>0</v>
      </c>
      <c r="F746" s="23">
        <f t="shared" si="603"/>
        <v>0</v>
      </c>
      <c r="G746" s="23">
        <f t="shared" si="603"/>
        <v>0</v>
      </c>
      <c r="H746" s="23">
        <f t="shared" si="603"/>
        <v>0</v>
      </c>
      <c r="I746" s="23">
        <f t="shared" si="603"/>
        <v>0</v>
      </c>
      <c r="J746" s="23">
        <f t="shared" si="603"/>
        <v>0</v>
      </c>
      <c r="K746" s="35">
        <f t="shared" si="603"/>
        <v>0</v>
      </c>
      <c r="L746" s="457">
        <f t="shared" si="604"/>
        <v>0</v>
      </c>
      <c r="M746" s="458">
        <f t="shared" si="605"/>
        <v>0</v>
      </c>
      <c r="N746" s="458">
        <f t="shared" si="606"/>
        <v>0</v>
      </c>
      <c r="O746" s="458">
        <f t="shared" si="607"/>
        <v>0</v>
      </c>
      <c r="P746" s="458">
        <f t="shared" si="608"/>
        <v>0</v>
      </c>
      <c r="Q746" s="458">
        <f t="shared" si="609"/>
        <v>0</v>
      </c>
      <c r="R746" s="459">
        <f t="shared" si="610"/>
        <v>0</v>
      </c>
      <c r="S746" s="554">
        <f t="shared" ref="S746:V746" si="614">T746</f>
        <v>0</v>
      </c>
      <c r="T746" s="43">
        <f t="shared" si="614"/>
        <v>0</v>
      </c>
      <c r="U746" s="43">
        <f t="shared" si="614"/>
        <v>0</v>
      </c>
      <c r="V746" s="43">
        <f t="shared" si="614"/>
        <v>0</v>
      </c>
      <c r="W746" s="43">
        <f t="shared" si="613"/>
        <v>0</v>
      </c>
      <c r="X746" s="43">
        <v>0</v>
      </c>
      <c r="Y746" s="101">
        <v>0</v>
      </c>
      <c r="Z746" s="455"/>
      <c r="AA746" s="456"/>
      <c r="AB746" s="456"/>
      <c r="AC746" s="456"/>
      <c r="AD746" s="456"/>
      <c r="AE746" s="456"/>
      <c r="AF746" s="456"/>
      <c r="AG746" s="33" t="str">
        <f t="shared" si="588"/>
        <v>2.12 &gt; Barbados</v>
      </c>
      <c r="AH746" s="84">
        <f t="shared" si="590"/>
        <v>732</v>
      </c>
      <c r="AI746" s="84">
        <f t="shared" si="591"/>
        <v>28</v>
      </c>
      <c r="AJ746" s="877" t="s">
        <v>1526</v>
      </c>
    </row>
    <row r="747" spans="1:36" x14ac:dyDescent="0.2">
      <c r="A747" s="492">
        <f>INDEX(Country!$F$31:$G$76, MATCH(AI747, Country!$O$31:$O$76, 0), 1)</f>
        <v>2.1199999999999974</v>
      </c>
      <c r="B747" s="2" t="str">
        <f>INDEX(Country!$F$31:$G$76, MATCH(AI747, Country!$O$31:$O$76, 0), 2)</f>
        <v>Average cost of green micro debt</v>
      </c>
      <c r="C747" s="436" t="str">
        <f>INDEX(Country!$K$31:$K$76, MATCH(AI747, Country!$O$31:$O$76, 0), 1)</f>
        <v>%</v>
      </c>
      <c r="D747" s="4" t="str">
        <f t="shared" si="589"/>
        <v>Belize</v>
      </c>
      <c r="E747" s="23">
        <f t="shared" ref="E747:E749" si="615">S747/100</f>
        <v>0</v>
      </c>
      <c r="F747" s="23">
        <f t="shared" si="603"/>
        <v>0</v>
      </c>
      <c r="G747" s="23">
        <f t="shared" si="603"/>
        <v>0</v>
      </c>
      <c r="H747" s="23">
        <f t="shared" si="603"/>
        <v>0</v>
      </c>
      <c r="I747" s="23">
        <f t="shared" si="603"/>
        <v>0</v>
      </c>
      <c r="J747" s="23">
        <f t="shared" si="603"/>
        <v>0</v>
      </c>
      <c r="K747" s="35">
        <f t="shared" si="603"/>
        <v>0</v>
      </c>
      <c r="L747" s="457">
        <f t="shared" si="604"/>
        <v>0</v>
      </c>
      <c r="M747" s="458">
        <f t="shared" si="605"/>
        <v>0</v>
      </c>
      <c r="N747" s="458">
        <f t="shared" si="606"/>
        <v>0</v>
      </c>
      <c r="O747" s="458">
        <f t="shared" si="607"/>
        <v>0</v>
      </c>
      <c r="P747" s="458">
        <f t="shared" si="608"/>
        <v>0</v>
      </c>
      <c r="Q747" s="458">
        <f t="shared" si="609"/>
        <v>0</v>
      </c>
      <c r="R747" s="459">
        <f t="shared" si="610"/>
        <v>0</v>
      </c>
      <c r="S747" s="554">
        <f t="shared" ref="S747:V747" si="616">T747</f>
        <v>0</v>
      </c>
      <c r="T747" s="43">
        <f t="shared" si="616"/>
        <v>0</v>
      </c>
      <c r="U747" s="43">
        <f t="shared" si="616"/>
        <v>0</v>
      </c>
      <c r="V747" s="43">
        <f t="shared" si="616"/>
        <v>0</v>
      </c>
      <c r="W747" s="43">
        <f t="shared" si="613"/>
        <v>0</v>
      </c>
      <c r="X747" s="43">
        <v>0</v>
      </c>
      <c r="Y747" s="101">
        <v>0</v>
      </c>
      <c r="Z747" s="455"/>
      <c r="AA747" s="456"/>
      <c r="AB747" s="456"/>
      <c r="AC747" s="456"/>
      <c r="AD747" s="456"/>
      <c r="AE747" s="456"/>
      <c r="AF747" s="456"/>
      <c r="AG747" s="33" t="str">
        <f t="shared" si="588"/>
        <v>2.12 &gt; Belize</v>
      </c>
      <c r="AH747" s="84">
        <f t="shared" si="590"/>
        <v>733</v>
      </c>
      <c r="AI747" s="84">
        <f t="shared" si="591"/>
        <v>28</v>
      </c>
      <c r="AJ747" s="877" t="s">
        <v>1526</v>
      </c>
    </row>
    <row r="748" spans="1:36" x14ac:dyDescent="0.2">
      <c r="A748" s="492">
        <f>INDEX(Country!$F$31:$G$76, MATCH(AI748, Country!$O$31:$O$76, 0), 1)</f>
        <v>2.1199999999999974</v>
      </c>
      <c r="B748" s="2" t="str">
        <f>INDEX(Country!$F$31:$G$76, MATCH(AI748, Country!$O$31:$O$76, 0), 2)</f>
        <v>Average cost of green micro debt</v>
      </c>
      <c r="C748" s="436" t="str">
        <f>INDEX(Country!$K$31:$K$76, MATCH(AI748, Country!$O$31:$O$76, 0), 1)</f>
        <v>%</v>
      </c>
      <c r="D748" s="4" t="str">
        <f t="shared" si="589"/>
        <v>Bolivia</v>
      </c>
      <c r="E748" s="23">
        <f t="shared" si="615"/>
        <v>0.09</v>
      </c>
      <c r="F748" s="23">
        <f t="shared" si="603"/>
        <v>0.09</v>
      </c>
      <c r="G748" s="23">
        <f t="shared" si="603"/>
        <v>0.09</v>
      </c>
      <c r="H748" s="23">
        <f t="shared" si="603"/>
        <v>0.09</v>
      </c>
      <c r="I748" s="23">
        <f t="shared" si="603"/>
        <v>0.09</v>
      </c>
      <c r="J748" s="23">
        <f t="shared" si="603"/>
        <v>0.09</v>
      </c>
      <c r="K748" s="35">
        <f t="shared" si="603"/>
        <v>0.12670000000000001</v>
      </c>
      <c r="L748" s="457">
        <f t="shared" si="604"/>
        <v>28.888888888888893</v>
      </c>
      <c r="M748" s="458">
        <f t="shared" si="605"/>
        <v>28.888888888888893</v>
      </c>
      <c r="N748" s="458">
        <f t="shared" si="606"/>
        <v>28.888888888888893</v>
      </c>
      <c r="O748" s="458">
        <f t="shared" si="607"/>
        <v>28.888888888888893</v>
      </c>
      <c r="P748" s="458">
        <f t="shared" si="608"/>
        <v>28.888888888888893</v>
      </c>
      <c r="Q748" s="458">
        <f t="shared" si="609"/>
        <v>28.888888888888893</v>
      </c>
      <c r="R748" s="459">
        <f t="shared" si="610"/>
        <v>19.731649565903709</v>
      </c>
      <c r="S748" s="554">
        <f t="shared" ref="S748:V748" si="617">T748</f>
        <v>9</v>
      </c>
      <c r="T748" s="43">
        <f t="shared" si="617"/>
        <v>9</v>
      </c>
      <c r="U748" s="43">
        <f t="shared" si="617"/>
        <v>9</v>
      </c>
      <c r="V748" s="43">
        <f t="shared" si="617"/>
        <v>9</v>
      </c>
      <c r="W748" s="43">
        <f t="shared" si="613"/>
        <v>9</v>
      </c>
      <c r="X748" s="43">
        <v>9</v>
      </c>
      <c r="Y748" s="101">
        <v>12.67</v>
      </c>
      <c r="Z748" s="455"/>
      <c r="AA748" s="456"/>
      <c r="AB748" s="456"/>
      <c r="AC748" s="456"/>
      <c r="AD748" s="456"/>
      <c r="AE748" s="456"/>
      <c r="AF748" s="456"/>
      <c r="AG748" s="33" t="str">
        <f t="shared" si="588"/>
        <v>2.12 &gt; Bolivia</v>
      </c>
      <c r="AH748" s="84">
        <f t="shared" si="590"/>
        <v>734</v>
      </c>
      <c r="AI748" s="84">
        <f t="shared" si="591"/>
        <v>28</v>
      </c>
      <c r="AJ748" s="877" t="s">
        <v>1526</v>
      </c>
    </row>
    <row r="749" spans="1:36" x14ac:dyDescent="0.2">
      <c r="A749" s="492">
        <f>INDEX(Country!$F$31:$G$76, MATCH(AI749, Country!$O$31:$O$76, 0), 1)</f>
        <v>2.1199999999999974</v>
      </c>
      <c r="B749" s="2" t="str">
        <f>INDEX(Country!$F$31:$G$76, MATCH(AI749, Country!$O$31:$O$76, 0), 2)</f>
        <v>Average cost of green micro debt</v>
      </c>
      <c r="C749" s="436" t="str">
        <f>INDEX(Country!$K$31:$K$76, MATCH(AI749, Country!$O$31:$O$76, 0), 1)</f>
        <v>%</v>
      </c>
      <c r="D749" s="4" t="str">
        <f t="shared" si="589"/>
        <v>Brazil</v>
      </c>
      <c r="E749" s="23">
        <f t="shared" si="615"/>
        <v>2.6000000000000002E-2</v>
      </c>
      <c r="F749" s="23">
        <f t="shared" si="603"/>
        <v>2.6000000000000002E-2</v>
      </c>
      <c r="G749" s="23">
        <f t="shared" si="603"/>
        <v>2.6000000000000002E-2</v>
      </c>
      <c r="H749" s="23">
        <f t="shared" si="603"/>
        <v>2.6000000000000002E-2</v>
      </c>
      <c r="I749" s="23">
        <f t="shared" si="603"/>
        <v>2.6000000000000002E-2</v>
      </c>
      <c r="J749" s="23">
        <f t="shared" si="603"/>
        <v>2.6000000000000002E-2</v>
      </c>
      <c r="K749" s="35">
        <f t="shared" si="603"/>
        <v>2.5000000000000001E-2</v>
      </c>
      <c r="L749" s="457">
        <f t="shared" si="604"/>
        <v>100</v>
      </c>
      <c r="M749" s="458">
        <f t="shared" si="605"/>
        <v>100</v>
      </c>
      <c r="N749" s="458">
        <f t="shared" si="606"/>
        <v>100</v>
      </c>
      <c r="O749" s="458">
        <f t="shared" si="607"/>
        <v>100</v>
      </c>
      <c r="P749" s="458">
        <f t="shared" si="608"/>
        <v>100</v>
      </c>
      <c r="Q749" s="458">
        <f t="shared" si="609"/>
        <v>100</v>
      </c>
      <c r="R749" s="459">
        <f t="shared" si="610"/>
        <v>100</v>
      </c>
      <c r="S749" s="554">
        <f t="shared" ref="S749:V749" si="618">T749</f>
        <v>2.6</v>
      </c>
      <c r="T749" s="43">
        <f t="shared" si="618"/>
        <v>2.6</v>
      </c>
      <c r="U749" s="43">
        <f t="shared" si="618"/>
        <v>2.6</v>
      </c>
      <c r="V749" s="43">
        <f t="shared" si="618"/>
        <v>2.6</v>
      </c>
      <c r="W749" s="43">
        <f t="shared" si="613"/>
        <v>2.6</v>
      </c>
      <c r="X749" s="43">
        <v>2.6</v>
      </c>
      <c r="Y749" s="101">
        <v>2.5</v>
      </c>
      <c r="Z749" s="455"/>
      <c r="AA749" s="456"/>
      <c r="AB749" s="456"/>
      <c r="AC749" s="456"/>
      <c r="AD749" s="456"/>
      <c r="AE749" s="456"/>
      <c r="AF749" s="456"/>
      <c r="AG749" s="33" t="str">
        <f t="shared" si="588"/>
        <v>2.12 &gt; Brazil</v>
      </c>
      <c r="AH749" s="84">
        <f t="shared" si="590"/>
        <v>735</v>
      </c>
      <c r="AI749" s="84">
        <f t="shared" si="591"/>
        <v>28</v>
      </c>
      <c r="AJ749" s="877" t="s">
        <v>1526</v>
      </c>
    </row>
    <row r="750" spans="1:36" x14ac:dyDescent="0.2">
      <c r="A750" s="492">
        <f>INDEX(Country!$F$31:$G$76, MATCH(AI750, Country!$O$31:$O$76, 0), 1)</f>
        <v>2.1199999999999974</v>
      </c>
      <c r="B750" s="2" t="str">
        <f>INDEX(Country!$F$31:$G$76, MATCH(AI750, Country!$O$31:$O$76, 0), 2)</f>
        <v>Average cost of green micro debt</v>
      </c>
      <c r="C750" s="436" t="str">
        <f>INDEX(Country!$K$31:$K$76, MATCH(AI750, Country!$O$31:$O$76, 0), 1)</f>
        <v>%</v>
      </c>
      <c r="D750" s="4" t="str">
        <f t="shared" si="589"/>
        <v>Chile</v>
      </c>
      <c r="E750" s="23">
        <f t="shared" si="612"/>
        <v>0</v>
      </c>
      <c r="F750" s="23">
        <f t="shared" si="603"/>
        <v>0</v>
      </c>
      <c r="G750" s="23">
        <f t="shared" si="603"/>
        <v>0</v>
      </c>
      <c r="H750" s="23">
        <f t="shared" si="603"/>
        <v>0</v>
      </c>
      <c r="I750" s="23">
        <f t="shared" si="603"/>
        <v>0</v>
      </c>
      <c r="J750" s="23">
        <f t="shared" si="603"/>
        <v>0</v>
      </c>
      <c r="K750" s="35">
        <f t="shared" si="603"/>
        <v>0.14499999999999999</v>
      </c>
      <c r="L750" s="457">
        <f t="shared" si="604"/>
        <v>0</v>
      </c>
      <c r="M750" s="458">
        <f t="shared" si="605"/>
        <v>0</v>
      </c>
      <c r="N750" s="458">
        <f t="shared" si="606"/>
        <v>0</v>
      </c>
      <c r="O750" s="458">
        <f t="shared" si="607"/>
        <v>0</v>
      </c>
      <c r="P750" s="458">
        <f t="shared" si="608"/>
        <v>0</v>
      </c>
      <c r="Q750" s="458">
        <f t="shared" si="609"/>
        <v>0</v>
      </c>
      <c r="R750" s="459">
        <f t="shared" si="610"/>
        <v>17.241379310344829</v>
      </c>
      <c r="S750" s="554">
        <f t="shared" ref="S750:V750" si="619">T750</f>
        <v>0</v>
      </c>
      <c r="T750" s="43">
        <f t="shared" si="619"/>
        <v>0</v>
      </c>
      <c r="U750" s="43">
        <f t="shared" si="619"/>
        <v>0</v>
      </c>
      <c r="V750" s="43">
        <f t="shared" si="619"/>
        <v>0</v>
      </c>
      <c r="W750" s="43">
        <f t="shared" si="613"/>
        <v>0</v>
      </c>
      <c r="X750" s="43">
        <v>0</v>
      </c>
      <c r="Y750" s="101">
        <v>14.5</v>
      </c>
      <c r="Z750" s="455"/>
      <c r="AA750" s="456"/>
      <c r="AB750" s="456"/>
      <c r="AC750" s="456"/>
      <c r="AD750" s="456"/>
      <c r="AE750" s="456"/>
      <c r="AF750" s="456"/>
      <c r="AG750" s="33" t="str">
        <f t="shared" si="588"/>
        <v>2.12 &gt; Chile</v>
      </c>
      <c r="AH750" s="84">
        <f t="shared" si="590"/>
        <v>736</v>
      </c>
      <c r="AI750" s="84">
        <f t="shared" si="591"/>
        <v>28</v>
      </c>
      <c r="AJ750" s="877" t="s">
        <v>1526</v>
      </c>
    </row>
    <row r="751" spans="1:36" x14ac:dyDescent="0.2">
      <c r="A751" s="492">
        <f>INDEX(Country!$F$31:$G$76, MATCH(AI751, Country!$O$31:$O$76, 0), 1)</f>
        <v>2.1199999999999974</v>
      </c>
      <c r="B751" s="2" t="str">
        <f>INDEX(Country!$F$31:$G$76, MATCH(AI751, Country!$O$31:$O$76, 0), 2)</f>
        <v>Average cost of green micro debt</v>
      </c>
      <c r="C751" s="436" t="str">
        <f>INDEX(Country!$K$31:$K$76, MATCH(AI751, Country!$O$31:$O$76, 0), 1)</f>
        <v>%</v>
      </c>
      <c r="D751" s="4" t="str">
        <f t="shared" si="589"/>
        <v>Colombia</v>
      </c>
      <c r="E751" s="23">
        <f t="shared" si="612"/>
        <v>0</v>
      </c>
      <c r="F751" s="23">
        <f t="shared" si="603"/>
        <v>0</v>
      </c>
      <c r="G751" s="23">
        <f t="shared" si="603"/>
        <v>0</v>
      </c>
      <c r="H751" s="23">
        <f t="shared" si="603"/>
        <v>0</v>
      </c>
      <c r="I751" s="23">
        <f t="shared" si="603"/>
        <v>0</v>
      </c>
      <c r="J751" s="23">
        <f t="shared" si="603"/>
        <v>0</v>
      </c>
      <c r="K751" s="35">
        <f t="shared" si="603"/>
        <v>0</v>
      </c>
      <c r="L751" s="457">
        <f t="shared" si="604"/>
        <v>0</v>
      </c>
      <c r="M751" s="458">
        <f t="shared" si="605"/>
        <v>0</v>
      </c>
      <c r="N751" s="458">
        <f t="shared" si="606"/>
        <v>0</v>
      </c>
      <c r="O751" s="458">
        <f t="shared" si="607"/>
        <v>0</v>
      </c>
      <c r="P751" s="458">
        <f t="shared" si="608"/>
        <v>0</v>
      </c>
      <c r="Q751" s="458">
        <f t="shared" si="609"/>
        <v>0</v>
      </c>
      <c r="R751" s="459">
        <f t="shared" si="610"/>
        <v>0</v>
      </c>
      <c r="S751" s="554">
        <f t="shared" ref="S751:V751" si="620">T751</f>
        <v>0</v>
      </c>
      <c r="T751" s="43">
        <f t="shared" si="620"/>
        <v>0</v>
      </c>
      <c r="U751" s="43">
        <f t="shared" si="620"/>
        <v>0</v>
      </c>
      <c r="V751" s="43">
        <f t="shared" si="620"/>
        <v>0</v>
      </c>
      <c r="W751" s="43">
        <f t="shared" si="613"/>
        <v>0</v>
      </c>
      <c r="X751" s="43">
        <v>0</v>
      </c>
      <c r="Y751" s="101">
        <v>0</v>
      </c>
      <c r="Z751" s="455"/>
      <c r="AA751" s="456"/>
      <c r="AB751" s="456"/>
      <c r="AC751" s="456"/>
      <c r="AD751" s="456"/>
      <c r="AE751" s="456"/>
      <c r="AF751" s="456"/>
      <c r="AG751" s="33" t="str">
        <f t="shared" si="588"/>
        <v>2.12 &gt; Colombia</v>
      </c>
      <c r="AH751" s="84">
        <f t="shared" si="590"/>
        <v>737</v>
      </c>
      <c r="AI751" s="84">
        <f t="shared" si="591"/>
        <v>28</v>
      </c>
      <c r="AJ751" s="877" t="s">
        <v>1526</v>
      </c>
    </row>
    <row r="752" spans="1:36" x14ac:dyDescent="0.2">
      <c r="A752" s="492">
        <f>INDEX(Country!$F$31:$G$76, MATCH(AI752, Country!$O$31:$O$76, 0), 1)</f>
        <v>2.1199999999999974</v>
      </c>
      <c r="B752" s="2" t="str">
        <f>INDEX(Country!$F$31:$G$76, MATCH(AI752, Country!$O$31:$O$76, 0), 2)</f>
        <v>Average cost of green micro debt</v>
      </c>
      <c r="C752" s="436" t="str">
        <f>INDEX(Country!$K$31:$K$76, MATCH(AI752, Country!$O$31:$O$76, 0), 1)</f>
        <v>%</v>
      </c>
      <c r="D752" s="4" t="str">
        <f t="shared" si="589"/>
        <v>Costa Rica</v>
      </c>
      <c r="E752" s="23">
        <f t="shared" si="612"/>
        <v>0</v>
      </c>
      <c r="F752" s="23">
        <f t="shared" si="603"/>
        <v>0</v>
      </c>
      <c r="G752" s="23">
        <f t="shared" si="603"/>
        <v>0</v>
      </c>
      <c r="H752" s="23">
        <f t="shared" si="603"/>
        <v>0</v>
      </c>
      <c r="I752" s="23">
        <f t="shared" si="603"/>
        <v>0</v>
      </c>
      <c r="J752" s="23">
        <f t="shared" si="603"/>
        <v>0</v>
      </c>
      <c r="K752" s="35">
        <f t="shared" si="603"/>
        <v>0.13800000000000001</v>
      </c>
      <c r="L752" s="457">
        <f t="shared" si="604"/>
        <v>0</v>
      </c>
      <c r="M752" s="458">
        <f t="shared" si="605"/>
        <v>0</v>
      </c>
      <c r="N752" s="458">
        <f t="shared" si="606"/>
        <v>0</v>
      </c>
      <c r="O752" s="458">
        <f t="shared" si="607"/>
        <v>0</v>
      </c>
      <c r="P752" s="458">
        <f t="shared" si="608"/>
        <v>0</v>
      </c>
      <c r="Q752" s="458">
        <f t="shared" si="609"/>
        <v>0</v>
      </c>
      <c r="R752" s="459">
        <f t="shared" si="610"/>
        <v>18.115942028985508</v>
      </c>
      <c r="S752" s="554">
        <f t="shared" ref="S752:V752" si="621">T752</f>
        <v>0</v>
      </c>
      <c r="T752" s="43">
        <f t="shared" si="621"/>
        <v>0</v>
      </c>
      <c r="U752" s="43">
        <f t="shared" si="621"/>
        <v>0</v>
      </c>
      <c r="V752" s="43">
        <f t="shared" si="621"/>
        <v>0</v>
      </c>
      <c r="W752" s="43">
        <f t="shared" si="613"/>
        <v>0</v>
      </c>
      <c r="X752" s="43">
        <v>0</v>
      </c>
      <c r="Y752" s="101">
        <v>13.8</v>
      </c>
      <c r="Z752" s="455"/>
      <c r="AA752" s="456"/>
      <c r="AB752" s="456"/>
      <c r="AC752" s="456"/>
      <c r="AD752" s="456"/>
      <c r="AE752" s="456"/>
      <c r="AF752" s="456"/>
      <c r="AG752" s="33" t="str">
        <f t="shared" si="588"/>
        <v>2.12 &gt; Costa Rica</v>
      </c>
      <c r="AH752" s="84">
        <f t="shared" si="590"/>
        <v>738</v>
      </c>
      <c r="AI752" s="84">
        <f t="shared" si="591"/>
        <v>28</v>
      </c>
      <c r="AJ752" s="877" t="s">
        <v>1526</v>
      </c>
    </row>
    <row r="753" spans="1:36" x14ac:dyDescent="0.2">
      <c r="A753" s="492">
        <f>INDEX(Country!$F$31:$G$76, MATCH(AI753, Country!$O$31:$O$76, 0), 1)</f>
        <v>2.1199999999999974</v>
      </c>
      <c r="B753" s="2" t="str">
        <f>INDEX(Country!$F$31:$G$76, MATCH(AI753, Country!$O$31:$O$76, 0), 2)</f>
        <v>Average cost of green micro debt</v>
      </c>
      <c r="C753" s="436" t="str">
        <f>INDEX(Country!$K$31:$K$76, MATCH(AI753, Country!$O$31:$O$76, 0), 1)</f>
        <v>%</v>
      </c>
      <c r="D753" s="4" t="str">
        <f t="shared" si="589"/>
        <v>Dominican Republic</v>
      </c>
      <c r="E753" s="23">
        <f t="shared" si="612"/>
        <v>0</v>
      </c>
      <c r="F753" s="23">
        <f t="shared" si="603"/>
        <v>0</v>
      </c>
      <c r="G753" s="23">
        <f t="shared" si="603"/>
        <v>0</v>
      </c>
      <c r="H753" s="23">
        <f t="shared" si="603"/>
        <v>0</v>
      </c>
      <c r="I753" s="23">
        <f t="shared" si="603"/>
        <v>0</v>
      </c>
      <c r="J753" s="23">
        <f t="shared" si="603"/>
        <v>0</v>
      </c>
      <c r="K753" s="35">
        <f t="shared" si="603"/>
        <v>0.106</v>
      </c>
      <c r="L753" s="457">
        <f t="shared" si="604"/>
        <v>0</v>
      </c>
      <c r="M753" s="458">
        <f t="shared" si="605"/>
        <v>0</v>
      </c>
      <c r="N753" s="458">
        <f t="shared" si="606"/>
        <v>0</v>
      </c>
      <c r="O753" s="458">
        <f t="shared" si="607"/>
        <v>0</v>
      </c>
      <c r="P753" s="458">
        <f t="shared" si="608"/>
        <v>0</v>
      </c>
      <c r="Q753" s="458">
        <f t="shared" si="609"/>
        <v>0</v>
      </c>
      <c r="R753" s="459">
        <f t="shared" si="610"/>
        <v>23.584905660377363</v>
      </c>
      <c r="S753" s="554">
        <f t="shared" ref="S753:V753" si="622">T753</f>
        <v>0</v>
      </c>
      <c r="T753" s="43">
        <f t="shared" si="622"/>
        <v>0</v>
      </c>
      <c r="U753" s="43">
        <f t="shared" si="622"/>
        <v>0</v>
      </c>
      <c r="V753" s="43">
        <f t="shared" si="622"/>
        <v>0</v>
      </c>
      <c r="W753" s="43">
        <f t="shared" si="613"/>
        <v>0</v>
      </c>
      <c r="X753" s="43">
        <v>0</v>
      </c>
      <c r="Y753" s="101">
        <v>10.6</v>
      </c>
      <c r="Z753" s="455"/>
      <c r="AA753" s="456"/>
      <c r="AB753" s="456"/>
      <c r="AC753" s="456"/>
      <c r="AD753" s="456"/>
      <c r="AE753" s="456"/>
      <c r="AF753" s="456"/>
      <c r="AG753" s="33" t="str">
        <f t="shared" si="588"/>
        <v>2.12 &gt; Dominican Republic</v>
      </c>
      <c r="AH753" s="84">
        <f t="shared" si="590"/>
        <v>739</v>
      </c>
      <c r="AI753" s="84">
        <f t="shared" si="591"/>
        <v>28</v>
      </c>
      <c r="AJ753" s="877" t="s">
        <v>1526</v>
      </c>
    </row>
    <row r="754" spans="1:36" x14ac:dyDescent="0.2">
      <c r="A754" s="492">
        <f>INDEX(Country!$F$31:$G$76, MATCH(AI754, Country!$O$31:$O$76, 0), 1)</f>
        <v>2.1199999999999974</v>
      </c>
      <c r="B754" s="2" t="str">
        <f>INDEX(Country!$F$31:$G$76, MATCH(AI754, Country!$O$31:$O$76, 0), 2)</f>
        <v>Average cost of green micro debt</v>
      </c>
      <c r="C754" s="436" t="str">
        <f>INDEX(Country!$K$31:$K$76, MATCH(AI754, Country!$O$31:$O$76, 0), 1)</f>
        <v>%</v>
      </c>
      <c r="D754" s="4" t="str">
        <f t="shared" si="589"/>
        <v>Ecuador</v>
      </c>
      <c r="E754" s="23">
        <f t="shared" si="612"/>
        <v>0</v>
      </c>
      <c r="F754" s="23">
        <f t="shared" si="603"/>
        <v>0</v>
      </c>
      <c r="G754" s="23">
        <f t="shared" si="603"/>
        <v>0</v>
      </c>
      <c r="H754" s="23">
        <f t="shared" si="603"/>
        <v>0</v>
      </c>
      <c r="I754" s="23">
        <f t="shared" si="603"/>
        <v>0</v>
      </c>
      <c r="J754" s="23">
        <f t="shared" si="603"/>
        <v>0</v>
      </c>
      <c r="K754" s="35">
        <f t="shared" si="603"/>
        <v>0.155</v>
      </c>
      <c r="L754" s="457">
        <f t="shared" si="604"/>
        <v>0</v>
      </c>
      <c r="M754" s="458">
        <f t="shared" si="605"/>
        <v>0</v>
      </c>
      <c r="N754" s="458">
        <f t="shared" si="606"/>
        <v>0</v>
      </c>
      <c r="O754" s="458">
        <f t="shared" si="607"/>
        <v>0</v>
      </c>
      <c r="P754" s="458">
        <f t="shared" si="608"/>
        <v>0</v>
      </c>
      <c r="Q754" s="458">
        <f t="shared" si="609"/>
        <v>0</v>
      </c>
      <c r="R754" s="459">
        <f t="shared" si="610"/>
        <v>16.12903225806452</v>
      </c>
      <c r="S754" s="554">
        <f t="shared" ref="S754:V754" si="623">T754</f>
        <v>0</v>
      </c>
      <c r="T754" s="43">
        <f t="shared" si="623"/>
        <v>0</v>
      </c>
      <c r="U754" s="43">
        <f t="shared" si="623"/>
        <v>0</v>
      </c>
      <c r="V754" s="43">
        <f t="shared" si="623"/>
        <v>0</v>
      </c>
      <c r="W754" s="43">
        <f t="shared" si="613"/>
        <v>0</v>
      </c>
      <c r="X754" s="43">
        <v>0</v>
      </c>
      <c r="Y754" s="101">
        <v>15.5</v>
      </c>
      <c r="Z754" s="455"/>
      <c r="AA754" s="456"/>
      <c r="AB754" s="456"/>
      <c r="AC754" s="456"/>
      <c r="AD754" s="456"/>
      <c r="AE754" s="456"/>
      <c r="AF754" s="456"/>
      <c r="AG754" s="33" t="str">
        <f t="shared" si="588"/>
        <v>2.12 &gt; Ecuador</v>
      </c>
      <c r="AH754" s="84">
        <f t="shared" si="590"/>
        <v>740</v>
      </c>
      <c r="AI754" s="84">
        <f t="shared" si="591"/>
        <v>28</v>
      </c>
      <c r="AJ754" s="877" t="s">
        <v>1526</v>
      </c>
    </row>
    <row r="755" spans="1:36" x14ac:dyDescent="0.2">
      <c r="A755" s="492">
        <f>INDEX(Country!$F$31:$G$76, MATCH(AI755, Country!$O$31:$O$76, 0), 1)</f>
        <v>2.1199999999999974</v>
      </c>
      <c r="B755" s="2" t="str">
        <f>INDEX(Country!$F$31:$G$76, MATCH(AI755, Country!$O$31:$O$76, 0), 2)</f>
        <v>Average cost of green micro debt</v>
      </c>
      <c r="C755" s="436" t="str">
        <f>INDEX(Country!$K$31:$K$76, MATCH(AI755, Country!$O$31:$O$76, 0), 1)</f>
        <v>%</v>
      </c>
      <c r="D755" s="4" t="str">
        <f t="shared" si="589"/>
        <v>El Salvador</v>
      </c>
      <c r="E755" s="23">
        <f t="shared" si="612"/>
        <v>0.11</v>
      </c>
      <c r="F755" s="23">
        <f t="shared" si="603"/>
        <v>0.11</v>
      </c>
      <c r="G755" s="23">
        <f t="shared" si="603"/>
        <v>0.11</v>
      </c>
      <c r="H755" s="23">
        <f t="shared" si="603"/>
        <v>0.11</v>
      </c>
      <c r="I755" s="23">
        <f t="shared" si="603"/>
        <v>0.11</v>
      </c>
      <c r="J755" s="23">
        <f t="shared" si="603"/>
        <v>0.11</v>
      </c>
      <c r="K755" s="35">
        <f t="shared" si="603"/>
        <v>0.1</v>
      </c>
      <c r="L755" s="457">
        <f t="shared" si="604"/>
        <v>23.63636363636364</v>
      </c>
      <c r="M755" s="458">
        <f t="shared" si="605"/>
        <v>23.63636363636364</v>
      </c>
      <c r="N755" s="458">
        <f t="shared" si="606"/>
        <v>23.63636363636364</v>
      </c>
      <c r="O755" s="458">
        <f t="shared" si="607"/>
        <v>23.63636363636364</v>
      </c>
      <c r="P755" s="458">
        <f t="shared" si="608"/>
        <v>23.63636363636364</v>
      </c>
      <c r="Q755" s="458">
        <f t="shared" si="609"/>
        <v>23.63636363636364</v>
      </c>
      <c r="R755" s="459">
        <f t="shared" si="610"/>
        <v>25</v>
      </c>
      <c r="S755" s="554">
        <f t="shared" ref="S755:V755" si="624">T755</f>
        <v>11</v>
      </c>
      <c r="T755" s="43">
        <f t="shared" si="624"/>
        <v>11</v>
      </c>
      <c r="U755" s="43">
        <f t="shared" si="624"/>
        <v>11</v>
      </c>
      <c r="V755" s="43">
        <f t="shared" si="624"/>
        <v>11</v>
      </c>
      <c r="W755" s="43">
        <f t="shared" si="613"/>
        <v>11</v>
      </c>
      <c r="X755" s="43">
        <v>11</v>
      </c>
      <c r="Y755" s="101">
        <v>10</v>
      </c>
      <c r="Z755" s="455"/>
      <c r="AA755" s="456"/>
      <c r="AB755" s="456"/>
      <c r="AC755" s="456"/>
      <c r="AD755" s="456"/>
      <c r="AE755" s="456"/>
      <c r="AF755" s="456"/>
      <c r="AG755" s="33" t="str">
        <f t="shared" si="588"/>
        <v>2.12 &gt; El Salvador</v>
      </c>
      <c r="AH755" s="84">
        <f t="shared" si="590"/>
        <v>741</v>
      </c>
      <c r="AI755" s="84">
        <f t="shared" si="591"/>
        <v>28</v>
      </c>
      <c r="AJ755" s="877" t="s">
        <v>1526</v>
      </c>
    </row>
    <row r="756" spans="1:36" x14ac:dyDescent="0.2">
      <c r="A756" s="492">
        <f>INDEX(Country!$F$31:$G$76, MATCH(AI756, Country!$O$31:$O$76, 0), 1)</f>
        <v>2.1199999999999974</v>
      </c>
      <c r="B756" s="2" t="str">
        <f>INDEX(Country!$F$31:$G$76, MATCH(AI756, Country!$O$31:$O$76, 0), 2)</f>
        <v>Average cost of green micro debt</v>
      </c>
      <c r="C756" s="436" t="str">
        <f>INDEX(Country!$K$31:$K$76, MATCH(AI756, Country!$O$31:$O$76, 0), 1)</f>
        <v>%</v>
      </c>
      <c r="D756" s="4" t="str">
        <f t="shared" si="589"/>
        <v>Guatemala</v>
      </c>
      <c r="E756" s="23">
        <f t="shared" si="612"/>
        <v>0</v>
      </c>
      <c r="F756" s="23">
        <f t="shared" si="603"/>
        <v>0</v>
      </c>
      <c r="G756" s="23">
        <f t="shared" si="603"/>
        <v>0</v>
      </c>
      <c r="H756" s="23">
        <f t="shared" si="603"/>
        <v>0</v>
      </c>
      <c r="I756" s="23">
        <f t="shared" si="603"/>
        <v>0</v>
      </c>
      <c r="J756" s="23">
        <f t="shared" si="603"/>
        <v>0</v>
      </c>
      <c r="K756" s="35">
        <f t="shared" si="603"/>
        <v>0.13769999999999999</v>
      </c>
      <c r="L756" s="457">
        <f t="shared" si="604"/>
        <v>0</v>
      </c>
      <c r="M756" s="458">
        <f t="shared" si="605"/>
        <v>0</v>
      </c>
      <c r="N756" s="458">
        <f t="shared" si="606"/>
        <v>0</v>
      </c>
      <c r="O756" s="458">
        <f t="shared" si="607"/>
        <v>0</v>
      </c>
      <c r="P756" s="458">
        <f t="shared" si="608"/>
        <v>0</v>
      </c>
      <c r="Q756" s="458">
        <f t="shared" si="609"/>
        <v>0</v>
      </c>
      <c r="R756" s="459">
        <f t="shared" si="610"/>
        <v>18.155410312273059</v>
      </c>
      <c r="S756" s="554">
        <f t="shared" ref="S756:V756" si="625">T756</f>
        <v>0</v>
      </c>
      <c r="T756" s="43">
        <f t="shared" si="625"/>
        <v>0</v>
      </c>
      <c r="U756" s="43">
        <f t="shared" si="625"/>
        <v>0</v>
      </c>
      <c r="V756" s="43">
        <f t="shared" si="625"/>
        <v>0</v>
      </c>
      <c r="W756" s="43">
        <f t="shared" si="613"/>
        <v>0</v>
      </c>
      <c r="X756" s="43">
        <v>0</v>
      </c>
      <c r="Y756" s="101">
        <v>13.77</v>
      </c>
      <c r="Z756" s="455"/>
      <c r="AA756" s="456"/>
      <c r="AB756" s="456"/>
      <c r="AC756" s="456"/>
      <c r="AD756" s="456"/>
      <c r="AE756" s="456"/>
      <c r="AF756" s="456"/>
      <c r="AG756" s="33" t="str">
        <f t="shared" si="588"/>
        <v>2.12 &gt; Guatemala</v>
      </c>
      <c r="AH756" s="84">
        <f t="shared" si="590"/>
        <v>742</v>
      </c>
      <c r="AI756" s="84">
        <f t="shared" si="591"/>
        <v>28</v>
      </c>
      <c r="AJ756" s="877" t="s">
        <v>1526</v>
      </c>
    </row>
    <row r="757" spans="1:36" x14ac:dyDescent="0.2">
      <c r="A757" s="492">
        <f>INDEX(Country!$F$31:$G$76, MATCH(AI757, Country!$O$31:$O$76, 0), 1)</f>
        <v>2.1199999999999974</v>
      </c>
      <c r="B757" s="2" t="str">
        <f>INDEX(Country!$F$31:$G$76, MATCH(AI757, Country!$O$31:$O$76, 0), 2)</f>
        <v>Average cost of green micro debt</v>
      </c>
      <c r="C757" s="436" t="str">
        <f>INDEX(Country!$K$31:$K$76, MATCH(AI757, Country!$O$31:$O$76, 0), 1)</f>
        <v>%</v>
      </c>
      <c r="D757" s="4" t="str">
        <f t="shared" si="589"/>
        <v>Guyana</v>
      </c>
      <c r="E757" s="23">
        <f t="shared" si="612"/>
        <v>0</v>
      </c>
      <c r="F757" s="23">
        <f t="shared" si="603"/>
        <v>0</v>
      </c>
      <c r="G757" s="23">
        <f t="shared" si="603"/>
        <v>0</v>
      </c>
      <c r="H757" s="23">
        <f t="shared" si="603"/>
        <v>0</v>
      </c>
      <c r="I757" s="23">
        <f t="shared" si="603"/>
        <v>0</v>
      </c>
      <c r="J757" s="23">
        <f t="shared" si="603"/>
        <v>0</v>
      </c>
      <c r="K757" s="35">
        <f t="shared" si="603"/>
        <v>0</v>
      </c>
      <c r="L757" s="457">
        <f t="shared" si="604"/>
        <v>0</v>
      </c>
      <c r="M757" s="458">
        <f t="shared" si="605"/>
        <v>0</v>
      </c>
      <c r="N757" s="458">
        <f t="shared" si="606"/>
        <v>0</v>
      </c>
      <c r="O757" s="458">
        <f t="shared" si="607"/>
        <v>0</v>
      </c>
      <c r="P757" s="458">
        <f t="shared" si="608"/>
        <v>0</v>
      </c>
      <c r="Q757" s="458">
        <f t="shared" si="609"/>
        <v>0</v>
      </c>
      <c r="R757" s="459">
        <f t="shared" si="610"/>
        <v>0</v>
      </c>
      <c r="S757" s="554">
        <f t="shared" ref="S757:V757" si="626">T757</f>
        <v>0</v>
      </c>
      <c r="T757" s="43">
        <f t="shared" si="626"/>
        <v>0</v>
      </c>
      <c r="U757" s="43">
        <f t="shared" si="626"/>
        <v>0</v>
      </c>
      <c r="V757" s="43">
        <f t="shared" si="626"/>
        <v>0</v>
      </c>
      <c r="W757" s="43">
        <f t="shared" si="613"/>
        <v>0</v>
      </c>
      <c r="X757" s="43">
        <v>0</v>
      </c>
      <c r="Y757" s="101">
        <v>0</v>
      </c>
      <c r="Z757" s="455"/>
      <c r="AA757" s="456"/>
      <c r="AB757" s="456"/>
      <c r="AC757" s="456"/>
      <c r="AD757" s="456"/>
      <c r="AE757" s="456"/>
      <c r="AF757" s="456"/>
      <c r="AG757" s="33" t="str">
        <f t="shared" si="588"/>
        <v>2.12 &gt; Guyana</v>
      </c>
      <c r="AH757" s="84">
        <f t="shared" si="590"/>
        <v>743</v>
      </c>
      <c r="AI757" s="84">
        <f t="shared" si="591"/>
        <v>28</v>
      </c>
      <c r="AJ757" s="877" t="s">
        <v>1526</v>
      </c>
    </row>
    <row r="758" spans="1:36" x14ac:dyDescent="0.2">
      <c r="A758" s="492">
        <f>INDEX(Country!$F$31:$G$76, MATCH(AI758, Country!$O$31:$O$76, 0), 1)</f>
        <v>2.1199999999999974</v>
      </c>
      <c r="B758" s="2" t="str">
        <f>INDEX(Country!$F$31:$G$76, MATCH(AI758, Country!$O$31:$O$76, 0), 2)</f>
        <v>Average cost of green micro debt</v>
      </c>
      <c r="C758" s="436" t="str">
        <f>INDEX(Country!$K$31:$K$76, MATCH(AI758, Country!$O$31:$O$76, 0), 1)</f>
        <v>%</v>
      </c>
      <c r="D758" s="4" t="str">
        <f t="shared" si="589"/>
        <v>Haiti</v>
      </c>
      <c r="E758" s="23">
        <f t="shared" si="612"/>
        <v>0</v>
      </c>
      <c r="F758" s="23">
        <f t="shared" si="603"/>
        <v>0</v>
      </c>
      <c r="G758" s="23">
        <f t="shared" si="603"/>
        <v>0</v>
      </c>
      <c r="H758" s="23">
        <f t="shared" si="603"/>
        <v>0</v>
      </c>
      <c r="I758" s="23">
        <f t="shared" si="603"/>
        <v>0</v>
      </c>
      <c r="J758" s="23">
        <f t="shared" si="603"/>
        <v>0</v>
      </c>
      <c r="K758" s="35">
        <f t="shared" si="603"/>
        <v>0</v>
      </c>
      <c r="L758" s="457">
        <f t="shared" si="604"/>
        <v>0</v>
      </c>
      <c r="M758" s="458">
        <f t="shared" si="605"/>
        <v>0</v>
      </c>
      <c r="N758" s="458">
        <f t="shared" si="606"/>
        <v>0</v>
      </c>
      <c r="O758" s="458">
        <f t="shared" si="607"/>
        <v>0</v>
      </c>
      <c r="P758" s="458">
        <f t="shared" si="608"/>
        <v>0</v>
      </c>
      <c r="Q758" s="458">
        <f t="shared" si="609"/>
        <v>0</v>
      </c>
      <c r="R758" s="459">
        <f t="shared" si="610"/>
        <v>0</v>
      </c>
      <c r="S758" s="554">
        <f t="shared" ref="S758:V758" si="627">T758</f>
        <v>0</v>
      </c>
      <c r="T758" s="43">
        <f t="shared" si="627"/>
        <v>0</v>
      </c>
      <c r="U758" s="43">
        <f t="shared" si="627"/>
        <v>0</v>
      </c>
      <c r="V758" s="43">
        <f t="shared" si="627"/>
        <v>0</v>
      </c>
      <c r="W758" s="43">
        <f t="shared" si="613"/>
        <v>0</v>
      </c>
      <c r="X758" s="43">
        <v>0</v>
      </c>
      <c r="Y758" s="101">
        <v>0</v>
      </c>
      <c r="Z758" s="455"/>
      <c r="AA758" s="456"/>
      <c r="AB758" s="456"/>
      <c r="AC758" s="456"/>
      <c r="AD758" s="456"/>
      <c r="AE758" s="456"/>
      <c r="AF758" s="456"/>
      <c r="AG758" s="33" t="str">
        <f t="shared" si="588"/>
        <v>2.12 &gt; Haiti</v>
      </c>
      <c r="AH758" s="84">
        <f t="shared" si="590"/>
        <v>744</v>
      </c>
      <c r="AI758" s="84">
        <f t="shared" si="591"/>
        <v>28</v>
      </c>
      <c r="AJ758" s="877" t="s">
        <v>1526</v>
      </c>
    </row>
    <row r="759" spans="1:36" x14ac:dyDescent="0.2">
      <c r="A759" s="492">
        <f>INDEX(Country!$F$31:$G$76, MATCH(AI759, Country!$O$31:$O$76, 0), 1)</f>
        <v>2.1199999999999974</v>
      </c>
      <c r="B759" s="2" t="str">
        <f>INDEX(Country!$F$31:$G$76, MATCH(AI759, Country!$O$31:$O$76, 0), 2)</f>
        <v>Average cost of green micro debt</v>
      </c>
      <c r="C759" s="436" t="str">
        <f>INDEX(Country!$K$31:$K$76, MATCH(AI759, Country!$O$31:$O$76, 0), 1)</f>
        <v>%</v>
      </c>
      <c r="D759" s="4" t="str">
        <f t="shared" si="589"/>
        <v>Honduras</v>
      </c>
      <c r="E759" s="23">
        <f t="shared" si="612"/>
        <v>0</v>
      </c>
      <c r="F759" s="23">
        <f t="shared" si="603"/>
        <v>0</v>
      </c>
      <c r="G759" s="23">
        <f t="shared" si="603"/>
        <v>0</v>
      </c>
      <c r="H759" s="23">
        <f t="shared" si="603"/>
        <v>0</v>
      </c>
      <c r="I759" s="23">
        <f t="shared" si="603"/>
        <v>0</v>
      </c>
      <c r="J759" s="23">
        <f t="shared" si="603"/>
        <v>0</v>
      </c>
      <c r="K759" s="35">
        <f t="shared" si="603"/>
        <v>0.17670000000000002</v>
      </c>
      <c r="L759" s="457">
        <f t="shared" si="604"/>
        <v>0</v>
      </c>
      <c r="M759" s="458">
        <f t="shared" si="605"/>
        <v>0</v>
      </c>
      <c r="N759" s="458">
        <f t="shared" si="606"/>
        <v>0</v>
      </c>
      <c r="O759" s="458">
        <f t="shared" si="607"/>
        <v>0</v>
      </c>
      <c r="P759" s="458">
        <f t="shared" si="608"/>
        <v>0</v>
      </c>
      <c r="Q759" s="458">
        <f t="shared" si="609"/>
        <v>0</v>
      </c>
      <c r="R759" s="459">
        <f t="shared" si="610"/>
        <v>14.148273910582907</v>
      </c>
      <c r="S759" s="554">
        <f t="shared" ref="S759:V759" si="628">T759</f>
        <v>0</v>
      </c>
      <c r="T759" s="43">
        <f t="shared" si="628"/>
        <v>0</v>
      </c>
      <c r="U759" s="43">
        <f t="shared" si="628"/>
        <v>0</v>
      </c>
      <c r="V759" s="43">
        <f t="shared" si="628"/>
        <v>0</v>
      </c>
      <c r="W759" s="43">
        <f t="shared" si="613"/>
        <v>0</v>
      </c>
      <c r="X759" s="43">
        <v>0</v>
      </c>
      <c r="Y759" s="101">
        <v>17.670000000000002</v>
      </c>
      <c r="Z759" s="455"/>
      <c r="AA759" s="456"/>
      <c r="AB759" s="456"/>
      <c r="AC759" s="456"/>
      <c r="AD759" s="456"/>
      <c r="AE759" s="456"/>
      <c r="AF759" s="456"/>
      <c r="AG759" s="33" t="str">
        <f t="shared" si="588"/>
        <v>2.12 &gt; Honduras</v>
      </c>
      <c r="AH759" s="84">
        <f t="shared" si="590"/>
        <v>745</v>
      </c>
      <c r="AI759" s="84">
        <f t="shared" si="591"/>
        <v>28</v>
      </c>
      <c r="AJ759" s="877" t="s">
        <v>1526</v>
      </c>
    </row>
    <row r="760" spans="1:36" x14ac:dyDescent="0.2">
      <c r="A760" s="492">
        <f>INDEX(Country!$F$31:$G$76, MATCH(AI760, Country!$O$31:$O$76, 0), 1)</f>
        <v>2.1199999999999974</v>
      </c>
      <c r="B760" s="2" t="str">
        <f>INDEX(Country!$F$31:$G$76, MATCH(AI760, Country!$O$31:$O$76, 0), 2)</f>
        <v>Average cost of green micro debt</v>
      </c>
      <c r="C760" s="436" t="str">
        <f>INDEX(Country!$K$31:$K$76, MATCH(AI760, Country!$O$31:$O$76, 0), 1)</f>
        <v>%</v>
      </c>
      <c r="D760" s="4" t="str">
        <f t="shared" si="589"/>
        <v>Jamaica</v>
      </c>
      <c r="E760" s="23">
        <f t="shared" si="612"/>
        <v>0</v>
      </c>
      <c r="F760" s="23">
        <f t="shared" ref="F760:F769" si="629">T760/100</f>
        <v>0</v>
      </c>
      <c r="G760" s="23">
        <f t="shared" ref="G760:G769" si="630">U760/100</f>
        <v>0</v>
      </c>
      <c r="H760" s="23">
        <f t="shared" ref="H760:H769" si="631">V760/100</f>
        <v>0</v>
      </c>
      <c r="I760" s="23">
        <f t="shared" ref="I760:I769" si="632">W760/100</f>
        <v>0</v>
      </c>
      <c r="J760" s="23">
        <f t="shared" ref="J760:K769" si="633">X760/100</f>
        <v>0</v>
      </c>
      <c r="K760" s="35">
        <f t="shared" si="633"/>
        <v>0</v>
      </c>
      <c r="L760" s="457">
        <f t="shared" si="604"/>
        <v>0</v>
      </c>
      <c r="M760" s="458">
        <f t="shared" si="605"/>
        <v>0</v>
      </c>
      <c r="N760" s="458">
        <f t="shared" si="606"/>
        <v>0</v>
      </c>
      <c r="O760" s="458">
        <f t="shared" si="607"/>
        <v>0</v>
      </c>
      <c r="P760" s="458">
        <f t="shared" si="608"/>
        <v>0</v>
      </c>
      <c r="Q760" s="458">
        <f t="shared" si="609"/>
        <v>0</v>
      </c>
      <c r="R760" s="459">
        <f t="shared" si="610"/>
        <v>0</v>
      </c>
      <c r="S760" s="554">
        <f t="shared" ref="S760:V760" si="634">T760</f>
        <v>0</v>
      </c>
      <c r="T760" s="43">
        <f t="shared" si="634"/>
        <v>0</v>
      </c>
      <c r="U760" s="43">
        <f t="shared" si="634"/>
        <v>0</v>
      </c>
      <c r="V760" s="43">
        <f t="shared" si="634"/>
        <v>0</v>
      </c>
      <c r="W760" s="43">
        <f t="shared" si="613"/>
        <v>0</v>
      </c>
      <c r="X760" s="43">
        <v>0</v>
      </c>
      <c r="Y760" s="101">
        <v>0</v>
      </c>
      <c r="Z760" s="455"/>
      <c r="AA760" s="456"/>
      <c r="AB760" s="456"/>
      <c r="AC760" s="456"/>
      <c r="AD760" s="456"/>
      <c r="AE760" s="456"/>
      <c r="AF760" s="456"/>
      <c r="AG760" s="33" t="str">
        <f t="shared" si="588"/>
        <v>2.12 &gt; Jamaica</v>
      </c>
      <c r="AH760" s="84">
        <f t="shared" si="590"/>
        <v>746</v>
      </c>
      <c r="AI760" s="84">
        <f t="shared" si="591"/>
        <v>28</v>
      </c>
      <c r="AJ760" s="877" t="s">
        <v>1526</v>
      </c>
    </row>
    <row r="761" spans="1:36" x14ac:dyDescent="0.2">
      <c r="A761" s="492">
        <f>INDEX(Country!$F$31:$G$76, MATCH(AI761, Country!$O$31:$O$76, 0), 1)</f>
        <v>2.1199999999999974</v>
      </c>
      <c r="B761" s="2" t="str">
        <f>INDEX(Country!$F$31:$G$76, MATCH(AI761, Country!$O$31:$O$76, 0), 2)</f>
        <v>Average cost of green micro debt</v>
      </c>
      <c r="C761" s="436" t="str">
        <f>INDEX(Country!$K$31:$K$76, MATCH(AI761, Country!$O$31:$O$76, 0), 1)</f>
        <v>%</v>
      </c>
      <c r="D761" s="4" t="str">
        <f t="shared" si="589"/>
        <v>Mexico</v>
      </c>
      <c r="E761" s="23">
        <f t="shared" si="612"/>
        <v>0.1</v>
      </c>
      <c r="F761" s="23">
        <f t="shared" si="629"/>
        <v>0.1</v>
      </c>
      <c r="G761" s="23">
        <f t="shared" si="630"/>
        <v>0.1</v>
      </c>
      <c r="H761" s="23">
        <f t="shared" si="631"/>
        <v>0.1</v>
      </c>
      <c r="I761" s="23">
        <f t="shared" si="632"/>
        <v>0.1</v>
      </c>
      <c r="J761" s="23">
        <f t="shared" si="633"/>
        <v>0.1</v>
      </c>
      <c r="K761" s="35">
        <f t="shared" si="633"/>
        <v>0.19800000000000001</v>
      </c>
      <c r="L761" s="457">
        <f t="shared" si="604"/>
        <v>26</v>
      </c>
      <c r="M761" s="458">
        <f t="shared" si="605"/>
        <v>26</v>
      </c>
      <c r="N761" s="458">
        <f t="shared" si="606"/>
        <v>26</v>
      </c>
      <c r="O761" s="458">
        <f t="shared" si="607"/>
        <v>26</v>
      </c>
      <c r="P761" s="458">
        <f t="shared" si="608"/>
        <v>26</v>
      </c>
      <c r="Q761" s="458">
        <f t="shared" si="609"/>
        <v>26</v>
      </c>
      <c r="R761" s="459">
        <f t="shared" si="610"/>
        <v>12.626262626262626</v>
      </c>
      <c r="S761" s="554">
        <f t="shared" ref="S761:W769" si="635">T761</f>
        <v>10</v>
      </c>
      <c r="T761" s="43">
        <f t="shared" si="635"/>
        <v>10</v>
      </c>
      <c r="U761" s="43">
        <f t="shared" si="635"/>
        <v>10</v>
      </c>
      <c r="V761" s="43">
        <f t="shared" si="635"/>
        <v>10</v>
      </c>
      <c r="W761" s="43">
        <f t="shared" si="635"/>
        <v>10</v>
      </c>
      <c r="X761" s="43">
        <v>10</v>
      </c>
      <c r="Y761" s="101">
        <v>19.8</v>
      </c>
      <c r="Z761" s="455"/>
      <c r="AA761" s="456"/>
      <c r="AB761" s="456"/>
      <c r="AC761" s="456"/>
      <c r="AD761" s="456"/>
      <c r="AE761" s="456"/>
      <c r="AF761" s="456"/>
      <c r="AG761" s="33" t="str">
        <f t="shared" si="588"/>
        <v>2.12 &gt; Mexico</v>
      </c>
      <c r="AH761" s="84">
        <f t="shared" si="590"/>
        <v>747</v>
      </c>
      <c r="AI761" s="84">
        <f t="shared" si="591"/>
        <v>28</v>
      </c>
      <c r="AJ761" s="877" t="s">
        <v>1526</v>
      </c>
    </row>
    <row r="762" spans="1:36" x14ac:dyDescent="0.2">
      <c r="A762" s="492">
        <f>INDEX(Country!$F$31:$G$76, MATCH(AI762, Country!$O$31:$O$76, 0), 1)</f>
        <v>2.1199999999999974</v>
      </c>
      <c r="B762" s="2" t="str">
        <f>INDEX(Country!$F$31:$G$76, MATCH(AI762, Country!$O$31:$O$76, 0), 2)</f>
        <v>Average cost of green micro debt</v>
      </c>
      <c r="C762" s="436" t="str">
        <f>INDEX(Country!$K$31:$K$76, MATCH(AI762, Country!$O$31:$O$76, 0), 1)</f>
        <v>%</v>
      </c>
      <c r="D762" s="4" t="str">
        <f t="shared" si="589"/>
        <v>Nicaragua</v>
      </c>
      <c r="E762" s="23">
        <f t="shared" si="612"/>
        <v>0.13200000000000001</v>
      </c>
      <c r="F762" s="23">
        <f t="shared" si="629"/>
        <v>0.13200000000000001</v>
      </c>
      <c r="G762" s="23">
        <f t="shared" si="630"/>
        <v>0.13200000000000001</v>
      </c>
      <c r="H762" s="23">
        <f t="shared" si="631"/>
        <v>0.13200000000000001</v>
      </c>
      <c r="I762" s="23">
        <f t="shared" si="632"/>
        <v>0.13200000000000001</v>
      </c>
      <c r="J762" s="23">
        <f t="shared" si="633"/>
        <v>0.13200000000000001</v>
      </c>
      <c r="K762" s="35">
        <f t="shared" si="633"/>
        <v>0.16940000000000002</v>
      </c>
      <c r="L762" s="457">
        <f t="shared" si="604"/>
        <v>19.696969696969699</v>
      </c>
      <c r="M762" s="458">
        <f t="shared" si="605"/>
        <v>19.696969696969699</v>
      </c>
      <c r="N762" s="458">
        <f t="shared" si="606"/>
        <v>19.696969696969699</v>
      </c>
      <c r="O762" s="458">
        <f t="shared" si="607"/>
        <v>19.696969696969699</v>
      </c>
      <c r="P762" s="458">
        <f t="shared" si="608"/>
        <v>19.696969696969699</v>
      </c>
      <c r="Q762" s="458">
        <f t="shared" si="609"/>
        <v>19.696969696969699</v>
      </c>
      <c r="R762" s="459">
        <f t="shared" si="610"/>
        <v>14.757969303423849</v>
      </c>
      <c r="S762" s="554">
        <f t="shared" ref="S762:V762" si="636">T762</f>
        <v>13.2</v>
      </c>
      <c r="T762" s="43">
        <f t="shared" si="636"/>
        <v>13.2</v>
      </c>
      <c r="U762" s="43">
        <f t="shared" si="636"/>
        <v>13.2</v>
      </c>
      <c r="V762" s="43">
        <f t="shared" si="636"/>
        <v>13.2</v>
      </c>
      <c r="W762" s="43">
        <f t="shared" si="635"/>
        <v>13.2</v>
      </c>
      <c r="X762" s="43">
        <v>13.2</v>
      </c>
      <c r="Y762" s="101">
        <v>16.940000000000001</v>
      </c>
      <c r="Z762" s="455"/>
      <c r="AA762" s="456"/>
      <c r="AB762" s="456"/>
      <c r="AC762" s="456"/>
      <c r="AD762" s="456"/>
      <c r="AE762" s="456"/>
      <c r="AF762" s="456"/>
      <c r="AG762" s="33" t="str">
        <f t="shared" si="588"/>
        <v>2.12 &gt; Nicaragua</v>
      </c>
      <c r="AH762" s="84">
        <f t="shared" si="590"/>
        <v>748</v>
      </c>
      <c r="AI762" s="84">
        <f t="shared" si="591"/>
        <v>28</v>
      </c>
      <c r="AJ762" s="877" t="s">
        <v>1526</v>
      </c>
    </row>
    <row r="763" spans="1:36" x14ac:dyDescent="0.2">
      <c r="A763" s="492">
        <f>INDEX(Country!$F$31:$G$76, MATCH(AI763, Country!$O$31:$O$76, 0), 1)</f>
        <v>2.1199999999999974</v>
      </c>
      <c r="B763" s="2" t="str">
        <f>INDEX(Country!$F$31:$G$76, MATCH(AI763, Country!$O$31:$O$76, 0), 2)</f>
        <v>Average cost of green micro debt</v>
      </c>
      <c r="C763" s="436" t="str">
        <f>INDEX(Country!$K$31:$K$76, MATCH(AI763, Country!$O$31:$O$76, 0), 1)</f>
        <v>%</v>
      </c>
      <c r="D763" s="4" t="str">
        <f t="shared" si="589"/>
        <v>Panama</v>
      </c>
      <c r="E763" s="23">
        <f t="shared" si="612"/>
        <v>0</v>
      </c>
      <c r="F763" s="23">
        <f t="shared" si="629"/>
        <v>0</v>
      </c>
      <c r="G763" s="23">
        <f t="shared" si="630"/>
        <v>0</v>
      </c>
      <c r="H763" s="23">
        <f t="shared" si="631"/>
        <v>0</v>
      </c>
      <c r="I763" s="23">
        <f t="shared" si="632"/>
        <v>0</v>
      </c>
      <c r="J763" s="23">
        <f t="shared" si="633"/>
        <v>0</v>
      </c>
      <c r="K763" s="35">
        <f t="shared" si="633"/>
        <v>0.14000000000000001</v>
      </c>
      <c r="L763" s="457">
        <f t="shared" si="604"/>
        <v>0</v>
      </c>
      <c r="M763" s="458">
        <f t="shared" si="605"/>
        <v>0</v>
      </c>
      <c r="N763" s="458">
        <f t="shared" si="606"/>
        <v>0</v>
      </c>
      <c r="O763" s="458">
        <f t="shared" si="607"/>
        <v>0</v>
      </c>
      <c r="P763" s="458">
        <f t="shared" si="608"/>
        <v>0</v>
      </c>
      <c r="Q763" s="458">
        <f t="shared" si="609"/>
        <v>0</v>
      </c>
      <c r="R763" s="459">
        <f t="shared" si="610"/>
        <v>17.857142857142858</v>
      </c>
      <c r="S763" s="554">
        <f t="shared" ref="S763:V763" si="637">T763</f>
        <v>0</v>
      </c>
      <c r="T763" s="43">
        <f t="shared" si="637"/>
        <v>0</v>
      </c>
      <c r="U763" s="43">
        <f t="shared" si="637"/>
        <v>0</v>
      </c>
      <c r="V763" s="43">
        <f t="shared" si="637"/>
        <v>0</v>
      </c>
      <c r="W763" s="43">
        <f t="shared" si="635"/>
        <v>0</v>
      </c>
      <c r="X763" s="43">
        <v>0</v>
      </c>
      <c r="Y763" s="101">
        <v>14</v>
      </c>
      <c r="Z763" s="455"/>
      <c r="AA763" s="456"/>
      <c r="AB763" s="456"/>
      <c r="AC763" s="456"/>
      <c r="AD763" s="456"/>
      <c r="AE763" s="456"/>
      <c r="AF763" s="456"/>
      <c r="AG763" s="33" t="str">
        <f t="shared" si="588"/>
        <v>2.12 &gt; Panama</v>
      </c>
      <c r="AH763" s="84">
        <f t="shared" si="590"/>
        <v>749</v>
      </c>
      <c r="AI763" s="84">
        <f t="shared" si="591"/>
        <v>28</v>
      </c>
      <c r="AJ763" s="877" t="s">
        <v>1526</v>
      </c>
    </row>
    <row r="764" spans="1:36" x14ac:dyDescent="0.2">
      <c r="A764" s="492">
        <f>INDEX(Country!$F$31:$G$76, MATCH(AI764, Country!$O$31:$O$76, 0), 1)</f>
        <v>2.1199999999999974</v>
      </c>
      <c r="B764" s="2" t="str">
        <f>INDEX(Country!$F$31:$G$76, MATCH(AI764, Country!$O$31:$O$76, 0), 2)</f>
        <v>Average cost of green micro debt</v>
      </c>
      <c r="C764" s="436" t="str">
        <f>INDEX(Country!$K$31:$K$76, MATCH(AI764, Country!$O$31:$O$76, 0), 1)</f>
        <v>%</v>
      </c>
      <c r="D764" s="4" t="str">
        <f t="shared" si="589"/>
        <v>Paraguay</v>
      </c>
      <c r="E764" s="23">
        <f t="shared" si="612"/>
        <v>0.215</v>
      </c>
      <c r="F764" s="23">
        <f t="shared" si="629"/>
        <v>0.215</v>
      </c>
      <c r="G764" s="23">
        <f t="shared" si="630"/>
        <v>0.215</v>
      </c>
      <c r="H764" s="23">
        <f t="shared" si="631"/>
        <v>0.215</v>
      </c>
      <c r="I764" s="23">
        <f t="shared" si="632"/>
        <v>0.215</v>
      </c>
      <c r="J764" s="23">
        <f t="shared" si="633"/>
        <v>0.215</v>
      </c>
      <c r="K764" s="35">
        <f t="shared" si="633"/>
        <v>0.25170000000000003</v>
      </c>
      <c r="L764" s="457">
        <f t="shared" si="604"/>
        <v>12.093023255813955</v>
      </c>
      <c r="M764" s="458">
        <f t="shared" si="605"/>
        <v>12.093023255813955</v>
      </c>
      <c r="N764" s="458">
        <f t="shared" si="606"/>
        <v>12.093023255813955</v>
      </c>
      <c r="O764" s="458">
        <f t="shared" si="607"/>
        <v>12.093023255813955</v>
      </c>
      <c r="P764" s="458">
        <f t="shared" si="608"/>
        <v>12.093023255813955</v>
      </c>
      <c r="Q764" s="458">
        <f t="shared" si="609"/>
        <v>12.093023255813955</v>
      </c>
      <c r="R764" s="459">
        <f t="shared" si="610"/>
        <v>9.9324592769169637</v>
      </c>
      <c r="S764" s="554">
        <f t="shared" ref="S764:V764" si="638">T764</f>
        <v>21.5</v>
      </c>
      <c r="T764" s="43">
        <f t="shared" si="638"/>
        <v>21.5</v>
      </c>
      <c r="U764" s="43">
        <f t="shared" si="638"/>
        <v>21.5</v>
      </c>
      <c r="V764" s="43">
        <f t="shared" si="638"/>
        <v>21.5</v>
      </c>
      <c r="W764" s="43">
        <f t="shared" si="635"/>
        <v>21.5</v>
      </c>
      <c r="X764" s="43">
        <v>21.5</v>
      </c>
      <c r="Y764" s="101">
        <v>25.17</v>
      </c>
      <c r="Z764" s="455"/>
      <c r="AA764" s="456"/>
      <c r="AB764" s="456"/>
      <c r="AC764" s="456"/>
      <c r="AD764" s="456"/>
      <c r="AE764" s="456"/>
      <c r="AF764" s="456"/>
      <c r="AG764" s="33" t="str">
        <f t="shared" si="588"/>
        <v>2.12 &gt; Paraguay</v>
      </c>
      <c r="AH764" s="84">
        <f t="shared" si="590"/>
        <v>750</v>
      </c>
      <c r="AI764" s="84">
        <f t="shared" si="591"/>
        <v>28</v>
      </c>
      <c r="AJ764" s="877" t="s">
        <v>1526</v>
      </c>
    </row>
    <row r="765" spans="1:36" x14ac:dyDescent="0.2">
      <c r="A765" s="492">
        <f>INDEX(Country!$F$31:$G$76, MATCH(AI765, Country!$O$31:$O$76, 0), 1)</f>
        <v>2.1199999999999974</v>
      </c>
      <c r="B765" s="2" t="str">
        <f>INDEX(Country!$F$31:$G$76, MATCH(AI765, Country!$O$31:$O$76, 0), 2)</f>
        <v>Average cost of green micro debt</v>
      </c>
      <c r="C765" s="436" t="str">
        <f>INDEX(Country!$K$31:$K$76, MATCH(AI765, Country!$O$31:$O$76, 0), 1)</f>
        <v>%</v>
      </c>
      <c r="D765" s="4" t="str">
        <f t="shared" si="589"/>
        <v>Peru</v>
      </c>
      <c r="E765" s="23">
        <f t="shared" si="612"/>
        <v>0.10249999999999999</v>
      </c>
      <c r="F765" s="23">
        <f t="shared" si="629"/>
        <v>0.10249999999999999</v>
      </c>
      <c r="G765" s="23">
        <f t="shared" si="630"/>
        <v>0.10249999999999999</v>
      </c>
      <c r="H765" s="23">
        <f t="shared" si="631"/>
        <v>0.10249999999999999</v>
      </c>
      <c r="I765" s="23">
        <f t="shared" si="632"/>
        <v>0.10249999999999999</v>
      </c>
      <c r="J765" s="23">
        <f t="shared" si="633"/>
        <v>0.10249999999999999</v>
      </c>
      <c r="K765" s="35">
        <f t="shared" si="633"/>
        <v>0.17319999999999999</v>
      </c>
      <c r="L765" s="457">
        <f t="shared" si="604"/>
        <v>25.36585365853659</v>
      </c>
      <c r="M765" s="458">
        <f t="shared" si="605"/>
        <v>25.36585365853659</v>
      </c>
      <c r="N765" s="458">
        <f t="shared" si="606"/>
        <v>25.36585365853659</v>
      </c>
      <c r="O765" s="458">
        <f t="shared" si="607"/>
        <v>25.36585365853659</v>
      </c>
      <c r="P765" s="458">
        <f t="shared" si="608"/>
        <v>25.36585365853659</v>
      </c>
      <c r="Q765" s="458">
        <f t="shared" si="609"/>
        <v>25.36585365853659</v>
      </c>
      <c r="R765" s="459">
        <f t="shared" si="610"/>
        <v>14.434180138568131</v>
      </c>
      <c r="S765" s="554">
        <f t="shared" ref="S765:V765" si="639">T765</f>
        <v>10.25</v>
      </c>
      <c r="T765" s="43">
        <f t="shared" si="639"/>
        <v>10.25</v>
      </c>
      <c r="U765" s="43">
        <f t="shared" si="639"/>
        <v>10.25</v>
      </c>
      <c r="V765" s="43">
        <f t="shared" si="639"/>
        <v>10.25</v>
      </c>
      <c r="W765" s="43">
        <f t="shared" si="635"/>
        <v>10.25</v>
      </c>
      <c r="X765" s="43">
        <v>10.25</v>
      </c>
      <c r="Y765" s="101">
        <v>17.32</v>
      </c>
      <c r="Z765" s="455"/>
      <c r="AA765" s="456"/>
      <c r="AB765" s="456"/>
      <c r="AC765" s="456"/>
      <c r="AD765" s="456"/>
      <c r="AE765" s="456"/>
      <c r="AF765" s="456"/>
      <c r="AG765" s="33" t="str">
        <f t="shared" si="588"/>
        <v>2.12 &gt; Peru</v>
      </c>
      <c r="AH765" s="84">
        <f t="shared" si="590"/>
        <v>751</v>
      </c>
      <c r="AI765" s="84">
        <f t="shared" si="591"/>
        <v>28</v>
      </c>
      <c r="AJ765" s="877" t="s">
        <v>1526</v>
      </c>
    </row>
    <row r="766" spans="1:36" x14ac:dyDescent="0.2">
      <c r="A766" s="492">
        <f>INDEX(Country!$F$31:$G$76, MATCH(AI766, Country!$O$31:$O$76, 0), 1)</f>
        <v>2.1199999999999974</v>
      </c>
      <c r="B766" s="2" t="str">
        <f>INDEX(Country!$F$31:$G$76, MATCH(AI766, Country!$O$31:$O$76, 0), 2)</f>
        <v>Average cost of green micro debt</v>
      </c>
      <c r="C766" s="436" t="str">
        <f>INDEX(Country!$K$31:$K$76, MATCH(AI766, Country!$O$31:$O$76, 0), 1)</f>
        <v>%</v>
      </c>
      <c r="D766" s="4" t="str">
        <f t="shared" si="589"/>
        <v>Suriname</v>
      </c>
      <c r="E766" s="23">
        <f t="shared" si="612"/>
        <v>0</v>
      </c>
      <c r="F766" s="23">
        <f t="shared" si="629"/>
        <v>0</v>
      </c>
      <c r="G766" s="23">
        <f t="shared" si="630"/>
        <v>0</v>
      </c>
      <c r="H766" s="23">
        <f t="shared" si="631"/>
        <v>0</v>
      </c>
      <c r="I766" s="23">
        <f t="shared" si="632"/>
        <v>0</v>
      </c>
      <c r="J766" s="23">
        <f t="shared" si="633"/>
        <v>0</v>
      </c>
      <c r="K766" s="35">
        <f t="shared" si="633"/>
        <v>0</v>
      </c>
      <c r="L766" s="457">
        <f t="shared" si="604"/>
        <v>0</v>
      </c>
      <c r="M766" s="458">
        <f t="shared" si="605"/>
        <v>0</v>
      </c>
      <c r="N766" s="458">
        <f t="shared" si="606"/>
        <v>0</v>
      </c>
      <c r="O766" s="458">
        <f t="shared" si="607"/>
        <v>0</v>
      </c>
      <c r="P766" s="458">
        <f t="shared" si="608"/>
        <v>0</v>
      </c>
      <c r="Q766" s="458">
        <f t="shared" si="609"/>
        <v>0</v>
      </c>
      <c r="R766" s="459">
        <f t="shared" si="610"/>
        <v>0</v>
      </c>
      <c r="S766" s="554">
        <f t="shared" ref="S766:V766" si="640">T766</f>
        <v>0</v>
      </c>
      <c r="T766" s="43">
        <f t="shared" si="640"/>
        <v>0</v>
      </c>
      <c r="U766" s="43">
        <f t="shared" si="640"/>
        <v>0</v>
      </c>
      <c r="V766" s="43">
        <f t="shared" si="640"/>
        <v>0</v>
      </c>
      <c r="W766" s="43">
        <f t="shared" si="635"/>
        <v>0</v>
      </c>
      <c r="X766" s="43">
        <v>0</v>
      </c>
      <c r="Y766" s="101">
        <v>0</v>
      </c>
      <c r="Z766" s="455"/>
      <c r="AA766" s="456"/>
      <c r="AB766" s="456"/>
      <c r="AC766" s="456"/>
      <c r="AD766" s="456"/>
      <c r="AE766" s="456"/>
      <c r="AF766" s="456"/>
      <c r="AG766" s="33" t="str">
        <f t="shared" si="588"/>
        <v>2.12 &gt; Suriname</v>
      </c>
      <c r="AH766" s="84">
        <f t="shared" si="590"/>
        <v>752</v>
      </c>
      <c r="AI766" s="84">
        <f t="shared" si="591"/>
        <v>28</v>
      </c>
      <c r="AJ766" s="877" t="s">
        <v>1526</v>
      </c>
    </row>
    <row r="767" spans="1:36" x14ac:dyDescent="0.2">
      <c r="A767" s="492">
        <f>INDEX(Country!$F$31:$G$76, MATCH(AI767, Country!$O$31:$O$76, 0), 1)</f>
        <v>2.1199999999999974</v>
      </c>
      <c r="B767" s="2" t="str">
        <f>INDEX(Country!$F$31:$G$76, MATCH(AI767, Country!$O$31:$O$76, 0), 2)</f>
        <v>Average cost of green micro debt</v>
      </c>
      <c r="C767" s="436" t="str">
        <f>INDEX(Country!$K$31:$K$76, MATCH(AI767, Country!$O$31:$O$76, 0), 1)</f>
        <v>%</v>
      </c>
      <c r="D767" s="4" t="str">
        <f t="shared" si="589"/>
        <v>Trinidad &amp; Tobago</v>
      </c>
      <c r="E767" s="23">
        <f t="shared" si="612"/>
        <v>0</v>
      </c>
      <c r="F767" s="23">
        <f t="shared" si="629"/>
        <v>0</v>
      </c>
      <c r="G767" s="23">
        <f t="shared" si="630"/>
        <v>0</v>
      </c>
      <c r="H767" s="23">
        <f t="shared" si="631"/>
        <v>0</v>
      </c>
      <c r="I767" s="23">
        <f t="shared" si="632"/>
        <v>0</v>
      </c>
      <c r="J767" s="23">
        <f t="shared" si="633"/>
        <v>0</v>
      </c>
      <c r="K767" s="35">
        <f t="shared" si="633"/>
        <v>0</v>
      </c>
      <c r="L767" s="457">
        <f t="shared" si="604"/>
        <v>0</v>
      </c>
      <c r="M767" s="458">
        <f t="shared" si="605"/>
        <v>0</v>
      </c>
      <c r="N767" s="458">
        <f t="shared" si="606"/>
        <v>0</v>
      </c>
      <c r="O767" s="458">
        <f t="shared" si="607"/>
        <v>0</v>
      </c>
      <c r="P767" s="458">
        <f t="shared" si="608"/>
        <v>0</v>
      </c>
      <c r="Q767" s="458">
        <f t="shared" si="609"/>
        <v>0</v>
      </c>
      <c r="R767" s="459">
        <f t="shared" si="610"/>
        <v>0</v>
      </c>
      <c r="S767" s="554">
        <f t="shared" ref="S767:V767" si="641">T767</f>
        <v>0</v>
      </c>
      <c r="T767" s="43">
        <f t="shared" si="641"/>
        <v>0</v>
      </c>
      <c r="U767" s="43">
        <f t="shared" si="641"/>
        <v>0</v>
      </c>
      <c r="V767" s="43">
        <f t="shared" si="641"/>
        <v>0</v>
      </c>
      <c r="W767" s="43">
        <f t="shared" si="635"/>
        <v>0</v>
      </c>
      <c r="X767" s="43">
        <v>0</v>
      </c>
      <c r="Y767" s="101">
        <v>0</v>
      </c>
      <c r="Z767" s="455"/>
      <c r="AA767" s="456"/>
      <c r="AB767" s="456"/>
      <c r="AC767" s="456"/>
      <c r="AD767" s="456"/>
      <c r="AE767" s="456"/>
      <c r="AF767" s="456"/>
      <c r="AG767" s="33" t="str">
        <f t="shared" si="588"/>
        <v>2.12 &gt; Trinidad &amp; Tobago</v>
      </c>
      <c r="AH767" s="84">
        <f t="shared" si="590"/>
        <v>753</v>
      </c>
      <c r="AI767" s="84">
        <f t="shared" si="591"/>
        <v>28</v>
      </c>
      <c r="AJ767" s="877" t="s">
        <v>1526</v>
      </c>
    </row>
    <row r="768" spans="1:36" x14ac:dyDescent="0.2">
      <c r="A768" s="492">
        <f>INDEX(Country!$F$31:$G$76, MATCH(AI768, Country!$O$31:$O$76, 0), 1)</f>
        <v>2.1199999999999974</v>
      </c>
      <c r="B768" s="2" t="str">
        <f>INDEX(Country!$F$31:$G$76, MATCH(AI768, Country!$O$31:$O$76, 0), 2)</f>
        <v>Average cost of green micro debt</v>
      </c>
      <c r="C768" s="436" t="str">
        <f>INDEX(Country!$K$31:$K$76, MATCH(AI768, Country!$O$31:$O$76, 0), 1)</f>
        <v>%</v>
      </c>
      <c r="D768" s="4" t="str">
        <f t="shared" si="589"/>
        <v>Uruguay</v>
      </c>
      <c r="E768" s="23">
        <f t="shared" si="612"/>
        <v>0</v>
      </c>
      <c r="F768" s="23">
        <f t="shared" si="629"/>
        <v>0</v>
      </c>
      <c r="G768" s="23">
        <f t="shared" si="630"/>
        <v>0</v>
      </c>
      <c r="H768" s="23">
        <f t="shared" si="631"/>
        <v>0</v>
      </c>
      <c r="I768" s="23">
        <f t="shared" si="632"/>
        <v>0</v>
      </c>
      <c r="J768" s="23">
        <f t="shared" si="633"/>
        <v>0</v>
      </c>
      <c r="K768" s="35">
        <f t="shared" si="633"/>
        <v>0.24</v>
      </c>
      <c r="L768" s="457">
        <f t="shared" si="604"/>
        <v>0</v>
      </c>
      <c r="M768" s="458">
        <f t="shared" si="605"/>
        <v>0</v>
      </c>
      <c r="N768" s="458">
        <f t="shared" si="606"/>
        <v>0</v>
      </c>
      <c r="O768" s="458">
        <f t="shared" si="607"/>
        <v>0</v>
      </c>
      <c r="P768" s="458">
        <f t="shared" si="608"/>
        <v>0</v>
      </c>
      <c r="Q768" s="458">
        <f t="shared" si="609"/>
        <v>0</v>
      </c>
      <c r="R768" s="459">
        <f t="shared" si="610"/>
        <v>10.416666666666668</v>
      </c>
      <c r="S768" s="554">
        <f t="shared" ref="S768:V768" si="642">T768</f>
        <v>0</v>
      </c>
      <c r="T768" s="43">
        <f t="shared" si="642"/>
        <v>0</v>
      </c>
      <c r="U768" s="43">
        <f t="shared" si="642"/>
        <v>0</v>
      </c>
      <c r="V768" s="43">
        <f t="shared" si="642"/>
        <v>0</v>
      </c>
      <c r="W768" s="43">
        <f t="shared" si="635"/>
        <v>0</v>
      </c>
      <c r="X768" s="43">
        <v>0</v>
      </c>
      <c r="Y768" s="101">
        <v>24</v>
      </c>
      <c r="Z768" s="455"/>
      <c r="AA768" s="456"/>
      <c r="AB768" s="456"/>
      <c r="AC768" s="456"/>
      <c r="AD768" s="456"/>
      <c r="AE768" s="456"/>
      <c r="AF768" s="456"/>
      <c r="AG768" s="33" t="str">
        <f t="shared" si="588"/>
        <v>2.12 &gt; Uruguay</v>
      </c>
      <c r="AH768" s="84">
        <f t="shared" si="590"/>
        <v>754</v>
      </c>
      <c r="AI768" s="84">
        <f t="shared" si="591"/>
        <v>28</v>
      </c>
      <c r="AJ768" s="877" t="s">
        <v>1526</v>
      </c>
    </row>
    <row r="769" spans="1:36" x14ac:dyDescent="0.2">
      <c r="A769" s="491">
        <f>INDEX(Country!$F$31:$G$76, MATCH(AI769, Country!$O$31:$O$76, 0), 1)</f>
        <v>2.1199999999999974</v>
      </c>
      <c r="B769" s="386" t="str">
        <f>INDEX(Country!$F$31:$G$76, MATCH(AI769, Country!$O$31:$O$76, 0), 2)</f>
        <v>Average cost of green micro debt</v>
      </c>
      <c r="C769" s="437" t="str">
        <f>INDEX(Country!$K$31:$K$76, MATCH(AI769, Country!$O$31:$O$76, 0), 1)</f>
        <v>%</v>
      </c>
      <c r="D769" s="86" t="str">
        <f t="shared" si="589"/>
        <v>Venezuela</v>
      </c>
      <c r="E769" s="23">
        <f t="shared" si="612"/>
        <v>0.16</v>
      </c>
      <c r="F769" s="23">
        <f t="shared" si="629"/>
        <v>0.16</v>
      </c>
      <c r="G769" s="23">
        <f t="shared" si="630"/>
        <v>0.16</v>
      </c>
      <c r="H769" s="23">
        <f t="shared" si="631"/>
        <v>0.16</v>
      </c>
      <c r="I769" s="23">
        <f t="shared" si="632"/>
        <v>0.16</v>
      </c>
      <c r="J769" s="23">
        <f t="shared" si="633"/>
        <v>0.16</v>
      </c>
      <c r="K769" s="35">
        <f t="shared" si="633"/>
        <v>0.18</v>
      </c>
      <c r="L769" s="460">
        <f t="shared" si="604"/>
        <v>16.25</v>
      </c>
      <c r="M769" s="461">
        <f t="shared" si="605"/>
        <v>16.25</v>
      </c>
      <c r="N769" s="461">
        <f t="shared" si="606"/>
        <v>16.25</v>
      </c>
      <c r="O769" s="461">
        <f t="shared" si="607"/>
        <v>16.25</v>
      </c>
      <c r="P769" s="461">
        <f t="shared" si="608"/>
        <v>16.25</v>
      </c>
      <c r="Q769" s="461">
        <f t="shared" si="609"/>
        <v>16.25</v>
      </c>
      <c r="R769" s="462">
        <f t="shared" si="610"/>
        <v>13.888888888888889</v>
      </c>
      <c r="S769" s="555">
        <f t="shared" ref="S769:V769" si="643">T769</f>
        <v>16</v>
      </c>
      <c r="T769" s="374">
        <f t="shared" si="643"/>
        <v>16</v>
      </c>
      <c r="U769" s="374">
        <f t="shared" si="643"/>
        <v>16</v>
      </c>
      <c r="V769" s="374">
        <f t="shared" si="643"/>
        <v>16</v>
      </c>
      <c r="W769" s="374">
        <f t="shared" si="635"/>
        <v>16</v>
      </c>
      <c r="X769" s="374">
        <v>16</v>
      </c>
      <c r="Y769" s="369">
        <v>18</v>
      </c>
      <c r="Z769" s="455"/>
      <c r="AA769" s="456"/>
      <c r="AB769" s="456"/>
      <c r="AC769" s="456"/>
      <c r="AD769" s="456"/>
      <c r="AE769" s="456"/>
      <c r="AF769" s="456"/>
      <c r="AG769" s="90" t="str">
        <f t="shared" si="588"/>
        <v>2.12 &gt; Venezuela</v>
      </c>
      <c r="AH769" s="392">
        <f t="shared" si="590"/>
        <v>755</v>
      </c>
      <c r="AI769" s="392">
        <f t="shared" si="591"/>
        <v>28</v>
      </c>
      <c r="AJ769" s="878" t="s">
        <v>1526</v>
      </c>
    </row>
    <row r="770" spans="1:36" x14ac:dyDescent="0.2">
      <c r="A770" s="490">
        <f>INDEX(Country!$F$31:$G$76, MATCH(AI770, Country!$O$31:$O$76, 0), 1)</f>
        <v>2.1199999999999974</v>
      </c>
      <c r="B770" s="387" t="str">
        <f>INDEX(Country!$F$31:$G$76, MATCH(AI770, Country!$O$31:$O$76, 0), 2)</f>
        <v>Average cost of green micro debt</v>
      </c>
      <c r="C770" s="438" t="str">
        <f>INDEX(Country!$K$31:$K$76, MATCH(AI770, Country!$O$31:$O$76, 0), 1)</f>
        <v>%</v>
      </c>
      <c r="D770" s="32" t="str">
        <f t="shared" si="589"/>
        <v>Benchmark</v>
      </c>
      <c r="E770" s="372">
        <f t="shared" ref="E770" si="644">IFERROR(SMALL(E744:E769, COUNTIF(E744:E769, "0")+1), 0)</f>
        <v>2.6000000000000002E-2</v>
      </c>
      <c r="F770" s="372">
        <f t="shared" ref="F770:K770" si="645">IFERROR(SMALL(F744:F769, COUNTIF(F744:F769, "0")+1), 0)</f>
        <v>2.6000000000000002E-2</v>
      </c>
      <c r="G770" s="372">
        <f t="shared" si="645"/>
        <v>2.6000000000000002E-2</v>
      </c>
      <c r="H770" s="372">
        <f t="shared" si="645"/>
        <v>2.6000000000000002E-2</v>
      </c>
      <c r="I770" s="372">
        <f t="shared" si="645"/>
        <v>2.6000000000000002E-2</v>
      </c>
      <c r="J770" s="372">
        <f t="shared" si="645"/>
        <v>2.6000000000000002E-2</v>
      </c>
      <c r="K770" s="609">
        <f t="shared" si="645"/>
        <v>2.5000000000000001E-2</v>
      </c>
      <c r="L770" s="585">
        <f t="shared" si="604"/>
        <v>100</v>
      </c>
      <c r="M770" s="463">
        <f t="shared" si="605"/>
        <v>100</v>
      </c>
      <c r="N770" s="463">
        <f t="shared" si="606"/>
        <v>100</v>
      </c>
      <c r="O770" s="463">
        <f t="shared" si="607"/>
        <v>100</v>
      </c>
      <c r="P770" s="463">
        <f t="shared" si="608"/>
        <v>100</v>
      </c>
      <c r="Q770" s="463">
        <f t="shared" si="609"/>
        <v>100</v>
      </c>
      <c r="R770" s="586">
        <f t="shared" si="610"/>
        <v>100</v>
      </c>
      <c r="S770" s="393" t="s">
        <v>1525</v>
      </c>
      <c r="T770" s="394"/>
      <c r="U770" s="376"/>
      <c r="V770" s="376"/>
      <c r="W770" s="376"/>
      <c r="X770" s="376"/>
      <c r="Y770" s="376"/>
      <c r="Z770" s="393"/>
      <c r="AA770" s="394"/>
      <c r="AB770" s="376"/>
      <c r="AC770" s="376"/>
      <c r="AD770" s="376"/>
      <c r="AE770" s="376"/>
      <c r="AF770" s="376"/>
      <c r="AG770" s="34" t="str">
        <f t="shared" si="588"/>
        <v>2.12 &gt; Benchmark</v>
      </c>
      <c r="AH770" s="85">
        <f t="shared" si="590"/>
        <v>756</v>
      </c>
      <c r="AI770" s="85">
        <f t="shared" si="591"/>
        <v>28</v>
      </c>
      <c r="AJ770" s="871" t="s">
        <v>1526</v>
      </c>
    </row>
    <row r="771" spans="1:36" x14ac:dyDescent="0.2">
      <c r="A771" s="587">
        <f>INDEX(Country!$F$31:$G$76, MATCH(AI771, Country!$O$31:$O$76, 0), 1)</f>
        <v>2.1299999999999972</v>
      </c>
      <c r="B771" s="588" t="str">
        <f>INDEX(Country!$F$31:$G$76, MATCH(AI771, Country!$O$31:$O$76, 0), 2)</f>
        <v>Average cost of debt</v>
      </c>
      <c r="C771" s="589" t="str">
        <f>INDEX(Country!$K$31:$K$76, MATCH(AI771, Country!$O$31:$O$76, 0), 1)</f>
        <v>%</v>
      </c>
      <c r="D771" s="590" t="str">
        <f t="shared" si="589"/>
        <v>Argentina</v>
      </c>
      <c r="E771" s="616"/>
      <c r="F771" s="616"/>
      <c r="G771" s="616"/>
      <c r="H771" s="616"/>
      <c r="I771" s="616"/>
      <c r="J771" s="616"/>
      <c r="K771" s="617">
        <v>8.4313999999999986E-2</v>
      </c>
      <c r="L771" s="580">
        <f t="shared" si="604"/>
        <v>0</v>
      </c>
      <c r="M771" s="581">
        <f t="shared" si="605"/>
        <v>0</v>
      </c>
      <c r="N771" s="581">
        <f t="shared" si="606"/>
        <v>0</v>
      </c>
      <c r="O771" s="581">
        <f t="shared" si="607"/>
        <v>0</v>
      </c>
      <c r="P771" s="581">
        <f t="shared" si="608"/>
        <v>0</v>
      </c>
      <c r="Q771" s="581">
        <f t="shared" si="609"/>
        <v>0</v>
      </c>
      <c r="R771" s="582">
        <f t="shared" si="610"/>
        <v>51.576250681974535</v>
      </c>
      <c r="S771" s="455"/>
      <c r="T771" s="456"/>
      <c r="U771" s="456"/>
      <c r="V771" s="456"/>
      <c r="W771" s="456"/>
      <c r="X771" s="456"/>
      <c r="Y771" s="456"/>
      <c r="Z771" s="455"/>
      <c r="AA771" s="456"/>
      <c r="AB771" s="456"/>
      <c r="AC771" s="456"/>
      <c r="AD771" s="456"/>
      <c r="AE771" s="456"/>
      <c r="AF771" s="456"/>
      <c r="AG771" s="396" t="str">
        <f t="shared" si="588"/>
        <v>2.13 &gt; Argentina</v>
      </c>
      <c r="AH771" s="397">
        <f t="shared" si="590"/>
        <v>757</v>
      </c>
      <c r="AI771" s="397">
        <f t="shared" si="591"/>
        <v>29</v>
      </c>
      <c r="AJ771" s="879" t="s">
        <v>1526</v>
      </c>
    </row>
    <row r="772" spans="1:36" x14ac:dyDescent="0.2">
      <c r="A772" s="492">
        <f>INDEX(Country!$F$31:$G$76, MATCH(AI772, Country!$O$31:$O$76, 0), 1)</f>
        <v>2.1299999999999972</v>
      </c>
      <c r="B772" s="2" t="str">
        <f>INDEX(Country!$F$31:$G$76, MATCH(AI772, Country!$O$31:$O$76, 0), 2)</f>
        <v>Average cost of debt</v>
      </c>
      <c r="C772" s="436" t="str">
        <f>INDEX(Country!$K$31:$K$76, MATCH(AI772, Country!$O$31:$O$76, 0), 1)</f>
        <v>%</v>
      </c>
      <c r="D772" s="4" t="str">
        <f t="shared" si="589"/>
        <v>Bahamas</v>
      </c>
      <c r="E772" s="23"/>
      <c r="F772" s="23"/>
      <c r="G772" s="23"/>
      <c r="H772" s="23"/>
      <c r="I772" s="23"/>
      <c r="J772" s="23"/>
      <c r="K772" s="35"/>
      <c r="L772" s="457">
        <f t="shared" si="604"/>
        <v>0</v>
      </c>
      <c r="M772" s="458">
        <f t="shared" si="605"/>
        <v>0</v>
      </c>
      <c r="N772" s="458">
        <f t="shared" si="606"/>
        <v>0</v>
      </c>
      <c r="O772" s="458">
        <f t="shared" si="607"/>
        <v>0</v>
      </c>
      <c r="P772" s="458">
        <f t="shared" si="608"/>
        <v>0</v>
      </c>
      <c r="Q772" s="458">
        <f t="shared" si="609"/>
        <v>0</v>
      </c>
      <c r="R772" s="459">
        <f t="shared" si="610"/>
        <v>0</v>
      </c>
      <c r="S772" s="455"/>
      <c r="T772" s="456"/>
      <c r="U772" s="456"/>
      <c r="V772" s="456"/>
      <c r="W772" s="456"/>
      <c r="X772" s="456"/>
      <c r="Y772" s="456"/>
      <c r="Z772" s="455"/>
      <c r="AA772" s="456"/>
      <c r="AB772" s="456"/>
      <c r="AC772" s="456"/>
      <c r="AD772" s="456"/>
      <c r="AE772" s="456"/>
      <c r="AF772" s="456"/>
      <c r="AG772" s="33" t="str">
        <f t="shared" si="588"/>
        <v>2.13 &gt; Bahamas</v>
      </c>
      <c r="AH772" s="84">
        <f t="shared" si="590"/>
        <v>758</v>
      </c>
      <c r="AI772" s="84">
        <f t="shared" si="591"/>
        <v>29</v>
      </c>
      <c r="AJ772" s="877" t="s">
        <v>1526</v>
      </c>
    </row>
    <row r="773" spans="1:36" x14ac:dyDescent="0.2">
      <c r="A773" s="492">
        <f>INDEX(Country!$F$31:$G$76, MATCH(AI773, Country!$O$31:$O$76, 0), 1)</f>
        <v>2.1299999999999972</v>
      </c>
      <c r="B773" s="2" t="str">
        <f>INDEX(Country!$F$31:$G$76, MATCH(AI773, Country!$O$31:$O$76, 0), 2)</f>
        <v>Average cost of debt</v>
      </c>
      <c r="C773" s="436" t="str">
        <f>INDEX(Country!$K$31:$K$76, MATCH(AI773, Country!$O$31:$O$76, 0), 1)</f>
        <v>%</v>
      </c>
      <c r="D773" s="4" t="str">
        <f t="shared" si="589"/>
        <v>Barbados</v>
      </c>
      <c r="E773" s="23"/>
      <c r="F773" s="23"/>
      <c r="G773" s="23"/>
      <c r="H773" s="23"/>
      <c r="I773" s="23"/>
      <c r="J773" s="23"/>
      <c r="K773" s="35"/>
      <c r="L773" s="457">
        <f t="shared" si="604"/>
        <v>0</v>
      </c>
      <c r="M773" s="458">
        <f t="shared" si="605"/>
        <v>0</v>
      </c>
      <c r="N773" s="458">
        <f t="shared" si="606"/>
        <v>0</v>
      </c>
      <c r="O773" s="458">
        <f t="shared" si="607"/>
        <v>0</v>
      </c>
      <c r="P773" s="458">
        <f t="shared" si="608"/>
        <v>0</v>
      </c>
      <c r="Q773" s="458">
        <f t="shared" si="609"/>
        <v>0</v>
      </c>
      <c r="R773" s="459">
        <f t="shared" si="610"/>
        <v>0</v>
      </c>
      <c r="S773" s="455"/>
      <c r="T773" s="456"/>
      <c r="U773" s="456"/>
      <c r="V773" s="456"/>
      <c r="W773" s="456"/>
      <c r="X773" s="456"/>
      <c r="Y773" s="456"/>
      <c r="Z773" s="455"/>
      <c r="AA773" s="456"/>
      <c r="AB773" s="456"/>
      <c r="AC773" s="456"/>
      <c r="AD773" s="456"/>
      <c r="AE773" s="456"/>
      <c r="AF773" s="456"/>
      <c r="AG773" s="33" t="str">
        <f t="shared" si="588"/>
        <v>2.13 &gt; Barbados</v>
      </c>
      <c r="AH773" s="84">
        <f t="shared" si="590"/>
        <v>759</v>
      </c>
      <c r="AI773" s="84">
        <f t="shared" si="591"/>
        <v>29</v>
      </c>
      <c r="AJ773" s="877" t="s">
        <v>1526</v>
      </c>
    </row>
    <row r="774" spans="1:36" x14ac:dyDescent="0.2">
      <c r="A774" s="492">
        <f>INDEX(Country!$F$31:$G$76, MATCH(AI774, Country!$O$31:$O$76, 0), 1)</f>
        <v>2.1299999999999972</v>
      </c>
      <c r="B774" s="2" t="str">
        <f>INDEX(Country!$F$31:$G$76, MATCH(AI774, Country!$O$31:$O$76, 0), 2)</f>
        <v>Average cost of debt</v>
      </c>
      <c r="C774" s="436" t="str">
        <f>INDEX(Country!$K$31:$K$76, MATCH(AI774, Country!$O$31:$O$76, 0), 1)</f>
        <v>%</v>
      </c>
      <c r="D774" s="4" t="str">
        <f t="shared" si="589"/>
        <v>Belize</v>
      </c>
      <c r="E774" s="23"/>
      <c r="F774" s="23"/>
      <c r="G774" s="23"/>
      <c r="H774" s="23"/>
      <c r="I774" s="23"/>
      <c r="J774" s="23"/>
      <c r="K774" s="35"/>
      <c r="L774" s="457">
        <f t="shared" si="604"/>
        <v>0</v>
      </c>
      <c r="M774" s="458">
        <f t="shared" si="605"/>
        <v>0</v>
      </c>
      <c r="N774" s="458">
        <f t="shared" si="606"/>
        <v>0</v>
      </c>
      <c r="O774" s="458">
        <f t="shared" si="607"/>
        <v>0</v>
      </c>
      <c r="P774" s="458">
        <f t="shared" si="608"/>
        <v>0</v>
      </c>
      <c r="Q774" s="458">
        <f t="shared" si="609"/>
        <v>0</v>
      </c>
      <c r="R774" s="459">
        <f t="shared" si="610"/>
        <v>0</v>
      </c>
      <c r="S774" s="455"/>
      <c r="T774" s="456"/>
      <c r="U774" s="456"/>
      <c r="V774" s="456"/>
      <c r="W774" s="456"/>
      <c r="X774" s="456"/>
      <c r="Y774" s="456"/>
      <c r="Z774" s="455"/>
      <c r="AA774" s="456"/>
      <c r="AB774" s="456"/>
      <c r="AC774" s="456"/>
      <c r="AD774" s="456"/>
      <c r="AE774" s="456"/>
      <c r="AF774" s="456"/>
      <c r="AG774" s="33" t="str">
        <f t="shared" si="588"/>
        <v>2.13 &gt; Belize</v>
      </c>
      <c r="AH774" s="84">
        <f t="shared" si="590"/>
        <v>760</v>
      </c>
      <c r="AI774" s="84">
        <f t="shared" si="591"/>
        <v>29</v>
      </c>
      <c r="AJ774" s="877" t="s">
        <v>1526</v>
      </c>
    </row>
    <row r="775" spans="1:36" x14ac:dyDescent="0.2">
      <c r="A775" s="492">
        <f>INDEX(Country!$F$31:$G$76, MATCH(AI775, Country!$O$31:$O$76, 0), 1)</f>
        <v>2.1299999999999972</v>
      </c>
      <c r="B775" s="2" t="str">
        <f>INDEX(Country!$F$31:$G$76, MATCH(AI775, Country!$O$31:$O$76, 0), 2)</f>
        <v>Average cost of debt</v>
      </c>
      <c r="C775" s="436" t="str">
        <f>INDEX(Country!$K$31:$K$76, MATCH(AI775, Country!$O$31:$O$76, 0), 1)</f>
        <v>%</v>
      </c>
      <c r="D775" s="4" t="str">
        <f t="shared" si="589"/>
        <v>Bolivia</v>
      </c>
      <c r="E775" s="23"/>
      <c r="F775" s="23"/>
      <c r="G775" s="23"/>
      <c r="H775" s="23"/>
      <c r="I775" s="23"/>
      <c r="J775" s="23"/>
      <c r="K775" s="35"/>
      <c r="L775" s="457">
        <f t="shared" si="604"/>
        <v>0</v>
      </c>
      <c r="M775" s="458">
        <f t="shared" si="605"/>
        <v>0</v>
      </c>
      <c r="N775" s="458">
        <f t="shared" si="606"/>
        <v>0</v>
      </c>
      <c r="O775" s="458">
        <f t="shared" si="607"/>
        <v>0</v>
      </c>
      <c r="P775" s="458">
        <f t="shared" si="608"/>
        <v>0</v>
      </c>
      <c r="Q775" s="458">
        <f t="shared" si="609"/>
        <v>0</v>
      </c>
      <c r="R775" s="459">
        <f t="shared" si="610"/>
        <v>0</v>
      </c>
      <c r="S775" s="455"/>
      <c r="T775" s="456"/>
      <c r="U775" s="456"/>
      <c r="V775" s="456"/>
      <c r="W775" s="456"/>
      <c r="X775" s="456"/>
      <c r="Y775" s="456"/>
      <c r="Z775" s="455"/>
      <c r="AA775" s="456"/>
      <c r="AB775" s="456"/>
      <c r="AC775" s="456"/>
      <c r="AD775" s="456"/>
      <c r="AE775" s="456"/>
      <c r="AF775" s="456"/>
      <c r="AG775" s="33" t="str">
        <f t="shared" si="588"/>
        <v>2.13 &gt; Bolivia</v>
      </c>
      <c r="AH775" s="84">
        <f t="shared" si="590"/>
        <v>761</v>
      </c>
      <c r="AI775" s="84">
        <f t="shared" si="591"/>
        <v>29</v>
      </c>
      <c r="AJ775" s="877" t="s">
        <v>1526</v>
      </c>
    </row>
    <row r="776" spans="1:36" x14ac:dyDescent="0.2">
      <c r="A776" s="492">
        <f>INDEX(Country!$F$31:$G$76, MATCH(AI776, Country!$O$31:$O$76, 0), 1)</f>
        <v>2.1299999999999972</v>
      </c>
      <c r="B776" s="2" t="str">
        <f>INDEX(Country!$F$31:$G$76, MATCH(AI776, Country!$O$31:$O$76, 0), 2)</f>
        <v>Average cost of debt</v>
      </c>
      <c r="C776" s="436" t="str">
        <f>INDEX(Country!$K$31:$K$76, MATCH(AI776, Country!$O$31:$O$76, 0), 1)</f>
        <v>%</v>
      </c>
      <c r="D776" s="4" t="str">
        <f t="shared" si="589"/>
        <v>Brazil</v>
      </c>
      <c r="E776" s="23"/>
      <c r="F776" s="23"/>
      <c r="G776" s="23"/>
      <c r="H776" s="23"/>
      <c r="I776" s="23"/>
      <c r="J776" s="23"/>
      <c r="K776" s="35">
        <v>0.05</v>
      </c>
      <c r="L776" s="457">
        <f t="shared" ref="L776:L807" si="646">IFERROR(dbl_BenchmarkMax*( SUMIFS(E$15:E$1256, $D$15:$D$1256, "Benchmark", $B$15:$B$1256,$B776)/E776), 0)</f>
        <v>0</v>
      </c>
      <c r="M776" s="458">
        <f t="shared" ref="M776:M807" si="647">IFERROR(dbl_BenchmarkMax*( SUMIFS(F$15:F$1256, $D$15:$D$1256, "Benchmark", $B$15:$B$1256,$B776)/F776), 0)</f>
        <v>0</v>
      </c>
      <c r="N776" s="458">
        <f t="shared" si="606"/>
        <v>0</v>
      </c>
      <c r="O776" s="458">
        <f t="shared" si="607"/>
        <v>0</v>
      </c>
      <c r="P776" s="458">
        <f t="shared" si="608"/>
        <v>0</v>
      </c>
      <c r="Q776" s="458">
        <f t="shared" si="609"/>
        <v>0</v>
      </c>
      <c r="R776" s="459">
        <f t="shared" si="610"/>
        <v>86.972000000000008</v>
      </c>
      <c r="S776" s="455"/>
      <c r="T776" s="456"/>
      <c r="U776" s="456"/>
      <c r="V776" s="456"/>
      <c r="W776" s="456"/>
      <c r="X776" s="456"/>
      <c r="Y776" s="456"/>
      <c r="Z776" s="455"/>
      <c r="AA776" s="456"/>
      <c r="AB776" s="456"/>
      <c r="AC776" s="456"/>
      <c r="AD776" s="456"/>
      <c r="AE776" s="456"/>
      <c r="AF776" s="456"/>
      <c r="AG776" s="33" t="str">
        <f t="shared" si="588"/>
        <v>2.13 &gt; Brazil</v>
      </c>
      <c r="AH776" s="84">
        <f t="shared" si="590"/>
        <v>762</v>
      </c>
      <c r="AI776" s="84">
        <f t="shared" si="591"/>
        <v>29</v>
      </c>
      <c r="AJ776" s="877" t="s">
        <v>1526</v>
      </c>
    </row>
    <row r="777" spans="1:36" x14ac:dyDescent="0.2">
      <c r="A777" s="492">
        <f>INDEX(Country!$F$31:$G$76, MATCH(AI777, Country!$O$31:$O$76, 0), 1)</f>
        <v>2.1299999999999972</v>
      </c>
      <c r="B777" s="2" t="str">
        <f>INDEX(Country!$F$31:$G$76, MATCH(AI777, Country!$O$31:$O$76, 0), 2)</f>
        <v>Average cost of debt</v>
      </c>
      <c r="C777" s="436" t="str">
        <f>INDEX(Country!$K$31:$K$76, MATCH(AI777, Country!$O$31:$O$76, 0), 1)</f>
        <v>%</v>
      </c>
      <c r="D777" s="4" t="str">
        <f t="shared" si="589"/>
        <v>Chile</v>
      </c>
      <c r="E777" s="23"/>
      <c r="F777" s="23"/>
      <c r="G777" s="23"/>
      <c r="H777" s="23"/>
      <c r="I777" s="23"/>
      <c r="J777" s="23"/>
      <c r="K777" s="35">
        <v>5.1768000000000002E-2</v>
      </c>
      <c r="L777" s="457">
        <f t="shared" si="646"/>
        <v>0</v>
      </c>
      <c r="M777" s="458">
        <f t="shared" si="647"/>
        <v>0</v>
      </c>
      <c r="N777" s="458">
        <f t="shared" si="606"/>
        <v>0</v>
      </c>
      <c r="O777" s="458">
        <f t="shared" si="607"/>
        <v>0</v>
      </c>
      <c r="P777" s="458">
        <f t="shared" si="608"/>
        <v>0</v>
      </c>
      <c r="Q777" s="458">
        <f t="shared" si="609"/>
        <v>0</v>
      </c>
      <c r="R777" s="459">
        <f t="shared" si="610"/>
        <v>84.001699891825069</v>
      </c>
      <c r="S777" s="455"/>
      <c r="T777" s="456"/>
      <c r="U777" s="456"/>
      <c r="V777" s="456"/>
      <c r="W777" s="456"/>
      <c r="X777" s="456"/>
      <c r="Y777" s="456"/>
      <c r="Z777" s="455"/>
      <c r="AA777" s="456"/>
      <c r="AB777" s="456"/>
      <c r="AC777" s="456"/>
      <c r="AD777" s="456"/>
      <c r="AE777" s="456"/>
      <c r="AF777" s="456"/>
      <c r="AG777" s="33" t="str">
        <f t="shared" si="588"/>
        <v>2.13 &gt; Chile</v>
      </c>
      <c r="AH777" s="84">
        <f t="shared" si="590"/>
        <v>763</v>
      </c>
      <c r="AI777" s="84">
        <f t="shared" si="591"/>
        <v>29</v>
      </c>
      <c r="AJ777" s="877" t="s">
        <v>1526</v>
      </c>
    </row>
    <row r="778" spans="1:36" x14ac:dyDescent="0.2">
      <c r="A778" s="492">
        <f>INDEX(Country!$F$31:$G$76, MATCH(AI778, Country!$O$31:$O$76, 0), 1)</f>
        <v>2.1299999999999972</v>
      </c>
      <c r="B778" s="2" t="str">
        <f>INDEX(Country!$F$31:$G$76, MATCH(AI778, Country!$O$31:$O$76, 0), 2)</f>
        <v>Average cost of debt</v>
      </c>
      <c r="C778" s="436" t="str">
        <f>INDEX(Country!$K$31:$K$76, MATCH(AI778, Country!$O$31:$O$76, 0), 1)</f>
        <v>%</v>
      </c>
      <c r="D778" s="4" t="str">
        <f t="shared" si="589"/>
        <v>Colombia</v>
      </c>
      <c r="E778" s="23"/>
      <c r="F778" s="23"/>
      <c r="G778" s="23"/>
      <c r="H778" s="23"/>
      <c r="I778" s="23"/>
      <c r="J778" s="23"/>
      <c r="K778" s="35">
        <v>5.1768000000000002E-2</v>
      </c>
      <c r="L778" s="457">
        <f t="shared" si="646"/>
        <v>0</v>
      </c>
      <c r="M778" s="458">
        <f t="shared" si="647"/>
        <v>0</v>
      </c>
      <c r="N778" s="458">
        <f t="shared" si="606"/>
        <v>0</v>
      </c>
      <c r="O778" s="458">
        <f t="shared" si="607"/>
        <v>0</v>
      </c>
      <c r="P778" s="458">
        <f t="shared" si="608"/>
        <v>0</v>
      </c>
      <c r="Q778" s="458">
        <f t="shared" si="609"/>
        <v>0</v>
      </c>
      <c r="R778" s="459">
        <f t="shared" si="610"/>
        <v>84.001699891825069</v>
      </c>
      <c r="S778" s="455"/>
      <c r="T778" s="456"/>
      <c r="U778" s="456"/>
      <c r="V778" s="456"/>
      <c r="W778" s="456"/>
      <c r="X778" s="456"/>
      <c r="Y778" s="456"/>
      <c r="Z778" s="455"/>
      <c r="AA778" s="456"/>
      <c r="AB778" s="456"/>
      <c r="AC778" s="456"/>
      <c r="AD778" s="456"/>
      <c r="AE778" s="456"/>
      <c r="AF778" s="456"/>
      <c r="AG778" s="33" t="str">
        <f t="shared" si="588"/>
        <v>2.13 &gt; Colombia</v>
      </c>
      <c r="AH778" s="84">
        <f t="shared" si="590"/>
        <v>764</v>
      </c>
      <c r="AI778" s="84">
        <f t="shared" si="591"/>
        <v>29</v>
      </c>
      <c r="AJ778" s="877" t="s">
        <v>1526</v>
      </c>
    </row>
    <row r="779" spans="1:36" x14ac:dyDescent="0.2">
      <c r="A779" s="492">
        <f>INDEX(Country!$F$31:$G$76, MATCH(AI779, Country!$O$31:$O$76, 0), 1)</f>
        <v>2.1299999999999972</v>
      </c>
      <c r="B779" s="2" t="str">
        <f>INDEX(Country!$F$31:$G$76, MATCH(AI779, Country!$O$31:$O$76, 0), 2)</f>
        <v>Average cost of debt</v>
      </c>
      <c r="C779" s="436" t="str">
        <f>INDEX(Country!$K$31:$K$76, MATCH(AI779, Country!$O$31:$O$76, 0), 1)</f>
        <v>%</v>
      </c>
      <c r="D779" s="4" t="str">
        <f t="shared" si="589"/>
        <v>Costa Rica</v>
      </c>
      <c r="E779" s="23"/>
      <c r="F779" s="23"/>
      <c r="G779" s="23"/>
      <c r="H779" s="23"/>
      <c r="I779" s="23"/>
      <c r="J779" s="23"/>
      <c r="K779" s="35">
        <v>8.4166666666666667E-2</v>
      </c>
      <c r="L779" s="457">
        <f t="shared" si="646"/>
        <v>0</v>
      </c>
      <c r="M779" s="458">
        <f t="shared" si="647"/>
        <v>0</v>
      </c>
      <c r="N779" s="458">
        <f t="shared" si="606"/>
        <v>0</v>
      </c>
      <c r="O779" s="458">
        <f t="shared" si="607"/>
        <v>0</v>
      </c>
      <c r="P779" s="458">
        <f t="shared" si="608"/>
        <v>0</v>
      </c>
      <c r="Q779" s="458">
        <f t="shared" si="609"/>
        <v>0</v>
      </c>
      <c r="R779" s="459">
        <f t="shared" si="610"/>
        <v>51.666534653465348</v>
      </c>
      <c r="S779" s="455"/>
      <c r="T779" s="456"/>
      <c r="U779" s="456"/>
      <c r="V779" s="456"/>
      <c r="W779" s="456"/>
      <c r="X779" s="456"/>
      <c r="Y779" s="456"/>
      <c r="Z779" s="455"/>
      <c r="AA779" s="456"/>
      <c r="AB779" s="456"/>
      <c r="AC779" s="456"/>
      <c r="AD779" s="456"/>
      <c r="AE779" s="456"/>
      <c r="AF779" s="456"/>
      <c r="AG779" s="33" t="str">
        <f t="shared" si="588"/>
        <v>2.13 &gt; Costa Rica</v>
      </c>
      <c r="AH779" s="84">
        <f t="shared" si="590"/>
        <v>765</v>
      </c>
      <c r="AI779" s="84">
        <f t="shared" si="591"/>
        <v>29</v>
      </c>
      <c r="AJ779" s="877" t="s">
        <v>1526</v>
      </c>
    </row>
    <row r="780" spans="1:36" x14ac:dyDescent="0.2">
      <c r="A780" s="492">
        <f>INDEX(Country!$F$31:$G$76, MATCH(AI780, Country!$O$31:$O$76, 0), 1)</f>
        <v>2.1299999999999972</v>
      </c>
      <c r="B780" s="2" t="str">
        <f>INDEX(Country!$F$31:$G$76, MATCH(AI780, Country!$O$31:$O$76, 0), 2)</f>
        <v>Average cost of debt</v>
      </c>
      <c r="C780" s="436" t="str">
        <f>INDEX(Country!$K$31:$K$76, MATCH(AI780, Country!$O$31:$O$76, 0), 1)</f>
        <v>%</v>
      </c>
      <c r="D780" s="4" t="str">
        <f t="shared" si="589"/>
        <v>Dominican Republic</v>
      </c>
      <c r="E780" s="23"/>
      <c r="F780" s="23"/>
      <c r="G780" s="23"/>
      <c r="H780" s="23"/>
      <c r="I780" s="23"/>
      <c r="J780" s="23"/>
      <c r="K780" s="35"/>
      <c r="L780" s="457">
        <f t="shared" si="646"/>
        <v>0</v>
      </c>
      <c r="M780" s="458">
        <f t="shared" si="647"/>
        <v>0</v>
      </c>
      <c r="N780" s="458">
        <f t="shared" si="606"/>
        <v>0</v>
      </c>
      <c r="O780" s="458">
        <f t="shared" si="607"/>
        <v>0</v>
      </c>
      <c r="P780" s="458">
        <f t="shared" si="608"/>
        <v>0</v>
      </c>
      <c r="Q780" s="458">
        <f t="shared" si="609"/>
        <v>0</v>
      </c>
      <c r="R780" s="459">
        <f t="shared" si="610"/>
        <v>0</v>
      </c>
      <c r="S780" s="455"/>
      <c r="T780" s="456"/>
      <c r="U780" s="456"/>
      <c r="V780" s="456"/>
      <c r="W780" s="456"/>
      <c r="X780" s="456"/>
      <c r="Y780" s="456"/>
      <c r="Z780" s="455"/>
      <c r="AA780" s="456"/>
      <c r="AB780" s="456"/>
      <c r="AC780" s="456"/>
      <c r="AD780" s="456"/>
      <c r="AE780" s="456"/>
      <c r="AF780" s="456"/>
      <c r="AG780" s="33" t="str">
        <f t="shared" si="588"/>
        <v>2.13 &gt; Dominican Republic</v>
      </c>
      <c r="AH780" s="84">
        <f t="shared" si="590"/>
        <v>766</v>
      </c>
      <c r="AI780" s="84">
        <f t="shared" si="591"/>
        <v>29</v>
      </c>
      <c r="AJ780" s="877" t="s">
        <v>1526</v>
      </c>
    </row>
    <row r="781" spans="1:36" x14ac:dyDescent="0.2">
      <c r="A781" s="492">
        <f>INDEX(Country!$F$31:$G$76, MATCH(AI781, Country!$O$31:$O$76, 0), 1)</f>
        <v>2.1299999999999972</v>
      </c>
      <c r="B781" s="2" t="str">
        <f>INDEX(Country!$F$31:$G$76, MATCH(AI781, Country!$O$31:$O$76, 0), 2)</f>
        <v>Average cost of debt</v>
      </c>
      <c r="C781" s="436" t="str">
        <f>INDEX(Country!$K$31:$K$76, MATCH(AI781, Country!$O$31:$O$76, 0), 1)</f>
        <v>%</v>
      </c>
      <c r="D781" s="4" t="str">
        <f t="shared" si="589"/>
        <v>Ecuador</v>
      </c>
      <c r="E781" s="23"/>
      <c r="F781" s="23"/>
      <c r="G781" s="23"/>
      <c r="H781" s="23"/>
      <c r="I781" s="23"/>
      <c r="J781" s="23"/>
      <c r="K781" s="35">
        <v>0.10267499999999999</v>
      </c>
      <c r="L781" s="457">
        <f t="shared" si="646"/>
        <v>0</v>
      </c>
      <c r="M781" s="458">
        <f t="shared" si="647"/>
        <v>0</v>
      </c>
      <c r="N781" s="458">
        <f t="shared" si="606"/>
        <v>0</v>
      </c>
      <c r="O781" s="458">
        <f t="shared" si="607"/>
        <v>0</v>
      </c>
      <c r="P781" s="458">
        <f t="shared" si="608"/>
        <v>0</v>
      </c>
      <c r="Q781" s="458">
        <f t="shared" si="609"/>
        <v>0</v>
      </c>
      <c r="R781" s="459">
        <f t="shared" si="610"/>
        <v>42.353055758461174</v>
      </c>
      <c r="S781" s="455"/>
      <c r="T781" s="456"/>
      <c r="U781" s="456"/>
      <c r="V781" s="456"/>
      <c r="W781" s="456"/>
      <c r="X781" s="456"/>
      <c r="Y781" s="456"/>
      <c r="Z781" s="455"/>
      <c r="AA781" s="456"/>
      <c r="AB781" s="456"/>
      <c r="AC781" s="456"/>
      <c r="AD781" s="456"/>
      <c r="AE781" s="456"/>
      <c r="AF781" s="456"/>
      <c r="AG781" s="33" t="str">
        <f t="shared" si="588"/>
        <v>2.13 &gt; Ecuador</v>
      </c>
      <c r="AH781" s="84">
        <f t="shared" si="590"/>
        <v>767</v>
      </c>
      <c r="AI781" s="84">
        <f t="shared" si="591"/>
        <v>29</v>
      </c>
      <c r="AJ781" s="877" t="s">
        <v>1526</v>
      </c>
    </row>
    <row r="782" spans="1:36" x14ac:dyDescent="0.2">
      <c r="A782" s="492">
        <f>INDEX(Country!$F$31:$G$76, MATCH(AI782, Country!$O$31:$O$76, 0), 1)</f>
        <v>2.1299999999999972</v>
      </c>
      <c r="B782" s="2" t="str">
        <f>INDEX(Country!$F$31:$G$76, MATCH(AI782, Country!$O$31:$O$76, 0), 2)</f>
        <v>Average cost of debt</v>
      </c>
      <c r="C782" s="436" t="str">
        <f>INDEX(Country!$K$31:$K$76, MATCH(AI782, Country!$O$31:$O$76, 0), 1)</f>
        <v>%</v>
      </c>
      <c r="D782" s="4" t="str">
        <f t="shared" si="589"/>
        <v>El Salvador</v>
      </c>
      <c r="E782" s="23"/>
      <c r="F782" s="23"/>
      <c r="G782" s="23"/>
      <c r="H782" s="23"/>
      <c r="I782" s="23"/>
      <c r="J782" s="23"/>
      <c r="K782" s="35">
        <v>8.8124999999999995E-2</v>
      </c>
      <c r="L782" s="457">
        <f t="shared" si="646"/>
        <v>0</v>
      </c>
      <c r="M782" s="458">
        <f t="shared" si="647"/>
        <v>0</v>
      </c>
      <c r="N782" s="458">
        <f t="shared" si="606"/>
        <v>0</v>
      </c>
      <c r="O782" s="458">
        <f t="shared" si="607"/>
        <v>0</v>
      </c>
      <c r="P782" s="458">
        <f t="shared" si="608"/>
        <v>0</v>
      </c>
      <c r="Q782" s="458">
        <f t="shared" si="609"/>
        <v>0</v>
      </c>
      <c r="R782" s="459">
        <f t="shared" si="610"/>
        <v>49.345815602836886</v>
      </c>
      <c r="S782" s="455"/>
      <c r="T782" s="456"/>
      <c r="U782" s="456"/>
      <c r="V782" s="456"/>
      <c r="W782" s="456"/>
      <c r="X782" s="456"/>
      <c r="Y782" s="456"/>
      <c r="Z782" s="455"/>
      <c r="AA782" s="456"/>
      <c r="AB782" s="456"/>
      <c r="AC782" s="456"/>
      <c r="AD782" s="456"/>
      <c r="AE782" s="456"/>
      <c r="AF782" s="456"/>
      <c r="AG782" s="33" t="str">
        <f t="shared" si="588"/>
        <v>2.13 &gt; El Salvador</v>
      </c>
      <c r="AH782" s="84">
        <f t="shared" si="590"/>
        <v>768</v>
      </c>
      <c r="AI782" s="84">
        <f t="shared" si="591"/>
        <v>29</v>
      </c>
      <c r="AJ782" s="877" t="s">
        <v>1526</v>
      </c>
    </row>
    <row r="783" spans="1:36" x14ac:dyDescent="0.2">
      <c r="A783" s="492">
        <f>INDEX(Country!$F$31:$G$76, MATCH(AI783, Country!$O$31:$O$76, 0), 1)</f>
        <v>2.1299999999999972</v>
      </c>
      <c r="B783" s="2" t="str">
        <f>INDEX(Country!$F$31:$G$76, MATCH(AI783, Country!$O$31:$O$76, 0), 2)</f>
        <v>Average cost of debt</v>
      </c>
      <c r="C783" s="436" t="str">
        <f>INDEX(Country!$K$31:$K$76, MATCH(AI783, Country!$O$31:$O$76, 0), 1)</f>
        <v>%</v>
      </c>
      <c r="D783" s="4" t="str">
        <f t="shared" si="589"/>
        <v>Guatemala</v>
      </c>
      <c r="E783" s="23"/>
      <c r="F783" s="23"/>
      <c r="G783" s="23"/>
      <c r="H783" s="23"/>
      <c r="I783" s="23"/>
      <c r="J783" s="23"/>
      <c r="K783" s="35"/>
      <c r="L783" s="457">
        <f t="shared" si="646"/>
        <v>0</v>
      </c>
      <c r="M783" s="458">
        <f t="shared" si="647"/>
        <v>0</v>
      </c>
      <c r="N783" s="458">
        <f t="shared" si="606"/>
        <v>0</v>
      </c>
      <c r="O783" s="458">
        <f t="shared" si="607"/>
        <v>0</v>
      </c>
      <c r="P783" s="458">
        <f t="shared" si="608"/>
        <v>0</v>
      </c>
      <c r="Q783" s="458">
        <f t="shared" si="609"/>
        <v>0</v>
      </c>
      <c r="R783" s="459">
        <f t="shared" si="610"/>
        <v>0</v>
      </c>
      <c r="S783" s="455"/>
      <c r="T783" s="456"/>
      <c r="U783" s="456"/>
      <c r="V783" s="456"/>
      <c r="W783" s="456"/>
      <c r="X783" s="456"/>
      <c r="Y783" s="456"/>
      <c r="Z783" s="455"/>
      <c r="AA783" s="456"/>
      <c r="AB783" s="456"/>
      <c r="AC783" s="456"/>
      <c r="AD783" s="456"/>
      <c r="AE783" s="456"/>
      <c r="AF783" s="456"/>
      <c r="AG783" s="33" t="str">
        <f t="shared" ref="AG783:AG846" si="648">A783&amp;" &gt; " &amp;D783</f>
        <v>2.13 &gt; Guatemala</v>
      </c>
      <c r="AH783" s="84">
        <f t="shared" si="590"/>
        <v>769</v>
      </c>
      <c r="AI783" s="84">
        <f t="shared" si="591"/>
        <v>29</v>
      </c>
      <c r="AJ783" s="877" t="s">
        <v>1526</v>
      </c>
    </row>
    <row r="784" spans="1:36" x14ac:dyDescent="0.2">
      <c r="A784" s="492">
        <f>INDEX(Country!$F$31:$G$76, MATCH(AI784, Country!$O$31:$O$76, 0), 1)</f>
        <v>2.1299999999999972</v>
      </c>
      <c r="B784" s="2" t="str">
        <f>INDEX(Country!$F$31:$G$76, MATCH(AI784, Country!$O$31:$O$76, 0), 2)</f>
        <v>Average cost of debt</v>
      </c>
      <c r="C784" s="436" t="str">
        <f>INDEX(Country!$K$31:$K$76, MATCH(AI784, Country!$O$31:$O$76, 0), 1)</f>
        <v>%</v>
      </c>
      <c r="D784" s="4" t="str">
        <f t="shared" ref="D784:D797" si="649">D757</f>
        <v>Guyana</v>
      </c>
      <c r="E784" s="23"/>
      <c r="F784" s="23"/>
      <c r="G784" s="23"/>
      <c r="H784" s="23"/>
      <c r="I784" s="23"/>
      <c r="J784" s="23"/>
      <c r="K784" s="35"/>
      <c r="L784" s="457">
        <f t="shared" si="646"/>
        <v>0</v>
      </c>
      <c r="M784" s="458">
        <f t="shared" si="647"/>
        <v>0</v>
      </c>
      <c r="N784" s="458">
        <f t="shared" si="606"/>
        <v>0</v>
      </c>
      <c r="O784" s="458">
        <f t="shared" si="607"/>
        <v>0</v>
      </c>
      <c r="P784" s="458">
        <f t="shared" si="608"/>
        <v>0</v>
      </c>
      <c r="Q784" s="458">
        <f t="shared" si="609"/>
        <v>0</v>
      </c>
      <c r="R784" s="459">
        <f t="shared" si="610"/>
        <v>0</v>
      </c>
      <c r="S784" s="455"/>
      <c r="T784" s="456"/>
      <c r="U784" s="456"/>
      <c r="V784" s="456"/>
      <c r="W784" s="456"/>
      <c r="X784" s="456"/>
      <c r="Y784" s="456"/>
      <c r="Z784" s="455"/>
      <c r="AA784" s="456"/>
      <c r="AB784" s="456"/>
      <c r="AC784" s="456"/>
      <c r="AD784" s="456"/>
      <c r="AE784" s="456"/>
      <c r="AF784" s="456"/>
      <c r="AG784" s="33" t="str">
        <f t="shared" si="648"/>
        <v>2.13 &gt; Guyana</v>
      </c>
      <c r="AH784" s="84">
        <f t="shared" si="590"/>
        <v>770</v>
      </c>
      <c r="AI784" s="84">
        <f t="shared" si="591"/>
        <v>29</v>
      </c>
      <c r="AJ784" s="877" t="s">
        <v>1526</v>
      </c>
    </row>
    <row r="785" spans="1:36" x14ac:dyDescent="0.2">
      <c r="A785" s="492">
        <f>INDEX(Country!$F$31:$G$76, MATCH(AI785, Country!$O$31:$O$76, 0), 1)</f>
        <v>2.1299999999999972</v>
      </c>
      <c r="B785" s="2" t="str">
        <f>INDEX(Country!$F$31:$G$76, MATCH(AI785, Country!$O$31:$O$76, 0), 2)</f>
        <v>Average cost of debt</v>
      </c>
      <c r="C785" s="436" t="str">
        <f>INDEX(Country!$K$31:$K$76, MATCH(AI785, Country!$O$31:$O$76, 0), 1)</f>
        <v>%</v>
      </c>
      <c r="D785" s="4" t="str">
        <f t="shared" si="649"/>
        <v>Haiti</v>
      </c>
      <c r="E785" s="23"/>
      <c r="F785" s="23"/>
      <c r="G785" s="23"/>
      <c r="H785" s="23"/>
      <c r="I785" s="23"/>
      <c r="J785" s="23"/>
      <c r="K785" s="35"/>
      <c r="L785" s="457">
        <f t="shared" si="646"/>
        <v>0</v>
      </c>
      <c r="M785" s="458">
        <f t="shared" si="647"/>
        <v>0</v>
      </c>
      <c r="N785" s="458">
        <f t="shared" si="606"/>
        <v>0</v>
      </c>
      <c r="O785" s="458">
        <f t="shared" si="607"/>
        <v>0</v>
      </c>
      <c r="P785" s="458">
        <f t="shared" si="608"/>
        <v>0</v>
      </c>
      <c r="Q785" s="458">
        <f t="shared" si="609"/>
        <v>0</v>
      </c>
      <c r="R785" s="459">
        <f t="shared" si="610"/>
        <v>0</v>
      </c>
      <c r="S785" s="455"/>
      <c r="T785" s="456"/>
      <c r="U785" s="456"/>
      <c r="V785" s="456"/>
      <c r="W785" s="456"/>
      <c r="X785" s="456"/>
      <c r="Y785" s="456"/>
      <c r="Z785" s="455"/>
      <c r="AA785" s="456"/>
      <c r="AB785" s="456"/>
      <c r="AC785" s="456"/>
      <c r="AD785" s="456"/>
      <c r="AE785" s="456"/>
      <c r="AF785" s="456"/>
      <c r="AG785" s="33" t="str">
        <f t="shared" si="648"/>
        <v>2.13 &gt; Haiti</v>
      </c>
      <c r="AH785" s="84">
        <f t="shared" ref="AH785:AH848" si="650">AH784+1</f>
        <v>771</v>
      </c>
      <c r="AI785" s="84">
        <f t="shared" ref="AI785:AI848" si="651">ROUNDUP(AH785/COUNTA($D$15:$D$41),0)</f>
        <v>29</v>
      </c>
      <c r="AJ785" s="877" t="s">
        <v>1526</v>
      </c>
    </row>
    <row r="786" spans="1:36" x14ac:dyDescent="0.2">
      <c r="A786" s="492">
        <f>INDEX(Country!$F$31:$G$76, MATCH(AI786, Country!$O$31:$O$76, 0), 1)</f>
        <v>2.1299999999999972</v>
      </c>
      <c r="B786" s="2" t="str">
        <f>INDEX(Country!$F$31:$G$76, MATCH(AI786, Country!$O$31:$O$76, 0), 2)</f>
        <v>Average cost of debt</v>
      </c>
      <c r="C786" s="436" t="str">
        <f>INDEX(Country!$K$31:$K$76, MATCH(AI786, Country!$O$31:$O$76, 0), 1)</f>
        <v>%</v>
      </c>
      <c r="D786" s="4" t="str">
        <f t="shared" si="649"/>
        <v>Honduras</v>
      </c>
      <c r="E786" s="23"/>
      <c r="F786" s="23"/>
      <c r="G786" s="23"/>
      <c r="H786" s="23"/>
      <c r="I786" s="23"/>
      <c r="J786" s="23"/>
      <c r="K786" s="35">
        <v>8.0604666666666672E-2</v>
      </c>
      <c r="L786" s="457">
        <f t="shared" si="646"/>
        <v>0</v>
      </c>
      <c r="M786" s="458">
        <f t="shared" si="647"/>
        <v>0</v>
      </c>
      <c r="N786" s="458">
        <f t="shared" si="606"/>
        <v>0</v>
      </c>
      <c r="O786" s="458">
        <f t="shared" si="607"/>
        <v>0</v>
      </c>
      <c r="P786" s="458">
        <f t="shared" si="608"/>
        <v>0</v>
      </c>
      <c r="Q786" s="458">
        <f t="shared" si="609"/>
        <v>0</v>
      </c>
      <c r="R786" s="459">
        <f t="shared" si="610"/>
        <v>53.949729957736118</v>
      </c>
      <c r="S786" s="455"/>
      <c r="T786" s="456"/>
      <c r="U786" s="456"/>
      <c r="V786" s="456"/>
      <c r="W786" s="456"/>
      <c r="X786" s="456"/>
      <c r="Y786" s="456"/>
      <c r="Z786" s="455"/>
      <c r="AA786" s="456"/>
      <c r="AB786" s="456"/>
      <c r="AC786" s="456"/>
      <c r="AD786" s="456"/>
      <c r="AE786" s="456"/>
      <c r="AF786" s="456"/>
      <c r="AG786" s="33" t="str">
        <f t="shared" si="648"/>
        <v>2.13 &gt; Honduras</v>
      </c>
      <c r="AH786" s="84">
        <f t="shared" si="650"/>
        <v>772</v>
      </c>
      <c r="AI786" s="84">
        <f t="shared" si="651"/>
        <v>29</v>
      </c>
      <c r="AJ786" s="877" t="s">
        <v>1526</v>
      </c>
    </row>
    <row r="787" spans="1:36" x14ac:dyDescent="0.2">
      <c r="A787" s="492">
        <f>INDEX(Country!$F$31:$G$76, MATCH(AI787, Country!$O$31:$O$76, 0), 1)</f>
        <v>2.1299999999999972</v>
      </c>
      <c r="B787" s="2" t="str">
        <f>INDEX(Country!$F$31:$G$76, MATCH(AI787, Country!$O$31:$O$76, 0), 2)</f>
        <v>Average cost of debt</v>
      </c>
      <c r="C787" s="436" t="str">
        <f>INDEX(Country!$K$31:$K$76, MATCH(AI787, Country!$O$31:$O$76, 0), 1)</f>
        <v>%</v>
      </c>
      <c r="D787" s="4" t="str">
        <f t="shared" si="649"/>
        <v>Jamaica</v>
      </c>
      <c r="E787" s="23"/>
      <c r="F787" s="23"/>
      <c r="G787" s="23"/>
      <c r="H787" s="23"/>
      <c r="I787" s="23"/>
      <c r="J787" s="23"/>
      <c r="K787" s="35">
        <v>8.5000000000000006E-2</v>
      </c>
      <c r="L787" s="457">
        <f t="shared" si="646"/>
        <v>0</v>
      </c>
      <c r="M787" s="458">
        <f t="shared" si="647"/>
        <v>0</v>
      </c>
      <c r="N787" s="458">
        <f t="shared" si="606"/>
        <v>0</v>
      </c>
      <c r="O787" s="458">
        <f t="shared" si="607"/>
        <v>0</v>
      </c>
      <c r="P787" s="458">
        <f t="shared" si="608"/>
        <v>0</v>
      </c>
      <c r="Q787" s="458">
        <f t="shared" si="609"/>
        <v>0</v>
      </c>
      <c r="R787" s="459">
        <f t="shared" si="610"/>
        <v>51.160000000000004</v>
      </c>
      <c r="S787" s="455"/>
      <c r="T787" s="456"/>
      <c r="U787" s="456"/>
      <c r="V787" s="456"/>
      <c r="W787" s="456"/>
      <c r="X787" s="456"/>
      <c r="Y787" s="456"/>
      <c r="Z787" s="455"/>
      <c r="AA787" s="456"/>
      <c r="AB787" s="456"/>
      <c r="AC787" s="456"/>
      <c r="AD787" s="456"/>
      <c r="AE787" s="456"/>
      <c r="AF787" s="456"/>
      <c r="AG787" s="33" t="str">
        <f t="shared" si="648"/>
        <v>2.13 &gt; Jamaica</v>
      </c>
      <c r="AH787" s="84">
        <f t="shared" si="650"/>
        <v>773</v>
      </c>
      <c r="AI787" s="84">
        <f t="shared" si="651"/>
        <v>29</v>
      </c>
      <c r="AJ787" s="877" t="s">
        <v>1526</v>
      </c>
    </row>
    <row r="788" spans="1:36" x14ac:dyDescent="0.2">
      <c r="A788" s="492">
        <f>INDEX(Country!$F$31:$G$76, MATCH(AI788, Country!$O$31:$O$76, 0), 1)</f>
        <v>2.1299999999999972</v>
      </c>
      <c r="B788" s="2" t="str">
        <f>INDEX(Country!$F$31:$G$76, MATCH(AI788, Country!$O$31:$O$76, 0), 2)</f>
        <v>Average cost of debt</v>
      </c>
      <c r="C788" s="436" t="str">
        <f>INDEX(Country!$K$31:$K$76, MATCH(AI788, Country!$O$31:$O$76, 0), 1)</f>
        <v>%</v>
      </c>
      <c r="D788" s="4" t="str">
        <f t="shared" si="649"/>
        <v>Mexico</v>
      </c>
      <c r="E788" s="23"/>
      <c r="F788" s="23"/>
      <c r="G788" s="23"/>
      <c r="H788" s="23"/>
      <c r="I788" s="23"/>
      <c r="J788" s="23"/>
      <c r="K788" s="35">
        <v>4.3486000000000004E-2</v>
      </c>
      <c r="L788" s="457">
        <f t="shared" si="646"/>
        <v>0</v>
      </c>
      <c r="M788" s="458">
        <f t="shared" si="647"/>
        <v>0</v>
      </c>
      <c r="N788" s="458">
        <f t="shared" si="606"/>
        <v>0</v>
      </c>
      <c r="O788" s="458">
        <f t="shared" si="607"/>
        <v>0</v>
      </c>
      <c r="P788" s="458">
        <f t="shared" si="608"/>
        <v>0</v>
      </c>
      <c r="Q788" s="458">
        <f t="shared" si="609"/>
        <v>0</v>
      </c>
      <c r="R788" s="459">
        <f t="shared" si="610"/>
        <v>100</v>
      </c>
      <c r="S788" s="455"/>
      <c r="T788" s="456"/>
      <c r="U788" s="456"/>
      <c r="V788" s="456"/>
      <c r="W788" s="456"/>
      <c r="X788" s="456"/>
      <c r="Y788" s="456"/>
      <c r="Z788" s="455"/>
      <c r="AA788" s="456"/>
      <c r="AB788" s="456"/>
      <c r="AC788" s="456"/>
      <c r="AD788" s="456"/>
      <c r="AE788" s="456"/>
      <c r="AF788" s="456"/>
      <c r="AG788" s="33" t="str">
        <f t="shared" si="648"/>
        <v>2.13 &gt; Mexico</v>
      </c>
      <c r="AH788" s="84">
        <f t="shared" si="650"/>
        <v>774</v>
      </c>
      <c r="AI788" s="84">
        <f t="shared" si="651"/>
        <v>29</v>
      </c>
      <c r="AJ788" s="877" t="s">
        <v>1526</v>
      </c>
    </row>
    <row r="789" spans="1:36" x14ac:dyDescent="0.2">
      <c r="A789" s="492">
        <f>INDEX(Country!$F$31:$G$76, MATCH(AI789, Country!$O$31:$O$76, 0), 1)</f>
        <v>2.1299999999999972</v>
      </c>
      <c r="B789" s="2" t="str">
        <f>INDEX(Country!$F$31:$G$76, MATCH(AI789, Country!$O$31:$O$76, 0), 2)</f>
        <v>Average cost of debt</v>
      </c>
      <c r="C789" s="436" t="str">
        <f>INDEX(Country!$K$31:$K$76, MATCH(AI789, Country!$O$31:$O$76, 0), 1)</f>
        <v>%</v>
      </c>
      <c r="D789" s="4" t="str">
        <f t="shared" si="649"/>
        <v>Nicaragua</v>
      </c>
      <c r="E789" s="23"/>
      <c r="F789" s="23"/>
      <c r="G789" s="23"/>
      <c r="H789" s="23"/>
      <c r="I789" s="23"/>
      <c r="J789" s="23"/>
      <c r="K789" s="35">
        <v>5.5E-2</v>
      </c>
      <c r="L789" s="457">
        <f t="shared" si="646"/>
        <v>0</v>
      </c>
      <c r="M789" s="458">
        <f t="shared" si="647"/>
        <v>0</v>
      </c>
      <c r="N789" s="458">
        <f t="shared" si="606"/>
        <v>0</v>
      </c>
      <c r="O789" s="458">
        <f t="shared" si="607"/>
        <v>0</v>
      </c>
      <c r="P789" s="458">
        <f t="shared" si="608"/>
        <v>0</v>
      </c>
      <c r="Q789" s="458">
        <f t="shared" si="609"/>
        <v>0</v>
      </c>
      <c r="R789" s="459">
        <f t="shared" si="610"/>
        <v>79.065454545454543</v>
      </c>
      <c r="S789" s="455"/>
      <c r="T789" s="456"/>
      <c r="U789" s="456"/>
      <c r="V789" s="456"/>
      <c r="W789" s="456"/>
      <c r="X789" s="456"/>
      <c r="Y789" s="456"/>
      <c r="Z789" s="455"/>
      <c r="AA789" s="456"/>
      <c r="AB789" s="456"/>
      <c r="AC789" s="456"/>
      <c r="AD789" s="456"/>
      <c r="AE789" s="456"/>
      <c r="AF789" s="456"/>
      <c r="AG789" s="33" t="str">
        <f t="shared" si="648"/>
        <v>2.13 &gt; Nicaragua</v>
      </c>
      <c r="AH789" s="84">
        <f t="shared" si="650"/>
        <v>775</v>
      </c>
      <c r="AI789" s="84">
        <f t="shared" si="651"/>
        <v>29</v>
      </c>
      <c r="AJ789" s="877" t="s">
        <v>1526</v>
      </c>
    </row>
    <row r="790" spans="1:36" x14ac:dyDescent="0.2">
      <c r="A790" s="492">
        <f>INDEX(Country!$F$31:$G$76, MATCH(AI790, Country!$O$31:$O$76, 0), 1)</f>
        <v>2.1299999999999972</v>
      </c>
      <c r="B790" s="2" t="str">
        <f>INDEX(Country!$F$31:$G$76, MATCH(AI790, Country!$O$31:$O$76, 0), 2)</f>
        <v>Average cost of debt</v>
      </c>
      <c r="C790" s="436" t="str">
        <f>INDEX(Country!$K$31:$K$76, MATCH(AI790, Country!$O$31:$O$76, 0), 1)</f>
        <v>%</v>
      </c>
      <c r="D790" s="4" t="str">
        <f t="shared" si="649"/>
        <v>Panama</v>
      </c>
      <c r="E790" s="23"/>
      <c r="F790" s="23"/>
      <c r="G790" s="23"/>
      <c r="H790" s="23"/>
      <c r="I790" s="23"/>
      <c r="J790" s="23"/>
      <c r="K790" s="35"/>
      <c r="L790" s="457">
        <f t="shared" si="646"/>
        <v>0</v>
      </c>
      <c r="M790" s="458">
        <f t="shared" si="647"/>
        <v>0</v>
      </c>
      <c r="N790" s="458">
        <f t="shared" si="606"/>
        <v>0</v>
      </c>
      <c r="O790" s="458">
        <f t="shared" si="607"/>
        <v>0</v>
      </c>
      <c r="P790" s="458">
        <f t="shared" si="608"/>
        <v>0</v>
      </c>
      <c r="Q790" s="458">
        <f t="shared" si="609"/>
        <v>0</v>
      </c>
      <c r="R790" s="459">
        <f t="shared" si="610"/>
        <v>0</v>
      </c>
      <c r="S790" s="455"/>
      <c r="T790" s="456"/>
      <c r="U790" s="456"/>
      <c r="V790" s="456"/>
      <c r="W790" s="456"/>
      <c r="X790" s="456"/>
      <c r="Y790" s="456"/>
      <c r="Z790" s="455"/>
      <c r="AA790" s="456"/>
      <c r="AB790" s="456"/>
      <c r="AC790" s="456"/>
      <c r="AD790" s="456"/>
      <c r="AE790" s="456"/>
      <c r="AF790" s="456"/>
      <c r="AG790" s="33" t="str">
        <f t="shared" si="648"/>
        <v>2.13 &gt; Panama</v>
      </c>
      <c r="AH790" s="84">
        <f t="shared" si="650"/>
        <v>776</v>
      </c>
      <c r="AI790" s="84">
        <f t="shared" si="651"/>
        <v>29</v>
      </c>
      <c r="AJ790" s="877" t="s">
        <v>1526</v>
      </c>
    </row>
    <row r="791" spans="1:36" x14ac:dyDescent="0.2">
      <c r="A791" s="492">
        <f>INDEX(Country!$F$31:$G$76, MATCH(AI791, Country!$O$31:$O$76, 0), 1)</f>
        <v>2.1299999999999972</v>
      </c>
      <c r="B791" s="2" t="str">
        <f>INDEX(Country!$F$31:$G$76, MATCH(AI791, Country!$O$31:$O$76, 0), 2)</f>
        <v>Average cost of debt</v>
      </c>
      <c r="C791" s="436" t="str">
        <f>INDEX(Country!$K$31:$K$76, MATCH(AI791, Country!$O$31:$O$76, 0), 1)</f>
        <v>%</v>
      </c>
      <c r="D791" s="4" t="str">
        <f t="shared" si="649"/>
        <v>Paraguay</v>
      </c>
      <c r="E791" s="23"/>
      <c r="F791" s="23"/>
      <c r="G791" s="23"/>
      <c r="H791" s="23"/>
      <c r="I791" s="23"/>
      <c r="J791" s="23"/>
      <c r="K791" s="35">
        <v>5.5E-2</v>
      </c>
      <c r="L791" s="457">
        <f t="shared" si="646"/>
        <v>0</v>
      </c>
      <c r="M791" s="458">
        <f t="shared" si="647"/>
        <v>0</v>
      </c>
      <c r="N791" s="458">
        <f t="shared" si="606"/>
        <v>0</v>
      </c>
      <c r="O791" s="458">
        <f t="shared" si="607"/>
        <v>0</v>
      </c>
      <c r="P791" s="458">
        <f t="shared" si="608"/>
        <v>0</v>
      </c>
      <c r="Q791" s="458">
        <f t="shared" si="609"/>
        <v>0</v>
      </c>
      <c r="R791" s="459">
        <f t="shared" si="610"/>
        <v>79.065454545454543</v>
      </c>
      <c r="S791" s="455"/>
      <c r="T791" s="456"/>
      <c r="U791" s="456"/>
      <c r="V791" s="456"/>
      <c r="W791" s="456"/>
      <c r="X791" s="456"/>
      <c r="Y791" s="456"/>
      <c r="Z791" s="455"/>
      <c r="AA791" s="456"/>
      <c r="AB791" s="456"/>
      <c r="AC791" s="456"/>
      <c r="AD791" s="456"/>
      <c r="AE791" s="456"/>
      <c r="AF791" s="456"/>
      <c r="AG791" s="33" t="str">
        <f t="shared" si="648"/>
        <v>2.13 &gt; Paraguay</v>
      </c>
      <c r="AH791" s="84">
        <f t="shared" si="650"/>
        <v>777</v>
      </c>
      <c r="AI791" s="84">
        <f t="shared" si="651"/>
        <v>29</v>
      </c>
      <c r="AJ791" s="877" t="s">
        <v>1526</v>
      </c>
    </row>
    <row r="792" spans="1:36" x14ac:dyDescent="0.2">
      <c r="A792" s="492">
        <f>INDEX(Country!$F$31:$G$76, MATCH(AI792, Country!$O$31:$O$76, 0), 1)</f>
        <v>2.1299999999999972</v>
      </c>
      <c r="B792" s="2" t="str">
        <f>INDEX(Country!$F$31:$G$76, MATCH(AI792, Country!$O$31:$O$76, 0), 2)</f>
        <v>Average cost of debt</v>
      </c>
      <c r="C792" s="436" t="str">
        <f>INDEX(Country!$K$31:$K$76, MATCH(AI792, Country!$O$31:$O$76, 0), 1)</f>
        <v>%</v>
      </c>
      <c r="D792" s="4" t="str">
        <f t="shared" si="649"/>
        <v>Peru</v>
      </c>
      <c r="E792" s="23"/>
      <c r="F792" s="23"/>
      <c r="G792" s="23"/>
      <c r="H792" s="23"/>
      <c r="I792" s="23"/>
      <c r="J792" s="23"/>
      <c r="K792" s="35">
        <v>6.9313999999999987E-2</v>
      </c>
      <c r="L792" s="457">
        <f t="shared" si="646"/>
        <v>0</v>
      </c>
      <c r="M792" s="458">
        <f t="shared" si="647"/>
        <v>0</v>
      </c>
      <c r="N792" s="458">
        <f t="shared" si="606"/>
        <v>0</v>
      </c>
      <c r="O792" s="458">
        <f t="shared" si="607"/>
        <v>0</v>
      </c>
      <c r="P792" s="458">
        <f t="shared" si="608"/>
        <v>0</v>
      </c>
      <c r="Q792" s="458">
        <f t="shared" si="609"/>
        <v>0</v>
      </c>
      <c r="R792" s="459">
        <f t="shared" si="610"/>
        <v>62.737686470265764</v>
      </c>
      <c r="S792" s="455"/>
      <c r="T792" s="456"/>
      <c r="U792" s="456"/>
      <c r="V792" s="456"/>
      <c r="W792" s="456"/>
      <c r="X792" s="456"/>
      <c r="Y792" s="456"/>
      <c r="Z792" s="455"/>
      <c r="AA792" s="456"/>
      <c r="AB792" s="456"/>
      <c r="AC792" s="456"/>
      <c r="AD792" s="456"/>
      <c r="AE792" s="456"/>
      <c r="AF792" s="456"/>
      <c r="AG792" s="33" t="str">
        <f t="shared" si="648"/>
        <v>2.13 &gt; Peru</v>
      </c>
      <c r="AH792" s="84">
        <f t="shared" si="650"/>
        <v>778</v>
      </c>
      <c r="AI792" s="84">
        <f t="shared" si="651"/>
        <v>29</v>
      </c>
      <c r="AJ792" s="877" t="s">
        <v>1526</v>
      </c>
    </row>
    <row r="793" spans="1:36" x14ac:dyDescent="0.2">
      <c r="A793" s="492">
        <f>INDEX(Country!$F$31:$G$76, MATCH(AI793, Country!$O$31:$O$76, 0), 1)</f>
        <v>2.1299999999999972</v>
      </c>
      <c r="B793" s="2" t="str">
        <f>INDEX(Country!$F$31:$G$76, MATCH(AI793, Country!$O$31:$O$76, 0), 2)</f>
        <v>Average cost of debt</v>
      </c>
      <c r="C793" s="436" t="str">
        <f>INDEX(Country!$K$31:$K$76, MATCH(AI793, Country!$O$31:$O$76, 0), 1)</f>
        <v>%</v>
      </c>
      <c r="D793" s="4" t="str">
        <f t="shared" si="649"/>
        <v>Suriname</v>
      </c>
      <c r="E793" s="23"/>
      <c r="F793" s="23"/>
      <c r="G793" s="23"/>
      <c r="H793" s="23"/>
      <c r="I793" s="23"/>
      <c r="J793" s="23"/>
      <c r="K793" s="35"/>
      <c r="L793" s="457">
        <f t="shared" si="646"/>
        <v>0</v>
      </c>
      <c r="M793" s="458">
        <f t="shared" si="647"/>
        <v>0</v>
      </c>
      <c r="N793" s="458">
        <f t="shared" si="606"/>
        <v>0</v>
      </c>
      <c r="O793" s="458">
        <f t="shared" si="607"/>
        <v>0</v>
      </c>
      <c r="P793" s="458">
        <f t="shared" si="608"/>
        <v>0</v>
      </c>
      <c r="Q793" s="458">
        <f t="shared" si="609"/>
        <v>0</v>
      </c>
      <c r="R793" s="459">
        <f t="shared" si="610"/>
        <v>0</v>
      </c>
      <c r="S793" s="455"/>
      <c r="T793" s="456"/>
      <c r="U793" s="456"/>
      <c r="V793" s="456"/>
      <c r="W793" s="456"/>
      <c r="X793" s="456"/>
      <c r="Y793" s="456"/>
      <c r="Z793" s="455"/>
      <c r="AA793" s="456"/>
      <c r="AB793" s="456"/>
      <c r="AC793" s="456"/>
      <c r="AD793" s="456"/>
      <c r="AE793" s="456"/>
      <c r="AF793" s="456"/>
      <c r="AG793" s="33" t="str">
        <f t="shared" si="648"/>
        <v>2.13 &gt; Suriname</v>
      </c>
      <c r="AH793" s="84">
        <f t="shared" si="650"/>
        <v>779</v>
      </c>
      <c r="AI793" s="84">
        <f t="shared" si="651"/>
        <v>29</v>
      </c>
      <c r="AJ793" s="877" t="s">
        <v>1526</v>
      </c>
    </row>
    <row r="794" spans="1:36" x14ac:dyDescent="0.2">
      <c r="A794" s="492">
        <f>INDEX(Country!$F$31:$G$76, MATCH(AI794, Country!$O$31:$O$76, 0), 1)</f>
        <v>2.1299999999999972</v>
      </c>
      <c r="B794" s="2" t="str">
        <f>INDEX(Country!$F$31:$G$76, MATCH(AI794, Country!$O$31:$O$76, 0), 2)</f>
        <v>Average cost of debt</v>
      </c>
      <c r="C794" s="436" t="str">
        <f>INDEX(Country!$K$31:$K$76, MATCH(AI794, Country!$O$31:$O$76, 0), 1)</f>
        <v>%</v>
      </c>
      <c r="D794" s="4" t="str">
        <f t="shared" si="649"/>
        <v>Trinidad &amp; Tobago</v>
      </c>
      <c r="E794" s="23"/>
      <c r="F794" s="23"/>
      <c r="G794" s="23"/>
      <c r="H794" s="23"/>
      <c r="I794" s="23"/>
      <c r="J794" s="23"/>
      <c r="K794" s="35"/>
      <c r="L794" s="457">
        <f t="shared" si="646"/>
        <v>0</v>
      </c>
      <c r="M794" s="458">
        <f t="shared" si="647"/>
        <v>0</v>
      </c>
      <c r="N794" s="458">
        <f t="shared" si="606"/>
        <v>0</v>
      </c>
      <c r="O794" s="458">
        <f t="shared" si="607"/>
        <v>0</v>
      </c>
      <c r="P794" s="458">
        <f t="shared" si="608"/>
        <v>0</v>
      </c>
      <c r="Q794" s="458">
        <f t="shared" si="609"/>
        <v>0</v>
      </c>
      <c r="R794" s="459">
        <f t="shared" si="610"/>
        <v>0</v>
      </c>
      <c r="S794" s="455"/>
      <c r="T794" s="456"/>
      <c r="U794" s="456"/>
      <c r="V794" s="456"/>
      <c r="W794" s="456"/>
      <c r="X794" s="456"/>
      <c r="Y794" s="456"/>
      <c r="Z794" s="455"/>
      <c r="AA794" s="456"/>
      <c r="AB794" s="456"/>
      <c r="AC794" s="456"/>
      <c r="AD794" s="456"/>
      <c r="AE794" s="456"/>
      <c r="AF794" s="456"/>
      <c r="AG794" s="33" t="str">
        <f t="shared" si="648"/>
        <v>2.13 &gt; Trinidad &amp; Tobago</v>
      </c>
      <c r="AH794" s="84">
        <f t="shared" si="650"/>
        <v>780</v>
      </c>
      <c r="AI794" s="84">
        <f t="shared" si="651"/>
        <v>29</v>
      </c>
      <c r="AJ794" s="877" t="s">
        <v>1526</v>
      </c>
    </row>
    <row r="795" spans="1:36" x14ac:dyDescent="0.2">
      <c r="A795" s="492">
        <f>INDEX(Country!$F$31:$G$76, MATCH(AI795, Country!$O$31:$O$76, 0), 1)</f>
        <v>2.1299999999999972</v>
      </c>
      <c r="B795" s="2" t="str">
        <f>INDEX(Country!$F$31:$G$76, MATCH(AI795, Country!$O$31:$O$76, 0), 2)</f>
        <v>Average cost of debt</v>
      </c>
      <c r="C795" s="436" t="str">
        <f>INDEX(Country!$K$31:$K$76, MATCH(AI795, Country!$O$31:$O$76, 0), 1)</f>
        <v>%</v>
      </c>
      <c r="D795" s="4" t="str">
        <f t="shared" si="649"/>
        <v>Uruguay</v>
      </c>
      <c r="E795" s="23"/>
      <c r="F795" s="23"/>
      <c r="G795" s="23"/>
      <c r="H795" s="23"/>
      <c r="I795" s="23"/>
      <c r="J795" s="23"/>
      <c r="K795" s="35"/>
      <c r="L795" s="457">
        <f t="shared" si="646"/>
        <v>0</v>
      </c>
      <c r="M795" s="458">
        <f t="shared" si="647"/>
        <v>0</v>
      </c>
      <c r="N795" s="458">
        <f t="shared" si="606"/>
        <v>0</v>
      </c>
      <c r="O795" s="458">
        <f t="shared" si="607"/>
        <v>0</v>
      </c>
      <c r="P795" s="458">
        <f t="shared" si="608"/>
        <v>0</v>
      </c>
      <c r="Q795" s="458">
        <f t="shared" si="609"/>
        <v>0</v>
      </c>
      <c r="R795" s="459">
        <f t="shared" si="610"/>
        <v>0</v>
      </c>
      <c r="S795" s="455"/>
      <c r="T795" s="456"/>
      <c r="U795" s="456"/>
      <c r="V795" s="456"/>
      <c r="W795" s="456"/>
      <c r="X795" s="456"/>
      <c r="Y795" s="456"/>
      <c r="Z795" s="455"/>
      <c r="AA795" s="456"/>
      <c r="AB795" s="456"/>
      <c r="AC795" s="456"/>
      <c r="AD795" s="456"/>
      <c r="AE795" s="456"/>
      <c r="AF795" s="456"/>
      <c r="AG795" s="33" t="str">
        <f t="shared" si="648"/>
        <v>2.13 &gt; Uruguay</v>
      </c>
      <c r="AH795" s="84">
        <f t="shared" si="650"/>
        <v>781</v>
      </c>
      <c r="AI795" s="84">
        <f t="shared" si="651"/>
        <v>29</v>
      </c>
      <c r="AJ795" s="877" t="s">
        <v>1526</v>
      </c>
    </row>
    <row r="796" spans="1:36" x14ac:dyDescent="0.2">
      <c r="A796" s="491">
        <f>INDEX(Country!$F$31:$G$76, MATCH(AI796, Country!$O$31:$O$76, 0), 1)</f>
        <v>2.1299999999999972</v>
      </c>
      <c r="B796" s="386" t="str">
        <f>INDEX(Country!$F$31:$G$76, MATCH(AI796, Country!$O$31:$O$76, 0), 2)</f>
        <v>Average cost of debt</v>
      </c>
      <c r="C796" s="437" t="str">
        <f>INDEX(Country!$K$31:$K$76, MATCH(AI796, Country!$O$31:$O$76, 0), 1)</f>
        <v>%</v>
      </c>
      <c r="D796" s="86" t="str">
        <f t="shared" si="649"/>
        <v>Venezuela</v>
      </c>
      <c r="E796" s="370"/>
      <c r="F796" s="370"/>
      <c r="G796" s="370"/>
      <c r="H796" s="370"/>
      <c r="I796" s="370"/>
      <c r="J796" s="370"/>
      <c r="K796" s="402"/>
      <c r="L796" s="460">
        <f t="shared" si="646"/>
        <v>0</v>
      </c>
      <c r="M796" s="461">
        <f t="shared" si="647"/>
        <v>0</v>
      </c>
      <c r="N796" s="461">
        <f t="shared" si="606"/>
        <v>0</v>
      </c>
      <c r="O796" s="461">
        <f t="shared" si="607"/>
        <v>0</v>
      </c>
      <c r="P796" s="461">
        <f t="shared" si="608"/>
        <v>0</v>
      </c>
      <c r="Q796" s="461">
        <f t="shared" si="609"/>
        <v>0</v>
      </c>
      <c r="R796" s="462">
        <f t="shared" si="610"/>
        <v>0</v>
      </c>
      <c r="S796" s="455"/>
      <c r="T796" s="456"/>
      <c r="U796" s="456"/>
      <c r="V796" s="456"/>
      <c r="W796" s="456"/>
      <c r="X796" s="456"/>
      <c r="Y796" s="456"/>
      <c r="Z796" s="455"/>
      <c r="AA796" s="456"/>
      <c r="AB796" s="456"/>
      <c r="AC796" s="456"/>
      <c r="AD796" s="456"/>
      <c r="AE796" s="456"/>
      <c r="AF796" s="456"/>
      <c r="AG796" s="90" t="str">
        <f t="shared" si="648"/>
        <v>2.13 &gt; Venezuela</v>
      </c>
      <c r="AH796" s="392">
        <f t="shared" si="650"/>
        <v>782</v>
      </c>
      <c r="AI796" s="392">
        <f t="shared" si="651"/>
        <v>29</v>
      </c>
      <c r="AJ796" s="878" t="s">
        <v>1526</v>
      </c>
    </row>
    <row r="797" spans="1:36" x14ac:dyDescent="0.2">
      <c r="A797" s="490">
        <f>INDEX(Country!$F$31:$G$76, MATCH(AI797, Country!$O$31:$O$76, 0), 1)</f>
        <v>2.1299999999999972</v>
      </c>
      <c r="B797" s="387" t="str">
        <f>INDEX(Country!$F$31:$G$76, MATCH(AI797, Country!$O$31:$O$76, 0), 2)</f>
        <v>Average cost of debt</v>
      </c>
      <c r="C797" s="438" t="str">
        <f>INDEX(Country!$K$31:$K$76, MATCH(AI797, Country!$O$31:$O$76, 0), 1)</f>
        <v>%</v>
      </c>
      <c r="D797" s="32" t="str">
        <f t="shared" si="649"/>
        <v>Benchmark</v>
      </c>
      <c r="E797" s="372">
        <f t="shared" ref="E797:I797" si="652">IFERROR(SMALL(E771:E796, COUNTIF(E771:E796, "0")+1), 0)</f>
        <v>0</v>
      </c>
      <c r="F797" s="372">
        <f t="shared" si="652"/>
        <v>0</v>
      </c>
      <c r="G797" s="372">
        <f t="shared" si="652"/>
        <v>0</v>
      </c>
      <c r="H797" s="372">
        <f t="shared" si="652"/>
        <v>0</v>
      </c>
      <c r="I797" s="372">
        <f t="shared" si="652"/>
        <v>0</v>
      </c>
      <c r="J797" s="372">
        <f>IFERROR(SMALL(J771:J796, COUNTIF(J771:J796, "0")+1), 0)</f>
        <v>0</v>
      </c>
      <c r="K797" s="609">
        <f>IFERROR(SMALL(K771:K796, COUNTIF(K771:K796, "0")+1), 0)</f>
        <v>4.3486000000000004E-2</v>
      </c>
      <c r="L797" s="585">
        <f t="shared" si="646"/>
        <v>0</v>
      </c>
      <c r="M797" s="463">
        <f t="shared" si="647"/>
        <v>0</v>
      </c>
      <c r="N797" s="463">
        <f t="shared" si="606"/>
        <v>0</v>
      </c>
      <c r="O797" s="463">
        <f t="shared" si="607"/>
        <v>0</v>
      </c>
      <c r="P797" s="463">
        <f t="shared" si="608"/>
        <v>0</v>
      </c>
      <c r="Q797" s="463">
        <f t="shared" si="609"/>
        <v>0</v>
      </c>
      <c r="R797" s="586">
        <f t="shared" si="610"/>
        <v>100</v>
      </c>
      <c r="S797" s="393" t="s">
        <v>3285</v>
      </c>
      <c r="T797" s="394"/>
      <c r="U797" s="376"/>
      <c r="V797" s="376"/>
      <c r="W797" s="376"/>
      <c r="X797" s="376"/>
      <c r="Y797" s="376"/>
      <c r="Z797" s="393"/>
      <c r="AA797" s="394"/>
      <c r="AB797" s="376"/>
      <c r="AC797" s="376"/>
      <c r="AD797" s="376"/>
      <c r="AE797" s="376"/>
      <c r="AF797" s="376"/>
      <c r="AG797" s="34" t="str">
        <f t="shared" si="648"/>
        <v>2.13 &gt; Benchmark</v>
      </c>
      <c r="AH797" s="85">
        <f t="shared" si="650"/>
        <v>783</v>
      </c>
      <c r="AI797" s="85">
        <f t="shared" si="651"/>
        <v>29</v>
      </c>
      <c r="AJ797" s="871" t="s">
        <v>1526</v>
      </c>
    </row>
    <row r="798" spans="1:36" x14ac:dyDescent="0.2">
      <c r="A798" s="587">
        <f>INDEX(Country!$F$31:$G$76, MATCH(AI798, Country!$O$31:$O$76, 0), 1)</f>
        <v>2.139999999999997</v>
      </c>
      <c r="B798" s="588" t="str">
        <f>INDEX(Country!$F$31:$G$76, MATCH(AI798, Country!$O$31:$O$76, 0), 2)</f>
        <v>Swap rate</v>
      </c>
      <c r="C798" s="589" t="str">
        <f>INDEX(Country!$K$31:$K$76, MATCH(AI798, Country!$O$31:$O$76, 0), 1)</f>
        <v>%</v>
      </c>
      <c r="D798" s="590" t="str">
        <f t="shared" ref="D798:D820" si="653">D771</f>
        <v>Argentina</v>
      </c>
      <c r="E798" s="607">
        <v>9.5907999999999993E-2</v>
      </c>
      <c r="F798" s="607">
        <v>0.159861</v>
      </c>
      <c r="G798" s="607">
        <v>0.27762799999999999</v>
      </c>
      <c r="H798" s="607">
        <v>0.107</v>
      </c>
      <c r="I798" s="607">
        <v>0.1109</v>
      </c>
      <c r="J798" s="607">
        <v>0.2253</v>
      </c>
      <c r="K798" s="608">
        <v>0.1444</v>
      </c>
      <c r="L798" s="580">
        <f t="shared" si="646"/>
        <v>57.346623847854197</v>
      </c>
      <c r="M798" s="581">
        <f t="shared" si="647"/>
        <v>34.404889247533795</v>
      </c>
      <c r="N798" s="581">
        <f t="shared" si="606"/>
        <v>19.810681919691099</v>
      </c>
      <c r="O798" s="581">
        <f t="shared" si="607"/>
        <v>51.401869158878512</v>
      </c>
      <c r="P798" s="581">
        <f t="shared" si="608"/>
        <v>49.594229035166819</v>
      </c>
      <c r="Q798" s="581">
        <f t="shared" si="609"/>
        <v>21.083000443852644</v>
      </c>
      <c r="R798" s="582">
        <f t="shared" si="610"/>
        <v>32.479224376731295</v>
      </c>
      <c r="S798" s="455"/>
      <c r="T798" s="456"/>
      <c r="U798" s="456"/>
      <c r="V798" s="456"/>
      <c r="W798" s="456"/>
      <c r="X798" s="456"/>
      <c r="Y798" s="456"/>
      <c r="Z798" s="455"/>
      <c r="AA798" s="456"/>
      <c r="AB798" s="456"/>
      <c r="AC798" s="456"/>
      <c r="AD798" s="456"/>
      <c r="AE798" s="456"/>
      <c r="AF798" s="456"/>
      <c r="AG798" s="396" t="str">
        <f t="shared" si="648"/>
        <v>2.14 &gt; Argentina</v>
      </c>
      <c r="AH798" s="397">
        <f t="shared" si="650"/>
        <v>784</v>
      </c>
      <c r="AI798" s="397">
        <f t="shared" si="651"/>
        <v>30</v>
      </c>
      <c r="AJ798" s="879" t="s">
        <v>1526</v>
      </c>
    </row>
    <row r="799" spans="1:36" x14ac:dyDescent="0.2">
      <c r="A799" s="492">
        <f>INDEX(Country!$F$31:$G$76, MATCH(AI799, Country!$O$31:$O$76, 0), 1)</f>
        <v>2.139999999999997</v>
      </c>
      <c r="B799" s="2" t="str">
        <f>INDEX(Country!$F$31:$G$76, MATCH(AI799, Country!$O$31:$O$76, 0), 2)</f>
        <v>Swap rate</v>
      </c>
      <c r="C799" s="436" t="str">
        <f>INDEX(Country!$K$31:$K$76, MATCH(AI799, Country!$O$31:$O$76, 0), 1)</f>
        <v>%</v>
      </c>
      <c r="D799" s="4" t="str">
        <f t="shared" si="653"/>
        <v>Bahamas</v>
      </c>
      <c r="E799" s="36">
        <v>5.5E-2</v>
      </c>
      <c r="F799" s="36">
        <v>5.5E-2</v>
      </c>
      <c r="G799" s="36">
        <v>5.5E-2</v>
      </c>
      <c r="H799" s="36">
        <v>5.5E-2</v>
      </c>
      <c r="I799" s="36">
        <v>5.5E-2</v>
      </c>
      <c r="J799" s="36">
        <v>4.7500000000000001E-2</v>
      </c>
      <c r="K799" s="37">
        <v>4.7500000000000001E-2</v>
      </c>
      <c r="L799" s="457">
        <f t="shared" si="646"/>
        <v>100</v>
      </c>
      <c r="M799" s="458">
        <f t="shared" si="647"/>
        <v>100</v>
      </c>
      <c r="N799" s="458">
        <f t="shared" si="606"/>
        <v>100</v>
      </c>
      <c r="O799" s="458">
        <f t="shared" si="607"/>
        <v>100</v>
      </c>
      <c r="P799" s="458">
        <f t="shared" si="608"/>
        <v>100</v>
      </c>
      <c r="Q799" s="458">
        <f t="shared" si="609"/>
        <v>100</v>
      </c>
      <c r="R799" s="459">
        <f t="shared" si="610"/>
        <v>98.73684210526315</v>
      </c>
      <c r="S799" s="455"/>
      <c r="T799" s="456"/>
      <c r="U799" s="456"/>
      <c r="V799" s="456"/>
      <c r="W799" s="456"/>
      <c r="X799" s="456"/>
      <c r="Y799" s="456"/>
      <c r="Z799" s="455"/>
      <c r="AA799" s="456"/>
      <c r="AB799" s="456"/>
      <c r="AC799" s="456"/>
      <c r="AD799" s="456"/>
      <c r="AE799" s="456"/>
      <c r="AF799" s="456"/>
      <c r="AG799" s="33" t="str">
        <f t="shared" si="648"/>
        <v>2.14 &gt; Bahamas</v>
      </c>
      <c r="AH799" s="84">
        <f t="shared" si="650"/>
        <v>785</v>
      </c>
      <c r="AI799" s="84">
        <f t="shared" si="651"/>
        <v>30</v>
      </c>
      <c r="AJ799" s="877" t="s">
        <v>1526</v>
      </c>
    </row>
    <row r="800" spans="1:36" x14ac:dyDescent="0.2">
      <c r="A800" s="492">
        <f>INDEX(Country!$F$31:$G$76, MATCH(AI800, Country!$O$31:$O$76, 0), 1)</f>
        <v>2.139999999999997</v>
      </c>
      <c r="B800" s="2" t="str">
        <f>INDEX(Country!$F$31:$G$76, MATCH(AI800, Country!$O$31:$O$76, 0), 2)</f>
        <v>Swap rate</v>
      </c>
      <c r="C800" s="436" t="str">
        <f>INDEX(Country!$K$31:$K$76, MATCH(AI800, Country!$O$31:$O$76, 0), 1)</f>
        <v>%</v>
      </c>
      <c r="D800" s="4" t="str">
        <f t="shared" si="653"/>
        <v>Barbados</v>
      </c>
      <c r="E800" s="36">
        <v>0.1075</v>
      </c>
      <c r="F800" s="36">
        <v>0.1045</v>
      </c>
      <c r="G800" s="36">
        <v>9.8000000000000004E-2</v>
      </c>
      <c r="H800" s="36">
        <v>8.6999999999999994E-2</v>
      </c>
      <c r="I800" s="36">
        <v>8.6999999999999994E-2</v>
      </c>
      <c r="J800" s="36">
        <v>8.6999999999999994E-2</v>
      </c>
      <c r="K800" s="37">
        <v>0</v>
      </c>
      <c r="L800" s="457">
        <f t="shared" si="646"/>
        <v>51.162790697674424</v>
      </c>
      <c r="M800" s="458">
        <f t="shared" si="647"/>
        <v>52.631578947368418</v>
      </c>
      <c r="N800" s="458">
        <f t="shared" si="606"/>
        <v>56.12244897959183</v>
      </c>
      <c r="O800" s="458">
        <f t="shared" si="607"/>
        <v>63.218390804597703</v>
      </c>
      <c r="P800" s="458">
        <f t="shared" si="608"/>
        <v>63.218390804597703</v>
      </c>
      <c r="Q800" s="458">
        <f t="shared" si="609"/>
        <v>54.597701149425291</v>
      </c>
      <c r="R800" s="459">
        <f t="shared" si="610"/>
        <v>0</v>
      </c>
      <c r="S800" s="455"/>
      <c r="T800" s="456"/>
      <c r="U800" s="456"/>
      <c r="V800" s="456"/>
      <c r="W800" s="456"/>
      <c r="X800" s="456"/>
      <c r="Y800" s="456"/>
      <c r="Z800" s="455"/>
      <c r="AA800" s="456"/>
      <c r="AB800" s="456"/>
      <c r="AC800" s="456"/>
      <c r="AD800" s="456"/>
      <c r="AE800" s="456"/>
      <c r="AF800" s="456"/>
      <c r="AG800" s="33" t="str">
        <f t="shared" si="648"/>
        <v>2.14 &gt; Barbados</v>
      </c>
      <c r="AH800" s="84">
        <f t="shared" si="650"/>
        <v>786</v>
      </c>
      <c r="AI800" s="84">
        <f t="shared" si="651"/>
        <v>30</v>
      </c>
      <c r="AJ800" s="877" t="s">
        <v>1526</v>
      </c>
    </row>
    <row r="801" spans="1:36" x14ac:dyDescent="0.2">
      <c r="A801" s="492">
        <f>INDEX(Country!$F$31:$G$76, MATCH(AI801, Country!$O$31:$O$76, 0), 1)</f>
        <v>2.139999999999997</v>
      </c>
      <c r="B801" s="2" t="str">
        <f>INDEX(Country!$F$31:$G$76, MATCH(AI801, Country!$O$31:$O$76, 0), 2)</f>
        <v>Swap rate</v>
      </c>
      <c r="C801" s="436" t="str">
        <f>INDEX(Country!$K$31:$K$76, MATCH(AI801, Country!$O$31:$O$76, 0), 1)</f>
        <v>%</v>
      </c>
      <c r="D801" s="4" t="str">
        <f t="shared" si="653"/>
        <v>Belize</v>
      </c>
      <c r="E801" s="36">
        <v>0.14230000000000001</v>
      </c>
      <c r="F801" s="36">
        <v>0.14300000000000002</v>
      </c>
      <c r="G801" s="36">
        <v>0.14099999999999999</v>
      </c>
      <c r="H801" s="36">
        <v>0.13980000000000001</v>
      </c>
      <c r="I801" s="36">
        <v>0.13780000000000001</v>
      </c>
      <c r="J801" s="36">
        <v>0.13019999999999998</v>
      </c>
      <c r="K801" s="37">
        <v>0.11990000000000001</v>
      </c>
      <c r="L801" s="457">
        <f t="shared" si="646"/>
        <v>38.650737877723117</v>
      </c>
      <c r="M801" s="458">
        <f t="shared" si="647"/>
        <v>38.46153846153846</v>
      </c>
      <c r="N801" s="458">
        <f t="shared" si="606"/>
        <v>39.007092198581567</v>
      </c>
      <c r="O801" s="458">
        <f t="shared" si="607"/>
        <v>39.341917024320452</v>
      </c>
      <c r="P801" s="458">
        <f t="shared" si="608"/>
        <v>39.912917271407835</v>
      </c>
      <c r="Q801" s="458">
        <f t="shared" si="609"/>
        <v>36.482334869431646</v>
      </c>
      <c r="R801" s="459">
        <f t="shared" si="610"/>
        <v>39.115929941618013</v>
      </c>
      <c r="S801" s="455"/>
      <c r="T801" s="456"/>
      <c r="U801" s="456"/>
      <c r="V801" s="456"/>
      <c r="W801" s="456"/>
      <c r="X801" s="456"/>
      <c r="Y801" s="456"/>
      <c r="Z801" s="455"/>
      <c r="AA801" s="456"/>
      <c r="AB801" s="456"/>
      <c r="AC801" s="456"/>
      <c r="AD801" s="456"/>
      <c r="AE801" s="456"/>
      <c r="AF801" s="456"/>
      <c r="AG801" s="33" t="str">
        <f t="shared" si="648"/>
        <v>2.14 &gt; Belize</v>
      </c>
      <c r="AH801" s="84">
        <f t="shared" si="650"/>
        <v>787</v>
      </c>
      <c r="AI801" s="84">
        <f t="shared" si="651"/>
        <v>30</v>
      </c>
      <c r="AJ801" s="877" t="s">
        <v>1526</v>
      </c>
    </row>
    <row r="802" spans="1:36" x14ac:dyDescent="0.2">
      <c r="A802" s="492">
        <f>INDEX(Country!$F$31:$G$76, MATCH(AI802, Country!$O$31:$O$76, 0), 1)</f>
        <v>2.139999999999997</v>
      </c>
      <c r="B802" s="2" t="str">
        <f>INDEX(Country!$F$31:$G$76, MATCH(AI802, Country!$O$31:$O$76, 0), 2)</f>
        <v>Swap rate</v>
      </c>
      <c r="C802" s="436" t="str">
        <f>INDEX(Country!$K$31:$K$76, MATCH(AI802, Country!$O$31:$O$76, 0), 1)</f>
        <v>%</v>
      </c>
      <c r="D802" s="4" t="str">
        <f t="shared" si="653"/>
        <v>Bolivia</v>
      </c>
      <c r="E802" s="36">
        <v>0.1183</v>
      </c>
      <c r="F802" s="36">
        <v>0.14349999999999999</v>
      </c>
      <c r="G802" s="36">
        <v>0.13819999999999999</v>
      </c>
      <c r="H802" s="36">
        <v>9.0700000000000003E-2</v>
      </c>
      <c r="I802" s="36">
        <v>0.103822</v>
      </c>
      <c r="J802" s="36">
        <v>0.108109</v>
      </c>
      <c r="K802" s="37">
        <v>0.10603699999999999</v>
      </c>
      <c r="L802" s="457">
        <f t="shared" si="646"/>
        <v>46.491969568892642</v>
      </c>
      <c r="M802" s="458">
        <f t="shared" si="647"/>
        <v>38.327526132404181</v>
      </c>
      <c r="N802" s="458">
        <f t="shared" si="606"/>
        <v>39.797395079594793</v>
      </c>
      <c r="O802" s="458">
        <f t="shared" si="607"/>
        <v>60.639470782800444</v>
      </c>
      <c r="P802" s="458">
        <f t="shared" si="608"/>
        <v>52.975284621756472</v>
      </c>
      <c r="Q802" s="458">
        <f t="shared" si="609"/>
        <v>43.937137518615472</v>
      </c>
      <c r="R802" s="459">
        <f t="shared" si="610"/>
        <v>44.22984429963126</v>
      </c>
      <c r="S802" s="455"/>
      <c r="T802" s="456"/>
      <c r="U802" s="456"/>
      <c r="V802" s="456"/>
      <c r="W802" s="456"/>
      <c r="X802" s="456"/>
      <c r="Y802" s="456"/>
      <c r="Z802" s="455"/>
      <c r="AA802" s="456"/>
      <c r="AB802" s="456"/>
      <c r="AC802" s="456"/>
      <c r="AD802" s="456"/>
      <c r="AE802" s="456"/>
      <c r="AF802" s="456"/>
      <c r="AG802" s="33" t="str">
        <f t="shared" si="648"/>
        <v>2.14 &gt; Bolivia</v>
      </c>
      <c r="AH802" s="84">
        <f t="shared" si="650"/>
        <v>788</v>
      </c>
      <c r="AI802" s="84">
        <f t="shared" si="651"/>
        <v>30</v>
      </c>
      <c r="AJ802" s="877" t="s">
        <v>1526</v>
      </c>
    </row>
    <row r="803" spans="1:36" x14ac:dyDescent="0.2">
      <c r="A803" s="492">
        <f>INDEX(Country!$F$31:$G$76, MATCH(AI803, Country!$O$31:$O$76, 0), 1)</f>
        <v>2.139999999999997</v>
      </c>
      <c r="B803" s="2" t="str">
        <f>INDEX(Country!$F$31:$G$76, MATCH(AI803, Country!$O$31:$O$76, 0), 2)</f>
        <v>Swap rate</v>
      </c>
      <c r="C803" s="436" t="str">
        <f>INDEX(Country!$K$31:$K$76, MATCH(AI803, Country!$O$31:$O$76, 0), 1)</f>
        <v>%</v>
      </c>
      <c r="D803" s="4" t="str">
        <f t="shared" si="653"/>
        <v>Brazil</v>
      </c>
      <c r="E803" s="36">
        <v>0.1235</v>
      </c>
      <c r="F803" s="36">
        <v>0.1305</v>
      </c>
      <c r="G803" s="36">
        <v>0.12590000000000001</v>
      </c>
      <c r="H803" s="36">
        <v>0.12779799999999999</v>
      </c>
      <c r="I803" s="36">
        <v>0.119407</v>
      </c>
      <c r="J803" s="36">
        <v>0.10970000000000001</v>
      </c>
      <c r="K803" s="37">
        <v>8.5952000000000001E-2</v>
      </c>
      <c r="L803" s="457">
        <f t="shared" si="646"/>
        <v>44.534412955465584</v>
      </c>
      <c r="M803" s="458">
        <f t="shared" si="647"/>
        <v>42.145593869731798</v>
      </c>
      <c r="N803" s="458">
        <f t="shared" si="606"/>
        <v>43.685464654487681</v>
      </c>
      <c r="O803" s="458">
        <f t="shared" si="607"/>
        <v>43.036667240488896</v>
      </c>
      <c r="P803" s="458">
        <f t="shared" si="608"/>
        <v>46.060951200515881</v>
      </c>
      <c r="Q803" s="458">
        <f t="shared" si="609"/>
        <v>43.299908842297171</v>
      </c>
      <c r="R803" s="459">
        <f t="shared" si="610"/>
        <v>54.56533879374534</v>
      </c>
      <c r="S803" s="455"/>
      <c r="T803" s="456"/>
      <c r="U803" s="456"/>
      <c r="V803" s="456"/>
      <c r="W803" s="456"/>
      <c r="X803" s="456"/>
      <c r="Y803" s="456"/>
      <c r="Z803" s="455"/>
      <c r="AA803" s="456"/>
      <c r="AB803" s="456"/>
      <c r="AC803" s="456"/>
      <c r="AD803" s="456"/>
      <c r="AE803" s="456"/>
      <c r="AF803" s="456"/>
      <c r="AG803" s="33" t="str">
        <f t="shared" si="648"/>
        <v>2.14 &gt; Brazil</v>
      </c>
      <c r="AH803" s="84">
        <f t="shared" si="650"/>
        <v>789</v>
      </c>
      <c r="AI803" s="84">
        <f t="shared" si="651"/>
        <v>30</v>
      </c>
      <c r="AJ803" s="877" t="s">
        <v>1526</v>
      </c>
    </row>
    <row r="804" spans="1:36" x14ac:dyDescent="0.2">
      <c r="A804" s="492">
        <f>INDEX(Country!$F$31:$G$76, MATCH(AI804, Country!$O$31:$O$76, 0), 1)</f>
        <v>2.139999999999997</v>
      </c>
      <c r="B804" s="2" t="str">
        <f>INDEX(Country!$F$31:$G$76, MATCH(AI804, Country!$O$31:$O$76, 0), 2)</f>
        <v>Swap rate</v>
      </c>
      <c r="C804" s="436" t="str">
        <f>INDEX(Country!$K$31:$K$76, MATCH(AI804, Country!$O$31:$O$76, 0), 1)</f>
        <v>%</v>
      </c>
      <c r="D804" s="4" t="str">
        <f t="shared" si="653"/>
        <v>Chile</v>
      </c>
      <c r="E804" s="36">
        <v>6.0499999999999998E-2</v>
      </c>
      <c r="F804" s="36">
        <v>6.480000000000001E-2</v>
      </c>
      <c r="G804" s="36">
        <v>5.8799999999999998E-2</v>
      </c>
      <c r="H804" s="36">
        <v>6.08E-2</v>
      </c>
      <c r="I804" s="36">
        <v>5.91E-2</v>
      </c>
      <c r="J804" s="36">
        <v>5.0700000000000002E-2</v>
      </c>
      <c r="K804" s="37">
        <v>5.4699999999999999E-2</v>
      </c>
      <c r="L804" s="457">
        <f t="shared" si="646"/>
        <v>90.909090909090921</v>
      </c>
      <c r="M804" s="458">
        <f t="shared" si="647"/>
        <v>84.87654320987653</v>
      </c>
      <c r="N804" s="458">
        <f t="shared" si="606"/>
        <v>93.5374149659864</v>
      </c>
      <c r="O804" s="458">
        <f t="shared" si="607"/>
        <v>90.460526315789465</v>
      </c>
      <c r="P804" s="458">
        <f t="shared" si="608"/>
        <v>93.062605752961076</v>
      </c>
      <c r="Q804" s="458">
        <f t="shared" si="609"/>
        <v>93.688362919132146</v>
      </c>
      <c r="R804" s="459">
        <f t="shared" si="610"/>
        <v>85.740402193784277</v>
      </c>
      <c r="S804" s="455"/>
      <c r="T804" s="456"/>
      <c r="U804" s="456"/>
      <c r="V804" s="456"/>
      <c r="W804" s="456"/>
      <c r="X804" s="456"/>
      <c r="Y804" s="456"/>
      <c r="Z804" s="455"/>
      <c r="AA804" s="456"/>
      <c r="AB804" s="456"/>
      <c r="AC804" s="456"/>
      <c r="AD804" s="456"/>
      <c r="AE804" s="456"/>
      <c r="AF804" s="456"/>
      <c r="AG804" s="33" t="str">
        <f t="shared" si="648"/>
        <v>2.14 &gt; Chile</v>
      </c>
      <c r="AH804" s="84">
        <f t="shared" si="650"/>
        <v>790</v>
      </c>
      <c r="AI804" s="84">
        <f t="shared" si="651"/>
        <v>30</v>
      </c>
      <c r="AJ804" s="877" t="s">
        <v>1526</v>
      </c>
    </row>
    <row r="805" spans="1:36" x14ac:dyDescent="0.2">
      <c r="A805" s="492">
        <f>INDEX(Country!$F$31:$G$76, MATCH(AI805, Country!$O$31:$O$76, 0), 1)</f>
        <v>2.139999999999997</v>
      </c>
      <c r="B805" s="2" t="str">
        <f>INDEX(Country!$F$31:$G$76, MATCH(AI805, Country!$O$31:$O$76, 0), 2)</f>
        <v>Swap rate</v>
      </c>
      <c r="C805" s="436" t="str">
        <f>INDEX(Country!$K$31:$K$76, MATCH(AI805, Country!$O$31:$O$76, 0), 1)</f>
        <v>%</v>
      </c>
      <c r="D805" s="4" t="str">
        <f t="shared" si="653"/>
        <v>Colombia</v>
      </c>
      <c r="E805" s="36">
        <v>8.6500000000000007E-2</v>
      </c>
      <c r="F805" s="36">
        <v>9.820000000000001E-2</v>
      </c>
      <c r="G805" s="36">
        <v>8.5500000000000007E-2</v>
      </c>
      <c r="H805" s="36">
        <v>8.2699999999999996E-2</v>
      </c>
      <c r="I805" s="36">
        <v>6.1200000000000004E-2</v>
      </c>
      <c r="J805" s="36">
        <v>5.6500000000000002E-2</v>
      </c>
      <c r="K805" s="37">
        <v>4.6899999999999997E-2</v>
      </c>
      <c r="L805" s="457">
        <f t="shared" si="646"/>
        <v>63.583815028901725</v>
      </c>
      <c r="M805" s="458">
        <f t="shared" si="647"/>
        <v>56.008146639511189</v>
      </c>
      <c r="N805" s="458">
        <f t="shared" si="606"/>
        <v>64.327485380116954</v>
      </c>
      <c r="O805" s="458">
        <f t="shared" si="607"/>
        <v>66.505441354292628</v>
      </c>
      <c r="P805" s="458">
        <f t="shared" si="608"/>
        <v>89.86928104575162</v>
      </c>
      <c r="Q805" s="458">
        <f t="shared" si="609"/>
        <v>84.070796460176993</v>
      </c>
      <c r="R805" s="459">
        <f t="shared" si="610"/>
        <v>100</v>
      </c>
      <c r="S805" s="455"/>
      <c r="T805" s="456"/>
      <c r="U805" s="456"/>
      <c r="V805" s="456"/>
      <c r="W805" s="456"/>
      <c r="X805" s="456"/>
      <c r="Y805" s="456"/>
      <c r="Z805" s="455"/>
      <c r="AA805" s="456"/>
      <c r="AB805" s="456"/>
      <c r="AC805" s="456"/>
      <c r="AD805" s="456"/>
      <c r="AE805" s="456"/>
      <c r="AF805" s="456"/>
      <c r="AG805" s="33" t="str">
        <f t="shared" si="648"/>
        <v>2.14 &gt; Colombia</v>
      </c>
      <c r="AH805" s="84">
        <f t="shared" si="650"/>
        <v>791</v>
      </c>
      <c r="AI805" s="84">
        <f t="shared" si="651"/>
        <v>30</v>
      </c>
      <c r="AJ805" s="877" t="s">
        <v>1526</v>
      </c>
    </row>
    <row r="806" spans="1:36" x14ac:dyDescent="0.2">
      <c r="A806" s="492">
        <f>INDEX(Country!$F$31:$G$76, MATCH(AI806, Country!$O$31:$O$76, 0), 1)</f>
        <v>2.139999999999997</v>
      </c>
      <c r="B806" s="2" t="str">
        <f>INDEX(Country!$F$31:$G$76, MATCH(AI806, Country!$O$31:$O$76, 0), 2)</f>
        <v>Swap rate</v>
      </c>
      <c r="C806" s="436" t="str">
        <f>INDEX(Country!$K$31:$K$76, MATCH(AI806, Country!$O$31:$O$76, 0), 1)</f>
        <v>%</v>
      </c>
      <c r="D806" s="4" t="str">
        <f t="shared" si="653"/>
        <v>Costa Rica</v>
      </c>
      <c r="E806" s="36">
        <v>0.1575</v>
      </c>
      <c r="F806" s="36">
        <v>0.12670000000000001</v>
      </c>
      <c r="G806" s="36">
        <v>0.19920000000000002</v>
      </c>
      <c r="H806" s="36">
        <v>0.17249999999999999</v>
      </c>
      <c r="I806" s="36">
        <v>0.16920000000000002</v>
      </c>
      <c r="J806" s="36">
        <v>0.16579999999999998</v>
      </c>
      <c r="K806" s="37">
        <v>0.18079999999999999</v>
      </c>
      <c r="L806" s="457">
        <f t="shared" si="646"/>
        <v>34.920634920634917</v>
      </c>
      <c r="M806" s="458">
        <f t="shared" si="647"/>
        <v>43.409629044988158</v>
      </c>
      <c r="N806" s="458">
        <f t="shared" si="606"/>
        <v>27.610441767068274</v>
      </c>
      <c r="O806" s="458">
        <f t="shared" si="607"/>
        <v>31.884057971014496</v>
      </c>
      <c r="P806" s="458">
        <f t="shared" si="608"/>
        <v>32.505910165484629</v>
      </c>
      <c r="Q806" s="458">
        <f t="shared" si="609"/>
        <v>28.648974668275034</v>
      </c>
      <c r="R806" s="459">
        <f t="shared" si="610"/>
        <v>25.940265486725668</v>
      </c>
      <c r="S806" s="455"/>
      <c r="T806" s="456"/>
      <c r="U806" s="456"/>
      <c r="V806" s="456"/>
      <c r="W806" s="456"/>
      <c r="X806" s="456"/>
      <c r="Y806" s="456"/>
      <c r="Z806" s="455"/>
      <c r="AA806" s="456"/>
      <c r="AB806" s="456"/>
      <c r="AC806" s="456"/>
      <c r="AD806" s="456"/>
      <c r="AE806" s="456"/>
      <c r="AF806" s="456"/>
      <c r="AG806" s="33" t="str">
        <f t="shared" si="648"/>
        <v>2.14 &gt; Costa Rica</v>
      </c>
      <c r="AH806" s="84">
        <f t="shared" si="650"/>
        <v>792</v>
      </c>
      <c r="AI806" s="84">
        <f t="shared" si="651"/>
        <v>30</v>
      </c>
      <c r="AJ806" s="877" t="s">
        <v>1526</v>
      </c>
    </row>
    <row r="807" spans="1:36" x14ac:dyDescent="0.2">
      <c r="A807" s="492">
        <f>INDEX(Country!$F$31:$G$76, MATCH(AI807, Country!$O$31:$O$76, 0), 1)</f>
        <v>2.139999999999997</v>
      </c>
      <c r="B807" s="2" t="str">
        <f>INDEX(Country!$F$31:$G$76, MATCH(AI807, Country!$O$31:$O$76, 0), 2)</f>
        <v>Swap rate</v>
      </c>
      <c r="C807" s="436" t="str">
        <f>INDEX(Country!$K$31:$K$76, MATCH(AI807, Country!$O$31:$O$76, 0), 1)</f>
        <v>%</v>
      </c>
      <c r="D807" s="4" t="str">
        <f t="shared" si="653"/>
        <v>Dominican Republic</v>
      </c>
      <c r="E807" s="36">
        <v>0.16440000000000002</v>
      </c>
      <c r="F807" s="36">
        <v>0.15340000000000001</v>
      </c>
      <c r="G807" s="36">
        <v>0.2394</v>
      </c>
      <c r="H807" s="36">
        <v>0.13819999999999999</v>
      </c>
      <c r="I807" s="36">
        <v>0.13619999999999999</v>
      </c>
      <c r="J807" s="36">
        <v>0.17219999999999999</v>
      </c>
      <c r="K807" s="37">
        <v>0.12859999999999999</v>
      </c>
      <c r="L807" s="457">
        <f t="shared" si="646"/>
        <v>33.454987834549875</v>
      </c>
      <c r="M807" s="458">
        <f t="shared" si="647"/>
        <v>35.853976531942635</v>
      </c>
      <c r="N807" s="458">
        <f t="shared" si="606"/>
        <v>22.974101921470343</v>
      </c>
      <c r="O807" s="458">
        <f t="shared" si="607"/>
        <v>39.797395079594793</v>
      </c>
      <c r="P807" s="458">
        <f t="shared" si="608"/>
        <v>40.381791483113069</v>
      </c>
      <c r="Q807" s="458">
        <f t="shared" si="609"/>
        <v>27.584204413472708</v>
      </c>
      <c r="R807" s="459">
        <f t="shared" si="610"/>
        <v>36.469673405909795</v>
      </c>
      <c r="S807" s="455"/>
      <c r="T807" s="456"/>
      <c r="U807" s="456"/>
      <c r="V807" s="456"/>
      <c r="W807" s="456"/>
      <c r="X807" s="456"/>
      <c r="Y807" s="456"/>
      <c r="Z807" s="455"/>
      <c r="AA807" s="456"/>
      <c r="AB807" s="456"/>
      <c r="AC807" s="456"/>
      <c r="AD807" s="456"/>
      <c r="AE807" s="456"/>
      <c r="AF807" s="456"/>
      <c r="AG807" s="33" t="str">
        <f t="shared" si="648"/>
        <v>2.14 &gt; Dominican Republic</v>
      </c>
      <c r="AH807" s="84">
        <f t="shared" si="650"/>
        <v>793</v>
      </c>
      <c r="AI807" s="84">
        <f t="shared" si="651"/>
        <v>30</v>
      </c>
      <c r="AJ807" s="877" t="s">
        <v>1526</v>
      </c>
    </row>
    <row r="808" spans="1:36" x14ac:dyDescent="0.2">
      <c r="A808" s="492">
        <f>INDEX(Country!$F$31:$G$76, MATCH(AI808, Country!$O$31:$O$76, 0), 1)</f>
        <v>2.139999999999997</v>
      </c>
      <c r="B808" s="2" t="str">
        <f>INDEX(Country!$F$31:$G$76, MATCH(AI808, Country!$O$31:$O$76, 0), 2)</f>
        <v>Swap rate</v>
      </c>
      <c r="C808" s="436" t="str">
        <f>INDEX(Country!$K$31:$K$76, MATCH(AI808, Country!$O$31:$O$76, 0), 1)</f>
        <v>%</v>
      </c>
      <c r="D808" s="4" t="str">
        <f t="shared" si="653"/>
        <v>Ecuador</v>
      </c>
      <c r="E808" s="36">
        <v>0.10288700000000001</v>
      </c>
      <c r="F808" s="36">
        <v>0.14729900000000001</v>
      </c>
      <c r="G808" s="36">
        <v>0</v>
      </c>
      <c r="H808" s="36">
        <v>0</v>
      </c>
      <c r="I808" s="36">
        <v>0</v>
      </c>
      <c r="J808" s="36">
        <v>0</v>
      </c>
      <c r="K808" s="37">
        <v>0</v>
      </c>
      <c r="L808" s="457">
        <f t="shared" ref="L808:L824" si="654">IFERROR(dbl_BenchmarkMax*( SUMIFS(E$15:E$1256, $D$15:$D$1256, "Benchmark", $B$15:$B$1256,$B808)/E808), 0)</f>
        <v>53.456704928708184</v>
      </c>
      <c r="M808" s="458">
        <f t="shared" ref="M808:M824" si="655">IFERROR(dbl_BenchmarkMax*( SUMIFS(F$15:F$1256, $D$15:$D$1256, "Benchmark", $B$15:$B$1256,$B808)/F808), 0)</f>
        <v>37.339017915939685</v>
      </c>
      <c r="N808" s="458">
        <f t="shared" ref="N808:N824" si="656">IFERROR(dbl_BenchmarkMax*( SUMIFS(G$15:G$1256, $D$15:$D$1256, "Benchmark", $B$15:$B$1256,$B808)/G808), 0)</f>
        <v>0</v>
      </c>
      <c r="O808" s="458">
        <f t="shared" ref="O808:O824" si="657">IFERROR(dbl_BenchmarkMax*( SUMIFS(H$15:H$1256, $D$15:$D$1256, "Benchmark", $B$15:$B$1256,$B808)/H808), 0)</f>
        <v>0</v>
      </c>
      <c r="P808" s="458">
        <f t="shared" ref="P808:P824" si="658">IFERROR(dbl_BenchmarkMax*( SUMIFS(I$15:I$1256, $D$15:$D$1256, "Benchmark", $B$15:$B$1256,$B808)/I808), 0)</f>
        <v>0</v>
      </c>
      <c r="Q808" s="458">
        <f t="shared" ref="Q808:Q824" si="659">IFERROR(dbl_BenchmarkMax*( SUMIFS(J$15:J$1256, $D$15:$D$1256, "Benchmark", $B$15:$B$1256,$B808)/J808), 0)</f>
        <v>0</v>
      </c>
      <c r="R808" s="459">
        <f t="shared" ref="R808:R824" si="660">IFERROR(dbl_BenchmarkMax*( SUMIFS(K$15:K$1256, $D$15:$D$1256, "Benchmark", $B$15:$B$1256,$B808)/K808), 0)</f>
        <v>0</v>
      </c>
      <c r="S808" s="455"/>
      <c r="T808" s="456"/>
      <c r="U808" s="456"/>
      <c r="V808" s="456"/>
      <c r="W808" s="456"/>
      <c r="X808" s="456"/>
      <c r="Y808" s="456"/>
      <c r="Z808" s="455"/>
      <c r="AA808" s="456"/>
      <c r="AB808" s="456"/>
      <c r="AC808" s="456"/>
      <c r="AD808" s="456"/>
      <c r="AE808" s="456"/>
      <c r="AF808" s="456"/>
      <c r="AG808" s="33" t="str">
        <f t="shared" si="648"/>
        <v>2.14 &gt; Ecuador</v>
      </c>
      <c r="AH808" s="84">
        <f t="shared" si="650"/>
        <v>794</v>
      </c>
      <c r="AI808" s="84">
        <f t="shared" si="651"/>
        <v>30</v>
      </c>
      <c r="AJ808" s="877" t="s">
        <v>1526</v>
      </c>
    </row>
    <row r="809" spans="1:36" x14ac:dyDescent="0.2">
      <c r="A809" s="492">
        <f>INDEX(Country!$F$31:$G$76, MATCH(AI809, Country!$O$31:$O$76, 0), 1)</f>
        <v>2.139999999999997</v>
      </c>
      <c r="B809" s="2" t="str">
        <f>INDEX(Country!$F$31:$G$76, MATCH(AI809, Country!$O$31:$O$76, 0), 2)</f>
        <v>Swap rate</v>
      </c>
      <c r="C809" s="436" t="str">
        <f>INDEX(Country!$K$31:$K$76, MATCH(AI809, Country!$O$31:$O$76, 0), 1)</f>
        <v>%</v>
      </c>
      <c r="D809" s="4" t="str">
        <f t="shared" si="653"/>
        <v>El Salvador</v>
      </c>
      <c r="E809" s="36">
        <v>0</v>
      </c>
      <c r="F809" s="36">
        <v>0</v>
      </c>
      <c r="G809" s="36">
        <v>0</v>
      </c>
      <c r="H809" s="36">
        <v>0</v>
      </c>
      <c r="I809" s="36">
        <v>0</v>
      </c>
      <c r="J809" s="36">
        <v>0</v>
      </c>
      <c r="K809" s="37">
        <v>0</v>
      </c>
      <c r="L809" s="457">
        <f t="shared" si="654"/>
        <v>0</v>
      </c>
      <c r="M809" s="458">
        <f t="shared" si="655"/>
        <v>0</v>
      </c>
      <c r="N809" s="458">
        <f t="shared" si="656"/>
        <v>0</v>
      </c>
      <c r="O809" s="458">
        <f t="shared" si="657"/>
        <v>0</v>
      </c>
      <c r="P809" s="458">
        <f t="shared" si="658"/>
        <v>0</v>
      </c>
      <c r="Q809" s="458">
        <f t="shared" si="659"/>
        <v>0</v>
      </c>
      <c r="R809" s="459">
        <f t="shared" si="660"/>
        <v>0</v>
      </c>
      <c r="S809" s="455"/>
      <c r="T809" s="456"/>
      <c r="U809" s="456"/>
      <c r="V809" s="456"/>
      <c r="W809" s="456"/>
      <c r="X809" s="456"/>
      <c r="Y809" s="456"/>
      <c r="Z809" s="455"/>
      <c r="AA809" s="456"/>
      <c r="AB809" s="456"/>
      <c r="AC809" s="456"/>
      <c r="AD809" s="456"/>
      <c r="AE809" s="456"/>
      <c r="AF809" s="456"/>
      <c r="AG809" s="33" t="str">
        <f t="shared" si="648"/>
        <v>2.14 &gt; El Salvador</v>
      </c>
      <c r="AH809" s="84">
        <f t="shared" si="650"/>
        <v>795</v>
      </c>
      <c r="AI809" s="84">
        <f t="shared" si="651"/>
        <v>30</v>
      </c>
      <c r="AJ809" s="877" t="s">
        <v>1526</v>
      </c>
    </row>
    <row r="810" spans="1:36" x14ac:dyDescent="0.2">
      <c r="A810" s="492">
        <f>INDEX(Country!$F$31:$G$76, MATCH(AI810, Country!$O$31:$O$76, 0), 1)</f>
        <v>2.139999999999997</v>
      </c>
      <c r="B810" s="2" t="str">
        <f>INDEX(Country!$F$31:$G$76, MATCH(AI810, Country!$O$31:$O$76, 0), 2)</f>
        <v>Swap rate</v>
      </c>
      <c r="C810" s="436" t="str">
        <f>INDEX(Country!$K$31:$K$76, MATCH(AI810, Country!$O$31:$O$76, 0), 1)</f>
        <v>%</v>
      </c>
      <c r="D810" s="4" t="str">
        <f t="shared" si="653"/>
        <v>Guatemala</v>
      </c>
      <c r="E810" s="36">
        <v>0.1288</v>
      </c>
      <c r="F810" s="36">
        <v>0.12890000000000001</v>
      </c>
      <c r="G810" s="36">
        <v>0.1384</v>
      </c>
      <c r="H810" s="36">
        <v>0.13570000000000002</v>
      </c>
      <c r="I810" s="36">
        <v>0.13250000000000001</v>
      </c>
      <c r="J810" s="36">
        <v>0.1351</v>
      </c>
      <c r="K810" s="37">
        <v>0.13470000000000001</v>
      </c>
      <c r="L810" s="457">
        <f t="shared" si="654"/>
        <v>42.701863354037265</v>
      </c>
      <c r="M810" s="458">
        <f t="shared" si="655"/>
        <v>42.668735453840185</v>
      </c>
      <c r="N810" s="458">
        <f t="shared" si="656"/>
        <v>39.739884393063583</v>
      </c>
      <c r="O810" s="458">
        <f t="shared" si="657"/>
        <v>40.530582166543844</v>
      </c>
      <c r="P810" s="458">
        <f t="shared" si="658"/>
        <v>41.509433962264147</v>
      </c>
      <c r="Q810" s="458">
        <f t="shared" si="659"/>
        <v>35.159141376757958</v>
      </c>
      <c r="R810" s="459">
        <f t="shared" si="660"/>
        <v>34.818114328136595</v>
      </c>
      <c r="S810" s="455"/>
      <c r="T810" s="456"/>
      <c r="U810" s="456"/>
      <c r="V810" s="456"/>
      <c r="W810" s="456"/>
      <c r="X810" s="456"/>
      <c r="Y810" s="456"/>
      <c r="Z810" s="455"/>
      <c r="AA810" s="456"/>
      <c r="AB810" s="456"/>
      <c r="AC810" s="456"/>
      <c r="AD810" s="456"/>
      <c r="AE810" s="456"/>
      <c r="AF810" s="456"/>
      <c r="AG810" s="33" t="str">
        <f t="shared" si="648"/>
        <v>2.14 &gt; Guatemala</v>
      </c>
      <c r="AH810" s="84">
        <f t="shared" si="650"/>
        <v>796</v>
      </c>
      <c r="AI810" s="84">
        <f t="shared" si="651"/>
        <v>30</v>
      </c>
      <c r="AJ810" s="877" t="s">
        <v>1526</v>
      </c>
    </row>
    <row r="811" spans="1:36" x14ac:dyDescent="0.2">
      <c r="A811" s="492">
        <f>INDEX(Country!$F$31:$G$76, MATCH(AI811, Country!$O$31:$O$76, 0), 1)</f>
        <v>2.139999999999997</v>
      </c>
      <c r="B811" s="2" t="str">
        <f>INDEX(Country!$F$31:$G$76, MATCH(AI811, Country!$O$31:$O$76, 0), 2)</f>
        <v>Swap rate</v>
      </c>
      <c r="C811" s="436" t="str">
        <f>INDEX(Country!$K$31:$K$76, MATCH(AI811, Country!$O$31:$O$76, 0), 1)</f>
        <v>%</v>
      </c>
      <c r="D811" s="4" t="str">
        <f t="shared" si="653"/>
        <v>Guyana</v>
      </c>
      <c r="E811" s="36">
        <v>0.1454</v>
      </c>
      <c r="F811" s="36">
        <v>0.14710000000000001</v>
      </c>
      <c r="G811" s="36">
        <v>0.1454</v>
      </c>
      <c r="H811" s="36">
        <v>0.14541700000000002</v>
      </c>
      <c r="I811" s="36">
        <v>0.14541700000000002</v>
      </c>
      <c r="J811" s="36">
        <v>0.14000000000000001</v>
      </c>
      <c r="K811" s="37">
        <v>0.13833299999999998</v>
      </c>
      <c r="L811" s="457">
        <f t="shared" si="654"/>
        <v>37.826685006877582</v>
      </c>
      <c r="M811" s="458">
        <f t="shared" si="655"/>
        <v>37.389530931339223</v>
      </c>
      <c r="N811" s="458">
        <f t="shared" si="656"/>
        <v>37.826685006877582</v>
      </c>
      <c r="O811" s="458">
        <f t="shared" si="657"/>
        <v>37.822262871603726</v>
      </c>
      <c r="P811" s="458">
        <f t="shared" si="658"/>
        <v>37.822262871603726</v>
      </c>
      <c r="Q811" s="458">
        <f t="shared" si="659"/>
        <v>33.928571428571423</v>
      </c>
      <c r="R811" s="459">
        <f t="shared" si="660"/>
        <v>33.903696153484709</v>
      </c>
      <c r="S811" s="455"/>
      <c r="T811" s="456"/>
      <c r="U811" s="456"/>
      <c r="V811" s="456"/>
      <c r="W811" s="456"/>
      <c r="X811" s="456"/>
      <c r="Y811" s="456"/>
      <c r="Z811" s="455"/>
      <c r="AA811" s="456"/>
      <c r="AB811" s="456"/>
      <c r="AC811" s="456"/>
      <c r="AD811" s="456"/>
      <c r="AE811" s="456"/>
      <c r="AF811" s="456"/>
      <c r="AG811" s="33" t="str">
        <f t="shared" si="648"/>
        <v>2.14 &gt; Guyana</v>
      </c>
      <c r="AH811" s="84">
        <f t="shared" si="650"/>
        <v>797</v>
      </c>
      <c r="AI811" s="84">
        <f t="shared" si="651"/>
        <v>30</v>
      </c>
      <c r="AJ811" s="877" t="s">
        <v>1526</v>
      </c>
    </row>
    <row r="812" spans="1:36" x14ac:dyDescent="0.2">
      <c r="A812" s="492">
        <f>INDEX(Country!$F$31:$G$76, MATCH(AI812, Country!$O$31:$O$76, 0), 1)</f>
        <v>2.139999999999997</v>
      </c>
      <c r="B812" s="2" t="str">
        <f>INDEX(Country!$F$31:$G$76, MATCH(AI812, Country!$O$31:$O$76, 0), 2)</f>
        <v>Swap rate</v>
      </c>
      <c r="C812" s="436" t="str">
        <f>INDEX(Country!$K$31:$K$76, MATCH(AI812, Country!$O$31:$O$76, 0), 1)</f>
        <v>%</v>
      </c>
      <c r="D812" s="4" t="str">
        <f t="shared" si="653"/>
        <v>Haiti</v>
      </c>
      <c r="E812" s="36">
        <v>0.252</v>
      </c>
      <c r="F812" s="36">
        <v>0.249</v>
      </c>
      <c r="G812" s="36">
        <v>0.20199999999999999</v>
      </c>
      <c r="H812" s="36">
        <v>0.17559999999999998</v>
      </c>
      <c r="I812" s="36">
        <v>0.182</v>
      </c>
      <c r="J812" s="36">
        <v>0.11449999999999999</v>
      </c>
      <c r="K812" s="37">
        <v>5.5800000000000002E-2</v>
      </c>
      <c r="L812" s="457">
        <f t="shared" si="654"/>
        <v>21.825396825396826</v>
      </c>
      <c r="M812" s="458">
        <f t="shared" si="655"/>
        <v>22.08835341365462</v>
      </c>
      <c r="N812" s="458">
        <f t="shared" si="656"/>
        <v>27.227722772277229</v>
      </c>
      <c r="O812" s="458">
        <f t="shared" si="657"/>
        <v>31.321184510250571</v>
      </c>
      <c r="P812" s="458">
        <f t="shared" si="658"/>
        <v>30.219780219780223</v>
      </c>
      <c r="Q812" s="458">
        <f t="shared" si="659"/>
        <v>41.484716157205241</v>
      </c>
      <c r="R812" s="459">
        <f t="shared" si="660"/>
        <v>84.050179211469526</v>
      </c>
      <c r="S812" s="455"/>
      <c r="T812" s="456"/>
      <c r="U812" s="456"/>
      <c r="V812" s="456"/>
      <c r="W812" s="456"/>
      <c r="X812" s="456"/>
      <c r="Y812" s="456"/>
      <c r="Z812" s="455"/>
      <c r="AA812" s="456"/>
      <c r="AB812" s="456"/>
      <c r="AC812" s="456"/>
      <c r="AD812" s="456"/>
      <c r="AE812" s="456"/>
      <c r="AF812" s="456"/>
      <c r="AG812" s="33" t="str">
        <f t="shared" si="648"/>
        <v>2.14 &gt; Haiti</v>
      </c>
      <c r="AH812" s="84">
        <f t="shared" si="650"/>
        <v>798</v>
      </c>
      <c r="AI812" s="84">
        <f t="shared" si="651"/>
        <v>30</v>
      </c>
      <c r="AJ812" s="877" t="s">
        <v>1526</v>
      </c>
    </row>
    <row r="813" spans="1:36" x14ac:dyDescent="0.2">
      <c r="A813" s="492">
        <f>INDEX(Country!$F$31:$G$76, MATCH(AI813, Country!$O$31:$O$76, 0), 1)</f>
        <v>2.139999999999997</v>
      </c>
      <c r="B813" s="2" t="str">
        <f>INDEX(Country!$F$31:$G$76, MATCH(AI813, Country!$O$31:$O$76, 0), 2)</f>
        <v>Swap rate</v>
      </c>
      <c r="C813" s="436" t="str">
        <f>INDEX(Country!$K$31:$K$76, MATCH(AI813, Country!$O$31:$O$76, 0), 1)</f>
        <v>%</v>
      </c>
      <c r="D813" s="4" t="str">
        <f t="shared" si="653"/>
        <v>Honduras</v>
      </c>
      <c r="E813" s="36">
        <v>0.16600000000000001</v>
      </c>
      <c r="F813" s="36">
        <v>0.16500000000000001</v>
      </c>
      <c r="G813" s="36">
        <v>0.20039999999999999</v>
      </c>
      <c r="H813" s="36">
        <v>0.18940000000000001</v>
      </c>
      <c r="I813" s="36">
        <v>0.18982299999999999</v>
      </c>
      <c r="J813" s="36">
        <v>0.18098600000000001</v>
      </c>
      <c r="K813" s="37">
        <v>0.19246200000000002</v>
      </c>
      <c r="L813" s="457">
        <f t="shared" si="654"/>
        <v>33.132530120481931</v>
      </c>
      <c r="M813" s="458">
        <f t="shared" si="655"/>
        <v>33.333333333333329</v>
      </c>
      <c r="N813" s="458">
        <f t="shared" si="656"/>
        <v>27.445109780439125</v>
      </c>
      <c r="O813" s="458">
        <f t="shared" si="657"/>
        <v>29.039070749736005</v>
      </c>
      <c r="P813" s="458">
        <f t="shared" si="658"/>
        <v>28.974360325145003</v>
      </c>
      <c r="Q813" s="458">
        <f t="shared" si="659"/>
        <v>26.245123932237853</v>
      </c>
      <c r="R813" s="459">
        <f t="shared" si="660"/>
        <v>24.36844675832112</v>
      </c>
      <c r="S813" s="455"/>
      <c r="T813" s="456"/>
      <c r="U813" s="456"/>
      <c r="V813" s="456"/>
      <c r="W813" s="456"/>
      <c r="X813" s="456"/>
      <c r="Y813" s="456"/>
      <c r="Z813" s="455"/>
      <c r="AA813" s="456"/>
      <c r="AB813" s="456"/>
      <c r="AC813" s="456"/>
      <c r="AD813" s="456"/>
      <c r="AE813" s="456"/>
      <c r="AF813" s="456"/>
      <c r="AG813" s="33" t="str">
        <f t="shared" si="648"/>
        <v>2.14 &gt; Honduras</v>
      </c>
      <c r="AH813" s="84">
        <f t="shared" si="650"/>
        <v>799</v>
      </c>
      <c r="AI813" s="84">
        <f t="shared" si="651"/>
        <v>30</v>
      </c>
      <c r="AJ813" s="877" t="s">
        <v>1526</v>
      </c>
    </row>
    <row r="814" spans="1:36" x14ac:dyDescent="0.2">
      <c r="A814" s="492">
        <f>INDEX(Country!$F$31:$G$76, MATCH(AI814, Country!$O$31:$O$76, 0), 1)</f>
        <v>2.139999999999997</v>
      </c>
      <c r="B814" s="2" t="str">
        <f>INDEX(Country!$F$31:$G$76, MATCH(AI814, Country!$O$31:$O$76, 0), 2)</f>
        <v>Swap rate</v>
      </c>
      <c r="C814" s="436" t="str">
        <f>INDEX(Country!$K$31:$K$76, MATCH(AI814, Country!$O$31:$O$76, 0), 1)</f>
        <v>%</v>
      </c>
      <c r="D814" s="4" t="str">
        <f t="shared" si="653"/>
        <v>Jamaica</v>
      </c>
      <c r="E814" s="36">
        <v>0.1759</v>
      </c>
      <c r="F814" s="36">
        <v>0.1711</v>
      </c>
      <c r="G814" s="36">
        <v>0.1678</v>
      </c>
      <c r="H814" s="36">
        <v>0.161939</v>
      </c>
      <c r="I814" s="36">
        <v>0.20430499999999999</v>
      </c>
      <c r="J814" s="36">
        <v>0.18026200000000001</v>
      </c>
      <c r="K814" s="37">
        <v>0.184423</v>
      </c>
      <c r="L814" s="457">
        <f t="shared" si="654"/>
        <v>31.267765776009099</v>
      </c>
      <c r="M814" s="458">
        <f t="shared" si="655"/>
        <v>32.144944476914084</v>
      </c>
      <c r="N814" s="458">
        <f t="shared" si="656"/>
        <v>32.777115613825977</v>
      </c>
      <c r="O814" s="458">
        <f t="shared" si="657"/>
        <v>33.963405973854357</v>
      </c>
      <c r="P814" s="458">
        <f t="shared" si="658"/>
        <v>26.920535473923792</v>
      </c>
      <c r="Q814" s="458">
        <f t="shared" si="659"/>
        <v>26.350534222409607</v>
      </c>
      <c r="R814" s="459">
        <f t="shared" si="660"/>
        <v>25.430667541467166</v>
      </c>
      <c r="S814" s="455"/>
      <c r="T814" s="456"/>
      <c r="U814" s="456"/>
      <c r="V814" s="456"/>
      <c r="W814" s="456"/>
      <c r="X814" s="456"/>
      <c r="Y814" s="456"/>
      <c r="Z814" s="455"/>
      <c r="AA814" s="456"/>
      <c r="AB814" s="456"/>
      <c r="AC814" s="456"/>
      <c r="AD814" s="456"/>
      <c r="AE814" s="456"/>
      <c r="AF814" s="456"/>
      <c r="AG814" s="33" t="str">
        <f t="shared" si="648"/>
        <v>2.14 &gt; Jamaica</v>
      </c>
      <c r="AH814" s="84">
        <f t="shared" si="650"/>
        <v>800</v>
      </c>
      <c r="AI814" s="84">
        <f t="shared" si="651"/>
        <v>30</v>
      </c>
      <c r="AJ814" s="877" t="s">
        <v>1526</v>
      </c>
    </row>
    <row r="815" spans="1:36" x14ac:dyDescent="0.2">
      <c r="A815" s="492">
        <f>INDEX(Country!$F$31:$G$76, MATCH(AI815, Country!$O$31:$O$76, 0), 1)</f>
        <v>2.139999999999997</v>
      </c>
      <c r="B815" s="2" t="str">
        <f>INDEX(Country!$F$31:$G$76, MATCH(AI815, Country!$O$31:$O$76, 0), 2)</f>
        <v>Swap rate</v>
      </c>
      <c r="C815" s="436" t="str">
        <f>INDEX(Country!$K$31:$K$76, MATCH(AI815, Country!$O$31:$O$76, 0), 1)</f>
        <v>%</v>
      </c>
      <c r="D815" s="4" t="str">
        <f t="shared" si="653"/>
        <v>Mexico</v>
      </c>
      <c r="E815" s="36">
        <v>7.8799999999999995E-2</v>
      </c>
      <c r="F815" s="36">
        <v>8.5950000000000013E-2</v>
      </c>
      <c r="G815" s="36">
        <v>8.3100000000000007E-2</v>
      </c>
      <c r="H815" s="36">
        <v>8.3199999999999996E-2</v>
      </c>
      <c r="I815" s="36">
        <v>7.3399999999999993E-2</v>
      </c>
      <c r="J815" s="36">
        <v>6.7599999999999993E-2</v>
      </c>
      <c r="K815" s="37">
        <v>5.8400000000000001E-2</v>
      </c>
      <c r="L815" s="457">
        <f t="shared" si="654"/>
        <v>69.796954314720821</v>
      </c>
      <c r="M815" s="458">
        <f t="shared" si="655"/>
        <v>63.990692262943561</v>
      </c>
      <c r="N815" s="458">
        <f t="shared" si="656"/>
        <v>66.185318892900113</v>
      </c>
      <c r="O815" s="458">
        <f t="shared" si="657"/>
        <v>66.105769230769226</v>
      </c>
      <c r="P815" s="458">
        <f t="shared" si="658"/>
        <v>74.931880108991834</v>
      </c>
      <c r="Q815" s="458">
        <f t="shared" si="659"/>
        <v>70.266272189349124</v>
      </c>
      <c r="R815" s="459">
        <f t="shared" si="660"/>
        <v>80.308219178082183</v>
      </c>
      <c r="S815" s="455"/>
      <c r="T815" s="456"/>
      <c r="U815" s="456"/>
      <c r="V815" s="456"/>
      <c r="W815" s="456"/>
      <c r="X815" s="456"/>
      <c r="Y815" s="456"/>
      <c r="Z815" s="455"/>
      <c r="AA815" s="456"/>
      <c r="AB815" s="456"/>
      <c r="AC815" s="456"/>
      <c r="AD815" s="456"/>
      <c r="AE815" s="456"/>
      <c r="AF815" s="456"/>
      <c r="AG815" s="33" t="str">
        <f t="shared" si="648"/>
        <v>2.14 &gt; Mexico</v>
      </c>
      <c r="AH815" s="84">
        <f t="shared" si="650"/>
        <v>801</v>
      </c>
      <c r="AI815" s="84">
        <f t="shared" si="651"/>
        <v>30</v>
      </c>
      <c r="AJ815" s="877" t="s">
        <v>1526</v>
      </c>
    </row>
    <row r="816" spans="1:36" x14ac:dyDescent="0.2">
      <c r="A816" s="492">
        <f>INDEX(Country!$F$31:$G$76, MATCH(AI816, Country!$O$31:$O$76, 0), 1)</f>
        <v>2.139999999999997</v>
      </c>
      <c r="B816" s="2" t="str">
        <f>INDEX(Country!$F$31:$G$76, MATCH(AI816, Country!$O$31:$O$76, 0), 2)</f>
        <v>Swap rate</v>
      </c>
      <c r="C816" s="436" t="str">
        <f>INDEX(Country!$K$31:$K$76, MATCH(AI816, Country!$O$31:$O$76, 0), 1)</f>
        <v>%</v>
      </c>
      <c r="D816" s="4" t="str">
        <f t="shared" si="653"/>
        <v>Nicaragua</v>
      </c>
      <c r="E816" s="36">
        <v>0.11635899999999999</v>
      </c>
      <c r="F816" s="36">
        <v>0.12914</v>
      </c>
      <c r="G816" s="36">
        <v>0.13577</v>
      </c>
      <c r="H816" s="36">
        <v>0.14269600000000002</v>
      </c>
      <c r="I816" s="36">
        <v>0.10157400000000001</v>
      </c>
      <c r="J816" s="36">
        <v>0.13189500000000001</v>
      </c>
      <c r="K816" s="37">
        <v>0.120711</v>
      </c>
      <c r="L816" s="457">
        <f t="shared" si="654"/>
        <v>47.267508314784422</v>
      </c>
      <c r="M816" s="458">
        <f t="shared" si="655"/>
        <v>42.58943781942078</v>
      </c>
      <c r="N816" s="458">
        <f t="shared" si="656"/>
        <v>40.509685497532594</v>
      </c>
      <c r="O816" s="458">
        <f t="shared" si="657"/>
        <v>38.543477042103483</v>
      </c>
      <c r="P816" s="458">
        <f t="shared" si="658"/>
        <v>54.14771496642841</v>
      </c>
      <c r="Q816" s="458">
        <f t="shared" si="659"/>
        <v>36.013495583608169</v>
      </c>
      <c r="R816" s="459">
        <f t="shared" si="660"/>
        <v>38.853128546694172</v>
      </c>
      <c r="S816" s="455"/>
      <c r="T816" s="456"/>
      <c r="U816" s="456"/>
      <c r="V816" s="456"/>
      <c r="W816" s="456"/>
      <c r="X816" s="456"/>
      <c r="Y816" s="456"/>
      <c r="Z816" s="455"/>
      <c r="AA816" s="456"/>
      <c r="AB816" s="456"/>
      <c r="AC816" s="456"/>
      <c r="AD816" s="456"/>
      <c r="AE816" s="456"/>
      <c r="AF816" s="456"/>
      <c r="AG816" s="33" t="str">
        <f t="shared" si="648"/>
        <v>2.14 &gt; Nicaragua</v>
      </c>
      <c r="AH816" s="84">
        <f t="shared" si="650"/>
        <v>802</v>
      </c>
      <c r="AI816" s="84">
        <f t="shared" si="651"/>
        <v>30</v>
      </c>
      <c r="AJ816" s="877" t="s">
        <v>1526</v>
      </c>
    </row>
    <row r="817" spans="1:36" x14ac:dyDescent="0.2">
      <c r="A817" s="492">
        <f>INDEX(Country!$F$31:$G$76, MATCH(AI817, Country!$O$31:$O$76, 0), 1)</f>
        <v>2.139999999999997</v>
      </c>
      <c r="B817" s="2" t="str">
        <f>INDEX(Country!$F$31:$G$76, MATCH(AI817, Country!$O$31:$O$76, 0), 2)</f>
        <v>Swap rate</v>
      </c>
      <c r="C817" s="436" t="str">
        <f>INDEX(Country!$K$31:$K$76, MATCH(AI817, Country!$O$31:$O$76, 0), 1)</f>
        <v>%</v>
      </c>
      <c r="D817" s="4" t="str">
        <f t="shared" si="653"/>
        <v>Panama</v>
      </c>
      <c r="E817" s="36">
        <v>8.2100000000000006E-2</v>
      </c>
      <c r="F817" s="36">
        <v>8.2500000000000004E-2</v>
      </c>
      <c r="G817" s="36">
        <v>8.2405000000000006E-2</v>
      </c>
      <c r="H817" s="36">
        <v>8.1600000000000006E-2</v>
      </c>
      <c r="I817" s="36">
        <v>7.1399999999999991E-2</v>
      </c>
      <c r="J817" s="36">
        <v>6.7400000000000002E-2</v>
      </c>
      <c r="K817" s="37">
        <v>6.6900000000000001E-2</v>
      </c>
      <c r="L817" s="457">
        <f t="shared" si="654"/>
        <v>66.991473812423877</v>
      </c>
      <c r="M817" s="458">
        <f t="shared" si="655"/>
        <v>66.666666666666657</v>
      </c>
      <c r="N817" s="458">
        <f t="shared" si="656"/>
        <v>66.743522844487586</v>
      </c>
      <c r="O817" s="458">
        <f t="shared" si="657"/>
        <v>67.401960784313715</v>
      </c>
      <c r="P817" s="458">
        <f t="shared" si="658"/>
        <v>77.030812324929983</v>
      </c>
      <c r="Q817" s="458">
        <f t="shared" si="659"/>
        <v>70.474777448071208</v>
      </c>
      <c r="R817" s="459">
        <f t="shared" si="660"/>
        <v>70.104633781763823</v>
      </c>
      <c r="S817" s="455"/>
      <c r="T817" s="456"/>
      <c r="U817" s="456"/>
      <c r="V817" s="456"/>
      <c r="W817" s="456"/>
      <c r="X817" s="456"/>
      <c r="Y817" s="456"/>
      <c r="Z817" s="455"/>
      <c r="AA817" s="456"/>
      <c r="AB817" s="456"/>
      <c r="AC817" s="456"/>
      <c r="AD817" s="456"/>
      <c r="AE817" s="456"/>
      <c r="AF817" s="456"/>
      <c r="AG817" s="33" t="str">
        <f t="shared" si="648"/>
        <v>2.14 &gt; Panama</v>
      </c>
      <c r="AH817" s="84">
        <f t="shared" si="650"/>
        <v>803</v>
      </c>
      <c r="AI817" s="84">
        <f t="shared" si="651"/>
        <v>30</v>
      </c>
      <c r="AJ817" s="877" t="s">
        <v>1526</v>
      </c>
    </row>
    <row r="818" spans="1:36" x14ac:dyDescent="0.2">
      <c r="A818" s="492">
        <f>INDEX(Country!$F$31:$G$76, MATCH(AI818, Country!$O$31:$O$76, 0), 1)</f>
        <v>2.139999999999997</v>
      </c>
      <c r="B818" s="2" t="str">
        <f>INDEX(Country!$F$31:$G$76, MATCH(AI818, Country!$O$31:$O$76, 0), 2)</f>
        <v>Swap rate</v>
      </c>
      <c r="C818" s="436" t="str">
        <f>INDEX(Country!$K$31:$K$76, MATCH(AI818, Country!$O$31:$O$76, 0), 1)</f>
        <v>%</v>
      </c>
      <c r="D818" s="4" t="str">
        <f t="shared" si="653"/>
        <v>Paraguay</v>
      </c>
      <c r="E818" s="36">
        <v>0.26510800000000001</v>
      </c>
      <c r="F818" s="36">
        <v>0.17824699999999999</v>
      </c>
      <c r="G818" s="36">
        <v>0.29504000000000002</v>
      </c>
      <c r="H818" s="36">
        <v>0.26225399999999999</v>
      </c>
      <c r="I818" s="36">
        <v>0.27108100000000002</v>
      </c>
      <c r="J818" s="36">
        <v>0.26924300000000001</v>
      </c>
      <c r="K818" s="37">
        <v>0.30847200000000002</v>
      </c>
      <c r="L818" s="457">
        <f t="shared" si="654"/>
        <v>20.746261900810232</v>
      </c>
      <c r="M818" s="458">
        <f t="shared" si="655"/>
        <v>30.856059288515375</v>
      </c>
      <c r="N818" s="458">
        <f t="shared" si="656"/>
        <v>18.641540130151842</v>
      </c>
      <c r="O818" s="458">
        <f t="shared" si="657"/>
        <v>20.972034744941929</v>
      </c>
      <c r="P818" s="458">
        <f t="shared" si="658"/>
        <v>20.289138670729411</v>
      </c>
      <c r="Q818" s="458">
        <f t="shared" si="659"/>
        <v>17.642055689470109</v>
      </c>
      <c r="R818" s="459">
        <f t="shared" si="660"/>
        <v>15.203973132083298</v>
      </c>
      <c r="S818" s="455"/>
      <c r="T818" s="456"/>
      <c r="U818" s="456"/>
      <c r="V818" s="456"/>
      <c r="W818" s="456"/>
      <c r="X818" s="456"/>
      <c r="Y818" s="456"/>
      <c r="Z818" s="455"/>
      <c r="AA818" s="456"/>
      <c r="AB818" s="456"/>
      <c r="AC818" s="456"/>
      <c r="AD818" s="456"/>
      <c r="AE818" s="456"/>
      <c r="AF818" s="456"/>
      <c r="AG818" s="33" t="str">
        <f t="shared" si="648"/>
        <v>2.14 &gt; Paraguay</v>
      </c>
      <c r="AH818" s="84">
        <f t="shared" si="650"/>
        <v>804</v>
      </c>
      <c r="AI818" s="84">
        <f t="shared" si="651"/>
        <v>30</v>
      </c>
      <c r="AJ818" s="877" t="s">
        <v>1526</v>
      </c>
    </row>
    <row r="819" spans="1:36" x14ac:dyDescent="0.2">
      <c r="A819" s="492">
        <f>INDEX(Country!$F$31:$G$76, MATCH(AI819, Country!$O$31:$O$76, 0), 1)</f>
        <v>2.139999999999997</v>
      </c>
      <c r="B819" s="2" t="str">
        <f>INDEX(Country!$F$31:$G$76, MATCH(AI819, Country!$O$31:$O$76, 0), 2)</f>
        <v>Swap rate</v>
      </c>
      <c r="C819" s="436" t="str">
        <f>INDEX(Country!$K$31:$K$76, MATCH(AI819, Country!$O$31:$O$76, 0), 1)</f>
        <v>%</v>
      </c>
      <c r="D819" s="4" t="str">
        <f t="shared" si="653"/>
        <v>Peru</v>
      </c>
      <c r="E819" s="36">
        <v>0</v>
      </c>
      <c r="F819" s="36">
        <v>0</v>
      </c>
      <c r="G819" s="36">
        <v>0</v>
      </c>
      <c r="H819" s="36">
        <v>0</v>
      </c>
      <c r="I819" s="36">
        <v>0</v>
      </c>
      <c r="J819" s="36">
        <v>0</v>
      </c>
      <c r="K819" s="37">
        <v>0</v>
      </c>
      <c r="L819" s="457">
        <f t="shared" si="654"/>
        <v>0</v>
      </c>
      <c r="M819" s="458">
        <f t="shared" si="655"/>
        <v>0</v>
      </c>
      <c r="N819" s="458">
        <f t="shared" si="656"/>
        <v>0</v>
      </c>
      <c r="O819" s="458">
        <f t="shared" si="657"/>
        <v>0</v>
      </c>
      <c r="P819" s="458">
        <f t="shared" si="658"/>
        <v>0</v>
      </c>
      <c r="Q819" s="458">
        <f t="shared" si="659"/>
        <v>0</v>
      </c>
      <c r="R819" s="459">
        <f t="shared" si="660"/>
        <v>0</v>
      </c>
      <c r="S819" s="455"/>
      <c r="T819" s="456"/>
      <c r="U819" s="456"/>
      <c r="V819" s="456"/>
      <c r="W819" s="456"/>
      <c r="X819" s="456"/>
      <c r="Y819" s="456"/>
      <c r="Z819" s="455"/>
      <c r="AA819" s="456"/>
      <c r="AB819" s="456"/>
      <c r="AC819" s="456"/>
      <c r="AD819" s="456"/>
      <c r="AE819" s="456"/>
      <c r="AF819" s="456"/>
      <c r="AG819" s="33" t="str">
        <f t="shared" si="648"/>
        <v>2.14 &gt; Peru</v>
      </c>
      <c r="AH819" s="84">
        <f t="shared" si="650"/>
        <v>805</v>
      </c>
      <c r="AI819" s="84">
        <f t="shared" si="651"/>
        <v>30</v>
      </c>
      <c r="AJ819" s="877" t="s">
        <v>1526</v>
      </c>
    </row>
    <row r="820" spans="1:36" x14ac:dyDescent="0.2">
      <c r="A820" s="492">
        <f>INDEX(Country!$F$31:$G$76, MATCH(AI820, Country!$O$31:$O$76, 0), 1)</f>
        <v>2.139999999999997</v>
      </c>
      <c r="B820" s="2" t="str">
        <f>INDEX(Country!$F$31:$G$76, MATCH(AI820, Country!$O$31:$O$76, 0), 2)</f>
        <v>Swap rate</v>
      </c>
      <c r="C820" s="436" t="str">
        <f>INDEX(Country!$K$31:$K$76, MATCH(AI820, Country!$O$31:$O$76, 0), 1)</f>
        <v>%</v>
      </c>
      <c r="D820" s="4" t="str">
        <f t="shared" si="653"/>
        <v>Suriname</v>
      </c>
      <c r="E820" s="36">
        <v>0.153</v>
      </c>
      <c r="F820" s="36">
        <v>0.129</v>
      </c>
      <c r="G820" s="36">
        <v>0.11699999999999999</v>
      </c>
      <c r="H820" s="36">
        <v>0.11599999999999999</v>
      </c>
      <c r="I820" s="36">
        <v>0.117865</v>
      </c>
      <c r="J820" s="36">
        <v>0.11699999999999999</v>
      </c>
      <c r="K820" s="37">
        <v>0.11800000000000001</v>
      </c>
      <c r="L820" s="457">
        <f t="shared" si="654"/>
        <v>35.947712418300654</v>
      </c>
      <c r="M820" s="458">
        <f t="shared" si="655"/>
        <v>42.63565891472868</v>
      </c>
      <c r="N820" s="458">
        <f t="shared" si="656"/>
        <v>47.008547008547012</v>
      </c>
      <c r="O820" s="458">
        <f t="shared" si="657"/>
        <v>47.413793103448285</v>
      </c>
      <c r="P820" s="458">
        <f t="shared" si="658"/>
        <v>46.663555762949137</v>
      </c>
      <c r="Q820" s="458">
        <f t="shared" si="659"/>
        <v>40.598290598290603</v>
      </c>
      <c r="R820" s="459">
        <f t="shared" si="660"/>
        <v>39.745762711864401</v>
      </c>
      <c r="S820" s="455"/>
      <c r="T820" s="456"/>
      <c r="U820" s="456"/>
      <c r="V820" s="456"/>
      <c r="W820" s="456"/>
      <c r="X820" s="456"/>
      <c r="Y820" s="456"/>
      <c r="Z820" s="455"/>
      <c r="AA820" s="456"/>
      <c r="AB820" s="456"/>
      <c r="AC820" s="456"/>
      <c r="AD820" s="456"/>
      <c r="AE820" s="456"/>
      <c r="AF820" s="456"/>
      <c r="AG820" s="33" t="str">
        <f t="shared" si="648"/>
        <v>2.14 &gt; Suriname</v>
      </c>
      <c r="AH820" s="84">
        <f t="shared" si="650"/>
        <v>806</v>
      </c>
      <c r="AI820" s="84">
        <f t="shared" si="651"/>
        <v>30</v>
      </c>
      <c r="AJ820" s="877" t="s">
        <v>1526</v>
      </c>
    </row>
    <row r="821" spans="1:36" x14ac:dyDescent="0.2">
      <c r="A821" s="492">
        <f>INDEX(Country!$F$31:$G$76, MATCH(AI821, Country!$O$31:$O$76, 0), 1)</f>
        <v>2.139999999999997</v>
      </c>
      <c r="B821" s="2" t="str">
        <f>INDEX(Country!$F$31:$G$76, MATCH(AI821, Country!$O$31:$O$76, 0), 2)</f>
        <v>Swap rate</v>
      </c>
      <c r="C821" s="436" t="str">
        <f>INDEX(Country!$K$31:$K$76, MATCH(AI821, Country!$O$31:$O$76, 0), 1)</f>
        <v>%</v>
      </c>
      <c r="D821" s="4" t="str">
        <f t="shared" ref="D821:D884" si="661">D794</f>
        <v>Trinidad &amp; Tobago</v>
      </c>
      <c r="E821" s="36">
        <v>0.11749999999999999</v>
      </c>
      <c r="F821" s="36">
        <v>0.11749999999999999</v>
      </c>
      <c r="G821" s="36">
        <v>0.13</v>
      </c>
      <c r="H821" s="36">
        <v>0.10249999999999999</v>
      </c>
      <c r="I821" s="36">
        <v>8.3800000000000013E-2</v>
      </c>
      <c r="J821" s="36">
        <v>7.7499999999999999E-2</v>
      </c>
      <c r="K821" s="37">
        <v>7.4999999999999997E-2</v>
      </c>
      <c r="L821" s="457">
        <f t="shared" si="654"/>
        <v>46.808510638297875</v>
      </c>
      <c r="M821" s="458">
        <f t="shared" si="655"/>
        <v>46.808510638297875</v>
      </c>
      <c r="N821" s="458">
        <f t="shared" si="656"/>
        <v>42.307692307692307</v>
      </c>
      <c r="O821" s="458">
        <f t="shared" si="657"/>
        <v>53.658536585365859</v>
      </c>
      <c r="P821" s="458">
        <f t="shared" si="658"/>
        <v>65.632458233890205</v>
      </c>
      <c r="Q821" s="458">
        <f t="shared" si="659"/>
        <v>61.29032258064516</v>
      </c>
      <c r="R821" s="459">
        <f t="shared" si="660"/>
        <v>62.533333333333331</v>
      </c>
      <c r="S821" s="455"/>
      <c r="T821" s="456"/>
      <c r="U821" s="456"/>
      <c r="V821" s="456"/>
      <c r="W821" s="456"/>
      <c r="X821" s="456"/>
      <c r="Y821" s="456"/>
      <c r="Z821" s="455"/>
      <c r="AA821" s="456"/>
      <c r="AB821" s="456"/>
      <c r="AC821" s="456"/>
      <c r="AD821" s="456"/>
      <c r="AE821" s="456"/>
      <c r="AF821" s="456"/>
      <c r="AG821" s="33" t="str">
        <f t="shared" si="648"/>
        <v>2.14 &gt; Trinidad &amp; Tobago</v>
      </c>
      <c r="AH821" s="84">
        <f t="shared" si="650"/>
        <v>807</v>
      </c>
      <c r="AI821" s="84">
        <f t="shared" si="651"/>
        <v>30</v>
      </c>
      <c r="AJ821" s="877" t="s">
        <v>1526</v>
      </c>
    </row>
    <row r="822" spans="1:36" x14ac:dyDescent="0.2">
      <c r="A822" s="492">
        <f>INDEX(Country!$F$31:$G$76, MATCH(AI822, Country!$O$31:$O$76, 0), 1)</f>
        <v>2.139999999999997</v>
      </c>
      <c r="B822" s="2" t="str">
        <f>INDEX(Country!$F$31:$G$76, MATCH(AI822, Country!$O$31:$O$76, 0), 2)</f>
        <v>Swap rate</v>
      </c>
      <c r="C822" s="436" t="str">
        <f>INDEX(Country!$K$31:$K$76, MATCH(AI822, Country!$O$31:$O$76, 0), 1)</f>
        <v>%</v>
      </c>
      <c r="D822" s="4" t="str">
        <f t="shared" si="661"/>
        <v>Uruguay</v>
      </c>
      <c r="E822" s="36">
        <v>8.7795000000000012E-2</v>
      </c>
      <c r="F822" s="36">
        <v>0.10455100000000001</v>
      </c>
      <c r="G822" s="36">
        <v>0.189549</v>
      </c>
      <c r="H822" s="36">
        <v>0.14940699999999998</v>
      </c>
      <c r="I822" s="36">
        <v>9.7056000000000003E-2</v>
      </c>
      <c r="J822" s="36">
        <v>0.100151</v>
      </c>
      <c r="K822" s="37">
        <v>0.11181800000000001</v>
      </c>
      <c r="L822" s="457">
        <f t="shared" si="654"/>
        <v>62.645936556751515</v>
      </c>
      <c r="M822" s="458">
        <f t="shared" si="655"/>
        <v>52.605905251982286</v>
      </c>
      <c r="N822" s="458">
        <f t="shared" si="656"/>
        <v>29.016243820858989</v>
      </c>
      <c r="O822" s="458">
        <f t="shared" si="657"/>
        <v>36.812197554331462</v>
      </c>
      <c r="P822" s="458">
        <f t="shared" si="658"/>
        <v>56.66831519947246</v>
      </c>
      <c r="Q822" s="458">
        <f t="shared" si="659"/>
        <v>47.428383141456401</v>
      </c>
      <c r="R822" s="459">
        <f t="shared" si="660"/>
        <v>41.943157631150612</v>
      </c>
      <c r="S822" s="455"/>
      <c r="T822" s="456"/>
      <c r="U822" s="456"/>
      <c r="V822" s="456"/>
      <c r="W822" s="456"/>
      <c r="X822" s="456"/>
      <c r="Y822" s="456"/>
      <c r="Z822" s="455"/>
      <c r="AA822" s="456"/>
      <c r="AB822" s="456"/>
      <c r="AC822" s="456"/>
      <c r="AD822" s="456"/>
      <c r="AE822" s="456"/>
      <c r="AF822" s="456"/>
      <c r="AG822" s="33" t="str">
        <f t="shared" si="648"/>
        <v>2.14 &gt; Uruguay</v>
      </c>
      <c r="AH822" s="84">
        <f t="shared" si="650"/>
        <v>808</v>
      </c>
      <c r="AI822" s="84">
        <f t="shared" si="651"/>
        <v>30</v>
      </c>
      <c r="AJ822" s="877" t="s">
        <v>1526</v>
      </c>
    </row>
    <row r="823" spans="1:36" x14ac:dyDescent="0.2">
      <c r="A823" s="491">
        <f>INDEX(Country!$F$31:$G$76, MATCH(AI823, Country!$O$31:$O$76, 0), 1)</f>
        <v>2.139999999999997</v>
      </c>
      <c r="B823" s="386" t="str">
        <f>INDEX(Country!$F$31:$G$76, MATCH(AI823, Country!$O$31:$O$76, 0), 2)</f>
        <v>Swap rate</v>
      </c>
      <c r="C823" s="437" t="str">
        <f>INDEX(Country!$K$31:$K$76, MATCH(AI823, Country!$O$31:$O$76, 0), 1)</f>
        <v>%</v>
      </c>
      <c r="D823" s="86" t="str">
        <f t="shared" si="661"/>
        <v>Venezuela</v>
      </c>
      <c r="E823" s="371">
        <v>0.15720000000000001</v>
      </c>
      <c r="F823" s="371">
        <v>0.20219999999999999</v>
      </c>
      <c r="G823" s="371">
        <v>0.20440000000000003</v>
      </c>
      <c r="H823" s="371">
        <v>0.18969999999999998</v>
      </c>
      <c r="I823" s="371">
        <v>0.1812</v>
      </c>
      <c r="J823" s="371">
        <v>0.15509999999999999</v>
      </c>
      <c r="K823" s="403">
        <v>0.16269999999999998</v>
      </c>
      <c r="L823" s="460">
        <f t="shared" si="654"/>
        <v>34.987277353689564</v>
      </c>
      <c r="M823" s="461">
        <f t="shared" si="655"/>
        <v>27.200791295746786</v>
      </c>
      <c r="N823" s="461">
        <f t="shared" si="656"/>
        <v>26.908023483365945</v>
      </c>
      <c r="O823" s="461">
        <f t="shared" si="657"/>
        <v>28.99314707432789</v>
      </c>
      <c r="P823" s="461">
        <f t="shared" si="658"/>
        <v>30.353200883002206</v>
      </c>
      <c r="Q823" s="461">
        <f t="shared" si="659"/>
        <v>30.625402965828503</v>
      </c>
      <c r="R823" s="462">
        <f t="shared" si="660"/>
        <v>28.8260602335587</v>
      </c>
      <c r="S823" s="455"/>
      <c r="T823" s="456"/>
      <c r="U823" s="456"/>
      <c r="V823" s="456"/>
      <c r="W823" s="456"/>
      <c r="X823" s="456"/>
      <c r="Y823" s="456"/>
      <c r="Z823" s="455"/>
      <c r="AA823" s="456"/>
      <c r="AB823" s="456"/>
      <c r="AC823" s="456"/>
      <c r="AD823" s="456"/>
      <c r="AE823" s="456"/>
      <c r="AF823" s="456"/>
      <c r="AG823" s="90" t="str">
        <f t="shared" si="648"/>
        <v>2.14 &gt; Venezuela</v>
      </c>
      <c r="AH823" s="392">
        <f t="shared" si="650"/>
        <v>809</v>
      </c>
      <c r="AI823" s="392">
        <f t="shared" si="651"/>
        <v>30</v>
      </c>
      <c r="AJ823" s="878" t="s">
        <v>1526</v>
      </c>
    </row>
    <row r="824" spans="1:36" x14ac:dyDescent="0.2">
      <c r="A824" s="490">
        <f>INDEX(Country!$F$31:$G$76, MATCH(AI824, Country!$O$31:$O$76, 0), 1)</f>
        <v>2.139999999999997</v>
      </c>
      <c r="B824" s="387" t="str">
        <f>INDEX(Country!$F$31:$G$76, MATCH(AI824, Country!$O$31:$O$76, 0), 2)</f>
        <v>Swap rate</v>
      </c>
      <c r="C824" s="438" t="str">
        <f>INDEX(Country!$K$31:$K$76, MATCH(AI824, Country!$O$31:$O$76, 0), 1)</f>
        <v>%</v>
      </c>
      <c r="D824" s="32" t="str">
        <f t="shared" si="661"/>
        <v>Benchmark</v>
      </c>
      <c r="E824" s="372">
        <f t="shared" ref="E824:K824" si="662">IFERROR(SMALL(E798:E823, COUNTIF(E798:E823, "0")+1), 0)</f>
        <v>5.5E-2</v>
      </c>
      <c r="F824" s="372">
        <f t="shared" si="662"/>
        <v>5.5E-2</v>
      </c>
      <c r="G824" s="372">
        <f t="shared" si="662"/>
        <v>5.5E-2</v>
      </c>
      <c r="H824" s="372">
        <f t="shared" si="662"/>
        <v>5.5E-2</v>
      </c>
      <c r="I824" s="372">
        <f t="shared" si="662"/>
        <v>5.5E-2</v>
      </c>
      <c r="J824" s="372">
        <f t="shared" si="662"/>
        <v>4.7500000000000001E-2</v>
      </c>
      <c r="K824" s="609">
        <f t="shared" si="662"/>
        <v>4.6899999999999997E-2</v>
      </c>
      <c r="L824" s="585">
        <f t="shared" si="654"/>
        <v>100</v>
      </c>
      <c r="M824" s="463">
        <f t="shared" si="655"/>
        <v>100</v>
      </c>
      <c r="N824" s="463">
        <f t="shared" si="656"/>
        <v>100</v>
      </c>
      <c r="O824" s="463">
        <f t="shared" si="657"/>
        <v>100</v>
      </c>
      <c r="P824" s="463">
        <f t="shared" si="658"/>
        <v>100</v>
      </c>
      <c r="Q824" s="463">
        <f t="shared" si="659"/>
        <v>100</v>
      </c>
      <c r="R824" s="586">
        <f t="shared" si="660"/>
        <v>100</v>
      </c>
      <c r="S824" s="393" t="s">
        <v>3285</v>
      </c>
      <c r="T824" s="394"/>
      <c r="U824" s="376"/>
      <c r="V824" s="376"/>
      <c r="W824" s="376"/>
      <c r="X824" s="376"/>
      <c r="Y824" s="376"/>
      <c r="Z824" s="393"/>
      <c r="AA824" s="394"/>
      <c r="AB824" s="376"/>
      <c r="AC824" s="376"/>
      <c r="AD824" s="376"/>
      <c r="AE824" s="376"/>
      <c r="AF824" s="376"/>
      <c r="AG824" s="34" t="str">
        <f t="shared" si="648"/>
        <v>2.14 &gt; Benchmark</v>
      </c>
      <c r="AH824" s="85">
        <f t="shared" si="650"/>
        <v>810</v>
      </c>
      <c r="AI824" s="85">
        <f t="shared" si="651"/>
        <v>30</v>
      </c>
      <c r="AJ824" s="871" t="s">
        <v>1526</v>
      </c>
    </row>
    <row r="825" spans="1:36" x14ac:dyDescent="0.2">
      <c r="A825" s="587">
        <f>INDEX(Country!$F$31:$G$76, MATCH(AI825, Country!$O$31:$O$76, 0), 1)</f>
        <v>3.01</v>
      </c>
      <c r="B825" s="588" t="str">
        <f>INDEX(Country!$F$31:$G$76, MATCH(AI825, Country!$O$31:$O$76, 0), 2)</f>
        <v>Financial institutions in clean energy</v>
      </c>
      <c r="C825" s="589" t="str">
        <f>INDEX(Country!$K$31:$K$76, MATCH(AI825, Country!$O$31:$O$76, 0), 1)</f>
        <v>Companies</v>
      </c>
      <c r="D825" s="590" t="str">
        <f t="shared" si="661"/>
        <v>Argentina</v>
      </c>
      <c r="E825" s="18">
        <f t="shared" ref="E825:E840" si="663">S825</f>
        <v>3</v>
      </c>
      <c r="F825" s="18">
        <f t="shared" ref="F825:F850" si="664">T825</f>
        <v>3</v>
      </c>
      <c r="G825" s="18">
        <f t="shared" ref="G825:G850" si="665">U825</f>
        <v>3</v>
      </c>
      <c r="H825" s="18">
        <f t="shared" ref="H825:H850" si="666">V825</f>
        <v>3</v>
      </c>
      <c r="I825" s="18">
        <f t="shared" ref="I825:I850" si="667">W825</f>
        <v>3</v>
      </c>
      <c r="J825" s="18">
        <f t="shared" ref="J825:J850" si="668">X825</f>
        <v>3</v>
      </c>
      <c r="K825" s="19">
        <f t="shared" ref="K825:K850" si="669">Y825</f>
        <v>3</v>
      </c>
      <c r="L825" s="580">
        <f>IFERROR(dbl_BenchmarkMax*E825/ SUMIFS(E$15:E$1256, $D$15:$D$1256, "Benchmark", $B$15:$B$1256,$B825), 0)</f>
        <v>75</v>
      </c>
      <c r="M825" s="581">
        <f t="shared" ref="M825:M856" si="670">IFERROR(dbl_BenchmarkMax*F825/ SUMIFS(F$15:F$1256, $D$15:$D$1256, "Benchmark", $B$15:$B$1256,$B825), 0)</f>
        <v>75</v>
      </c>
      <c r="N825" s="581">
        <f t="shared" ref="N825:N888" si="671">IFERROR(dbl_BenchmarkMax*G825/ SUMIFS(G$15:G$1256, $D$15:$D$1256, "Benchmark", $B$15:$B$1256,$B825), 0)</f>
        <v>75</v>
      </c>
      <c r="O825" s="581">
        <f t="shared" ref="O825:O888" si="672">IFERROR(dbl_BenchmarkMax*H825/ SUMIFS(H$15:H$1256, $D$15:$D$1256, "Benchmark", $B$15:$B$1256,$B825), 0)</f>
        <v>75</v>
      </c>
      <c r="P825" s="581">
        <f t="shared" ref="P825:P888" si="673">IFERROR(dbl_BenchmarkMax*I825/ SUMIFS(I$15:I$1256, $D$15:$D$1256, "Benchmark", $B$15:$B$1256,$B825), 0)</f>
        <v>75</v>
      </c>
      <c r="Q825" s="581">
        <f t="shared" ref="Q825:Q888" si="674">IFERROR(dbl_BenchmarkMax*J825/ SUMIFS(J$15:J$1256, $D$15:$D$1256, "Benchmark", $B$15:$B$1256,$B825), 0)</f>
        <v>75</v>
      </c>
      <c r="R825" s="582">
        <f t="shared" ref="R825:R888" si="675">IFERROR(dbl_BenchmarkMax*K825/ SUMIFS(K$15:K$1256, $D$15:$D$1256, "Benchmark", $B$15:$B$1256,$B825), 0)</f>
        <v>75</v>
      </c>
      <c r="S825" s="420">
        <f t="shared" ref="S825:V825" si="676">T825</f>
        <v>3</v>
      </c>
      <c r="T825" s="367">
        <f t="shared" si="676"/>
        <v>3</v>
      </c>
      <c r="U825" s="367">
        <f t="shared" si="676"/>
        <v>3</v>
      </c>
      <c r="V825" s="367">
        <f t="shared" si="676"/>
        <v>3</v>
      </c>
      <c r="W825" s="367">
        <f t="shared" ref="W825:W850" si="677">Y825</f>
        <v>3</v>
      </c>
      <c r="X825" s="367">
        <f>Levelisation!J789</f>
        <v>3</v>
      </c>
      <c r="Y825" s="367">
        <f>Levelisation!L789</f>
        <v>3</v>
      </c>
      <c r="Z825" s="455"/>
      <c r="AA825" s="456"/>
      <c r="AB825" s="456"/>
      <c r="AC825" s="456"/>
      <c r="AD825" s="456"/>
      <c r="AE825" s="456"/>
      <c r="AF825" s="456"/>
      <c r="AG825" s="396" t="str">
        <f t="shared" si="648"/>
        <v>3.01 &gt; Argentina</v>
      </c>
      <c r="AH825" s="397">
        <f t="shared" si="650"/>
        <v>811</v>
      </c>
      <c r="AI825" s="397">
        <f t="shared" si="651"/>
        <v>31</v>
      </c>
      <c r="AJ825" s="879" t="s">
        <v>1526</v>
      </c>
    </row>
    <row r="826" spans="1:36" x14ac:dyDescent="0.2">
      <c r="A826" s="492">
        <f>INDEX(Country!$F$31:$G$76, MATCH(AI826, Country!$O$31:$O$76, 0), 1)</f>
        <v>3.01</v>
      </c>
      <c r="B826" s="2" t="str">
        <f>INDEX(Country!$F$31:$G$76, MATCH(AI826, Country!$O$31:$O$76, 0), 2)</f>
        <v>Financial institutions in clean energy</v>
      </c>
      <c r="C826" s="436" t="str">
        <f>INDEX(Country!$K$31:$K$76, MATCH(AI826, Country!$O$31:$O$76, 0), 1)</f>
        <v>Companies</v>
      </c>
      <c r="D826" s="4" t="str">
        <f t="shared" si="661"/>
        <v>Bahamas</v>
      </c>
      <c r="E826" s="18">
        <f t="shared" si="663"/>
        <v>0</v>
      </c>
      <c r="F826" s="18">
        <f t="shared" si="664"/>
        <v>0</v>
      </c>
      <c r="G826" s="18">
        <f t="shared" si="665"/>
        <v>0</v>
      </c>
      <c r="H826" s="18">
        <f t="shared" si="666"/>
        <v>0</v>
      </c>
      <c r="I826" s="18">
        <f t="shared" si="667"/>
        <v>0</v>
      </c>
      <c r="J826" s="18">
        <f t="shared" si="668"/>
        <v>0</v>
      </c>
      <c r="K826" s="19">
        <f t="shared" si="669"/>
        <v>0</v>
      </c>
      <c r="L826" s="457">
        <f t="shared" ref="L826:L856" si="678">IFERROR(dbl_BenchmarkMax*E826/ SUMIFS(E$15:E$1256, $D$15:$D$1256, "Benchmark", $B$15:$B$1256,$B826), 0)</f>
        <v>0</v>
      </c>
      <c r="M826" s="458">
        <f t="shared" si="670"/>
        <v>0</v>
      </c>
      <c r="N826" s="458">
        <f t="shared" si="671"/>
        <v>0</v>
      </c>
      <c r="O826" s="458">
        <f t="shared" si="672"/>
        <v>0</v>
      </c>
      <c r="P826" s="458">
        <f t="shared" si="673"/>
        <v>0</v>
      </c>
      <c r="Q826" s="458">
        <f t="shared" si="674"/>
        <v>0</v>
      </c>
      <c r="R826" s="459">
        <f t="shared" si="675"/>
        <v>0</v>
      </c>
      <c r="S826" s="421">
        <f t="shared" ref="S826:V826" si="679">T826</f>
        <v>0</v>
      </c>
      <c r="T826" s="5">
        <f t="shared" si="679"/>
        <v>0</v>
      </c>
      <c r="U826" s="5">
        <f t="shared" si="679"/>
        <v>0</v>
      </c>
      <c r="V826" s="5">
        <f t="shared" si="679"/>
        <v>0</v>
      </c>
      <c r="W826" s="5">
        <f t="shared" si="677"/>
        <v>0</v>
      </c>
      <c r="X826" s="5">
        <f>Levelisation!J790</f>
        <v>0</v>
      </c>
      <c r="Y826" s="5">
        <f>Levelisation!L790</f>
        <v>0</v>
      </c>
      <c r="Z826" s="455"/>
      <c r="AA826" s="456"/>
      <c r="AB826" s="456"/>
      <c r="AC826" s="456"/>
      <c r="AD826" s="456"/>
      <c r="AE826" s="456"/>
      <c r="AF826" s="456"/>
      <c r="AG826" s="33" t="str">
        <f t="shared" si="648"/>
        <v>3.01 &gt; Bahamas</v>
      </c>
      <c r="AH826" s="84">
        <f t="shared" si="650"/>
        <v>812</v>
      </c>
      <c r="AI826" s="84">
        <f t="shared" si="651"/>
        <v>31</v>
      </c>
      <c r="AJ826" s="877" t="s">
        <v>1526</v>
      </c>
    </row>
    <row r="827" spans="1:36" x14ac:dyDescent="0.2">
      <c r="A827" s="492">
        <f>INDEX(Country!$F$31:$G$76, MATCH(AI827, Country!$O$31:$O$76, 0), 1)</f>
        <v>3.01</v>
      </c>
      <c r="B827" s="2" t="str">
        <f>INDEX(Country!$F$31:$G$76, MATCH(AI827, Country!$O$31:$O$76, 0), 2)</f>
        <v>Financial institutions in clean energy</v>
      </c>
      <c r="C827" s="436" t="str">
        <f>INDEX(Country!$K$31:$K$76, MATCH(AI827, Country!$O$31:$O$76, 0), 1)</f>
        <v>Companies</v>
      </c>
      <c r="D827" s="4" t="str">
        <f t="shared" si="661"/>
        <v>Barbados</v>
      </c>
      <c r="E827" s="18">
        <f t="shared" si="663"/>
        <v>0</v>
      </c>
      <c r="F827" s="18">
        <f t="shared" si="664"/>
        <v>0</v>
      </c>
      <c r="G827" s="18">
        <f t="shared" si="665"/>
        <v>0</v>
      </c>
      <c r="H827" s="18">
        <f t="shared" si="666"/>
        <v>0</v>
      </c>
      <c r="I827" s="18">
        <f t="shared" si="667"/>
        <v>0</v>
      </c>
      <c r="J827" s="18">
        <f t="shared" si="668"/>
        <v>0</v>
      </c>
      <c r="K827" s="19">
        <f t="shared" si="669"/>
        <v>0</v>
      </c>
      <c r="L827" s="457">
        <f t="shared" si="678"/>
        <v>0</v>
      </c>
      <c r="M827" s="458">
        <f t="shared" si="670"/>
        <v>0</v>
      </c>
      <c r="N827" s="458">
        <f t="shared" si="671"/>
        <v>0</v>
      </c>
      <c r="O827" s="458">
        <f t="shared" si="672"/>
        <v>0</v>
      </c>
      <c r="P827" s="458">
        <f t="shared" si="673"/>
        <v>0</v>
      </c>
      <c r="Q827" s="458">
        <f t="shared" si="674"/>
        <v>0</v>
      </c>
      <c r="R827" s="459">
        <f t="shared" si="675"/>
        <v>0</v>
      </c>
      <c r="S827" s="421">
        <f t="shared" ref="S827:V827" si="680">T827</f>
        <v>0</v>
      </c>
      <c r="T827" s="5">
        <f t="shared" si="680"/>
        <v>0</v>
      </c>
      <c r="U827" s="5">
        <f t="shared" si="680"/>
        <v>0</v>
      </c>
      <c r="V827" s="5">
        <f t="shared" si="680"/>
        <v>0</v>
      </c>
      <c r="W827" s="5">
        <f t="shared" si="677"/>
        <v>0</v>
      </c>
      <c r="X827" s="5">
        <f>Levelisation!J791</f>
        <v>0</v>
      </c>
      <c r="Y827" s="5">
        <f>Levelisation!L791</f>
        <v>0</v>
      </c>
      <c r="Z827" s="455"/>
      <c r="AA827" s="456"/>
      <c r="AB827" s="456"/>
      <c r="AC827" s="456"/>
      <c r="AD827" s="456"/>
      <c r="AE827" s="456"/>
      <c r="AF827" s="456"/>
      <c r="AG827" s="33" t="str">
        <f t="shared" si="648"/>
        <v>3.01 &gt; Barbados</v>
      </c>
      <c r="AH827" s="84">
        <f t="shared" si="650"/>
        <v>813</v>
      </c>
      <c r="AI827" s="84">
        <f t="shared" si="651"/>
        <v>31</v>
      </c>
      <c r="AJ827" s="877" t="s">
        <v>1526</v>
      </c>
    </row>
    <row r="828" spans="1:36" x14ac:dyDescent="0.2">
      <c r="A828" s="492">
        <f>INDEX(Country!$F$31:$G$76, MATCH(AI828, Country!$O$31:$O$76, 0), 1)</f>
        <v>3.01</v>
      </c>
      <c r="B828" s="2" t="str">
        <f>INDEX(Country!$F$31:$G$76, MATCH(AI828, Country!$O$31:$O$76, 0), 2)</f>
        <v>Financial institutions in clean energy</v>
      </c>
      <c r="C828" s="436" t="str">
        <f>INDEX(Country!$K$31:$K$76, MATCH(AI828, Country!$O$31:$O$76, 0), 1)</f>
        <v>Companies</v>
      </c>
      <c r="D828" s="4" t="str">
        <f t="shared" si="661"/>
        <v>Belize</v>
      </c>
      <c r="E828" s="18">
        <f t="shared" si="663"/>
        <v>1</v>
      </c>
      <c r="F828" s="18">
        <f t="shared" si="664"/>
        <v>1</v>
      </c>
      <c r="G828" s="18">
        <f t="shared" si="665"/>
        <v>1</v>
      </c>
      <c r="H828" s="18">
        <f t="shared" si="666"/>
        <v>1</v>
      </c>
      <c r="I828" s="18">
        <f t="shared" si="667"/>
        <v>1</v>
      </c>
      <c r="J828" s="18">
        <f t="shared" si="668"/>
        <v>1</v>
      </c>
      <c r="K828" s="19">
        <f t="shared" si="669"/>
        <v>1</v>
      </c>
      <c r="L828" s="457">
        <f t="shared" si="678"/>
        <v>25</v>
      </c>
      <c r="M828" s="458">
        <f t="shared" si="670"/>
        <v>25</v>
      </c>
      <c r="N828" s="458">
        <f t="shared" si="671"/>
        <v>25</v>
      </c>
      <c r="O828" s="458">
        <f t="shared" si="672"/>
        <v>25</v>
      </c>
      <c r="P828" s="458">
        <f t="shared" si="673"/>
        <v>25</v>
      </c>
      <c r="Q828" s="458">
        <f t="shared" si="674"/>
        <v>25</v>
      </c>
      <c r="R828" s="459">
        <f t="shared" si="675"/>
        <v>25</v>
      </c>
      <c r="S828" s="421">
        <f t="shared" ref="S828:V828" si="681">T828</f>
        <v>1</v>
      </c>
      <c r="T828" s="5">
        <f t="shared" si="681"/>
        <v>1</v>
      </c>
      <c r="U828" s="5">
        <f t="shared" si="681"/>
        <v>1</v>
      </c>
      <c r="V828" s="5">
        <f t="shared" si="681"/>
        <v>1</v>
      </c>
      <c r="W828" s="5">
        <f t="shared" si="677"/>
        <v>1</v>
      </c>
      <c r="X828" s="5">
        <f>Levelisation!J792</f>
        <v>1</v>
      </c>
      <c r="Y828" s="5">
        <f>Levelisation!L792</f>
        <v>1</v>
      </c>
      <c r="Z828" s="455"/>
      <c r="AA828" s="456"/>
      <c r="AB828" s="456"/>
      <c r="AC828" s="456"/>
      <c r="AD828" s="456"/>
      <c r="AE828" s="456"/>
      <c r="AF828" s="456"/>
      <c r="AG828" s="33" t="str">
        <f t="shared" si="648"/>
        <v>3.01 &gt; Belize</v>
      </c>
      <c r="AH828" s="84">
        <f t="shared" si="650"/>
        <v>814</v>
      </c>
      <c r="AI828" s="84">
        <f t="shared" si="651"/>
        <v>31</v>
      </c>
      <c r="AJ828" s="877" t="s">
        <v>1526</v>
      </c>
    </row>
    <row r="829" spans="1:36" x14ac:dyDescent="0.2">
      <c r="A829" s="492">
        <f>INDEX(Country!$F$31:$G$76, MATCH(AI829, Country!$O$31:$O$76, 0), 1)</f>
        <v>3.01</v>
      </c>
      <c r="B829" s="2" t="str">
        <f>INDEX(Country!$F$31:$G$76, MATCH(AI829, Country!$O$31:$O$76, 0), 2)</f>
        <v>Financial institutions in clean energy</v>
      </c>
      <c r="C829" s="436" t="str">
        <f>INDEX(Country!$K$31:$K$76, MATCH(AI829, Country!$O$31:$O$76, 0), 1)</f>
        <v>Companies</v>
      </c>
      <c r="D829" s="4" t="str">
        <f t="shared" si="661"/>
        <v>Bolivia</v>
      </c>
      <c r="E829" s="18">
        <f t="shared" si="663"/>
        <v>0</v>
      </c>
      <c r="F829" s="18">
        <f t="shared" si="664"/>
        <v>0</v>
      </c>
      <c r="G829" s="18">
        <f t="shared" si="665"/>
        <v>0</v>
      </c>
      <c r="H829" s="18">
        <f t="shared" si="666"/>
        <v>0</v>
      </c>
      <c r="I829" s="18">
        <f t="shared" si="667"/>
        <v>0</v>
      </c>
      <c r="J829" s="18">
        <f t="shared" si="668"/>
        <v>0</v>
      </c>
      <c r="K829" s="19">
        <f t="shared" si="669"/>
        <v>0</v>
      </c>
      <c r="L829" s="457">
        <f t="shared" si="678"/>
        <v>0</v>
      </c>
      <c r="M829" s="458">
        <f t="shared" si="670"/>
        <v>0</v>
      </c>
      <c r="N829" s="458">
        <f t="shared" si="671"/>
        <v>0</v>
      </c>
      <c r="O829" s="458">
        <f t="shared" si="672"/>
        <v>0</v>
      </c>
      <c r="P829" s="458">
        <f t="shared" si="673"/>
        <v>0</v>
      </c>
      <c r="Q829" s="458">
        <f t="shared" si="674"/>
        <v>0</v>
      </c>
      <c r="R829" s="459">
        <f t="shared" si="675"/>
        <v>0</v>
      </c>
      <c r="S829" s="421">
        <f t="shared" ref="S829:V829" si="682">T829</f>
        <v>0</v>
      </c>
      <c r="T829" s="5">
        <f t="shared" si="682"/>
        <v>0</v>
      </c>
      <c r="U829" s="5">
        <f t="shared" si="682"/>
        <v>0</v>
      </c>
      <c r="V829" s="5">
        <f t="shared" si="682"/>
        <v>0</v>
      </c>
      <c r="W829" s="5">
        <f t="shared" si="677"/>
        <v>0</v>
      </c>
      <c r="X829" s="5">
        <f>Levelisation!J793</f>
        <v>0</v>
      </c>
      <c r="Y829" s="5">
        <f>Levelisation!L793</f>
        <v>0</v>
      </c>
      <c r="Z829" s="455"/>
      <c r="AA829" s="456"/>
      <c r="AB829" s="456"/>
      <c r="AC829" s="456"/>
      <c r="AD829" s="456"/>
      <c r="AE829" s="456"/>
      <c r="AF829" s="456"/>
      <c r="AG829" s="33" t="str">
        <f t="shared" si="648"/>
        <v>3.01 &gt; Bolivia</v>
      </c>
      <c r="AH829" s="84">
        <f t="shared" si="650"/>
        <v>815</v>
      </c>
      <c r="AI829" s="84">
        <f t="shared" si="651"/>
        <v>31</v>
      </c>
      <c r="AJ829" s="877" t="s">
        <v>1526</v>
      </c>
    </row>
    <row r="830" spans="1:36" x14ac:dyDescent="0.2">
      <c r="A830" s="492">
        <f>INDEX(Country!$F$31:$G$76, MATCH(AI830, Country!$O$31:$O$76, 0), 1)</f>
        <v>3.01</v>
      </c>
      <c r="B830" s="2" t="str">
        <f>INDEX(Country!$F$31:$G$76, MATCH(AI830, Country!$O$31:$O$76, 0), 2)</f>
        <v>Financial institutions in clean energy</v>
      </c>
      <c r="C830" s="436" t="str">
        <f>INDEX(Country!$K$31:$K$76, MATCH(AI830, Country!$O$31:$O$76, 0), 1)</f>
        <v>Companies</v>
      </c>
      <c r="D830" s="4" t="str">
        <f t="shared" si="661"/>
        <v>Brazil</v>
      </c>
      <c r="E830" s="18">
        <f t="shared" si="663"/>
        <v>4</v>
      </c>
      <c r="F830" s="18">
        <f t="shared" si="664"/>
        <v>4</v>
      </c>
      <c r="G830" s="18">
        <f t="shared" si="665"/>
        <v>4</v>
      </c>
      <c r="H830" s="18">
        <f t="shared" si="666"/>
        <v>4</v>
      </c>
      <c r="I830" s="18">
        <f t="shared" si="667"/>
        <v>4</v>
      </c>
      <c r="J830" s="18">
        <f t="shared" si="668"/>
        <v>4</v>
      </c>
      <c r="K830" s="19">
        <f t="shared" si="669"/>
        <v>4</v>
      </c>
      <c r="L830" s="457">
        <f t="shared" si="678"/>
        <v>100</v>
      </c>
      <c r="M830" s="458">
        <f t="shared" si="670"/>
        <v>100</v>
      </c>
      <c r="N830" s="458">
        <f t="shared" si="671"/>
        <v>100</v>
      </c>
      <c r="O830" s="458">
        <f t="shared" si="672"/>
        <v>100</v>
      </c>
      <c r="P830" s="458">
        <f t="shared" si="673"/>
        <v>100</v>
      </c>
      <c r="Q830" s="458">
        <f t="shared" si="674"/>
        <v>100</v>
      </c>
      <c r="R830" s="459">
        <f t="shared" si="675"/>
        <v>100</v>
      </c>
      <c r="S830" s="421">
        <f t="shared" ref="S830:V830" si="683">T830</f>
        <v>4</v>
      </c>
      <c r="T830" s="5">
        <f t="shared" si="683"/>
        <v>4</v>
      </c>
      <c r="U830" s="5">
        <f t="shared" si="683"/>
        <v>4</v>
      </c>
      <c r="V830" s="5">
        <f t="shared" si="683"/>
        <v>4</v>
      </c>
      <c r="W830" s="5">
        <f t="shared" si="677"/>
        <v>4</v>
      </c>
      <c r="X830" s="5">
        <f>Levelisation!J794</f>
        <v>4</v>
      </c>
      <c r="Y830" s="5">
        <f>Levelisation!L794</f>
        <v>4</v>
      </c>
      <c r="Z830" s="455"/>
      <c r="AA830" s="456"/>
      <c r="AB830" s="456"/>
      <c r="AC830" s="456"/>
      <c r="AD830" s="456"/>
      <c r="AE830" s="456"/>
      <c r="AF830" s="456"/>
      <c r="AG830" s="33" t="str">
        <f t="shared" si="648"/>
        <v>3.01 &gt; Brazil</v>
      </c>
      <c r="AH830" s="84">
        <f t="shared" si="650"/>
        <v>816</v>
      </c>
      <c r="AI830" s="84">
        <f t="shared" si="651"/>
        <v>31</v>
      </c>
      <c r="AJ830" s="877" t="s">
        <v>1526</v>
      </c>
    </row>
    <row r="831" spans="1:36" x14ac:dyDescent="0.2">
      <c r="A831" s="492">
        <f>INDEX(Country!$F$31:$G$76, MATCH(AI831, Country!$O$31:$O$76, 0), 1)</f>
        <v>3.01</v>
      </c>
      <c r="B831" s="2" t="str">
        <f>INDEX(Country!$F$31:$G$76, MATCH(AI831, Country!$O$31:$O$76, 0), 2)</f>
        <v>Financial institutions in clean energy</v>
      </c>
      <c r="C831" s="436" t="str">
        <f>INDEX(Country!$K$31:$K$76, MATCH(AI831, Country!$O$31:$O$76, 0), 1)</f>
        <v>Companies</v>
      </c>
      <c r="D831" s="4" t="str">
        <f t="shared" si="661"/>
        <v>Chile</v>
      </c>
      <c r="E831" s="18">
        <f t="shared" si="663"/>
        <v>3</v>
      </c>
      <c r="F831" s="18">
        <f t="shared" si="664"/>
        <v>3</v>
      </c>
      <c r="G831" s="18">
        <f t="shared" si="665"/>
        <v>3</v>
      </c>
      <c r="H831" s="18">
        <f t="shared" si="666"/>
        <v>3</v>
      </c>
      <c r="I831" s="18">
        <f t="shared" si="667"/>
        <v>3</v>
      </c>
      <c r="J831" s="18">
        <f t="shared" si="668"/>
        <v>3</v>
      </c>
      <c r="K831" s="19">
        <f t="shared" si="669"/>
        <v>3</v>
      </c>
      <c r="L831" s="457">
        <f t="shared" si="678"/>
        <v>75</v>
      </c>
      <c r="M831" s="458">
        <f t="shared" si="670"/>
        <v>75</v>
      </c>
      <c r="N831" s="458">
        <f t="shared" si="671"/>
        <v>75</v>
      </c>
      <c r="O831" s="458">
        <f t="shared" si="672"/>
        <v>75</v>
      </c>
      <c r="P831" s="458">
        <f t="shared" si="673"/>
        <v>75</v>
      </c>
      <c r="Q831" s="458">
        <f t="shared" si="674"/>
        <v>75</v>
      </c>
      <c r="R831" s="459">
        <f t="shared" si="675"/>
        <v>75</v>
      </c>
      <c r="S831" s="421">
        <f t="shared" ref="S831:V831" si="684">T831</f>
        <v>3</v>
      </c>
      <c r="T831" s="5">
        <f t="shared" si="684"/>
        <v>3</v>
      </c>
      <c r="U831" s="5">
        <f t="shared" si="684"/>
        <v>3</v>
      </c>
      <c r="V831" s="5">
        <f t="shared" si="684"/>
        <v>3</v>
      </c>
      <c r="W831" s="5">
        <f t="shared" si="677"/>
        <v>3</v>
      </c>
      <c r="X831" s="5">
        <f>Levelisation!J795</f>
        <v>3</v>
      </c>
      <c r="Y831" s="5">
        <f>Levelisation!L795</f>
        <v>3</v>
      </c>
      <c r="Z831" s="455"/>
      <c r="AA831" s="456"/>
      <c r="AB831" s="456"/>
      <c r="AC831" s="456"/>
      <c r="AD831" s="456"/>
      <c r="AE831" s="456"/>
      <c r="AF831" s="456"/>
      <c r="AG831" s="33" t="str">
        <f t="shared" si="648"/>
        <v>3.01 &gt; Chile</v>
      </c>
      <c r="AH831" s="84">
        <f t="shared" si="650"/>
        <v>817</v>
      </c>
      <c r="AI831" s="84">
        <f t="shared" si="651"/>
        <v>31</v>
      </c>
      <c r="AJ831" s="877" t="s">
        <v>1526</v>
      </c>
    </row>
    <row r="832" spans="1:36" x14ac:dyDescent="0.2">
      <c r="A832" s="492">
        <f>INDEX(Country!$F$31:$G$76, MATCH(AI832, Country!$O$31:$O$76, 0), 1)</f>
        <v>3.01</v>
      </c>
      <c r="B832" s="2" t="str">
        <f>INDEX(Country!$F$31:$G$76, MATCH(AI832, Country!$O$31:$O$76, 0), 2)</f>
        <v>Financial institutions in clean energy</v>
      </c>
      <c r="C832" s="436" t="str">
        <f>INDEX(Country!$K$31:$K$76, MATCH(AI832, Country!$O$31:$O$76, 0), 1)</f>
        <v>Companies</v>
      </c>
      <c r="D832" s="4" t="str">
        <f t="shared" si="661"/>
        <v>Colombia</v>
      </c>
      <c r="E832" s="18">
        <f t="shared" si="663"/>
        <v>1</v>
      </c>
      <c r="F832" s="18">
        <f t="shared" si="664"/>
        <v>1</v>
      </c>
      <c r="G832" s="18">
        <f t="shared" si="665"/>
        <v>1</v>
      </c>
      <c r="H832" s="18">
        <f t="shared" si="666"/>
        <v>1</v>
      </c>
      <c r="I832" s="18">
        <f t="shared" si="667"/>
        <v>1</v>
      </c>
      <c r="J832" s="18">
        <f t="shared" si="668"/>
        <v>1</v>
      </c>
      <c r="K832" s="19">
        <f t="shared" si="669"/>
        <v>1</v>
      </c>
      <c r="L832" s="457">
        <f t="shared" si="678"/>
        <v>25</v>
      </c>
      <c r="M832" s="458">
        <f t="shared" si="670"/>
        <v>25</v>
      </c>
      <c r="N832" s="458">
        <f t="shared" si="671"/>
        <v>25</v>
      </c>
      <c r="O832" s="458">
        <f t="shared" si="672"/>
        <v>25</v>
      </c>
      <c r="P832" s="458">
        <f t="shared" si="673"/>
        <v>25</v>
      </c>
      <c r="Q832" s="458">
        <f t="shared" si="674"/>
        <v>25</v>
      </c>
      <c r="R832" s="459">
        <f t="shared" si="675"/>
        <v>25</v>
      </c>
      <c r="S832" s="421">
        <f t="shared" ref="S832:V832" si="685">T832</f>
        <v>1</v>
      </c>
      <c r="T832" s="5">
        <f t="shared" si="685"/>
        <v>1</v>
      </c>
      <c r="U832" s="5">
        <f t="shared" si="685"/>
        <v>1</v>
      </c>
      <c r="V832" s="5">
        <f t="shared" si="685"/>
        <v>1</v>
      </c>
      <c r="W832" s="5">
        <f t="shared" si="677"/>
        <v>1</v>
      </c>
      <c r="X832" s="5">
        <f>Levelisation!J796</f>
        <v>1</v>
      </c>
      <c r="Y832" s="5">
        <f>Levelisation!L796</f>
        <v>1</v>
      </c>
      <c r="Z832" s="455"/>
      <c r="AA832" s="456"/>
      <c r="AB832" s="456"/>
      <c r="AC832" s="456"/>
      <c r="AD832" s="456"/>
      <c r="AE832" s="456"/>
      <c r="AF832" s="456"/>
      <c r="AG832" s="33" t="str">
        <f t="shared" si="648"/>
        <v>3.01 &gt; Colombia</v>
      </c>
      <c r="AH832" s="84">
        <f t="shared" si="650"/>
        <v>818</v>
      </c>
      <c r="AI832" s="84">
        <f t="shared" si="651"/>
        <v>31</v>
      </c>
      <c r="AJ832" s="877" t="s">
        <v>1526</v>
      </c>
    </row>
    <row r="833" spans="1:36" x14ac:dyDescent="0.2">
      <c r="A833" s="492">
        <f>INDEX(Country!$F$31:$G$76, MATCH(AI833, Country!$O$31:$O$76, 0), 1)</f>
        <v>3.01</v>
      </c>
      <c r="B833" s="2" t="str">
        <f>INDEX(Country!$F$31:$G$76, MATCH(AI833, Country!$O$31:$O$76, 0), 2)</f>
        <v>Financial institutions in clean energy</v>
      </c>
      <c r="C833" s="436" t="str">
        <f>INDEX(Country!$K$31:$K$76, MATCH(AI833, Country!$O$31:$O$76, 0), 1)</f>
        <v>Companies</v>
      </c>
      <c r="D833" s="4" t="str">
        <f t="shared" si="661"/>
        <v>Costa Rica</v>
      </c>
      <c r="E833" s="18">
        <f t="shared" si="663"/>
        <v>1</v>
      </c>
      <c r="F833" s="18">
        <f t="shared" si="664"/>
        <v>1</v>
      </c>
      <c r="G833" s="18">
        <f t="shared" si="665"/>
        <v>1</v>
      </c>
      <c r="H833" s="18">
        <f t="shared" si="666"/>
        <v>1</v>
      </c>
      <c r="I833" s="18">
        <f t="shared" si="667"/>
        <v>1</v>
      </c>
      <c r="J833" s="18">
        <f t="shared" si="668"/>
        <v>1</v>
      </c>
      <c r="K833" s="19">
        <f t="shared" si="669"/>
        <v>1</v>
      </c>
      <c r="L833" s="457">
        <f t="shared" si="678"/>
        <v>25</v>
      </c>
      <c r="M833" s="458">
        <f t="shared" si="670"/>
        <v>25</v>
      </c>
      <c r="N833" s="458">
        <f t="shared" si="671"/>
        <v>25</v>
      </c>
      <c r="O833" s="458">
        <f t="shared" si="672"/>
        <v>25</v>
      </c>
      <c r="P833" s="458">
        <f t="shared" si="673"/>
        <v>25</v>
      </c>
      <c r="Q833" s="458">
        <f t="shared" si="674"/>
        <v>25</v>
      </c>
      <c r="R833" s="459">
        <f t="shared" si="675"/>
        <v>25</v>
      </c>
      <c r="S833" s="421">
        <f t="shared" ref="S833:V833" si="686">T833</f>
        <v>1</v>
      </c>
      <c r="T833" s="5">
        <f t="shared" si="686"/>
        <v>1</v>
      </c>
      <c r="U833" s="5">
        <f t="shared" si="686"/>
        <v>1</v>
      </c>
      <c r="V833" s="5">
        <f t="shared" si="686"/>
        <v>1</v>
      </c>
      <c r="W833" s="5">
        <f t="shared" si="677"/>
        <v>1</v>
      </c>
      <c r="X833" s="5">
        <f>Levelisation!J797</f>
        <v>1</v>
      </c>
      <c r="Y833" s="5">
        <f>Levelisation!L797</f>
        <v>1</v>
      </c>
      <c r="Z833" s="455"/>
      <c r="AA833" s="456"/>
      <c r="AB833" s="456"/>
      <c r="AC833" s="456"/>
      <c r="AD833" s="456"/>
      <c r="AE833" s="456"/>
      <c r="AF833" s="456"/>
      <c r="AG833" s="33" t="str">
        <f t="shared" si="648"/>
        <v>3.01 &gt; Costa Rica</v>
      </c>
      <c r="AH833" s="84">
        <f t="shared" si="650"/>
        <v>819</v>
      </c>
      <c r="AI833" s="84">
        <f t="shared" si="651"/>
        <v>31</v>
      </c>
      <c r="AJ833" s="877" t="s">
        <v>1526</v>
      </c>
    </row>
    <row r="834" spans="1:36" x14ac:dyDescent="0.2">
      <c r="A834" s="492">
        <f>INDEX(Country!$F$31:$G$76, MATCH(AI834, Country!$O$31:$O$76, 0), 1)</f>
        <v>3.01</v>
      </c>
      <c r="B834" s="2" t="str">
        <f>INDEX(Country!$F$31:$G$76, MATCH(AI834, Country!$O$31:$O$76, 0), 2)</f>
        <v>Financial institutions in clean energy</v>
      </c>
      <c r="C834" s="436" t="str">
        <f>INDEX(Country!$K$31:$K$76, MATCH(AI834, Country!$O$31:$O$76, 0), 1)</f>
        <v>Companies</v>
      </c>
      <c r="D834" s="4" t="str">
        <f t="shared" si="661"/>
        <v>Dominican Republic</v>
      </c>
      <c r="E834" s="18">
        <f t="shared" si="663"/>
        <v>1</v>
      </c>
      <c r="F834" s="18">
        <f t="shared" si="664"/>
        <v>1</v>
      </c>
      <c r="G834" s="18">
        <f t="shared" si="665"/>
        <v>1</v>
      </c>
      <c r="H834" s="18">
        <f t="shared" si="666"/>
        <v>1</v>
      </c>
      <c r="I834" s="18">
        <f t="shared" si="667"/>
        <v>1</v>
      </c>
      <c r="J834" s="18">
        <f t="shared" si="668"/>
        <v>1</v>
      </c>
      <c r="K834" s="19">
        <f t="shared" si="669"/>
        <v>1</v>
      </c>
      <c r="L834" s="457">
        <f t="shared" si="678"/>
        <v>25</v>
      </c>
      <c r="M834" s="458">
        <f t="shared" si="670"/>
        <v>25</v>
      </c>
      <c r="N834" s="458">
        <f t="shared" si="671"/>
        <v>25</v>
      </c>
      <c r="O834" s="458">
        <f t="shared" si="672"/>
        <v>25</v>
      </c>
      <c r="P834" s="458">
        <f t="shared" si="673"/>
        <v>25</v>
      </c>
      <c r="Q834" s="458">
        <f t="shared" si="674"/>
        <v>25</v>
      </c>
      <c r="R834" s="459">
        <f t="shared" si="675"/>
        <v>25</v>
      </c>
      <c r="S834" s="421">
        <f t="shared" ref="S834:V834" si="687">T834</f>
        <v>1</v>
      </c>
      <c r="T834" s="5">
        <f t="shared" si="687"/>
        <v>1</v>
      </c>
      <c r="U834" s="5">
        <f t="shared" si="687"/>
        <v>1</v>
      </c>
      <c r="V834" s="5">
        <f t="shared" si="687"/>
        <v>1</v>
      </c>
      <c r="W834" s="5">
        <f t="shared" si="677"/>
        <v>1</v>
      </c>
      <c r="X834" s="5">
        <f>Levelisation!J798</f>
        <v>1</v>
      </c>
      <c r="Y834" s="5">
        <f>Levelisation!L798</f>
        <v>1</v>
      </c>
      <c r="Z834" s="455"/>
      <c r="AA834" s="456"/>
      <c r="AB834" s="456"/>
      <c r="AC834" s="456"/>
      <c r="AD834" s="456"/>
      <c r="AE834" s="456"/>
      <c r="AF834" s="456"/>
      <c r="AG834" s="33" t="str">
        <f t="shared" si="648"/>
        <v>3.01 &gt; Dominican Republic</v>
      </c>
      <c r="AH834" s="84">
        <f t="shared" si="650"/>
        <v>820</v>
      </c>
      <c r="AI834" s="84">
        <f t="shared" si="651"/>
        <v>31</v>
      </c>
      <c r="AJ834" s="877" t="s">
        <v>1526</v>
      </c>
    </row>
    <row r="835" spans="1:36" x14ac:dyDescent="0.2">
      <c r="A835" s="492">
        <f>INDEX(Country!$F$31:$G$76, MATCH(AI835, Country!$O$31:$O$76, 0), 1)</f>
        <v>3.01</v>
      </c>
      <c r="B835" s="2" t="str">
        <f>INDEX(Country!$F$31:$G$76, MATCH(AI835, Country!$O$31:$O$76, 0), 2)</f>
        <v>Financial institutions in clean energy</v>
      </c>
      <c r="C835" s="436" t="str">
        <f>INDEX(Country!$K$31:$K$76, MATCH(AI835, Country!$O$31:$O$76, 0), 1)</f>
        <v>Companies</v>
      </c>
      <c r="D835" s="4" t="str">
        <f t="shared" si="661"/>
        <v>Ecuador</v>
      </c>
      <c r="E835" s="18">
        <f t="shared" si="663"/>
        <v>0</v>
      </c>
      <c r="F835" s="18">
        <f t="shared" si="664"/>
        <v>0</v>
      </c>
      <c r="G835" s="18">
        <f t="shared" si="665"/>
        <v>0</v>
      </c>
      <c r="H835" s="18">
        <f t="shared" si="666"/>
        <v>0</v>
      </c>
      <c r="I835" s="18">
        <f t="shared" si="667"/>
        <v>0</v>
      </c>
      <c r="J835" s="18">
        <f t="shared" si="668"/>
        <v>0</v>
      </c>
      <c r="K835" s="19">
        <f t="shared" si="669"/>
        <v>0</v>
      </c>
      <c r="L835" s="457">
        <f t="shared" si="678"/>
        <v>0</v>
      </c>
      <c r="M835" s="458">
        <f t="shared" si="670"/>
        <v>0</v>
      </c>
      <c r="N835" s="458">
        <f t="shared" si="671"/>
        <v>0</v>
      </c>
      <c r="O835" s="458">
        <f t="shared" si="672"/>
        <v>0</v>
      </c>
      <c r="P835" s="458">
        <f t="shared" si="673"/>
        <v>0</v>
      </c>
      <c r="Q835" s="458">
        <f t="shared" si="674"/>
        <v>0</v>
      </c>
      <c r="R835" s="459">
        <f t="shared" si="675"/>
        <v>0</v>
      </c>
      <c r="S835" s="421">
        <f t="shared" ref="S835:V835" si="688">T835</f>
        <v>0</v>
      </c>
      <c r="T835" s="5">
        <f t="shared" si="688"/>
        <v>0</v>
      </c>
      <c r="U835" s="5">
        <f t="shared" si="688"/>
        <v>0</v>
      </c>
      <c r="V835" s="5">
        <f t="shared" si="688"/>
        <v>0</v>
      </c>
      <c r="W835" s="5">
        <f t="shared" si="677"/>
        <v>0</v>
      </c>
      <c r="X835" s="5">
        <f>Levelisation!J799</f>
        <v>0</v>
      </c>
      <c r="Y835" s="5">
        <f>Levelisation!L799</f>
        <v>0</v>
      </c>
      <c r="Z835" s="455"/>
      <c r="AA835" s="456"/>
      <c r="AB835" s="456"/>
      <c r="AC835" s="456"/>
      <c r="AD835" s="456"/>
      <c r="AE835" s="456"/>
      <c r="AF835" s="456"/>
      <c r="AG835" s="33" t="str">
        <f t="shared" si="648"/>
        <v>3.01 &gt; Ecuador</v>
      </c>
      <c r="AH835" s="84">
        <f t="shared" si="650"/>
        <v>821</v>
      </c>
      <c r="AI835" s="84">
        <f t="shared" si="651"/>
        <v>31</v>
      </c>
      <c r="AJ835" s="877" t="s">
        <v>1526</v>
      </c>
    </row>
    <row r="836" spans="1:36" x14ac:dyDescent="0.2">
      <c r="A836" s="492">
        <f>INDEX(Country!$F$31:$G$76, MATCH(AI836, Country!$O$31:$O$76, 0), 1)</f>
        <v>3.01</v>
      </c>
      <c r="B836" s="2" t="str">
        <f>INDEX(Country!$F$31:$G$76, MATCH(AI836, Country!$O$31:$O$76, 0), 2)</f>
        <v>Financial institutions in clean energy</v>
      </c>
      <c r="C836" s="436" t="str">
        <f>INDEX(Country!$K$31:$K$76, MATCH(AI836, Country!$O$31:$O$76, 0), 1)</f>
        <v>Companies</v>
      </c>
      <c r="D836" s="4" t="str">
        <f t="shared" si="661"/>
        <v>El Salvador</v>
      </c>
      <c r="E836" s="18">
        <f t="shared" si="663"/>
        <v>1</v>
      </c>
      <c r="F836" s="18">
        <f t="shared" si="664"/>
        <v>1</v>
      </c>
      <c r="G836" s="18">
        <f t="shared" si="665"/>
        <v>1</v>
      </c>
      <c r="H836" s="18">
        <f t="shared" si="666"/>
        <v>1</v>
      </c>
      <c r="I836" s="18">
        <f t="shared" si="667"/>
        <v>1</v>
      </c>
      <c r="J836" s="18">
        <f t="shared" si="668"/>
        <v>1</v>
      </c>
      <c r="K836" s="19">
        <f t="shared" si="669"/>
        <v>1</v>
      </c>
      <c r="L836" s="457">
        <f t="shared" si="678"/>
        <v>25</v>
      </c>
      <c r="M836" s="458">
        <f t="shared" si="670"/>
        <v>25</v>
      </c>
      <c r="N836" s="458">
        <f t="shared" si="671"/>
        <v>25</v>
      </c>
      <c r="O836" s="458">
        <f t="shared" si="672"/>
        <v>25</v>
      </c>
      <c r="P836" s="458">
        <f t="shared" si="673"/>
        <v>25</v>
      </c>
      <c r="Q836" s="458">
        <f t="shared" si="674"/>
        <v>25</v>
      </c>
      <c r="R836" s="459">
        <f t="shared" si="675"/>
        <v>25</v>
      </c>
      <c r="S836" s="421">
        <f t="shared" ref="S836:V836" si="689">T836</f>
        <v>1</v>
      </c>
      <c r="T836" s="5">
        <f t="shared" si="689"/>
        <v>1</v>
      </c>
      <c r="U836" s="5">
        <f t="shared" si="689"/>
        <v>1</v>
      </c>
      <c r="V836" s="5">
        <f t="shared" si="689"/>
        <v>1</v>
      </c>
      <c r="W836" s="5">
        <f t="shared" si="677"/>
        <v>1</v>
      </c>
      <c r="X836" s="5">
        <f>Levelisation!J800</f>
        <v>1</v>
      </c>
      <c r="Y836" s="5">
        <f>Levelisation!L800</f>
        <v>1</v>
      </c>
      <c r="Z836" s="455"/>
      <c r="AA836" s="456"/>
      <c r="AB836" s="456"/>
      <c r="AC836" s="456"/>
      <c r="AD836" s="456"/>
      <c r="AE836" s="456"/>
      <c r="AF836" s="456"/>
      <c r="AG836" s="33" t="str">
        <f t="shared" si="648"/>
        <v>3.01 &gt; El Salvador</v>
      </c>
      <c r="AH836" s="84">
        <f t="shared" si="650"/>
        <v>822</v>
      </c>
      <c r="AI836" s="84">
        <f t="shared" si="651"/>
        <v>31</v>
      </c>
      <c r="AJ836" s="877" t="s">
        <v>1526</v>
      </c>
    </row>
    <row r="837" spans="1:36" x14ac:dyDescent="0.2">
      <c r="A837" s="492">
        <f>INDEX(Country!$F$31:$G$76, MATCH(AI837, Country!$O$31:$O$76, 0), 1)</f>
        <v>3.01</v>
      </c>
      <c r="B837" s="2" t="str">
        <f>INDEX(Country!$F$31:$G$76, MATCH(AI837, Country!$O$31:$O$76, 0), 2)</f>
        <v>Financial institutions in clean energy</v>
      </c>
      <c r="C837" s="436" t="str">
        <f>INDEX(Country!$K$31:$K$76, MATCH(AI837, Country!$O$31:$O$76, 0), 1)</f>
        <v>Companies</v>
      </c>
      <c r="D837" s="4" t="str">
        <f t="shared" si="661"/>
        <v>Guatemala</v>
      </c>
      <c r="E837" s="18">
        <f t="shared" si="663"/>
        <v>1</v>
      </c>
      <c r="F837" s="18">
        <f t="shared" si="664"/>
        <v>1</v>
      </c>
      <c r="G837" s="18">
        <f t="shared" si="665"/>
        <v>1</v>
      </c>
      <c r="H837" s="18">
        <f t="shared" si="666"/>
        <v>1</v>
      </c>
      <c r="I837" s="18">
        <f t="shared" si="667"/>
        <v>1</v>
      </c>
      <c r="J837" s="18">
        <f t="shared" si="668"/>
        <v>1</v>
      </c>
      <c r="K837" s="19">
        <f t="shared" si="669"/>
        <v>1</v>
      </c>
      <c r="L837" s="457">
        <f t="shared" si="678"/>
        <v>25</v>
      </c>
      <c r="M837" s="458">
        <f t="shared" si="670"/>
        <v>25</v>
      </c>
      <c r="N837" s="458">
        <f t="shared" si="671"/>
        <v>25</v>
      </c>
      <c r="O837" s="458">
        <f t="shared" si="672"/>
        <v>25</v>
      </c>
      <c r="P837" s="458">
        <f t="shared" si="673"/>
        <v>25</v>
      </c>
      <c r="Q837" s="458">
        <f t="shared" si="674"/>
        <v>25</v>
      </c>
      <c r="R837" s="459">
        <f t="shared" si="675"/>
        <v>25</v>
      </c>
      <c r="S837" s="421">
        <f t="shared" ref="S837:V837" si="690">T837</f>
        <v>1</v>
      </c>
      <c r="T837" s="5">
        <f t="shared" si="690"/>
        <v>1</v>
      </c>
      <c r="U837" s="5">
        <f t="shared" si="690"/>
        <v>1</v>
      </c>
      <c r="V837" s="5">
        <f t="shared" si="690"/>
        <v>1</v>
      </c>
      <c r="W837" s="5">
        <f t="shared" si="677"/>
        <v>1</v>
      </c>
      <c r="X837" s="5">
        <f>Levelisation!J801</f>
        <v>1</v>
      </c>
      <c r="Y837" s="5">
        <f>Levelisation!L801</f>
        <v>1</v>
      </c>
      <c r="Z837" s="455"/>
      <c r="AA837" s="456"/>
      <c r="AB837" s="456"/>
      <c r="AC837" s="456"/>
      <c r="AD837" s="456"/>
      <c r="AE837" s="456"/>
      <c r="AF837" s="456"/>
      <c r="AG837" s="33" t="str">
        <f t="shared" si="648"/>
        <v>3.01 &gt; Guatemala</v>
      </c>
      <c r="AH837" s="84">
        <f t="shared" si="650"/>
        <v>823</v>
      </c>
      <c r="AI837" s="84">
        <f t="shared" si="651"/>
        <v>31</v>
      </c>
      <c r="AJ837" s="877" t="s">
        <v>1526</v>
      </c>
    </row>
    <row r="838" spans="1:36" x14ac:dyDescent="0.2">
      <c r="A838" s="492">
        <f>INDEX(Country!$F$31:$G$76, MATCH(AI838, Country!$O$31:$O$76, 0), 1)</f>
        <v>3.01</v>
      </c>
      <c r="B838" s="2" t="str">
        <f>INDEX(Country!$F$31:$G$76, MATCH(AI838, Country!$O$31:$O$76, 0), 2)</f>
        <v>Financial institutions in clean energy</v>
      </c>
      <c r="C838" s="436" t="str">
        <f>INDEX(Country!$K$31:$K$76, MATCH(AI838, Country!$O$31:$O$76, 0), 1)</f>
        <v>Companies</v>
      </c>
      <c r="D838" s="4" t="str">
        <f t="shared" si="661"/>
        <v>Guyana</v>
      </c>
      <c r="E838" s="18">
        <f t="shared" si="663"/>
        <v>0</v>
      </c>
      <c r="F838" s="18">
        <f t="shared" si="664"/>
        <v>0</v>
      </c>
      <c r="G838" s="18">
        <f t="shared" si="665"/>
        <v>0</v>
      </c>
      <c r="H838" s="18">
        <f t="shared" si="666"/>
        <v>0</v>
      </c>
      <c r="I838" s="18">
        <f t="shared" si="667"/>
        <v>0</v>
      </c>
      <c r="J838" s="18">
        <f t="shared" si="668"/>
        <v>0</v>
      </c>
      <c r="K838" s="19">
        <f t="shared" si="669"/>
        <v>0</v>
      </c>
      <c r="L838" s="457">
        <f t="shared" si="678"/>
        <v>0</v>
      </c>
      <c r="M838" s="458">
        <f t="shared" si="670"/>
        <v>0</v>
      </c>
      <c r="N838" s="458">
        <f t="shared" si="671"/>
        <v>0</v>
      </c>
      <c r="O838" s="458">
        <f t="shared" si="672"/>
        <v>0</v>
      </c>
      <c r="P838" s="458">
        <f t="shared" si="673"/>
        <v>0</v>
      </c>
      <c r="Q838" s="458">
        <f t="shared" si="674"/>
        <v>0</v>
      </c>
      <c r="R838" s="459">
        <f t="shared" si="675"/>
        <v>0</v>
      </c>
      <c r="S838" s="421">
        <f t="shared" ref="S838:V838" si="691">T838</f>
        <v>0</v>
      </c>
      <c r="T838" s="5">
        <f t="shared" si="691"/>
        <v>0</v>
      </c>
      <c r="U838" s="5">
        <f t="shared" si="691"/>
        <v>0</v>
      </c>
      <c r="V838" s="5">
        <f t="shared" si="691"/>
        <v>0</v>
      </c>
      <c r="W838" s="5">
        <f t="shared" si="677"/>
        <v>0</v>
      </c>
      <c r="X838" s="5">
        <f>Levelisation!J802</f>
        <v>0</v>
      </c>
      <c r="Y838" s="5">
        <f>Levelisation!L802</f>
        <v>0</v>
      </c>
      <c r="Z838" s="455"/>
      <c r="AA838" s="456"/>
      <c r="AB838" s="456"/>
      <c r="AC838" s="456"/>
      <c r="AD838" s="456"/>
      <c r="AE838" s="456"/>
      <c r="AF838" s="456"/>
      <c r="AG838" s="33" t="str">
        <f t="shared" si="648"/>
        <v>3.01 &gt; Guyana</v>
      </c>
      <c r="AH838" s="84">
        <f t="shared" si="650"/>
        <v>824</v>
      </c>
      <c r="AI838" s="84">
        <f t="shared" si="651"/>
        <v>31</v>
      </c>
      <c r="AJ838" s="877" t="s">
        <v>1526</v>
      </c>
    </row>
    <row r="839" spans="1:36" x14ac:dyDescent="0.2">
      <c r="A839" s="492">
        <f>INDEX(Country!$F$31:$G$76, MATCH(AI839, Country!$O$31:$O$76, 0), 1)</f>
        <v>3.01</v>
      </c>
      <c r="B839" s="2" t="str">
        <f>INDEX(Country!$F$31:$G$76, MATCH(AI839, Country!$O$31:$O$76, 0), 2)</f>
        <v>Financial institutions in clean energy</v>
      </c>
      <c r="C839" s="436" t="str">
        <f>INDEX(Country!$K$31:$K$76, MATCH(AI839, Country!$O$31:$O$76, 0), 1)</f>
        <v>Companies</v>
      </c>
      <c r="D839" s="4" t="str">
        <f t="shared" si="661"/>
        <v>Haiti</v>
      </c>
      <c r="E839" s="18">
        <f t="shared" si="663"/>
        <v>0</v>
      </c>
      <c r="F839" s="18">
        <f t="shared" si="664"/>
        <v>0</v>
      </c>
      <c r="G839" s="18">
        <f t="shared" si="665"/>
        <v>0</v>
      </c>
      <c r="H839" s="18">
        <f t="shared" si="666"/>
        <v>0</v>
      </c>
      <c r="I839" s="18">
        <f t="shared" si="667"/>
        <v>0</v>
      </c>
      <c r="J839" s="18">
        <f t="shared" si="668"/>
        <v>0</v>
      </c>
      <c r="K839" s="19">
        <f t="shared" si="669"/>
        <v>0</v>
      </c>
      <c r="L839" s="457">
        <f t="shared" si="678"/>
        <v>0</v>
      </c>
      <c r="M839" s="458">
        <f t="shared" si="670"/>
        <v>0</v>
      </c>
      <c r="N839" s="458">
        <f t="shared" si="671"/>
        <v>0</v>
      </c>
      <c r="O839" s="458">
        <f t="shared" si="672"/>
        <v>0</v>
      </c>
      <c r="P839" s="458">
        <f t="shared" si="673"/>
        <v>0</v>
      </c>
      <c r="Q839" s="458">
        <f t="shared" si="674"/>
        <v>0</v>
      </c>
      <c r="R839" s="459">
        <f t="shared" si="675"/>
        <v>0</v>
      </c>
      <c r="S839" s="421">
        <f t="shared" ref="S839:V839" si="692">T839</f>
        <v>0</v>
      </c>
      <c r="T839" s="5">
        <f t="shared" si="692"/>
        <v>0</v>
      </c>
      <c r="U839" s="5">
        <f t="shared" si="692"/>
        <v>0</v>
      </c>
      <c r="V839" s="5">
        <f t="shared" si="692"/>
        <v>0</v>
      </c>
      <c r="W839" s="5">
        <f t="shared" si="677"/>
        <v>0</v>
      </c>
      <c r="X839" s="5">
        <f>Levelisation!J803</f>
        <v>0</v>
      </c>
      <c r="Y839" s="5">
        <f>Levelisation!L803</f>
        <v>0</v>
      </c>
      <c r="Z839" s="455"/>
      <c r="AA839" s="456"/>
      <c r="AB839" s="456"/>
      <c r="AC839" s="456"/>
      <c r="AD839" s="456"/>
      <c r="AE839" s="456"/>
      <c r="AF839" s="456"/>
      <c r="AG839" s="33" t="str">
        <f t="shared" si="648"/>
        <v>3.01 &gt; Haiti</v>
      </c>
      <c r="AH839" s="84">
        <f t="shared" si="650"/>
        <v>825</v>
      </c>
      <c r="AI839" s="84">
        <f t="shared" si="651"/>
        <v>31</v>
      </c>
      <c r="AJ839" s="877" t="s">
        <v>1526</v>
      </c>
    </row>
    <row r="840" spans="1:36" x14ac:dyDescent="0.2">
      <c r="A840" s="492">
        <f>INDEX(Country!$F$31:$G$76, MATCH(AI840, Country!$O$31:$O$76, 0), 1)</f>
        <v>3.01</v>
      </c>
      <c r="B840" s="2" t="str">
        <f>INDEX(Country!$F$31:$G$76, MATCH(AI840, Country!$O$31:$O$76, 0), 2)</f>
        <v>Financial institutions in clean energy</v>
      </c>
      <c r="C840" s="436" t="str">
        <f>INDEX(Country!$K$31:$K$76, MATCH(AI840, Country!$O$31:$O$76, 0), 1)</f>
        <v>Companies</v>
      </c>
      <c r="D840" s="4" t="str">
        <f t="shared" si="661"/>
        <v>Honduras</v>
      </c>
      <c r="E840" s="18">
        <f t="shared" si="663"/>
        <v>1</v>
      </c>
      <c r="F840" s="18">
        <f t="shared" si="664"/>
        <v>1</v>
      </c>
      <c r="G840" s="18">
        <f t="shared" si="665"/>
        <v>1</v>
      </c>
      <c r="H840" s="18">
        <f t="shared" si="666"/>
        <v>1</v>
      </c>
      <c r="I840" s="18">
        <f t="shared" si="667"/>
        <v>1</v>
      </c>
      <c r="J840" s="18">
        <f t="shared" si="668"/>
        <v>1</v>
      </c>
      <c r="K840" s="19">
        <f t="shared" si="669"/>
        <v>1</v>
      </c>
      <c r="L840" s="457">
        <f t="shared" si="678"/>
        <v>25</v>
      </c>
      <c r="M840" s="458">
        <f t="shared" si="670"/>
        <v>25</v>
      </c>
      <c r="N840" s="458">
        <f t="shared" si="671"/>
        <v>25</v>
      </c>
      <c r="O840" s="458">
        <f t="shared" si="672"/>
        <v>25</v>
      </c>
      <c r="P840" s="458">
        <f t="shared" si="673"/>
        <v>25</v>
      </c>
      <c r="Q840" s="458">
        <f t="shared" si="674"/>
        <v>25</v>
      </c>
      <c r="R840" s="459">
        <f t="shared" si="675"/>
        <v>25</v>
      </c>
      <c r="S840" s="421">
        <f t="shared" ref="S840:V840" si="693">T840</f>
        <v>1</v>
      </c>
      <c r="T840" s="5">
        <f t="shared" si="693"/>
        <v>1</v>
      </c>
      <c r="U840" s="5">
        <f t="shared" si="693"/>
        <v>1</v>
      </c>
      <c r="V840" s="5">
        <f t="shared" si="693"/>
        <v>1</v>
      </c>
      <c r="W840" s="5">
        <f t="shared" si="677"/>
        <v>1</v>
      </c>
      <c r="X840" s="5">
        <f>Levelisation!J804</f>
        <v>1</v>
      </c>
      <c r="Y840" s="5">
        <f>Levelisation!L804</f>
        <v>1</v>
      </c>
      <c r="Z840" s="455"/>
      <c r="AA840" s="456"/>
      <c r="AB840" s="456"/>
      <c r="AC840" s="456"/>
      <c r="AD840" s="456"/>
      <c r="AE840" s="456"/>
      <c r="AF840" s="456"/>
      <c r="AG840" s="33" t="str">
        <f t="shared" si="648"/>
        <v>3.01 &gt; Honduras</v>
      </c>
      <c r="AH840" s="84">
        <f t="shared" si="650"/>
        <v>826</v>
      </c>
      <c r="AI840" s="84">
        <f t="shared" si="651"/>
        <v>31</v>
      </c>
      <c r="AJ840" s="877" t="s">
        <v>1526</v>
      </c>
    </row>
    <row r="841" spans="1:36" x14ac:dyDescent="0.2">
      <c r="A841" s="492">
        <f>INDEX(Country!$F$31:$G$76, MATCH(AI841, Country!$O$31:$O$76, 0), 1)</f>
        <v>3.01</v>
      </c>
      <c r="B841" s="2" t="str">
        <f>INDEX(Country!$F$31:$G$76, MATCH(AI841, Country!$O$31:$O$76, 0), 2)</f>
        <v>Financial institutions in clean energy</v>
      </c>
      <c r="C841" s="436" t="str">
        <f>INDEX(Country!$K$31:$K$76, MATCH(AI841, Country!$O$31:$O$76, 0), 1)</f>
        <v>Companies</v>
      </c>
      <c r="D841" s="4" t="str">
        <f t="shared" si="661"/>
        <v>Jamaica</v>
      </c>
      <c r="E841" s="18">
        <f t="shared" ref="E841:E850" si="694">S841</f>
        <v>1</v>
      </c>
      <c r="F841" s="18">
        <f t="shared" si="664"/>
        <v>1</v>
      </c>
      <c r="G841" s="18">
        <f t="shared" si="665"/>
        <v>1</v>
      </c>
      <c r="H841" s="18">
        <f t="shared" si="666"/>
        <v>1</v>
      </c>
      <c r="I841" s="18">
        <f t="shared" si="667"/>
        <v>1</v>
      </c>
      <c r="J841" s="18">
        <f t="shared" si="668"/>
        <v>1</v>
      </c>
      <c r="K841" s="19">
        <f t="shared" si="669"/>
        <v>1</v>
      </c>
      <c r="L841" s="457">
        <f t="shared" si="678"/>
        <v>25</v>
      </c>
      <c r="M841" s="458">
        <f t="shared" si="670"/>
        <v>25</v>
      </c>
      <c r="N841" s="458">
        <f t="shared" si="671"/>
        <v>25</v>
      </c>
      <c r="O841" s="458">
        <f t="shared" si="672"/>
        <v>25</v>
      </c>
      <c r="P841" s="458">
        <f t="shared" si="673"/>
        <v>25</v>
      </c>
      <c r="Q841" s="458">
        <f t="shared" si="674"/>
        <v>25</v>
      </c>
      <c r="R841" s="459">
        <f t="shared" si="675"/>
        <v>25</v>
      </c>
      <c r="S841" s="421">
        <f t="shared" ref="S841:V841" si="695">T841</f>
        <v>1</v>
      </c>
      <c r="T841" s="5">
        <f t="shared" si="695"/>
        <v>1</v>
      </c>
      <c r="U841" s="5">
        <f t="shared" si="695"/>
        <v>1</v>
      </c>
      <c r="V841" s="5">
        <f t="shared" si="695"/>
        <v>1</v>
      </c>
      <c r="W841" s="5">
        <f t="shared" si="677"/>
        <v>1</v>
      </c>
      <c r="X841" s="5">
        <f>Levelisation!J805</f>
        <v>1</v>
      </c>
      <c r="Y841" s="5">
        <f>Levelisation!L805</f>
        <v>1</v>
      </c>
      <c r="Z841" s="455"/>
      <c r="AA841" s="456"/>
      <c r="AB841" s="456"/>
      <c r="AC841" s="456"/>
      <c r="AD841" s="456"/>
      <c r="AE841" s="456"/>
      <c r="AF841" s="456"/>
      <c r="AG841" s="33" t="str">
        <f t="shared" si="648"/>
        <v>3.01 &gt; Jamaica</v>
      </c>
      <c r="AH841" s="84">
        <f t="shared" si="650"/>
        <v>827</v>
      </c>
      <c r="AI841" s="84">
        <f t="shared" si="651"/>
        <v>31</v>
      </c>
      <c r="AJ841" s="877" t="s">
        <v>1526</v>
      </c>
    </row>
    <row r="842" spans="1:36" x14ac:dyDescent="0.2">
      <c r="A842" s="492">
        <f>INDEX(Country!$F$31:$G$76, MATCH(AI842, Country!$O$31:$O$76, 0), 1)</f>
        <v>3.01</v>
      </c>
      <c r="B842" s="2" t="str">
        <f>INDEX(Country!$F$31:$G$76, MATCH(AI842, Country!$O$31:$O$76, 0), 2)</f>
        <v>Financial institutions in clean energy</v>
      </c>
      <c r="C842" s="436" t="str">
        <f>INDEX(Country!$K$31:$K$76, MATCH(AI842, Country!$O$31:$O$76, 0), 1)</f>
        <v>Companies</v>
      </c>
      <c r="D842" s="4" t="str">
        <f t="shared" si="661"/>
        <v>Mexico</v>
      </c>
      <c r="E842" s="18">
        <f t="shared" si="694"/>
        <v>1</v>
      </c>
      <c r="F842" s="18">
        <f t="shared" si="664"/>
        <v>1</v>
      </c>
      <c r="G842" s="18">
        <f t="shared" si="665"/>
        <v>1</v>
      </c>
      <c r="H842" s="18">
        <f t="shared" si="666"/>
        <v>1</v>
      </c>
      <c r="I842" s="18">
        <f t="shared" si="667"/>
        <v>1</v>
      </c>
      <c r="J842" s="18">
        <f t="shared" si="668"/>
        <v>1</v>
      </c>
      <c r="K842" s="19">
        <f t="shared" si="669"/>
        <v>1</v>
      </c>
      <c r="L842" s="457">
        <f t="shared" si="678"/>
        <v>25</v>
      </c>
      <c r="M842" s="458">
        <f t="shared" si="670"/>
        <v>25</v>
      </c>
      <c r="N842" s="458">
        <f t="shared" si="671"/>
        <v>25</v>
      </c>
      <c r="O842" s="458">
        <f t="shared" si="672"/>
        <v>25</v>
      </c>
      <c r="P842" s="458">
        <f t="shared" si="673"/>
        <v>25</v>
      </c>
      <c r="Q842" s="458">
        <f t="shared" si="674"/>
        <v>25</v>
      </c>
      <c r="R842" s="459">
        <f t="shared" si="675"/>
        <v>25</v>
      </c>
      <c r="S842" s="421">
        <f t="shared" ref="S842:V842" si="696">T842</f>
        <v>1</v>
      </c>
      <c r="T842" s="5">
        <f t="shared" si="696"/>
        <v>1</v>
      </c>
      <c r="U842" s="5">
        <f t="shared" si="696"/>
        <v>1</v>
      </c>
      <c r="V842" s="5">
        <f t="shared" si="696"/>
        <v>1</v>
      </c>
      <c r="W842" s="5">
        <f t="shared" si="677"/>
        <v>1</v>
      </c>
      <c r="X842" s="5">
        <f>Levelisation!J806</f>
        <v>1</v>
      </c>
      <c r="Y842" s="5">
        <f>Levelisation!L806</f>
        <v>1</v>
      </c>
      <c r="Z842" s="455"/>
      <c r="AA842" s="456"/>
      <c r="AB842" s="456"/>
      <c r="AC842" s="456"/>
      <c r="AD842" s="456"/>
      <c r="AE842" s="456"/>
      <c r="AF842" s="456"/>
      <c r="AG842" s="33" t="str">
        <f t="shared" si="648"/>
        <v>3.01 &gt; Mexico</v>
      </c>
      <c r="AH842" s="84">
        <f t="shared" si="650"/>
        <v>828</v>
      </c>
      <c r="AI842" s="84">
        <f t="shared" si="651"/>
        <v>31</v>
      </c>
      <c r="AJ842" s="877" t="s">
        <v>1526</v>
      </c>
    </row>
    <row r="843" spans="1:36" x14ac:dyDescent="0.2">
      <c r="A843" s="492">
        <f>INDEX(Country!$F$31:$G$76, MATCH(AI843, Country!$O$31:$O$76, 0), 1)</f>
        <v>3.01</v>
      </c>
      <c r="B843" s="2" t="str">
        <f>INDEX(Country!$F$31:$G$76, MATCH(AI843, Country!$O$31:$O$76, 0), 2)</f>
        <v>Financial institutions in clean energy</v>
      </c>
      <c r="C843" s="436" t="str">
        <f>INDEX(Country!$K$31:$K$76, MATCH(AI843, Country!$O$31:$O$76, 0), 1)</f>
        <v>Companies</v>
      </c>
      <c r="D843" s="4" t="str">
        <f t="shared" si="661"/>
        <v>Nicaragua</v>
      </c>
      <c r="E843" s="18">
        <f t="shared" si="694"/>
        <v>1</v>
      </c>
      <c r="F843" s="18">
        <f t="shared" si="664"/>
        <v>1</v>
      </c>
      <c r="G843" s="18">
        <f t="shared" si="665"/>
        <v>1</v>
      </c>
      <c r="H843" s="18">
        <f t="shared" si="666"/>
        <v>1</v>
      </c>
      <c r="I843" s="18">
        <f t="shared" si="667"/>
        <v>1</v>
      </c>
      <c r="J843" s="18">
        <f t="shared" si="668"/>
        <v>1</v>
      </c>
      <c r="K843" s="19">
        <f t="shared" si="669"/>
        <v>1</v>
      </c>
      <c r="L843" s="457">
        <f t="shared" si="678"/>
        <v>25</v>
      </c>
      <c r="M843" s="458">
        <f t="shared" si="670"/>
        <v>25</v>
      </c>
      <c r="N843" s="458">
        <f t="shared" si="671"/>
        <v>25</v>
      </c>
      <c r="O843" s="458">
        <f t="shared" si="672"/>
        <v>25</v>
      </c>
      <c r="P843" s="458">
        <f t="shared" si="673"/>
        <v>25</v>
      </c>
      <c r="Q843" s="458">
        <f t="shared" si="674"/>
        <v>25</v>
      </c>
      <c r="R843" s="459">
        <f t="shared" si="675"/>
        <v>25</v>
      </c>
      <c r="S843" s="421">
        <f t="shared" ref="S843:V843" si="697">T843</f>
        <v>1</v>
      </c>
      <c r="T843" s="5">
        <f t="shared" si="697"/>
        <v>1</v>
      </c>
      <c r="U843" s="5">
        <f t="shared" si="697"/>
        <v>1</v>
      </c>
      <c r="V843" s="5">
        <f t="shared" si="697"/>
        <v>1</v>
      </c>
      <c r="W843" s="5">
        <f t="shared" si="677"/>
        <v>1</v>
      </c>
      <c r="X843" s="5">
        <f>Levelisation!J807</f>
        <v>1</v>
      </c>
      <c r="Y843" s="5">
        <f>Levelisation!L807</f>
        <v>1</v>
      </c>
      <c r="Z843" s="455"/>
      <c r="AA843" s="456"/>
      <c r="AB843" s="456"/>
      <c r="AC843" s="456"/>
      <c r="AD843" s="456"/>
      <c r="AE843" s="456"/>
      <c r="AF843" s="456"/>
      <c r="AG843" s="33" t="str">
        <f t="shared" si="648"/>
        <v>3.01 &gt; Nicaragua</v>
      </c>
      <c r="AH843" s="84">
        <f t="shared" si="650"/>
        <v>829</v>
      </c>
      <c r="AI843" s="84">
        <f t="shared" si="651"/>
        <v>31</v>
      </c>
      <c r="AJ843" s="877" t="s">
        <v>1526</v>
      </c>
    </row>
    <row r="844" spans="1:36" x14ac:dyDescent="0.2">
      <c r="A844" s="492">
        <f>INDEX(Country!$F$31:$G$76, MATCH(AI844, Country!$O$31:$O$76, 0), 1)</f>
        <v>3.01</v>
      </c>
      <c r="B844" s="2" t="str">
        <f>INDEX(Country!$F$31:$G$76, MATCH(AI844, Country!$O$31:$O$76, 0), 2)</f>
        <v>Financial institutions in clean energy</v>
      </c>
      <c r="C844" s="436" t="str">
        <f>INDEX(Country!$K$31:$K$76, MATCH(AI844, Country!$O$31:$O$76, 0), 1)</f>
        <v>Companies</v>
      </c>
      <c r="D844" s="4" t="str">
        <f t="shared" si="661"/>
        <v>Panama</v>
      </c>
      <c r="E844" s="18">
        <f t="shared" si="694"/>
        <v>2</v>
      </c>
      <c r="F844" s="18">
        <f t="shared" si="664"/>
        <v>2</v>
      </c>
      <c r="G844" s="18">
        <f t="shared" si="665"/>
        <v>2</v>
      </c>
      <c r="H844" s="18">
        <f t="shared" si="666"/>
        <v>2</v>
      </c>
      <c r="I844" s="18">
        <f t="shared" si="667"/>
        <v>2</v>
      </c>
      <c r="J844" s="18">
        <f t="shared" si="668"/>
        <v>2</v>
      </c>
      <c r="K844" s="19">
        <f t="shared" si="669"/>
        <v>2</v>
      </c>
      <c r="L844" s="457">
        <f t="shared" si="678"/>
        <v>50</v>
      </c>
      <c r="M844" s="458">
        <f t="shared" si="670"/>
        <v>50</v>
      </c>
      <c r="N844" s="458">
        <f t="shared" si="671"/>
        <v>50</v>
      </c>
      <c r="O844" s="458">
        <f t="shared" si="672"/>
        <v>50</v>
      </c>
      <c r="P844" s="458">
        <f t="shared" si="673"/>
        <v>50</v>
      </c>
      <c r="Q844" s="458">
        <f t="shared" si="674"/>
        <v>50</v>
      </c>
      <c r="R844" s="459">
        <f t="shared" si="675"/>
        <v>50</v>
      </c>
      <c r="S844" s="421">
        <f t="shared" ref="S844:V844" si="698">T844</f>
        <v>2</v>
      </c>
      <c r="T844" s="5">
        <f t="shared" si="698"/>
        <v>2</v>
      </c>
      <c r="U844" s="5">
        <f t="shared" si="698"/>
        <v>2</v>
      </c>
      <c r="V844" s="5">
        <f t="shared" si="698"/>
        <v>2</v>
      </c>
      <c r="W844" s="5">
        <f t="shared" si="677"/>
        <v>2</v>
      </c>
      <c r="X844" s="5">
        <f>Levelisation!J808</f>
        <v>2</v>
      </c>
      <c r="Y844" s="5">
        <f>Levelisation!L808</f>
        <v>2</v>
      </c>
      <c r="Z844" s="455"/>
      <c r="AA844" s="456"/>
      <c r="AB844" s="456"/>
      <c r="AC844" s="456"/>
      <c r="AD844" s="456"/>
      <c r="AE844" s="456"/>
      <c r="AF844" s="456"/>
      <c r="AG844" s="33" t="str">
        <f t="shared" si="648"/>
        <v>3.01 &gt; Panama</v>
      </c>
      <c r="AH844" s="84">
        <f t="shared" si="650"/>
        <v>830</v>
      </c>
      <c r="AI844" s="84">
        <f t="shared" si="651"/>
        <v>31</v>
      </c>
      <c r="AJ844" s="877" t="s">
        <v>1526</v>
      </c>
    </row>
    <row r="845" spans="1:36" x14ac:dyDescent="0.2">
      <c r="A845" s="492">
        <f>INDEX(Country!$F$31:$G$76, MATCH(AI845, Country!$O$31:$O$76, 0), 1)</f>
        <v>3.01</v>
      </c>
      <c r="B845" s="2" t="str">
        <f>INDEX(Country!$F$31:$G$76, MATCH(AI845, Country!$O$31:$O$76, 0), 2)</f>
        <v>Financial institutions in clean energy</v>
      </c>
      <c r="C845" s="436" t="str">
        <f>INDEX(Country!$K$31:$K$76, MATCH(AI845, Country!$O$31:$O$76, 0), 1)</f>
        <v>Companies</v>
      </c>
      <c r="D845" s="4" t="str">
        <f t="shared" si="661"/>
        <v>Paraguay</v>
      </c>
      <c r="E845" s="18">
        <f t="shared" si="694"/>
        <v>0</v>
      </c>
      <c r="F845" s="18">
        <f t="shared" si="664"/>
        <v>0</v>
      </c>
      <c r="G845" s="18">
        <f t="shared" si="665"/>
        <v>0</v>
      </c>
      <c r="H845" s="18">
        <f t="shared" si="666"/>
        <v>0</v>
      </c>
      <c r="I845" s="18">
        <f t="shared" si="667"/>
        <v>0</v>
      </c>
      <c r="J845" s="18">
        <f t="shared" si="668"/>
        <v>0</v>
      </c>
      <c r="K845" s="19">
        <f t="shared" si="669"/>
        <v>0</v>
      </c>
      <c r="L845" s="457">
        <f t="shared" si="678"/>
        <v>0</v>
      </c>
      <c r="M845" s="458">
        <f t="shared" si="670"/>
        <v>0</v>
      </c>
      <c r="N845" s="458">
        <f t="shared" si="671"/>
        <v>0</v>
      </c>
      <c r="O845" s="458">
        <f t="shared" si="672"/>
        <v>0</v>
      </c>
      <c r="P845" s="458">
        <f t="shared" si="673"/>
        <v>0</v>
      </c>
      <c r="Q845" s="458">
        <f t="shared" si="674"/>
        <v>0</v>
      </c>
      <c r="R845" s="459">
        <f t="shared" si="675"/>
        <v>0</v>
      </c>
      <c r="S845" s="421">
        <f t="shared" ref="S845:V845" si="699">T845</f>
        <v>0</v>
      </c>
      <c r="T845" s="5">
        <f t="shared" si="699"/>
        <v>0</v>
      </c>
      <c r="U845" s="5">
        <f t="shared" si="699"/>
        <v>0</v>
      </c>
      <c r="V845" s="5">
        <f t="shared" si="699"/>
        <v>0</v>
      </c>
      <c r="W845" s="5">
        <f t="shared" si="677"/>
        <v>0</v>
      </c>
      <c r="X845" s="5">
        <f>Levelisation!J809</f>
        <v>0</v>
      </c>
      <c r="Y845" s="5">
        <f>Levelisation!L809</f>
        <v>0</v>
      </c>
      <c r="Z845" s="455"/>
      <c r="AA845" s="456"/>
      <c r="AB845" s="456"/>
      <c r="AC845" s="456"/>
      <c r="AD845" s="456"/>
      <c r="AE845" s="456"/>
      <c r="AF845" s="456"/>
      <c r="AG845" s="33" t="str">
        <f t="shared" si="648"/>
        <v>3.01 &gt; Paraguay</v>
      </c>
      <c r="AH845" s="84">
        <f t="shared" si="650"/>
        <v>831</v>
      </c>
      <c r="AI845" s="84">
        <f t="shared" si="651"/>
        <v>31</v>
      </c>
      <c r="AJ845" s="877" t="s">
        <v>1526</v>
      </c>
    </row>
    <row r="846" spans="1:36" x14ac:dyDescent="0.2">
      <c r="A846" s="492">
        <f>INDEX(Country!$F$31:$G$76, MATCH(AI846, Country!$O$31:$O$76, 0), 1)</f>
        <v>3.01</v>
      </c>
      <c r="B846" s="2" t="str">
        <f>INDEX(Country!$F$31:$G$76, MATCH(AI846, Country!$O$31:$O$76, 0), 2)</f>
        <v>Financial institutions in clean energy</v>
      </c>
      <c r="C846" s="436" t="str">
        <f>INDEX(Country!$K$31:$K$76, MATCH(AI846, Country!$O$31:$O$76, 0), 1)</f>
        <v>Companies</v>
      </c>
      <c r="D846" s="4" t="str">
        <f t="shared" si="661"/>
        <v>Peru</v>
      </c>
      <c r="E846" s="18">
        <f t="shared" si="694"/>
        <v>1</v>
      </c>
      <c r="F846" s="18">
        <f t="shared" si="664"/>
        <v>1</v>
      </c>
      <c r="G846" s="18">
        <f t="shared" si="665"/>
        <v>1</v>
      </c>
      <c r="H846" s="18">
        <f t="shared" si="666"/>
        <v>1</v>
      </c>
      <c r="I846" s="18">
        <f t="shared" si="667"/>
        <v>1</v>
      </c>
      <c r="J846" s="18">
        <f t="shared" si="668"/>
        <v>1</v>
      </c>
      <c r="K846" s="19">
        <f t="shared" si="669"/>
        <v>1</v>
      </c>
      <c r="L846" s="457">
        <f t="shared" si="678"/>
        <v>25</v>
      </c>
      <c r="M846" s="458">
        <f t="shared" si="670"/>
        <v>25</v>
      </c>
      <c r="N846" s="458">
        <f t="shared" si="671"/>
        <v>25</v>
      </c>
      <c r="O846" s="458">
        <f t="shared" si="672"/>
        <v>25</v>
      </c>
      <c r="P846" s="458">
        <f t="shared" si="673"/>
        <v>25</v>
      </c>
      <c r="Q846" s="458">
        <f t="shared" si="674"/>
        <v>25</v>
      </c>
      <c r="R846" s="459">
        <f t="shared" si="675"/>
        <v>25</v>
      </c>
      <c r="S846" s="421">
        <f t="shared" ref="S846:V846" si="700">T846</f>
        <v>1</v>
      </c>
      <c r="T846" s="5">
        <f t="shared" si="700"/>
        <v>1</v>
      </c>
      <c r="U846" s="5">
        <f t="shared" si="700"/>
        <v>1</v>
      </c>
      <c r="V846" s="5">
        <f t="shared" si="700"/>
        <v>1</v>
      </c>
      <c r="W846" s="5">
        <f t="shared" si="677"/>
        <v>1</v>
      </c>
      <c r="X846" s="5">
        <f>Levelisation!J810</f>
        <v>1</v>
      </c>
      <c r="Y846" s="5">
        <f>Levelisation!L810</f>
        <v>1</v>
      </c>
      <c r="Z846" s="455"/>
      <c r="AA846" s="456"/>
      <c r="AB846" s="456"/>
      <c r="AC846" s="456"/>
      <c r="AD846" s="456"/>
      <c r="AE846" s="456"/>
      <c r="AF846" s="456"/>
      <c r="AG846" s="33" t="str">
        <f t="shared" si="648"/>
        <v>3.01 &gt; Peru</v>
      </c>
      <c r="AH846" s="84">
        <f t="shared" si="650"/>
        <v>832</v>
      </c>
      <c r="AI846" s="84">
        <f t="shared" si="651"/>
        <v>31</v>
      </c>
      <c r="AJ846" s="877" t="s">
        <v>1526</v>
      </c>
    </row>
    <row r="847" spans="1:36" x14ac:dyDescent="0.2">
      <c r="A847" s="492">
        <f>INDEX(Country!$F$31:$G$76, MATCH(AI847, Country!$O$31:$O$76, 0), 1)</f>
        <v>3.01</v>
      </c>
      <c r="B847" s="2" t="str">
        <f>INDEX(Country!$F$31:$G$76, MATCH(AI847, Country!$O$31:$O$76, 0), 2)</f>
        <v>Financial institutions in clean energy</v>
      </c>
      <c r="C847" s="436" t="str">
        <f>INDEX(Country!$K$31:$K$76, MATCH(AI847, Country!$O$31:$O$76, 0), 1)</f>
        <v>Companies</v>
      </c>
      <c r="D847" s="4" t="str">
        <f t="shared" si="661"/>
        <v>Suriname</v>
      </c>
      <c r="E847" s="18">
        <f t="shared" si="694"/>
        <v>0</v>
      </c>
      <c r="F847" s="18">
        <f t="shared" si="664"/>
        <v>0</v>
      </c>
      <c r="G847" s="18">
        <f t="shared" si="665"/>
        <v>0</v>
      </c>
      <c r="H847" s="18">
        <f t="shared" si="666"/>
        <v>0</v>
      </c>
      <c r="I847" s="18">
        <f t="shared" si="667"/>
        <v>0</v>
      </c>
      <c r="J847" s="18">
        <f t="shared" si="668"/>
        <v>0</v>
      </c>
      <c r="K847" s="19">
        <f t="shared" si="669"/>
        <v>0</v>
      </c>
      <c r="L847" s="457">
        <f t="shared" si="678"/>
        <v>0</v>
      </c>
      <c r="M847" s="458">
        <f t="shared" si="670"/>
        <v>0</v>
      </c>
      <c r="N847" s="458">
        <f t="shared" si="671"/>
        <v>0</v>
      </c>
      <c r="O847" s="458">
        <f t="shared" si="672"/>
        <v>0</v>
      </c>
      <c r="P847" s="458">
        <f t="shared" si="673"/>
        <v>0</v>
      </c>
      <c r="Q847" s="458">
        <f t="shared" si="674"/>
        <v>0</v>
      </c>
      <c r="R847" s="459">
        <f t="shared" si="675"/>
        <v>0</v>
      </c>
      <c r="S847" s="421">
        <f t="shared" ref="S847:V847" si="701">T847</f>
        <v>0</v>
      </c>
      <c r="T847" s="5">
        <f t="shared" si="701"/>
        <v>0</v>
      </c>
      <c r="U847" s="5">
        <f t="shared" si="701"/>
        <v>0</v>
      </c>
      <c r="V847" s="5">
        <f t="shared" si="701"/>
        <v>0</v>
      </c>
      <c r="W847" s="5">
        <f t="shared" si="677"/>
        <v>0</v>
      </c>
      <c r="X847" s="5">
        <f>Levelisation!J811</f>
        <v>0</v>
      </c>
      <c r="Y847" s="5">
        <f>Levelisation!L811</f>
        <v>0</v>
      </c>
      <c r="Z847" s="455"/>
      <c r="AA847" s="456"/>
      <c r="AB847" s="456"/>
      <c r="AC847" s="456"/>
      <c r="AD847" s="456"/>
      <c r="AE847" s="456"/>
      <c r="AF847" s="456"/>
      <c r="AG847" s="33" t="str">
        <f t="shared" ref="AG847:AG910" si="702">A847&amp;" &gt; " &amp;D847</f>
        <v>3.01 &gt; Suriname</v>
      </c>
      <c r="AH847" s="84">
        <f t="shared" si="650"/>
        <v>833</v>
      </c>
      <c r="AI847" s="84">
        <f t="shared" si="651"/>
        <v>31</v>
      </c>
      <c r="AJ847" s="877" t="s">
        <v>1526</v>
      </c>
    </row>
    <row r="848" spans="1:36" x14ac:dyDescent="0.2">
      <c r="A848" s="492">
        <f>INDEX(Country!$F$31:$G$76, MATCH(AI848, Country!$O$31:$O$76, 0), 1)</f>
        <v>3.01</v>
      </c>
      <c r="B848" s="2" t="str">
        <f>INDEX(Country!$F$31:$G$76, MATCH(AI848, Country!$O$31:$O$76, 0), 2)</f>
        <v>Financial institutions in clean energy</v>
      </c>
      <c r="C848" s="436" t="str">
        <f>INDEX(Country!$K$31:$K$76, MATCH(AI848, Country!$O$31:$O$76, 0), 1)</f>
        <v>Companies</v>
      </c>
      <c r="D848" s="4" t="str">
        <f t="shared" si="661"/>
        <v>Trinidad &amp; Tobago</v>
      </c>
      <c r="E848" s="18">
        <f t="shared" si="694"/>
        <v>1</v>
      </c>
      <c r="F848" s="18">
        <f t="shared" si="664"/>
        <v>1</v>
      </c>
      <c r="G848" s="18">
        <f t="shared" si="665"/>
        <v>1</v>
      </c>
      <c r="H848" s="18">
        <f t="shared" si="666"/>
        <v>1</v>
      </c>
      <c r="I848" s="18">
        <f t="shared" si="667"/>
        <v>1</v>
      </c>
      <c r="J848" s="18">
        <f t="shared" si="668"/>
        <v>1</v>
      </c>
      <c r="K848" s="19">
        <f t="shared" si="669"/>
        <v>1</v>
      </c>
      <c r="L848" s="457">
        <f t="shared" si="678"/>
        <v>25</v>
      </c>
      <c r="M848" s="458">
        <f t="shared" si="670"/>
        <v>25</v>
      </c>
      <c r="N848" s="458">
        <f t="shared" si="671"/>
        <v>25</v>
      </c>
      <c r="O848" s="458">
        <f t="shared" si="672"/>
        <v>25</v>
      </c>
      <c r="P848" s="458">
        <f t="shared" si="673"/>
        <v>25</v>
      </c>
      <c r="Q848" s="458">
        <f t="shared" si="674"/>
        <v>25</v>
      </c>
      <c r="R848" s="459">
        <f t="shared" si="675"/>
        <v>25</v>
      </c>
      <c r="S848" s="421">
        <f t="shared" ref="S848:V848" si="703">T848</f>
        <v>1</v>
      </c>
      <c r="T848" s="5">
        <f t="shared" si="703"/>
        <v>1</v>
      </c>
      <c r="U848" s="5">
        <f t="shared" si="703"/>
        <v>1</v>
      </c>
      <c r="V848" s="5">
        <f t="shared" si="703"/>
        <v>1</v>
      </c>
      <c r="W848" s="5">
        <f t="shared" si="677"/>
        <v>1</v>
      </c>
      <c r="X848" s="5">
        <f>Levelisation!J812</f>
        <v>1</v>
      </c>
      <c r="Y848" s="5">
        <f>Levelisation!L812</f>
        <v>1</v>
      </c>
      <c r="Z848" s="455"/>
      <c r="AA848" s="456"/>
      <c r="AB848" s="456"/>
      <c r="AC848" s="456"/>
      <c r="AD848" s="456"/>
      <c r="AE848" s="456"/>
      <c r="AF848" s="456"/>
      <c r="AG848" s="33" t="str">
        <f t="shared" si="702"/>
        <v>3.01 &gt; Trinidad &amp; Tobago</v>
      </c>
      <c r="AH848" s="84">
        <f t="shared" si="650"/>
        <v>834</v>
      </c>
      <c r="AI848" s="84">
        <f t="shared" si="651"/>
        <v>31</v>
      </c>
      <c r="AJ848" s="877" t="s">
        <v>1526</v>
      </c>
    </row>
    <row r="849" spans="1:36" x14ac:dyDescent="0.2">
      <c r="A849" s="492">
        <f>INDEX(Country!$F$31:$G$76, MATCH(AI849, Country!$O$31:$O$76, 0), 1)</f>
        <v>3.01</v>
      </c>
      <c r="B849" s="2" t="str">
        <f>INDEX(Country!$F$31:$G$76, MATCH(AI849, Country!$O$31:$O$76, 0), 2)</f>
        <v>Financial institutions in clean energy</v>
      </c>
      <c r="C849" s="436" t="str">
        <f>INDEX(Country!$K$31:$K$76, MATCH(AI849, Country!$O$31:$O$76, 0), 1)</f>
        <v>Companies</v>
      </c>
      <c r="D849" s="4" t="str">
        <f t="shared" si="661"/>
        <v>Uruguay</v>
      </c>
      <c r="E849" s="18">
        <f t="shared" si="694"/>
        <v>1</v>
      </c>
      <c r="F849" s="18">
        <f t="shared" si="664"/>
        <v>1</v>
      </c>
      <c r="G849" s="18">
        <f t="shared" si="665"/>
        <v>1</v>
      </c>
      <c r="H849" s="18">
        <f t="shared" si="666"/>
        <v>1</v>
      </c>
      <c r="I849" s="18">
        <f t="shared" si="667"/>
        <v>1</v>
      </c>
      <c r="J849" s="18">
        <f t="shared" si="668"/>
        <v>1</v>
      </c>
      <c r="K849" s="19">
        <f t="shared" si="669"/>
        <v>1</v>
      </c>
      <c r="L849" s="457">
        <f t="shared" si="678"/>
        <v>25</v>
      </c>
      <c r="M849" s="458">
        <f t="shared" si="670"/>
        <v>25</v>
      </c>
      <c r="N849" s="458">
        <f t="shared" si="671"/>
        <v>25</v>
      </c>
      <c r="O849" s="458">
        <f t="shared" si="672"/>
        <v>25</v>
      </c>
      <c r="P849" s="458">
        <f t="shared" si="673"/>
        <v>25</v>
      </c>
      <c r="Q849" s="458">
        <f t="shared" si="674"/>
        <v>25</v>
      </c>
      <c r="R849" s="459">
        <f t="shared" si="675"/>
        <v>25</v>
      </c>
      <c r="S849" s="421">
        <f t="shared" ref="S849:V849" si="704">T849</f>
        <v>1</v>
      </c>
      <c r="T849" s="5">
        <f t="shared" si="704"/>
        <v>1</v>
      </c>
      <c r="U849" s="5">
        <f t="shared" si="704"/>
        <v>1</v>
      </c>
      <c r="V849" s="5">
        <f t="shared" si="704"/>
        <v>1</v>
      </c>
      <c r="W849" s="5">
        <f t="shared" si="677"/>
        <v>1</v>
      </c>
      <c r="X849" s="5">
        <f>Levelisation!J813</f>
        <v>1</v>
      </c>
      <c r="Y849" s="5">
        <f>Levelisation!L813</f>
        <v>1</v>
      </c>
      <c r="Z849" s="455"/>
      <c r="AA849" s="456"/>
      <c r="AB849" s="456"/>
      <c r="AC849" s="456"/>
      <c r="AD849" s="456"/>
      <c r="AE849" s="456"/>
      <c r="AF849" s="456"/>
      <c r="AG849" s="33" t="str">
        <f t="shared" si="702"/>
        <v>3.01 &gt; Uruguay</v>
      </c>
      <c r="AH849" s="84">
        <f t="shared" ref="AH849:AH912" si="705">AH848+1</f>
        <v>835</v>
      </c>
      <c r="AI849" s="84">
        <f t="shared" ref="AI849:AI912" si="706">ROUNDUP(AH849/COUNTA($D$15:$D$41),0)</f>
        <v>31</v>
      </c>
      <c r="AJ849" s="877" t="s">
        <v>1526</v>
      </c>
    </row>
    <row r="850" spans="1:36" x14ac:dyDescent="0.2">
      <c r="A850" s="491">
        <f>INDEX(Country!$F$31:$G$76, MATCH(AI850, Country!$O$31:$O$76, 0), 1)</f>
        <v>3.01</v>
      </c>
      <c r="B850" s="386" t="str">
        <f>INDEX(Country!$F$31:$G$76, MATCH(AI850, Country!$O$31:$O$76, 0), 2)</f>
        <v>Financial institutions in clean energy</v>
      </c>
      <c r="C850" s="437" t="str">
        <f>INDEX(Country!$K$31:$K$76, MATCH(AI850, Country!$O$31:$O$76, 0), 1)</f>
        <v>Companies</v>
      </c>
      <c r="D850" s="86" t="str">
        <f t="shared" si="661"/>
        <v>Venezuela</v>
      </c>
      <c r="E850" s="375">
        <f t="shared" si="694"/>
        <v>3</v>
      </c>
      <c r="F850" s="375">
        <f t="shared" si="664"/>
        <v>3</v>
      </c>
      <c r="G850" s="375">
        <f t="shared" si="665"/>
        <v>3</v>
      </c>
      <c r="H850" s="375">
        <f t="shared" si="666"/>
        <v>3</v>
      </c>
      <c r="I850" s="375">
        <f t="shared" si="667"/>
        <v>3</v>
      </c>
      <c r="J850" s="375">
        <f t="shared" si="668"/>
        <v>3</v>
      </c>
      <c r="K850" s="405">
        <f t="shared" si="669"/>
        <v>3</v>
      </c>
      <c r="L850" s="460">
        <f t="shared" si="678"/>
        <v>75</v>
      </c>
      <c r="M850" s="461">
        <f t="shared" si="670"/>
        <v>75</v>
      </c>
      <c r="N850" s="461">
        <f t="shared" si="671"/>
        <v>75</v>
      </c>
      <c r="O850" s="461">
        <f t="shared" si="672"/>
        <v>75</v>
      </c>
      <c r="P850" s="461">
        <f t="shared" si="673"/>
        <v>75</v>
      </c>
      <c r="Q850" s="461">
        <f t="shared" si="674"/>
        <v>75</v>
      </c>
      <c r="R850" s="462">
        <f t="shared" si="675"/>
        <v>75</v>
      </c>
      <c r="S850" s="422">
        <f t="shared" ref="S850:V850" si="707">T850</f>
        <v>3</v>
      </c>
      <c r="T850" s="364">
        <f t="shared" si="707"/>
        <v>3</v>
      </c>
      <c r="U850" s="364">
        <f t="shared" si="707"/>
        <v>3</v>
      </c>
      <c r="V850" s="364">
        <f t="shared" si="707"/>
        <v>3</v>
      </c>
      <c r="W850" s="364">
        <f t="shared" si="677"/>
        <v>3</v>
      </c>
      <c r="X850" s="5">
        <f>Levelisation!J814</f>
        <v>3</v>
      </c>
      <c r="Y850" s="5">
        <f>Levelisation!L814</f>
        <v>3</v>
      </c>
      <c r="Z850" s="455"/>
      <c r="AA850" s="456"/>
      <c r="AB850" s="456"/>
      <c r="AC850" s="456"/>
      <c r="AD850" s="456"/>
      <c r="AE850" s="456"/>
      <c r="AF850" s="456"/>
      <c r="AG850" s="90" t="str">
        <f t="shared" si="702"/>
        <v>3.01 &gt; Venezuela</v>
      </c>
      <c r="AH850" s="392">
        <f t="shared" si="705"/>
        <v>836</v>
      </c>
      <c r="AI850" s="392">
        <f t="shared" si="706"/>
        <v>31</v>
      </c>
      <c r="AJ850" s="878" t="s">
        <v>1526</v>
      </c>
    </row>
    <row r="851" spans="1:36" x14ac:dyDescent="0.2">
      <c r="A851" s="490">
        <f>INDEX(Country!$F$31:$G$76, MATCH(AI851, Country!$O$31:$O$76, 0), 1)</f>
        <v>3.01</v>
      </c>
      <c r="B851" s="387" t="str">
        <f>INDEX(Country!$F$31:$G$76, MATCH(AI851, Country!$O$31:$O$76, 0), 2)</f>
        <v>Financial institutions in clean energy</v>
      </c>
      <c r="C851" s="438" t="str">
        <f>INDEX(Country!$K$31:$K$76, MATCH(AI851, Country!$O$31:$O$76, 0), 1)</f>
        <v>Companies</v>
      </c>
      <c r="D851" s="32" t="str">
        <f t="shared" si="661"/>
        <v>Benchmark</v>
      </c>
      <c r="E851" s="362">
        <f>IFERROR(MAX(E825:E850), 0)</f>
        <v>4</v>
      </c>
      <c r="F851" s="362">
        <f t="shared" ref="F851:K851" si="708">IFERROR(MAX(F825:F850), 0)</f>
        <v>4</v>
      </c>
      <c r="G851" s="362">
        <f t="shared" si="708"/>
        <v>4</v>
      </c>
      <c r="H851" s="362">
        <f t="shared" si="708"/>
        <v>4</v>
      </c>
      <c r="I851" s="362">
        <f t="shared" si="708"/>
        <v>4</v>
      </c>
      <c r="J851" s="362">
        <f t="shared" si="708"/>
        <v>4</v>
      </c>
      <c r="K851" s="584">
        <f t="shared" si="708"/>
        <v>4</v>
      </c>
      <c r="L851" s="585">
        <f t="shared" si="678"/>
        <v>100</v>
      </c>
      <c r="M851" s="463">
        <f t="shared" si="670"/>
        <v>100</v>
      </c>
      <c r="N851" s="463">
        <f t="shared" si="671"/>
        <v>100</v>
      </c>
      <c r="O851" s="463">
        <f t="shared" si="672"/>
        <v>100</v>
      </c>
      <c r="P851" s="463">
        <f t="shared" si="673"/>
        <v>100</v>
      </c>
      <c r="Q851" s="463">
        <f t="shared" si="674"/>
        <v>100</v>
      </c>
      <c r="R851" s="586">
        <f t="shared" si="675"/>
        <v>100</v>
      </c>
      <c r="S851" s="393"/>
      <c r="T851" s="394"/>
      <c r="U851" s="376"/>
      <c r="V851" s="376"/>
      <c r="W851" s="376"/>
      <c r="X851" s="376"/>
      <c r="Y851" s="376"/>
      <c r="Z851" s="393"/>
      <c r="AA851" s="394"/>
      <c r="AB851" s="376"/>
      <c r="AC851" s="376"/>
      <c r="AD851" s="376"/>
      <c r="AE851" s="376"/>
      <c r="AF851" s="376"/>
      <c r="AG851" s="34" t="str">
        <f t="shared" si="702"/>
        <v>3.01 &gt; Benchmark</v>
      </c>
      <c r="AH851" s="85">
        <f t="shared" si="705"/>
        <v>837</v>
      </c>
      <c r="AI851" s="85">
        <f t="shared" si="706"/>
        <v>31</v>
      </c>
      <c r="AJ851" s="871" t="s">
        <v>1526</v>
      </c>
    </row>
    <row r="852" spans="1:36" x14ac:dyDescent="0.2">
      <c r="A852" s="587">
        <f>INDEX(Country!$F$31:$G$76, MATCH(AI852, Country!$O$31:$O$76, 0), 1)</f>
        <v>3.0199999999999996</v>
      </c>
      <c r="B852" s="588" t="str">
        <f>INDEX(Country!$F$31:$G$76, MATCH(AI852, Country!$O$31:$O$76, 0), 2)</f>
        <v>Value chains by clean energy sector</v>
      </c>
      <c r="C852" s="589" t="str">
        <f>INDEX(Country!$K$31:$K$76, MATCH(AI852, Country!$O$31:$O$76, 0), 1)</f>
        <v>Value Chains</v>
      </c>
      <c r="D852" s="590" t="str">
        <f t="shared" si="661"/>
        <v>Argentina</v>
      </c>
      <c r="E852" s="18">
        <f>Levelisation!F2508</f>
        <v>16</v>
      </c>
      <c r="F852" s="18">
        <f>Levelisation!G2508</f>
        <v>16</v>
      </c>
      <c r="G852" s="18">
        <f>Levelisation!H2508</f>
        <v>16</v>
      </c>
      <c r="H852" s="18">
        <f>Levelisation!I2508</f>
        <v>16</v>
      </c>
      <c r="I852" s="18">
        <f>Levelisation!J2508</f>
        <v>16</v>
      </c>
      <c r="J852" s="18">
        <f>Levelisation!K2508</f>
        <v>16</v>
      </c>
      <c r="K852" s="19">
        <f>Levelisation!L2508</f>
        <v>26</v>
      </c>
      <c r="L852" s="580">
        <f t="shared" si="678"/>
        <v>40</v>
      </c>
      <c r="M852" s="581">
        <f t="shared" si="670"/>
        <v>40</v>
      </c>
      <c r="N852" s="581">
        <f t="shared" si="671"/>
        <v>40</v>
      </c>
      <c r="O852" s="581">
        <f t="shared" si="672"/>
        <v>40</v>
      </c>
      <c r="P852" s="581">
        <f t="shared" si="673"/>
        <v>40</v>
      </c>
      <c r="Q852" s="581">
        <f t="shared" si="674"/>
        <v>40</v>
      </c>
      <c r="R852" s="582">
        <f t="shared" si="675"/>
        <v>65</v>
      </c>
      <c r="S852" s="455"/>
      <c r="T852" s="456"/>
      <c r="U852" s="456"/>
      <c r="V852" s="456"/>
      <c r="W852" s="456"/>
      <c r="X852" s="456"/>
      <c r="Y852" s="456"/>
      <c r="Z852" s="455"/>
      <c r="AA852" s="456"/>
      <c r="AB852" s="456"/>
      <c r="AC852" s="456"/>
      <c r="AD852" s="456"/>
      <c r="AE852" s="456"/>
      <c r="AF852" s="456"/>
      <c r="AG852" s="396" t="str">
        <f t="shared" si="702"/>
        <v>3.02 &gt; Argentina</v>
      </c>
      <c r="AH852" s="397">
        <f t="shared" si="705"/>
        <v>838</v>
      </c>
      <c r="AI852" s="397">
        <f t="shared" si="706"/>
        <v>32</v>
      </c>
      <c r="AJ852" s="879" t="s">
        <v>1526</v>
      </c>
    </row>
    <row r="853" spans="1:36" x14ac:dyDescent="0.2">
      <c r="A853" s="492">
        <f>INDEX(Country!$F$31:$G$76, MATCH(AI853, Country!$O$31:$O$76, 0), 1)</f>
        <v>3.0199999999999996</v>
      </c>
      <c r="B853" s="2" t="str">
        <f>INDEX(Country!$F$31:$G$76, MATCH(AI853, Country!$O$31:$O$76, 0), 2)</f>
        <v>Value chains by clean energy sector</v>
      </c>
      <c r="C853" s="436" t="str">
        <f>INDEX(Country!$K$31:$K$76, MATCH(AI853, Country!$O$31:$O$76, 0), 1)</f>
        <v>Value Chains</v>
      </c>
      <c r="D853" s="4" t="str">
        <f t="shared" si="661"/>
        <v>Bahamas</v>
      </c>
      <c r="E853" s="18">
        <f>Levelisation!F2509</f>
        <v>2</v>
      </c>
      <c r="F853" s="18">
        <f>Levelisation!G2509</f>
        <v>2</v>
      </c>
      <c r="G853" s="18">
        <f>Levelisation!H2509</f>
        <v>2</v>
      </c>
      <c r="H853" s="18">
        <f>Levelisation!I2509</f>
        <v>2</v>
      </c>
      <c r="I853" s="18">
        <f>Levelisation!J2509</f>
        <v>2</v>
      </c>
      <c r="J853" s="18">
        <f>Levelisation!K2509</f>
        <v>2</v>
      </c>
      <c r="K853" s="19">
        <f>Levelisation!L2509</f>
        <v>4</v>
      </c>
      <c r="L853" s="457">
        <f t="shared" si="678"/>
        <v>5</v>
      </c>
      <c r="M853" s="458">
        <f t="shared" si="670"/>
        <v>5</v>
      </c>
      <c r="N853" s="458">
        <f t="shared" si="671"/>
        <v>5</v>
      </c>
      <c r="O853" s="458">
        <f t="shared" si="672"/>
        <v>5</v>
      </c>
      <c r="P853" s="458">
        <f t="shared" si="673"/>
        <v>5</v>
      </c>
      <c r="Q853" s="458">
        <f t="shared" si="674"/>
        <v>5</v>
      </c>
      <c r="R853" s="459">
        <f t="shared" si="675"/>
        <v>10</v>
      </c>
      <c r="S853" s="455"/>
      <c r="T853" s="456"/>
      <c r="U853" s="456"/>
      <c r="V853" s="456"/>
      <c r="W853" s="456"/>
      <c r="X853" s="456"/>
      <c r="Y853" s="456"/>
      <c r="Z853" s="455"/>
      <c r="AA853" s="456"/>
      <c r="AB853" s="456"/>
      <c r="AC853" s="456"/>
      <c r="AD853" s="456"/>
      <c r="AE853" s="456"/>
      <c r="AF853" s="456"/>
      <c r="AG853" s="33" t="str">
        <f t="shared" si="702"/>
        <v>3.02 &gt; Bahamas</v>
      </c>
      <c r="AH853" s="84">
        <f t="shared" si="705"/>
        <v>839</v>
      </c>
      <c r="AI853" s="84">
        <f t="shared" si="706"/>
        <v>32</v>
      </c>
      <c r="AJ853" s="877" t="s">
        <v>1526</v>
      </c>
    </row>
    <row r="854" spans="1:36" x14ac:dyDescent="0.2">
      <c r="A854" s="492">
        <f>INDEX(Country!$F$31:$G$76, MATCH(AI854, Country!$O$31:$O$76, 0), 1)</f>
        <v>3.0199999999999996</v>
      </c>
      <c r="B854" s="2" t="str">
        <f>INDEX(Country!$F$31:$G$76, MATCH(AI854, Country!$O$31:$O$76, 0), 2)</f>
        <v>Value chains by clean energy sector</v>
      </c>
      <c r="C854" s="436" t="str">
        <f>INDEX(Country!$K$31:$K$76, MATCH(AI854, Country!$O$31:$O$76, 0), 1)</f>
        <v>Value Chains</v>
      </c>
      <c r="D854" s="4" t="str">
        <f t="shared" si="661"/>
        <v>Barbados</v>
      </c>
      <c r="E854" s="18">
        <f>Levelisation!F2510</f>
        <v>0</v>
      </c>
      <c r="F854" s="18">
        <f>Levelisation!G2510</f>
        <v>0</v>
      </c>
      <c r="G854" s="18">
        <f>Levelisation!H2510</f>
        <v>0</v>
      </c>
      <c r="H854" s="18">
        <f>Levelisation!I2510</f>
        <v>0</v>
      </c>
      <c r="I854" s="18">
        <f>Levelisation!J2510</f>
        <v>0</v>
      </c>
      <c r="J854" s="18">
        <f>Levelisation!K2510</f>
        <v>0</v>
      </c>
      <c r="K854" s="19">
        <f>Levelisation!L2510</f>
        <v>0</v>
      </c>
      <c r="L854" s="457">
        <f t="shared" si="678"/>
        <v>0</v>
      </c>
      <c r="M854" s="458">
        <f t="shared" si="670"/>
        <v>0</v>
      </c>
      <c r="N854" s="458">
        <f t="shared" si="671"/>
        <v>0</v>
      </c>
      <c r="O854" s="458">
        <f t="shared" si="672"/>
        <v>0</v>
      </c>
      <c r="P854" s="458">
        <f t="shared" si="673"/>
        <v>0</v>
      </c>
      <c r="Q854" s="458">
        <f t="shared" si="674"/>
        <v>0</v>
      </c>
      <c r="R854" s="459">
        <f t="shared" si="675"/>
        <v>0</v>
      </c>
      <c r="S854" s="455"/>
      <c r="T854" s="456"/>
      <c r="U854" s="456"/>
      <c r="V854" s="456"/>
      <c r="W854" s="456"/>
      <c r="X854" s="456"/>
      <c r="Y854" s="456"/>
      <c r="Z854" s="455"/>
      <c r="AA854" s="456"/>
      <c r="AB854" s="456"/>
      <c r="AC854" s="456"/>
      <c r="AD854" s="456"/>
      <c r="AE854" s="456"/>
      <c r="AF854" s="456"/>
      <c r="AG854" s="33" t="str">
        <f t="shared" si="702"/>
        <v>3.02 &gt; Barbados</v>
      </c>
      <c r="AH854" s="84">
        <f t="shared" si="705"/>
        <v>840</v>
      </c>
      <c r="AI854" s="84">
        <f t="shared" si="706"/>
        <v>32</v>
      </c>
      <c r="AJ854" s="877" t="s">
        <v>1526</v>
      </c>
    </row>
    <row r="855" spans="1:36" x14ac:dyDescent="0.2">
      <c r="A855" s="492">
        <f>INDEX(Country!$F$31:$G$76, MATCH(AI855, Country!$O$31:$O$76, 0), 1)</f>
        <v>3.0199999999999996</v>
      </c>
      <c r="B855" s="2" t="str">
        <f>INDEX(Country!$F$31:$G$76, MATCH(AI855, Country!$O$31:$O$76, 0), 2)</f>
        <v>Value chains by clean energy sector</v>
      </c>
      <c r="C855" s="436" t="str">
        <f>INDEX(Country!$K$31:$K$76, MATCH(AI855, Country!$O$31:$O$76, 0), 1)</f>
        <v>Value Chains</v>
      </c>
      <c r="D855" s="4" t="str">
        <f t="shared" si="661"/>
        <v>Belize</v>
      </c>
      <c r="E855" s="18">
        <f>Levelisation!F2511</f>
        <v>2</v>
      </c>
      <c r="F855" s="18">
        <f>Levelisation!G2511</f>
        <v>2</v>
      </c>
      <c r="G855" s="18">
        <f>Levelisation!H2511</f>
        <v>2</v>
      </c>
      <c r="H855" s="18">
        <f>Levelisation!I2511</f>
        <v>2</v>
      </c>
      <c r="I855" s="18">
        <f>Levelisation!J2511</f>
        <v>2</v>
      </c>
      <c r="J855" s="18">
        <f>Levelisation!K2511</f>
        <v>2</v>
      </c>
      <c r="K855" s="19">
        <f>Levelisation!L2511</f>
        <v>3</v>
      </c>
      <c r="L855" s="457">
        <f t="shared" si="678"/>
        <v>5</v>
      </c>
      <c r="M855" s="458">
        <f t="shared" si="670"/>
        <v>5</v>
      </c>
      <c r="N855" s="458">
        <f t="shared" si="671"/>
        <v>5</v>
      </c>
      <c r="O855" s="458">
        <f t="shared" si="672"/>
        <v>5</v>
      </c>
      <c r="P855" s="458">
        <f t="shared" si="673"/>
        <v>5</v>
      </c>
      <c r="Q855" s="458">
        <f t="shared" si="674"/>
        <v>5</v>
      </c>
      <c r="R855" s="459">
        <f t="shared" si="675"/>
        <v>7.5</v>
      </c>
      <c r="S855" s="455"/>
      <c r="T855" s="456"/>
      <c r="U855" s="456"/>
      <c r="V855" s="456"/>
      <c r="W855" s="456"/>
      <c r="X855" s="456"/>
      <c r="Y855" s="456"/>
      <c r="Z855" s="455"/>
      <c r="AA855" s="456"/>
      <c r="AB855" s="456"/>
      <c r="AC855" s="456"/>
      <c r="AD855" s="456"/>
      <c r="AE855" s="456"/>
      <c r="AF855" s="456"/>
      <c r="AG855" s="33" t="str">
        <f t="shared" si="702"/>
        <v>3.02 &gt; Belize</v>
      </c>
      <c r="AH855" s="84">
        <f t="shared" si="705"/>
        <v>841</v>
      </c>
      <c r="AI855" s="84">
        <f t="shared" si="706"/>
        <v>32</v>
      </c>
      <c r="AJ855" s="877" t="s">
        <v>1526</v>
      </c>
    </row>
    <row r="856" spans="1:36" x14ac:dyDescent="0.2">
      <c r="A856" s="492">
        <f>INDEX(Country!$F$31:$G$76, MATCH(AI856, Country!$O$31:$O$76, 0), 1)</f>
        <v>3.0199999999999996</v>
      </c>
      <c r="B856" s="2" t="str">
        <f>INDEX(Country!$F$31:$G$76, MATCH(AI856, Country!$O$31:$O$76, 0), 2)</f>
        <v>Value chains by clean energy sector</v>
      </c>
      <c r="C856" s="436" t="str">
        <f>INDEX(Country!$K$31:$K$76, MATCH(AI856, Country!$O$31:$O$76, 0), 1)</f>
        <v>Value Chains</v>
      </c>
      <c r="D856" s="4" t="str">
        <f t="shared" si="661"/>
        <v>Bolivia</v>
      </c>
      <c r="E856" s="18">
        <f>Levelisation!F2512</f>
        <v>3</v>
      </c>
      <c r="F856" s="18">
        <f>Levelisation!G2512</f>
        <v>3</v>
      </c>
      <c r="G856" s="18">
        <f>Levelisation!H2512</f>
        <v>3</v>
      </c>
      <c r="H856" s="18">
        <f>Levelisation!I2512</f>
        <v>3</v>
      </c>
      <c r="I856" s="18">
        <f>Levelisation!J2512</f>
        <v>3</v>
      </c>
      <c r="J856" s="18">
        <f>Levelisation!K2512</f>
        <v>3</v>
      </c>
      <c r="K856" s="19">
        <f>Levelisation!L2512</f>
        <v>4</v>
      </c>
      <c r="L856" s="457">
        <f t="shared" si="678"/>
        <v>7.5</v>
      </c>
      <c r="M856" s="458">
        <f t="shared" si="670"/>
        <v>7.5</v>
      </c>
      <c r="N856" s="458">
        <f t="shared" si="671"/>
        <v>7.5</v>
      </c>
      <c r="O856" s="458">
        <f t="shared" si="672"/>
        <v>7.5</v>
      </c>
      <c r="P856" s="458">
        <f t="shared" si="673"/>
        <v>7.5</v>
      </c>
      <c r="Q856" s="458">
        <f t="shared" si="674"/>
        <v>7.5</v>
      </c>
      <c r="R856" s="459">
        <f t="shared" si="675"/>
        <v>10</v>
      </c>
      <c r="S856" s="455"/>
      <c r="T856" s="456"/>
      <c r="U856" s="456"/>
      <c r="V856" s="456"/>
      <c r="W856" s="456"/>
      <c r="X856" s="456"/>
      <c r="Y856" s="456"/>
      <c r="Z856" s="455"/>
      <c r="AA856" s="456"/>
      <c r="AB856" s="456"/>
      <c r="AC856" s="456"/>
      <c r="AD856" s="456"/>
      <c r="AE856" s="456"/>
      <c r="AF856" s="456"/>
      <c r="AG856" s="33" t="str">
        <f t="shared" si="702"/>
        <v>3.02 &gt; Bolivia</v>
      </c>
      <c r="AH856" s="84">
        <f t="shared" si="705"/>
        <v>842</v>
      </c>
      <c r="AI856" s="84">
        <f t="shared" si="706"/>
        <v>32</v>
      </c>
      <c r="AJ856" s="877" t="s">
        <v>1526</v>
      </c>
    </row>
    <row r="857" spans="1:36" x14ac:dyDescent="0.2">
      <c r="A857" s="492">
        <f>INDEX(Country!$F$31:$G$76, MATCH(AI857, Country!$O$31:$O$76, 0), 1)</f>
        <v>3.0199999999999996</v>
      </c>
      <c r="B857" s="2" t="str">
        <f>INDEX(Country!$F$31:$G$76, MATCH(AI857, Country!$O$31:$O$76, 0), 2)</f>
        <v>Value chains by clean energy sector</v>
      </c>
      <c r="C857" s="436" t="str">
        <f>INDEX(Country!$K$31:$K$76, MATCH(AI857, Country!$O$31:$O$76, 0), 1)</f>
        <v>Value Chains</v>
      </c>
      <c r="D857" s="4" t="str">
        <f t="shared" si="661"/>
        <v>Brazil</v>
      </c>
      <c r="E857" s="18">
        <f>Levelisation!F2513</f>
        <v>26</v>
      </c>
      <c r="F857" s="18">
        <f>Levelisation!G2513</f>
        <v>26</v>
      </c>
      <c r="G857" s="18">
        <f>Levelisation!H2513</f>
        <v>26</v>
      </c>
      <c r="H857" s="18">
        <f>Levelisation!I2513</f>
        <v>26</v>
      </c>
      <c r="I857" s="18">
        <f>Levelisation!J2513</f>
        <v>26</v>
      </c>
      <c r="J857" s="18">
        <f>Levelisation!K2513</f>
        <v>26</v>
      </c>
      <c r="K857" s="19">
        <f>Levelisation!L2513</f>
        <v>30</v>
      </c>
      <c r="L857" s="457">
        <f t="shared" ref="L857:L888" si="709">IFERROR(dbl_BenchmarkMax*E857/ SUMIFS(E$15:E$1256, $D$15:$D$1256, "Benchmark", $B$15:$B$1256,$B857), 0)</f>
        <v>65</v>
      </c>
      <c r="M857" s="458">
        <f t="shared" ref="M857:M888" si="710">IFERROR(dbl_BenchmarkMax*F857/ SUMIFS(F$15:F$1256, $D$15:$D$1256, "Benchmark", $B$15:$B$1256,$B857), 0)</f>
        <v>65</v>
      </c>
      <c r="N857" s="458">
        <f t="shared" si="671"/>
        <v>65</v>
      </c>
      <c r="O857" s="458">
        <f t="shared" si="672"/>
        <v>65</v>
      </c>
      <c r="P857" s="458">
        <f t="shared" si="673"/>
        <v>65</v>
      </c>
      <c r="Q857" s="458">
        <f t="shared" si="674"/>
        <v>65</v>
      </c>
      <c r="R857" s="459">
        <f t="shared" si="675"/>
        <v>75</v>
      </c>
      <c r="S857" s="455"/>
      <c r="T857" s="456"/>
      <c r="U857" s="456"/>
      <c r="V857" s="456"/>
      <c r="W857" s="456"/>
      <c r="X857" s="456"/>
      <c r="Y857" s="456"/>
      <c r="Z857" s="455"/>
      <c r="AA857" s="456"/>
      <c r="AB857" s="456"/>
      <c r="AC857" s="456"/>
      <c r="AD857" s="456"/>
      <c r="AE857" s="456"/>
      <c r="AF857" s="456"/>
      <c r="AG857" s="33" t="str">
        <f t="shared" si="702"/>
        <v>3.02 &gt; Brazil</v>
      </c>
      <c r="AH857" s="84">
        <f t="shared" si="705"/>
        <v>843</v>
      </c>
      <c r="AI857" s="84">
        <f t="shared" si="706"/>
        <v>32</v>
      </c>
      <c r="AJ857" s="877" t="s">
        <v>1526</v>
      </c>
    </row>
    <row r="858" spans="1:36" x14ac:dyDescent="0.2">
      <c r="A858" s="492">
        <f>INDEX(Country!$F$31:$G$76, MATCH(AI858, Country!$O$31:$O$76, 0), 1)</f>
        <v>3.0199999999999996</v>
      </c>
      <c r="B858" s="2" t="str">
        <f>INDEX(Country!$F$31:$G$76, MATCH(AI858, Country!$O$31:$O$76, 0), 2)</f>
        <v>Value chains by clean energy sector</v>
      </c>
      <c r="C858" s="436" t="str">
        <f>INDEX(Country!$K$31:$K$76, MATCH(AI858, Country!$O$31:$O$76, 0), 1)</f>
        <v>Value Chains</v>
      </c>
      <c r="D858" s="4" t="str">
        <f t="shared" si="661"/>
        <v>Chile</v>
      </c>
      <c r="E858" s="18">
        <f>Levelisation!F2514</f>
        <v>20</v>
      </c>
      <c r="F858" s="18">
        <f>Levelisation!G2514</f>
        <v>20</v>
      </c>
      <c r="G858" s="18">
        <f>Levelisation!H2514</f>
        <v>20</v>
      </c>
      <c r="H858" s="18">
        <f>Levelisation!I2514</f>
        <v>20</v>
      </c>
      <c r="I858" s="18">
        <f>Levelisation!J2514</f>
        <v>20</v>
      </c>
      <c r="J858" s="18">
        <f>Levelisation!K2514</f>
        <v>20</v>
      </c>
      <c r="K858" s="19">
        <f>Levelisation!L2514</f>
        <v>26</v>
      </c>
      <c r="L858" s="457">
        <f t="shared" si="709"/>
        <v>50</v>
      </c>
      <c r="M858" s="458">
        <f t="shared" si="710"/>
        <v>50</v>
      </c>
      <c r="N858" s="458">
        <f t="shared" si="671"/>
        <v>50</v>
      </c>
      <c r="O858" s="458">
        <f t="shared" si="672"/>
        <v>50</v>
      </c>
      <c r="P858" s="458">
        <f t="shared" si="673"/>
        <v>50</v>
      </c>
      <c r="Q858" s="458">
        <f t="shared" si="674"/>
        <v>50</v>
      </c>
      <c r="R858" s="459">
        <f t="shared" si="675"/>
        <v>65</v>
      </c>
      <c r="S858" s="455"/>
      <c r="T858" s="456"/>
      <c r="U858" s="456"/>
      <c r="V858" s="456"/>
      <c r="W858" s="456"/>
      <c r="X858" s="456"/>
      <c r="Y858" s="456"/>
      <c r="Z858" s="455"/>
      <c r="AA858" s="456"/>
      <c r="AB858" s="456"/>
      <c r="AC858" s="456"/>
      <c r="AD858" s="456"/>
      <c r="AE858" s="456"/>
      <c r="AF858" s="456"/>
      <c r="AG858" s="33" t="str">
        <f t="shared" si="702"/>
        <v>3.02 &gt; Chile</v>
      </c>
      <c r="AH858" s="84">
        <f t="shared" si="705"/>
        <v>844</v>
      </c>
      <c r="AI858" s="84">
        <f t="shared" si="706"/>
        <v>32</v>
      </c>
      <c r="AJ858" s="877" t="s">
        <v>1526</v>
      </c>
    </row>
    <row r="859" spans="1:36" x14ac:dyDescent="0.2">
      <c r="A859" s="492">
        <f>INDEX(Country!$F$31:$G$76, MATCH(AI859, Country!$O$31:$O$76, 0), 1)</f>
        <v>3.0199999999999996</v>
      </c>
      <c r="B859" s="2" t="str">
        <f>INDEX(Country!$F$31:$G$76, MATCH(AI859, Country!$O$31:$O$76, 0), 2)</f>
        <v>Value chains by clean energy sector</v>
      </c>
      <c r="C859" s="436" t="str">
        <f>INDEX(Country!$K$31:$K$76, MATCH(AI859, Country!$O$31:$O$76, 0), 1)</f>
        <v>Value Chains</v>
      </c>
      <c r="D859" s="4" t="str">
        <f t="shared" si="661"/>
        <v>Colombia</v>
      </c>
      <c r="E859" s="18">
        <f>Levelisation!F2515</f>
        <v>11</v>
      </c>
      <c r="F859" s="18">
        <f>Levelisation!G2515</f>
        <v>11</v>
      </c>
      <c r="G859" s="18">
        <f>Levelisation!H2515</f>
        <v>11</v>
      </c>
      <c r="H859" s="18">
        <f>Levelisation!I2515</f>
        <v>11</v>
      </c>
      <c r="I859" s="18">
        <f>Levelisation!J2515</f>
        <v>11</v>
      </c>
      <c r="J859" s="18">
        <f>Levelisation!K2515</f>
        <v>11</v>
      </c>
      <c r="K859" s="19">
        <f>Levelisation!L2515</f>
        <v>16</v>
      </c>
      <c r="L859" s="457">
        <f t="shared" si="709"/>
        <v>27.5</v>
      </c>
      <c r="M859" s="458">
        <f t="shared" si="710"/>
        <v>27.5</v>
      </c>
      <c r="N859" s="458">
        <f t="shared" si="671"/>
        <v>27.5</v>
      </c>
      <c r="O859" s="458">
        <f t="shared" si="672"/>
        <v>27.5</v>
      </c>
      <c r="P859" s="458">
        <f t="shared" si="673"/>
        <v>27.5</v>
      </c>
      <c r="Q859" s="458">
        <f t="shared" si="674"/>
        <v>27.5</v>
      </c>
      <c r="R859" s="459">
        <f t="shared" si="675"/>
        <v>40</v>
      </c>
      <c r="S859" s="455"/>
      <c r="T859" s="456"/>
      <c r="U859" s="456"/>
      <c r="V859" s="456"/>
      <c r="W859" s="456"/>
      <c r="X859" s="456"/>
      <c r="Y859" s="456"/>
      <c r="Z859" s="455"/>
      <c r="AA859" s="456"/>
      <c r="AB859" s="456"/>
      <c r="AC859" s="456"/>
      <c r="AD859" s="456"/>
      <c r="AE859" s="456"/>
      <c r="AF859" s="456"/>
      <c r="AG859" s="33" t="str">
        <f t="shared" si="702"/>
        <v>3.02 &gt; Colombia</v>
      </c>
      <c r="AH859" s="84">
        <f t="shared" si="705"/>
        <v>845</v>
      </c>
      <c r="AI859" s="84">
        <f t="shared" si="706"/>
        <v>32</v>
      </c>
      <c r="AJ859" s="877" t="s">
        <v>1526</v>
      </c>
    </row>
    <row r="860" spans="1:36" x14ac:dyDescent="0.2">
      <c r="A860" s="492">
        <f>INDEX(Country!$F$31:$G$76, MATCH(AI860, Country!$O$31:$O$76, 0), 1)</f>
        <v>3.0199999999999996</v>
      </c>
      <c r="B860" s="2" t="str">
        <f>INDEX(Country!$F$31:$G$76, MATCH(AI860, Country!$O$31:$O$76, 0), 2)</f>
        <v>Value chains by clean energy sector</v>
      </c>
      <c r="C860" s="436" t="str">
        <f>INDEX(Country!$K$31:$K$76, MATCH(AI860, Country!$O$31:$O$76, 0), 1)</f>
        <v>Value Chains</v>
      </c>
      <c r="D860" s="4" t="str">
        <f t="shared" si="661"/>
        <v>Costa Rica</v>
      </c>
      <c r="E860" s="18">
        <f>Levelisation!F2516</f>
        <v>12</v>
      </c>
      <c r="F860" s="18">
        <f>Levelisation!G2516</f>
        <v>12</v>
      </c>
      <c r="G860" s="18">
        <f>Levelisation!H2516</f>
        <v>12</v>
      </c>
      <c r="H860" s="18">
        <f>Levelisation!I2516</f>
        <v>12</v>
      </c>
      <c r="I860" s="18">
        <f>Levelisation!J2516</f>
        <v>12</v>
      </c>
      <c r="J860" s="18">
        <f>Levelisation!K2516</f>
        <v>12</v>
      </c>
      <c r="K860" s="19">
        <f>Levelisation!L2516</f>
        <v>17</v>
      </c>
      <c r="L860" s="457">
        <f t="shared" si="709"/>
        <v>30</v>
      </c>
      <c r="M860" s="458">
        <f t="shared" si="710"/>
        <v>30</v>
      </c>
      <c r="N860" s="458">
        <f t="shared" si="671"/>
        <v>30</v>
      </c>
      <c r="O860" s="458">
        <f t="shared" si="672"/>
        <v>30</v>
      </c>
      <c r="P860" s="458">
        <f t="shared" si="673"/>
        <v>30</v>
      </c>
      <c r="Q860" s="458">
        <f t="shared" si="674"/>
        <v>30</v>
      </c>
      <c r="R860" s="459">
        <f t="shared" si="675"/>
        <v>42.5</v>
      </c>
      <c r="S860" s="455"/>
      <c r="T860" s="456"/>
      <c r="U860" s="456"/>
      <c r="V860" s="456"/>
      <c r="W860" s="456"/>
      <c r="X860" s="456"/>
      <c r="Y860" s="456"/>
      <c r="Z860" s="455"/>
      <c r="AA860" s="456"/>
      <c r="AB860" s="456"/>
      <c r="AC860" s="456"/>
      <c r="AD860" s="456"/>
      <c r="AE860" s="456"/>
      <c r="AF860" s="456"/>
      <c r="AG860" s="33" t="str">
        <f t="shared" si="702"/>
        <v>3.02 &gt; Costa Rica</v>
      </c>
      <c r="AH860" s="84">
        <f t="shared" si="705"/>
        <v>846</v>
      </c>
      <c r="AI860" s="84">
        <f t="shared" si="706"/>
        <v>32</v>
      </c>
      <c r="AJ860" s="877" t="s">
        <v>1526</v>
      </c>
    </row>
    <row r="861" spans="1:36" x14ac:dyDescent="0.2">
      <c r="A861" s="492">
        <f>INDEX(Country!$F$31:$G$76, MATCH(AI861, Country!$O$31:$O$76, 0), 1)</f>
        <v>3.0199999999999996</v>
      </c>
      <c r="B861" s="2" t="str">
        <f>INDEX(Country!$F$31:$G$76, MATCH(AI861, Country!$O$31:$O$76, 0), 2)</f>
        <v>Value chains by clean energy sector</v>
      </c>
      <c r="C861" s="436" t="str">
        <f>INDEX(Country!$K$31:$K$76, MATCH(AI861, Country!$O$31:$O$76, 0), 1)</f>
        <v>Value Chains</v>
      </c>
      <c r="D861" s="4" t="str">
        <f t="shared" si="661"/>
        <v>Dominican Republic</v>
      </c>
      <c r="E861" s="18">
        <f>Levelisation!F2517</f>
        <v>2</v>
      </c>
      <c r="F861" s="18">
        <f>Levelisation!G2517</f>
        <v>2</v>
      </c>
      <c r="G861" s="18">
        <f>Levelisation!H2517</f>
        <v>2</v>
      </c>
      <c r="H861" s="18">
        <f>Levelisation!I2517</f>
        <v>2</v>
      </c>
      <c r="I861" s="18">
        <f>Levelisation!J2517</f>
        <v>2</v>
      </c>
      <c r="J861" s="18">
        <f>Levelisation!K2517</f>
        <v>2</v>
      </c>
      <c r="K861" s="19">
        <f>Levelisation!L2517</f>
        <v>7</v>
      </c>
      <c r="L861" s="457">
        <f t="shared" si="709"/>
        <v>5</v>
      </c>
      <c r="M861" s="458">
        <f t="shared" si="710"/>
        <v>5</v>
      </c>
      <c r="N861" s="458">
        <f t="shared" si="671"/>
        <v>5</v>
      </c>
      <c r="O861" s="458">
        <f t="shared" si="672"/>
        <v>5</v>
      </c>
      <c r="P861" s="458">
        <f t="shared" si="673"/>
        <v>5</v>
      </c>
      <c r="Q861" s="458">
        <f t="shared" si="674"/>
        <v>5</v>
      </c>
      <c r="R861" s="459">
        <f t="shared" si="675"/>
        <v>17.5</v>
      </c>
      <c r="S861" s="455"/>
      <c r="T861" s="456"/>
      <c r="U861" s="456"/>
      <c r="V861" s="456"/>
      <c r="W861" s="456"/>
      <c r="X861" s="456"/>
      <c r="Y861" s="456"/>
      <c r="Z861" s="455"/>
      <c r="AA861" s="456"/>
      <c r="AB861" s="456"/>
      <c r="AC861" s="456"/>
      <c r="AD861" s="456"/>
      <c r="AE861" s="456"/>
      <c r="AF861" s="456"/>
      <c r="AG861" s="33" t="str">
        <f t="shared" si="702"/>
        <v>3.02 &gt; Dominican Republic</v>
      </c>
      <c r="AH861" s="84">
        <f t="shared" si="705"/>
        <v>847</v>
      </c>
      <c r="AI861" s="84">
        <f t="shared" si="706"/>
        <v>32</v>
      </c>
      <c r="AJ861" s="877" t="s">
        <v>1526</v>
      </c>
    </row>
    <row r="862" spans="1:36" x14ac:dyDescent="0.2">
      <c r="A862" s="492">
        <f>INDEX(Country!$F$31:$G$76, MATCH(AI862, Country!$O$31:$O$76, 0), 1)</f>
        <v>3.0199999999999996</v>
      </c>
      <c r="B862" s="2" t="str">
        <f>INDEX(Country!$F$31:$G$76, MATCH(AI862, Country!$O$31:$O$76, 0), 2)</f>
        <v>Value chains by clean energy sector</v>
      </c>
      <c r="C862" s="436" t="str">
        <f>INDEX(Country!$K$31:$K$76, MATCH(AI862, Country!$O$31:$O$76, 0), 1)</f>
        <v>Value Chains</v>
      </c>
      <c r="D862" s="4" t="str">
        <f t="shared" si="661"/>
        <v>Ecuador</v>
      </c>
      <c r="E862" s="18">
        <f>Levelisation!F2518</f>
        <v>6</v>
      </c>
      <c r="F862" s="18">
        <f>Levelisation!G2518</f>
        <v>6</v>
      </c>
      <c r="G862" s="18">
        <f>Levelisation!H2518</f>
        <v>6</v>
      </c>
      <c r="H862" s="18">
        <f>Levelisation!I2518</f>
        <v>6</v>
      </c>
      <c r="I862" s="18">
        <f>Levelisation!J2518</f>
        <v>6</v>
      </c>
      <c r="J862" s="18">
        <f>Levelisation!K2518</f>
        <v>6</v>
      </c>
      <c r="K862" s="19">
        <f>Levelisation!L2518</f>
        <v>10</v>
      </c>
      <c r="L862" s="457">
        <f t="shared" si="709"/>
        <v>15</v>
      </c>
      <c r="M862" s="458">
        <f t="shared" si="710"/>
        <v>15</v>
      </c>
      <c r="N862" s="458">
        <f t="shared" si="671"/>
        <v>15</v>
      </c>
      <c r="O862" s="458">
        <f t="shared" si="672"/>
        <v>15</v>
      </c>
      <c r="P862" s="458">
        <f t="shared" si="673"/>
        <v>15</v>
      </c>
      <c r="Q862" s="458">
        <f t="shared" si="674"/>
        <v>15</v>
      </c>
      <c r="R862" s="459">
        <f t="shared" si="675"/>
        <v>25</v>
      </c>
      <c r="S862" s="455"/>
      <c r="T862" s="456"/>
      <c r="U862" s="456"/>
      <c r="V862" s="456"/>
      <c r="W862" s="456"/>
      <c r="X862" s="456"/>
      <c r="Y862" s="456"/>
      <c r="Z862" s="455"/>
      <c r="AA862" s="456"/>
      <c r="AB862" s="456"/>
      <c r="AC862" s="456"/>
      <c r="AD862" s="456"/>
      <c r="AE862" s="456"/>
      <c r="AF862" s="456"/>
      <c r="AG862" s="33" t="str">
        <f t="shared" si="702"/>
        <v>3.02 &gt; Ecuador</v>
      </c>
      <c r="AH862" s="84">
        <f t="shared" si="705"/>
        <v>848</v>
      </c>
      <c r="AI862" s="84">
        <f t="shared" si="706"/>
        <v>32</v>
      </c>
      <c r="AJ862" s="877" t="s">
        <v>1526</v>
      </c>
    </row>
    <row r="863" spans="1:36" x14ac:dyDescent="0.2">
      <c r="A863" s="492">
        <f>INDEX(Country!$F$31:$G$76, MATCH(AI863, Country!$O$31:$O$76, 0), 1)</f>
        <v>3.0199999999999996</v>
      </c>
      <c r="B863" s="2" t="str">
        <f>INDEX(Country!$F$31:$G$76, MATCH(AI863, Country!$O$31:$O$76, 0), 2)</f>
        <v>Value chains by clean energy sector</v>
      </c>
      <c r="C863" s="436" t="str">
        <f>INDEX(Country!$K$31:$K$76, MATCH(AI863, Country!$O$31:$O$76, 0), 1)</f>
        <v>Value Chains</v>
      </c>
      <c r="D863" s="4" t="str">
        <f t="shared" si="661"/>
        <v>El Salvador</v>
      </c>
      <c r="E863" s="18">
        <f>Levelisation!F2519</f>
        <v>10</v>
      </c>
      <c r="F863" s="18">
        <f>Levelisation!G2519</f>
        <v>10</v>
      </c>
      <c r="G863" s="18">
        <f>Levelisation!H2519</f>
        <v>10</v>
      </c>
      <c r="H863" s="18">
        <f>Levelisation!I2519</f>
        <v>10</v>
      </c>
      <c r="I863" s="18">
        <f>Levelisation!J2519</f>
        <v>10</v>
      </c>
      <c r="J863" s="18">
        <f>Levelisation!K2519</f>
        <v>10</v>
      </c>
      <c r="K863" s="19">
        <f>Levelisation!L2519</f>
        <v>13</v>
      </c>
      <c r="L863" s="457">
        <f t="shared" si="709"/>
        <v>25</v>
      </c>
      <c r="M863" s="458">
        <f t="shared" si="710"/>
        <v>25</v>
      </c>
      <c r="N863" s="458">
        <f t="shared" si="671"/>
        <v>25</v>
      </c>
      <c r="O863" s="458">
        <f t="shared" si="672"/>
        <v>25</v>
      </c>
      <c r="P863" s="458">
        <f t="shared" si="673"/>
        <v>25</v>
      </c>
      <c r="Q863" s="458">
        <f t="shared" si="674"/>
        <v>25</v>
      </c>
      <c r="R863" s="459">
        <f t="shared" si="675"/>
        <v>32.5</v>
      </c>
      <c r="S863" s="455"/>
      <c r="T863" s="456"/>
      <c r="U863" s="456"/>
      <c r="V863" s="456"/>
      <c r="W863" s="456"/>
      <c r="X863" s="456"/>
      <c r="Y863" s="456"/>
      <c r="Z863" s="455"/>
      <c r="AA863" s="456"/>
      <c r="AB863" s="456"/>
      <c r="AC863" s="456"/>
      <c r="AD863" s="456"/>
      <c r="AE863" s="456"/>
      <c r="AF863" s="456"/>
      <c r="AG863" s="33" t="str">
        <f t="shared" si="702"/>
        <v>3.02 &gt; El Salvador</v>
      </c>
      <c r="AH863" s="84">
        <f t="shared" si="705"/>
        <v>849</v>
      </c>
      <c r="AI863" s="84">
        <f t="shared" si="706"/>
        <v>32</v>
      </c>
      <c r="AJ863" s="877" t="s">
        <v>1526</v>
      </c>
    </row>
    <row r="864" spans="1:36" x14ac:dyDescent="0.2">
      <c r="A864" s="492">
        <f>INDEX(Country!$F$31:$G$76, MATCH(AI864, Country!$O$31:$O$76, 0), 1)</f>
        <v>3.0199999999999996</v>
      </c>
      <c r="B864" s="2" t="str">
        <f>INDEX(Country!$F$31:$G$76, MATCH(AI864, Country!$O$31:$O$76, 0), 2)</f>
        <v>Value chains by clean energy sector</v>
      </c>
      <c r="C864" s="436" t="str">
        <f>INDEX(Country!$K$31:$K$76, MATCH(AI864, Country!$O$31:$O$76, 0), 1)</f>
        <v>Value Chains</v>
      </c>
      <c r="D864" s="4" t="str">
        <f t="shared" si="661"/>
        <v>Guatemala</v>
      </c>
      <c r="E864" s="18">
        <f>Levelisation!F2520</f>
        <v>14</v>
      </c>
      <c r="F864" s="18">
        <f>Levelisation!G2520</f>
        <v>14</v>
      </c>
      <c r="G864" s="18">
        <f>Levelisation!H2520</f>
        <v>14</v>
      </c>
      <c r="H864" s="18">
        <f>Levelisation!I2520</f>
        <v>14</v>
      </c>
      <c r="I864" s="18">
        <f>Levelisation!J2520</f>
        <v>14</v>
      </c>
      <c r="J864" s="18">
        <f>Levelisation!K2520</f>
        <v>14</v>
      </c>
      <c r="K864" s="19">
        <f>Levelisation!L2520</f>
        <v>14</v>
      </c>
      <c r="L864" s="457">
        <f t="shared" si="709"/>
        <v>35</v>
      </c>
      <c r="M864" s="458">
        <f t="shared" si="710"/>
        <v>35</v>
      </c>
      <c r="N864" s="458">
        <f t="shared" si="671"/>
        <v>35</v>
      </c>
      <c r="O864" s="458">
        <f t="shared" si="672"/>
        <v>35</v>
      </c>
      <c r="P864" s="458">
        <f t="shared" si="673"/>
        <v>35</v>
      </c>
      <c r="Q864" s="458">
        <f t="shared" si="674"/>
        <v>35</v>
      </c>
      <c r="R864" s="459">
        <f t="shared" si="675"/>
        <v>35</v>
      </c>
      <c r="S864" s="455"/>
      <c r="T864" s="456"/>
      <c r="U864" s="456"/>
      <c r="V864" s="456"/>
      <c r="W864" s="456"/>
      <c r="X864" s="456"/>
      <c r="Y864" s="456"/>
      <c r="Z864" s="455"/>
      <c r="AA864" s="456"/>
      <c r="AB864" s="456"/>
      <c r="AC864" s="456"/>
      <c r="AD864" s="456"/>
      <c r="AE864" s="456"/>
      <c r="AF864" s="456"/>
      <c r="AG864" s="33" t="str">
        <f t="shared" si="702"/>
        <v>3.02 &gt; Guatemala</v>
      </c>
      <c r="AH864" s="84">
        <f t="shared" si="705"/>
        <v>850</v>
      </c>
      <c r="AI864" s="84">
        <f t="shared" si="706"/>
        <v>32</v>
      </c>
      <c r="AJ864" s="877" t="s">
        <v>1526</v>
      </c>
    </row>
    <row r="865" spans="1:36" x14ac:dyDescent="0.2">
      <c r="A865" s="492">
        <f>INDEX(Country!$F$31:$G$76, MATCH(AI865, Country!$O$31:$O$76, 0), 1)</f>
        <v>3.0199999999999996</v>
      </c>
      <c r="B865" s="2" t="str">
        <f>INDEX(Country!$F$31:$G$76, MATCH(AI865, Country!$O$31:$O$76, 0), 2)</f>
        <v>Value chains by clean energy sector</v>
      </c>
      <c r="C865" s="436" t="str">
        <f>INDEX(Country!$K$31:$K$76, MATCH(AI865, Country!$O$31:$O$76, 0), 1)</f>
        <v>Value Chains</v>
      </c>
      <c r="D865" s="4" t="str">
        <f t="shared" si="661"/>
        <v>Guyana</v>
      </c>
      <c r="E865" s="18">
        <f>Levelisation!F2521</f>
        <v>1</v>
      </c>
      <c r="F865" s="18">
        <f>Levelisation!G2521</f>
        <v>1</v>
      </c>
      <c r="G865" s="18">
        <f>Levelisation!H2521</f>
        <v>1</v>
      </c>
      <c r="H865" s="18">
        <f>Levelisation!I2521</f>
        <v>1</v>
      </c>
      <c r="I865" s="18">
        <f>Levelisation!J2521</f>
        <v>1</v>
      </c>
      <c r="J865" s="18">
        <f>Levelisation!K2521</f>
        <v>1</v>
      </c>
      <c r="K865" s="19">
        <f>Levelisation!L2521</f>
        <v>2</v>
      </c>
      <c r="L865" s="457">
        <f t="shared" si="709"/>
        <v>2.5</v>
      </c>
      <c r="M865" s="458">
        <f t="shared" si="710"/>
        <v>2.5</v>
      </c>
      <c r="N865" s="458">
        <f t="shared" si="671"/>
        <v>2.5</v>
      </c>
      <c r="O865" s="458">
        <f t="shared" si="672"/>
        <v>2.5</v>
      </c>
      <c r="P865" s="458">
        <f t="shared" si="673"/>
        <v>2.5</v>
      </c>
      <c r="Q865" s="458">
        <f t="shared" si="674"/>
        <v>2.5</v>
      </c>
      <c r="R865" s="459">
        <f t="shared" si="675"/>
        <v>5</v>
      </c>
      <c r="S865" s="455"/>
      <c r="T865" s="456"/>
      <c r="U865" s="456"/>
      <c r="V865" s="456"/>
      <c r="W865" s="456"/>
      <c r="X865" s="456"/>
      <c r="Y865" s="456"/>
      <c r="Z865" s="455"/>
      <c r="AA865" s="456"/>
      <c r="AB865" s="456"/>
      <c r="AC865" s="456"/>
      <c r="AD865" s="456"/>
      <c r="AE865" s="456"/>
      <c r="AF865" s="456"/>
      <c r="AG865" s="33" t="str">
        <f t="shared" si="702"/>
        <v>3.02 &gt; Guyana</v>
      </c>
      <c r="AH865" s="84">
        <f t="shared" si="705"/>
        <v>851</v>
      </c>
      <c r="AI865" s="84">
        <f t="shared" si="706"/>
        <v>32</v>
      </c>
      <c r="AJ865" s="877" t="s">
        <v>1526</v>
      </c>
    </row>
    <row r="866" spans="1:36" x14ac:dyDescent="0.2">
      <c r="A866" s="492">
        <f>INDEX(Country!$F$31:$G$76, MATCH(AI866, Country!$O$31:$O$76, 0), 1)</f>
        <v>3.0199999999999996</v>
      </c>
      <c r="B866" s="2" t="str">
        <f>INDEX(Country!$F$31:$G$76, MATCH(AI866, Country!$O$31:$O$76, 0), 2)</f>
        <v>Value chains by clean energy sector</v>
      </c>
      <c r="C866" s="436" t="str">
        <f>INDEX(Country!$K$31:$K$76, MATCH(AI866, Country!$O$31:$O$76, 0), 1)</f>
        <v>Value Chains</v>
      </c>
      <c r="D866" s="4" t="str">
        <f t="shared" si="661"/>
        <v>Haiti</v>
      </c>
      <c r="E866" s="18">
        <f>Levelisation!F2522</f>
        <v>2</v>
      </c>
      <c r="F866" s="18">
        <f>Levelisation!G2522</f>
        <v>2</v>
      </c>
      <c r="G866" s="18">
        <f>Levelisation!H2522</f>
        <v>2</v>
      </c>
      <c r="H866" s="18">
        <f>Levelisation!I2522</f>
        <v>2</v>
      </c>
      <c r="I866" s="18">
        <f>Levelisation!J2522</f>
        <v>2</v>
      </c>
      <c r="J866" s="18">
        <f>Levelisation!K2522</f>
        <v>2</v>
      </c>
      <c r="K866" s="19">
        <f>Levelisation!L2522</f>
        <v>3</v>
      </c>
      <c r="L866" s="457">
        <f t="shared" si="709"/>
        <v>5</v>
      </c>
      <c r="M866" s="458">
        <f t="shared" si="710"/>
        <v>5</v>
      </c>
      <c r="N866" s="458">
        <f t="shared" si="671"/>
        <v>5</v>
      </c>
      <c r="O866" s="458">
        <f t="shared" si="672"/>
        <v>5</v>
      </c>
      <c r="P866" s="458">
        <f t="shared" si="673"/>
        <v>5</v>
      </c>
      <c r="Q866" s="458">
        <f t="shared" si="674"/>
        <v>5</v>
      </c>
      <c r="R866" s="459">
        <f t="shared" si="675"/>
        <v>7.5</v>
      </c>
      <c r="S866" s="455"/>
      <c r="T866" s="456"/>
      <c r="U866" s="456"/>
      <c r="V866" s="456"/>
      <c r="W866" s="456"/>
      <c r="X866" s="456"/>
      <c r="Y866" s="456"/>
      <c r="Z866" s="455"/>
      <c r="AA866" s="456"/>
      <c r="AB866" s="456"/>
      <c r="AC866" s="456"/>
      <c r="AD866" s="456"/>
      <c r="AE866" s="456"/>
      <c r="AF866" s="456"/>
      <c r="AG866" s="33" t="str">
        <f t="shared" si="702"/>
        <v>3.02 &gt; Haiti</v>
      </c>
      <c r="AH866" s="84">
        <f t="shared" si="705"/>
        <v>852</v>
      </c>
      <c r="AI866" s="84">
        <f t="shared" si="706"/>
        <v>32</v>
      </c>
      <c r="AJ866" s="877" t="s">
        <v>1526</v>
      </c>
    </row>
    <row r="867" spans="1:36" x14ac:dyDescent="0.2">
      <c r="A867" s="492">
        <f>INDEX(Country!$F$31:$G$76, MATCH(AI867, Country!$O$31:$O$76, 0), 1)</f>
        <v>3.0199999999999996</v>
      </c>
      <c r="B867" s="2" t="str">
        <f>INDEX(Country!$F$31:$G$76, MATCH(AI867, Country!$O$31:$O$76, 0), 2)</f>
        <v>Value chains by clean energy sector</v>
      </c>
      <c r="C867" s="436" t="str">
        <f>INDEX(Country!$K$31:$K$76, MATCH(AI867, Country!$O$31:$O$76, 0), 1)</f>
        <v>Value Chains</v>
      </c>
      <c r="D867" s="4" t="str">
        <f t="shared" si="661"/>
        <v>Honduras</v>
      </c>
      <c r="E867" s="18">
        <f>Levelisation!F2523</f>
        <v>9</v>
      </c>
      <c r="F867" s="18">
        <f>Levelisation!G2523</f>
        <v>9</v>
      </c>
      <c r="G867" s="18">
        <f>Levelisation!H2523</f>
        <v>9</v>
      </c>
      <c r="H867" s="18">
        <f>Levelisation!I2523</f>
        <v>9</v>
      </c>
      <c r="I867" s="18">
        <f>Levelisation!J2523</f>
        <v>9</v>
      </c>
      <c r="J867" s="18">
        <f>Levelisation!K2523</f>
        <v>9</v>
      </c>
      <c r="K867" s="19">
        <f>Levelisation!L2523</f>
        <v>10</v>
      </c>
      <c r="L867" s="457">
        <f t="shared" si="709"/>
        <v>22.5</v>
      </c>
      <c r="M867" s="458">
        <f t="shared" si="710"/>
        <v>22.5</v>
      </c>
      <c r="N867" s="458">
        <f t="shared" si="671"/>
        <v>22.5</v>
      </c>
      <c r="O867" s="458">
        <f t="shared" si="672"/>
        <v>22.5</v>
      </c>
      <c r="P867" s="458">
        <f t="shared" si="673"/>
        <v>22.5</v>
      </c>
      <c r="Q867" s="458">
        <f t="shared" si="674"/>
        <v>22.5</v>
      </c>
      <c r="R867" s="459">
        <f t="shared" si="675"/>
        <v>25</v>
      </c>
      <c r="S867" s="455"/>
      <c r="T867" s="456"/>
      <c r="U867" s="456"/>
      <c r="V867" s="456"/>
      <c r="W867" s="456"/>
      <c r="X867" s="456"/>
      <c r="Y867" s="456"/>
      <c r="Z867" s="455"/>
      <c r="AA867" s="456"/>
      <c r="AB867" s="456"/>
      <c r="AC867" s="456"/>
      <c r="AD867" s="456"/>
      <c r="AE867" s="456"/>
      <c r="AF867" s="456"/>
      <c r="AG867" s="33" t="str">
        <f t="shared" si="702"/>
        <v>3.02 &gt; Honduras</v>
      </c>
      <c r="AH867" s="84">
        <f t="shared" si="705"/>
        <v>853</v>
      </c>
      <c r="AI867" s="84">
        <f t="shared" si="706"/>
        <v>32</v>
      </c>
      <c r="AJ867" s="877" t="s">
        <v>1526</v>
      </c>
    </row>
    <row r="868" spans="1:36" x14ac:dyDescent="0.2">
      <c r="A868" s="492">
        <f>INDEX(Country!$F$31:$G$76, MATCH(AI868, Country!$O$31:$O$76, 0), 1)</f>
        <v>3.0199999999999996</v>
      </c>
      <c r="B868" s="2" t="str">
        <f>INDEX(Country!$F$31:$G$76, MATCH(AI868, Country!$O$31:$O$76, 0), 2)</f>
        <v>Value chains by clean energy sector</v>
      </c>
      <c r="C868" s="436" t="str">
        <f>INDEX(Country!$K$31:$K$76, MATCH(AI868, Country!$O$31:$O$76, 0), 1)</f>
        <v>Value Chains</v>
      </c>
      <c r="D868" s="4" t="str">
        <f t="shared" si="661"/>
        <v>Jamaica</v>
      </c>
      <c r="E868" s="18">
        <f>Levelisation!F2524</f>
        <v>4</v>
      </c>
      <c r="F868" s="18">
        <f>Levelisation!G2524</f>
        <v>4</v>
      </c>
      <c r="G868" s="18">
        <f>Levelisation!H2524</f>
        <v>4</v>
      </c>
      <c r="H868" s="18">
        <f>Levelisation!I2524</f>
        <v>4</v>
      </c>
      <c r="I868" s="18">
        <f>Levelisation!J2524</f>
        <v>4</v>
      </c>
      <c r="J868" s="18">
        <f>Levelisation!K2524</f>
        <v>4</v>
      </c>
      <c r="K868" s="19">
        <f>Levelisation!L2524</f>
        <v>9</v>
      </c>
      <c r="L868" s="457">
        <f t="shared" si="709"/>
        <v>10</v>
      </c>
      <c r="M868" s="458">
        <f t="shared" si="710"/>
        <v>10</v>
      </c>
      <c r="N868" s="458">
        <f t="shared" si="671"/>
        <v>10</v>
      </c>
      <c r="O868" s="458">
        <f t="shared" si="672"/>
        <v>10</v>
      </c>
      <c r="P868" s="458">
        <f t="shared" si="673"/>
        <v>10</v>
      </c>
      <c r="Q868" s="458">
        <f t="shared" si="674"/>
        <v>10</v>
      </c>
      <c r="R868" s="459">
        <f t="shared" si="675"/>
        <v>22.5</v>
      </c>
      <c r="S868" s="455"/>
      <c r="T868" s="456"/>
      <c r="U868" s="456"/>
      <c r="V868" s="456"/>
      <c r="W868" s="456"/>
      <c r="X868" s="456"/>
      <c r="Y868" s="456"/>
      <c r="Z868" s="455"/>
      <c r="AA868" s="456"/>
      <c r="AB868" s="456"/>
      <c r="AC868" s="456"/>
      <c r="AD868" s="456"/>
      <c r="AE868" s="456"/>
      <c r="AF868" s="456"/>
      <c r="AG868" s="33" t="str">
        <f t="shared" si="702"/>
        <v>3.02 &gt; Jamaica</v>
      </c>
      <c r="AH868" s="84">
        <f t="shared" si="705"/>
        <v>854</v>
      </c>
      <c r="AI868" s="84">
        <f t="shared" si="706"/>
        <v>32</v>
      </c>
      <c r="AJ868" s="877" t="s">
        <v>1526</v>
      </c>
    </row>
    <row r="869" spans="1:36" x14ac:dyDescent="0.2">
      <c r="A869" s="492">
        <f>INDEX(Country!$F$31:$G$76, MATCH(AI869, Country!$O$31:$O$76, 0), 1)</f>
        <v>3.0199999999999996</v>
      </c>
      <c r="B869" s="2" t="str">
        <f>INDEX(Country!$F$31:$G$76, MATCH(AI869, Country!$O$31:$O$76, 0), 2)</f>
        <v>Value chains by clean energy sector</v>
      </c>
      <c r="C869" s="436" t="str">
        <f>INDEX(Country!$K$31:$K$76, MATCH(AI869, Country!$O$31:$O$76, 0), 1)</f>
        <v>Value Chains</v>
      </c>
      <c r="D869" s="4" t="str">
        <f t="shared" si="661"/>
        <v>Mexico</v>
      </c>
      <c r="E869" s="18">
        <f>Levelisation!F2525</f>
        <v>22</v>
      </c>
      <c r="F869" s="18">
        <f>Levelisation!G2525</f>
        <v>22</v>
      </c>
      <c r="G869" s="18">
        <f>Levelisation!H2525</f>
        <v>22</v>
      </c>
      <c r="H869" s="18">
        <f>Levelisation!I2525</f>
        <v>22</v>
      </c>
      <c r="I869" s="18">
        <f>Levelisation!J2525</f>
        <v>22</v>
      </c>
      <c r="J869" s="18">
        <f>Levelisation!K2525</f>
        <v>22</v>
      </c>
      <c r="K869" s="19">
        <f>Levelisation!L2525</f>
        <v>25</v>
      </c>
      <c r="L869" s="457">
        <f t="shared" si="709"/>
        <v>55</v>
      </c>
      <c r="M869" s="458">
        <f t="shared" si="710"/>
        <v>55</v>
      </c>
      <c r="N869" s="458">
        <f t="shared" si="671"/>
        <v>55</v>
      </c>
      <c r="O869" s="458">
        <f t="shared" si="672"/>
        <v>55</v>
      </c>
      <c r="P869" s="458">
        <f t="shared" si="673"/>
        <v>55</v>
      </c>
      <c r="Q869" s="458">
        <f t="shared" si="674"/>
        <v>55</v>
      </c>
      <c r="R869" s="459">
        <f t="shared" si="675"/>
        <v>62.5</v>
      </c>
      <c r="S869" s="455"/>
      <c r="T869" s="456"/>
      <c r="U869" s="456"/>
      <c r="V869" s="456"/>
      <c r="W869" s="456"/>
      <c r="X869" s="456"/>
      <c r="Y869" s="456"/>
      <c r="Z869" s="455"/>
      <c r="AA869" s="456"/>
      <c r="AB869" s="456"/>
      <c r="AC869" s="456"/>
      <c r="AD869" s="456"/>
      <c r="AE869" s="456"/>
      <c r="AF869" s="456"/>
      <c r="AG869" s="33" t="str">
        <f t="shared" si="702"/>
        <v>3.02 &gt; Mexico</v>
      </c>
      <c r="AH869" s="84">
        <f t="shared" si="705"/>
        <v>855</v>
      </c>
      <c r="AI869" s="84">
        <f t="shared" si="706"/>
        <v>32</v>
      </c>
      <c r="AJ869" s="877" t="s">
        <v>1526</v>
      </c>
    </row>
    <row r="870" spans="1:36" x14ac:dyDescent="0.2">
      <c r="A870" s="492">
        <f>INDEX(Country!$F$31:$G$76, MATCH(AI870, Country!$O$31:$O$76, 0), 1)</f>
        <v>3.0199999999999996</v>
      </c>
      <c r="B870" s="2" t="str">
        <f>INDEX(Country!$F$31:$G$76, MATCH(AI870, Country!$O$31:$O$76, 0), 2)</f>
        <v>Value chains by clean energy sector</v>
      </c>
      <c r="C870" s="436" t="str">
        <f>INDEX(Country!$K$31:$K$76, MATCH(AI870, Country!$O$31:$O$76, 0), 1)</f>
        <v>Value Chains</v>
      </c>
      <c r="D870" s="4" t="str">
        <f t="shared" si="661"/>
        <v>Nicaragua</v>
      </c>
      <c r="E870" s="18">
        <f>Levelisation!F2526</f>
        <v>6</v>
      </c>
      <c r="F870" s="18">
        <f>Levelisation!G2526</f>
        <v>6</v>
      </c>
      <c r="G870" s="18">
        <f>Levelisation!H2526</f>
        <v>6</v>
      </c>
      <c r="H870" s="18">
        <f>Levelisation!I2526</f>
        <v>6</v>
      </c>
      <c r="I870" s="18">
        <f>Levelisation!J2526</f>
        <v>6</v>
      </c>
      <c r="J870" s="18">
        <f>Levelisation!K2526</f>
        <v>6</v>
      </c>
      <c r="K870" s="19">
        <f>Levelisation!L2526</f>
        <v>12</v>
      </c>
      <c r="L870" s="457">
        <f t="shared" si="709"/>
        <v>15</v>
      </c>
      <c r="M870" s="458">
        <f t="shared" si="710"/>
        <v>15</v>
      </c>
      <c r="N870" s="458">
        <f t="shared" si="671"/>
        <v>15</v>
      </c>
      <c r="O870" s="458">
        <f t="shared" si="672"/>
        <v>15</v>
      </c>
      <c r="P870" s="458">
        <f t="shared" si="673"/>
        <v>15</v>
      </c>
      <c r="Q870" s="458">
        <f t="shared" si="674"/>
        <v>15</v>
      </c>
      <c r="R870" s="459">
        <f t="shared" si="675"/>
        <v>30</v>
      </c>
      <c r="S870" s="455"/>
      <c r="T870" s="456"/>
      <c r="U870" s="456"/>
      <c r="V870" s="456"/>
      <c r="W870" s="456"/>
      <c r="X870" s="456"/>
      <c r="Y870" s="456"/>
      <c r="Z870" s="455"/>
      <c r="AA870" s="456"/>
      <c r="AB870" s="456"/>
      <c r="AC870" s="456"/>
      <c r="AD870" s="456"/>
      <c r="AE870" s="456"/>
      <c r="AF870" s="456"/>
      <c r="AG870" s="33" t="str">
        <f t="shared" si="702"/>
        <v>3.02 &gt; Nicaragua</v>
      </c>
      <c r="AH870" s="84">
        <f t="shared" si="705"/>
        <v>856</v>
      </c>
      <c r="AI870" s="84">
        <f t="shared" si="706"/>
        <v>32</v>
      </c>
      <c r="AJ870" s="877" t="s">
        <v>1526</v>
      </c>
    </row>
    <row r="871" spans="1:36" x14ac:dyDescent="0.2">
      <c r="A871" s="492">
        <f>INDEX(Country!$F$31:$G$76, MATCH(AI871, Country!$O$31:$O$76, 0), 1)</f>
        <v>3.0199999999999996</v>
      </c>
      <c r="B871" s="2" t="str">
        <f>INDEX(Country!$F$31:$G$76, MATCH(AI871, Country!$O$31:$O$76, 0), 2)</f>
        <v>Value chains by clean energy sector</v>
      </c>
      <c r="C871" s="436" t="str">
        <f>INDEX(Country!$K$31:$K$76, MATCH(AI871, Country!$O$31:$O$76, 0), 1)</f>
        <v>Value Chains</v>
      </c>
      <c r="D871" s="4" t="str">
        <f t="shared" si="661"/>
        <v>Panama</v>
      </c>
      <c r="E871" s="18">
        <f>Levelisation!F2527</f>
        <v>5</v>
      </c>
      <c r="F871" s="18">
        <f>Levelisation!G2527</f>
        <v>5</v>
      </c>
      <c r="G871" s="18">
        <f>Levelisation!H2527</f>
        <v>5</v>
      </c>
      <c r="H871" s="18">
        <f>Levelisation!I2527</f>
        <v>5</v>
      </c>
      <c r="I871" s="18">
        <f>Levelisation!J2527</f>
        <v>5</v>
      </c>
      <c r="J871" s="18">
        <f>Levelisation!K2527</f>
        <v>5</v>
      </c>
      <c r="K871" s="19">
        <f>Levelisation!L2527</f>
        <v>8</v>
      </c>
      <c r="L871" s="457">
        <f t="shared" si="709"/>
        <v>12.5</v>
      </c>
      <c r="M871" s="458">
        <f t="shared" si="710"/>
        <v>12.5</v>
      </c>
      <c r="N871" s="458">
        <f t="shared" si="671"/>
        <v>12.5</v>
      </c>
      <c r="O871" s="458">
        <f t="shared" si="672"/>
        <v>12.5</v>
      </c>
      <c r="P871" s="458">
        <f t="shared" si="673"/>
        <v>12.5</v>
      </c>
      <c r="Q871" s="458">
        <f t="shared" si="674"/>
        <v>12.5</v>
      </c>
      <c r="R871" s="459">
        <f t="shared" si="675"/>
        <v>20</v>
      </c>
      <c r="S871" s="455"/>
      <c r="T871" s="456"/>
      <c r="U871" s="456"/>
      <c r="V871" s="456"/>
      <c r="W871" s="456"/>
      <c r="X871" s="456"/>
      <c r="Y871" s="456"/>
      <c r="Z871" s="455"/>
      <c r="AA871" s="456"/>
      <c r="AB871" s="456"/>
      <c r="AC871" s="456"/>
      <c r="AD871" s="456"/>
      <c r="AE871" s="456"/>
      <c r="AF871" s="456"/>
      <c r="AG871" s="33" t="str">
        <f t="shared" si="702"/>
        <v>3.02 &gt; Panama</v>
      </c>
      <c r="AH871" s="84">
        <f t="shared" si="705"/>
        <v>857</v>
      </c>
      <c r="AI871" s="84">
        <f t="shared" si="706"/>
        <v>32</v>
      </c>
      <c r="AJ871" s="877" t="s">
        <v>1526</v>
      </c>
    </row>
    <row r="872" spans="1:36" x14ac:dyDescent="0.2">
      <c r="A872" s="492">
        <f>INDEX(Country!$F$31:$G$76, MATCH(AI872, Country!$O$31:$O$76, 0), 1)</f>
        <v>3.0199999999999996</v>
      </c>
      <c r="B872" s="2" t="str">
        <f>INDEX(Country!$F$31:$G$76, MATCH(AI872, Country!$O$31:$O$76, 0), 2)</f>
        <v>Value chains by clean energy sector</v>
      </c>
      <c r="C872" s="436" t="str">
        <f>INDEX(Country!$K$31:$K$76, MATCH(AI872, Country!$O$31:$O$76, 0), 1)</f>
        <v>Value Chains</v>
      </c>
      <c r="D872" s="4" t="str">
        <f t="shared" si="661"/>
        <v>Paraguay</v>
      </c>
      <c r="E872" s="18">
        <f>Levelisation!F2528</f>
        <v>3</v>
      </c>
      <c r="F872" s="18">
        <f>Levelisation!G2528</f>
        <v>3</v>
      </c>
      <c r="G872" s="18">
        <f>Levelisation!H2528</f>
        <v>3</v>
      </c>
      <c r="H872" s="18">
        <f>Levelisation!I2528</f>
        <v>3</v>
      </c>
      <c r="I872" s="18">
        <f>Levelisation!J2528</f>
        <v>3</v>
      </c>
      <c r="J872" s="18">
        <f>Levelisation!K2528</f>
        <v>3</v>
      </c>
      <c r="K872" s="19">
        <f>Levelisation!L2528</f>
        <v>6</v>
      </c>
      <c r="L872" s="457">
        <f t="shared" si="709"/>
        <v>7.5</v>
      </c>
      <c r="M872" s="458">
        <f t="shared" si="710"/>
        <v>7.5</v>
      </c>
      <c r="N872" s="458">
        <f t="shared" si="671"/>
        <v>7.5</v>
      </c>
      <c r="O872" s="458">
        <f t="shared" si="672"/>
        <v>7.5</v>
      </c>
      <c r="P872" s="458">
        <f t="shared" si="673"/>
        <v>7.5</v>
      </c>
      <c r="Q872" s="458">
        <f t="shared" si="674"/>
        <v>7.5</v>
      </c>
      <c r="R872" s="459">
        <f t="shared" si="675"/>
        <v>15</v>
      </c>
      <c r="S872" s="455"/>
      <c r="T872" s="456"/>
      <c r="U872" s="456"/>
      <c r="V872" s="456"/>
      <c r="W872" s="456"/>
      <c r="X872" s="456"/>
      <c r="Y872" s="456"/>
      <c r="Z872" s="455"/>
      <c r="AA872" s="456"/>
      <c r="AB872" s="456"/>
      <c r="AC872" s="456"/>
      <c r="AD872" s="456"/>
      <c r="AE872" s="456"/>
      <c r="AF872" s="456"/>
      <c r="AG872" s="33" t="str">
        <f t="shared" si="702"/>
        <v>3.02 &gt; Paraguay</v>
      </c>
      <c r="AH872" s="84">
        <f t="shared" si="705"/>
        <v>858</v>
      </c>
      <c r="AI872" s="84">
        <f t="shared" si="706"/>
        <v>32</v>
      </c>
      <c r="AJ872" s="877" t="s">
        <v>1526</v>
      </c>
    </row>
    <row r="873" spans="1:36" x14ac:dyDescent="0.2">
      <c r="A873" s="492">
        <f>INDEX(Country!$F$31:$G$76, MATCH(AI873, Country!$O$31:$O$76, 0), 1)</f>
        <v>3.0199999999999996</v>
      </c>
      <c r="B873" s="2" t="str">
        <f>INDEX(Country!$F$31:$G$76, MATCH(AI873, Country!$O$31:$O$76, 0), 2)</f>
        <v>Value chains by clean energy sector</v>
      </c>
      <c r="C873" s="436" t="str">
        <f>INDEX(Country!$K$31:$K$76, MATCH(AI873, Country!$O$31:$O$76, 0), 1)</f>
        <v>Value Chains</v>
      </c>
      <c r="D873" s="4" t="str">
        <f t="shared" si="661"/>
        <v>Peru</v>
      </c>
      <c r="E873" s="18">
        <f>Levelisation!F2529</f>
        <v>15</v>
      </c>
      <c r="F873" s="18">
        <f>Levelisation!G2529</f>
        <v>15</v>
      </c>
      <c r="G873" s="18">
        <f>Levelisation!H2529</f>
        <v>15</v>
      </c>
      <c r="H873" s="18">
        <f>Levelisation!I2529</f>
        <v>15</v>
      </c>
      <c r="I873" s="18">
        <f>Levelisation!J2529</f>
        <v>15</v>
      </c>
      <c r="J873" s="18">
        <f>Levelisation!K2529</f>
        <v>15</v>
      </c>
      <c r="K873" s="19">
        <f>Levelisation!L2529</f>
        <v>17</v>
      </c>
      <c r="L873" s="457">
        <f t="shared" si="709"/>
        <v>37.5</v>
      </c>
      <c r="M873" s="458">
        <f t="shared" si="710"/>
        <v>37.5</v>
      </c>
      <c r="N873" s="458">
        <f t="shared" si="671"/>
        <v>37.5</v>
      </c>
      <c r="O873" s="458">
        <f t="shared" si="672"/>
        <v>37.5</v>
      </c>
      <c r="P873" s="458">
        <f t="shared" si="673"/>
        <v>37.5</v>
      </c>
      <c r="Q873" s="458">
        <f t="shared" si="674"/>
        <v>37.5</v>
      </c>
      <c r="R873" s="459">
        <f t="shared" si="675"/>
        <v>42.5</v>
      </c>
      <c r="S873" s="455"/>
      <c r="T873" s="456"/>
      <c r="U873" s="456"/>
      <c r="V873" s="456"/>
      <c r="W873" s="456"/>
      <c r="X873" s="456"/>
      <c r="Y873" s="456"/>
      <c r="Z873" s="455"/>
      <c r="AA873" s="456"/>
      <c r="AB873" s="456"/>
      <c r="AC873" s="456"/>
      <c r="AD873" s="456"/>
      <c r="AE873" s="456"/>
      <c r="AF873" s="456"/>
      <c r="AG873" s="33" t="str">
        <f t="shared" si="702"/>
        <v>3.02 &gt; Peru</v>
      </c>
      <c r="AH873" s="84">
        <f t="shared" si="705"/>
        <v>859</v>
      </c>
      <c r="AI873" s="84">
        <f t="shared" si="706"/>
        <v>32</v>
      </c>
      <c r="AJ873" s="877" t="s">
        <v>1526</v>
      </c>
    </row>
    <row r="874" spans="1:36" x14ac:dyDescent="0.2">
      <c r="A874" s="492">
        <f>INDEX(Country!$F$31:$G$76, MATCH(AI874, Country!$O$31:$O$76, 0), 1)</f>
        <v>3.0199999999999996</v>
      </c>
      <c r="B874" s="2" t="str">
        <f>INDEX(Country!$F$31:$G$76, MATCH(AI874, Country!$O$31:$O$76, 0), 2)</f>
        <v>Value chains by clean energy sector</v>
      </c>
      <c r="C874" s="436" t="str">
        <f>INDEX(Country!$K$31:$K$76, MATCH(AI874, Country!$O$31:$O$76, 0), 1)</f>
        <v>Value Chains</v>
      </c>
      <c r="D874" s="4" t="str">
        <f t="shared" si="661"/>
        <v>Suriname</v>
      </c>
      <c r="E874" s="18">
        <f>Levelisation!F2530</f>
        <v>1</v>
      </c>
      <c r="F874" s="18">
        <f>Levelisation!G2530</f>
        <v>1</v>
      </c>
      <c r="G874" s="18">
        <f>Levelisation!H2530</f>
        <v>1</v>
      </c>
      <c r="H874" s="18">
        <f>Levelisation!I2530</f>
        <v>1</v>
      </c>
      <c r="I874" s="18">
        <f>Levelisation!J2530</f>
        <v>1</v>
      </c>
      <c r="J874" s="18">
        <f>Levelisation!K2530</f>
        <v>1</v>
      </c>
      <c r="K874" s="19">
        <f>Levelisation!L2530</f>
        <v>3</v>
      </c>
      <c r="L874" s="457">
        <f t="shared" si="709"/>
        <v>2.5</v>
      </c>
      <c r="M874" s="458">
        <f t="shared" si="710"/>
        <v>2.5</v>
      </c>
      <c r="N874" s="458">
        <f t="shared" si="671"/>
        <v>2.5</v>
      </c>
      <c r="O874" s="458">
        <f t="shared" si="672"/>
        <v>2.5</v>
      </c>
      <c r="P874" s="458">
        <f t="shared" si="673"/>
        <v>2.5</v>
      </c>
      <c r="Q874" s="458">
        <f t="shared" si="674"/>
        <v>2.5</v>
      </c>
      <c r="R874" s="459">
        <f t="shared" si="675"/>
        <v>7.5</v>
      </c>
      <c r="S874" s="455"/>
      <c r="T874" s="456"/>
      <c r="U874" s="456"/>
      <c r="V874" s="456"/>
      <c r="W874" s="456"/>
      <c r="X874" s="456"/>
      <c r="Y874" s="456"/>
      <c r="Z874" s="455"/>
      <c r="AA874" s="456"/>
      <c r="AB874" s="456"/>
      <c r="AC874" s="456"/>
      <c r="AD874" s="456"/>
      <c r="AE874" s="456"/>
      <c r="AF874" s="456"/>
      <c r="AG874" s="33" t="str">
        <f t="shared" si="702"/>
        <v>3.02 &gt; Suriname</v>
      </c>
      <c r="AH874" s="84">
        <f t="shared" si="705"/>
        <v>860</v>
      </c>
      <c r="AI874" s="84">
        <f t="shared" si="706"/>
        <v>32</v>
      </c>
      <c r="AJ874" s="877" t="s">
        <v>1526</v>
      </c>
    </row>
    <row r="875" spans="1:36" x14ac:dyDescent="0.2">
      <c r="A875" s="492">
        <f>INDEX(Country!$F$31:$G$76, MATCH(AI875, Country!$O$31:$O$76, 0), 1)</f>
        <v>3.0199999999999996</v>
      </c>
      <c r="B875" s="2" t="str">
        <f>INDEX(Country!$F$31:$G$76, MATCH(AI875, Country!$O$31:$O$76, 0), 2)</f>
        <v>Value chains by clean energy sector</v>
      </c>
      <c r="C875" s="436" t="str">
        <f>INDEX(Country!$K$31:$K$76, MATCH(AI875, Country!$O$31:$O$76, 0), 1)</f>
        <v>Value Chains</v>
      </c>
      <c r="D875" s="4" t="str">
        <f t="shared" si="661"/>
        <v>Trinidad &amp; Tobago</v>
      </c>
      <c r="E875" s="18">
        <f>Levelisation!F2531</f>
        <v>2</v>
      </c>
      <c r="F875" s="18">
        <f>Levelisation!G2531</f>
        <v>2</v>
      </c>
      <c r="G875" s="18">
        <f>Levelisation!H2531</f>
        <v>2</v>
      </c>
      <c r="H875" s="18">
        <f>Levelisation!I2531</f>
        <v>2</v>
      </c>
      <c r="I875" s="18">
        <f>Levelisation!J2531</f>
        <v>2</v>
      </c>
      <c r="J875" s="18">
        <f>Levelisation!K2531</f>
        <v>2</v>
      </c>
      <c r="K875" s="19">
        <f>Levelisation!L2531</f>
        <v>2</v>
      </c>
      <c r="L875" s="457">
        <f t="shared" si="709"/>
        <v>5</v>
      </c>
      <c r="M875" s="458">
        <f t="shared" si="710"/>
        <v>5</v>
      </c>
      <c r="N875" s="458">
        <f t="shared" si="671"/>
        <v>5</v>
      </c>
      <c r="O875" s="458">
        <f t="shared" si="672"/>
        <v>5</v>
      </c>
      <c r="P875" s="458">
        <f t="shared" si="673"/>
        <v>5</v>
      </c>
      <c r="Q875" s="458">
        <f t="shared" si="674"/>
        <v>5</v>
      </c>
      <c r="R875" s="459">
        <f t="shared" si="675"/>
        <v>5</v>
      </c>
      <c r="S875" s="455"/>
      <c r="T875" s="456"/>
      <c r="U875" s="456"/>
      <c r="V875" s="456"/>
      <c r="W875" s="456"/>
      <c r="X875" s="456"/>
      <c r="Y875" s="456"/>
      <c r="Z875" s="455"/>
      <c r="AA875" s="456"/>
      <c r="AB875" s="456"/>
      <c r="AC875" s="456"/>
      <c r="AD875" s="456"/>
      <c r="AE875" s="456"/>
      <c r="AF875" s="456"/>
      <c r="AG875" s="33" t="str">
        <f t="shared" si="702"/>
        <v>3.02 &gt; Trinidad &amp; Tobago</v>
      </c>
      <c r="AH875" s="84">
        <f t="shared" si="705"/>
        <v>861</v>
      </c>
      <c r="AI875" s="84">
        <f t="shared" si="706"/>
        <v>32</v>
      </c>
      <c r="AJ875" s="877" t="s">
        <v>1526</v>
      </c>
    </row>
    <row r="876" spans="1:36" x14ac:dyDescent="0.2">
      <c r="A876" s="492">
        <f>INDEX(Country!$F$31:$G$76, MATCH(AI876, Country!$O$31:$O$76, 0), 1)</f>
        <v>3.0199999999999996</v>
      </c>
      <c r="B876" s="2" t="str">
        <f>INDEX(Country!$F$31:$G$76, MATCH(AI876, Country!$O$31:$O$76, 0), 2)</f>
        <v>Value chains by clean energy sector</v>
      </c>
      <c r="C876" s="436" t="str">
        <f>INDEX(Country!$K$31:$K$76, MATCH(AI876, Country!$O$31:$O$76, 0), 1)</f>
        <v>Value Chains</v>
      </c>
      <c r="D876" s="4" t="str">
        <f t="shared" si="661"/>
        <v>Uruguay</v>
      </c>
      <c r="E876" s="18">
        <f>Levelisation!F2532</f>
        <v>9</v>
      </c>
      <c r="F876" s="18">
        <f>Levelisation!G2532</f>
        <v>9</v>
      </c>
      <c r="G876" s="18">
        <f>Levelisation!H2532</f>
        <v>9</v>
      </c>
      <c r="H876" s="18">
        <f>Levelisation!I2532</f>
        <v>9</v>
      </c>
      <c r="I876" s="18">
        <f>Levelisation!J2532</f>
        <v>9</v>
      </c>
      <c r="J876" s="18">
        <f>Levelisation!K2532</f>
        <v>9</v>
      </c>
      <c r="K876" s="19">
        <f>Levelisation!L2532</f>
        <v>15</v>
      </c>
      <c r="L876" s="457">
        <f t="shared" si="709"/>
        <v>22.5</v>
      </c>
      <c r="M876" s="458">
        <f t="shared" si="710"/>
        <v>22.5</v>
      </c>
      <c r="N876" s="458">
        <f t="shared" si="671"/>
        <v>22.5</v>
      </c>
      <c r="O876" s="458">
        <f t="shared" si="672"/>
        <v>22.5</v>
      </c>
      <c r="P876" s="458">
        <f t="shared" si="673"/>
        <v>22.5</v>
      </c>
      <c r="Q876" s="458">
        <f t="shared" si="674"/>
        <v>22.5</v>
      </c>
      <c r="R876" s="459">
        <f t="shared" si="675"/>
        <v>37.5</v>
      </c>
      <c r="S876" s="455"/>
      <c r="T876" s="456"/>
      <c r="U876" s="456"/>
      <c r="V876" s="456"/>
      <c r="W876" s="456"/>
      <c r="X876" s="456"/>
      <c r="Y876" s="456"/>
      <c r="Z876" s="455"/>
      <c r="AA876" s="456"/>
      <c r="AB876" s="456"/>
      <c r="AC876" s="456"/>
      <c r="AD876" s="456"/>
      <c r="AE876" s="456"/>
      <c r="AF876" s="456"/>
      <c r="AG876" s="33" t="str">
        <f t="shared" si="702"/>
        <v>3.02 &gt; Uruguay</v>
      </c>
      <c r="AH876" s="84">
        <f t="shared" si="705"/>
        <v>862</v>
      </c>
      <c r="AI876" s="84">
        <f t="shared" si="706"/>
        <v>32</v>
      </c>
      <c r="AJ876" s="877" t="s">
        <v>1526</v>
      </c>
    </row>
    <row r="877" spans="1:36" x14ac:dyDescent="0.2">
      <c r="A877" s="491">
        <f>INDEX(Country!$F$31:$G$76, MATCH(AI877, Country!$O$31:$O$76, 0), 1)</f>
        <v>3.0199999999999996</v>
      </c>
      <c r="B877" s="386" t="str">
        <f>INDEX(Country!$F$31:$G$76, MATCH(AI877, Country!$O$31:$O$76, 0), 2)</f>
        <v>Value chains by clean energy sector</v>
      </c>
      <c r="C877" s="437" t="str">
        <f>INDEX(Country!$K$31:$K$76, MATCH(AI877, Country!$O$31:$O$76, 0), 1)</f>
        <v>Value Chains</v>
      </c>
      <c r="D877" s="86" t="str">
        <f t="shared" si="661"/>
        <v>Venezuela</v>
      </c>
      <c r="E877" s="375">
        <f>Levelisation!F2533</f>
        <v>2</v>
      </c>
      <c r="F877" s="375">
        <f>Levelisation!G2533</f>
        <v>2</v>
      </c>
      <c r="G877" s="375">
        <f>Levelisation!H2533</f>
        <v>2</v>
      </c>
      <c r="H877" s="375">
        <f>Levelisation!I2533</f>
        <v>2</v>
      </c>
      <c r="I877" s="375">
        <f>Levelisation!J2533</f>
        <v>2</v>
      </c>
      <c r="J877" s="375">
        <f>Levelisation!K2533</f>
        <v>2</v>
      </c>
      <c r="K877" s="405">
        <f>Levelisation!L2533</f>
        <v>5</v>
      </c>
      <c r="L877" s="460">
        <f t="shared" si="709"/>
        <v>5</v>
      </c>
      <c r="M877" s="461">
        <f t="shared" si="710"/>
        <v>5</v>
      </c>
      <c r="N877" s="461">
        <f t="shared" si="671"/>
        <v>5</v>
      </c>
      <c r="O877" s="461">
        <f t="shared" si="672"/>
        <v>5</v>
      </c>
      <c r="P877" s="461">
        <f t="shared" si="673"/>
        <v>5</v>
      </c>
      <c r="Q877" s="461">
        <f t="shared" si="674"/>
        <v>5</v>
      </c>
      <c r="R877" s="462">
        <f t="shared" si="675"/>
        <v>12.5</v>
      </c>
      <c r="S877" s="455"/>
      <c r="T877" s="456"/>
      <c r="U877" s="456"/>
      <c r="V877" s="456"/>
      <c r="W877" s="456"/>
      <c r="X877" s="456"/>
      <c r="Y877" s="456"/>
      <c r="Z877" s="455"/>
      <c r="AA877" s="456"/>
      <c r="AB877" s="456"/>
      <c r="AC877" s="456"/>
      <c r="AD877" s="456"/>
      <c r="AE877" s="456"/>
      <c r="AF877" s="456"/>
      <c r="AG877" s="90" t="str">
        <f t="shared" si="702"/>
        <v>3.02 &gt; Venezuela</v>
      </c>
      <c r="AH877" s="392">
        <f t="shared" si="705"/>
        <v>863</v>
      </c>
      <c r="AI877" s="392">
        <f t="shared" si="706"/>
        <v>32</v>
      </c>
      <c r="AJ877" s="878" t="s">
        <v>1526</v>
      </c>
    </row>
    <row r="878" spans="1:36" x14ac:dyDescent="0.2">
      <c r="A878" s="490">
        <f>INDEX(Country!$F$31:$G$76, MATCH(AI878, Country!$O$31:$O$76, 0), 1)</f>
        <v>3.0199999999999996</v>
      </c>
      <c r="B878" s="387" t="str">
        <f>INDEX(Country!$F$31:$G$76, MATCH(AI878, Country!$O$31:$O$76, 0), 2)</f>
        <v>Value chains by clean energy sector</v>
      </c>
      <c r="C878" s="438" t="str">
        <f>INDEX(Country!$K$31:$K$76, MATCH(AI878, Country!$O$31:$O$76, 0), 1)</f>
        <v>Value Chains</v>
      </c>
      <c r="D878" s="32" t="str">
        <f t="shared" si="661"/>
        <v>Benchmark</v>
      </c>
      <c r="E878" s="365">
        <v>40</v>
      </c>
      <c r="F878" s="365">
        <v>40</v>
      </c>
      <c r="G878" s="365">
        <v>40</v>
      </c>
      <c r="H878" s="365">
        <v>40</v>
      </c>
      <c r="I878" s="365">
        <v>40</v>
      </c>
      <c r="J878" s="365">
        <v>40</v>
      </c>
      <c r="K878" s="593">
        <v>40</v>
      </c>
      <c r="L878" s="585">
        <f t="shared" si="709"/>
        <v>100</v>
      </c>
      <c r="M878" s="463">
        <f t="shared" si="710"/>
        <v>100</v>
      </c>
      <c r="N878" s="463">
        <f t="shared" si="671"/>
        <v>100</v>
      </c>
      <c r="O878" s="463">
        <f t="shared" si="672"/>
        <v>100</v>
      </c>
      <c r="P878" s="463">
        <f t="shared" si="673"/>
        <v>100</v>
      </c>
      <c r="Q878" s="463">
        <f t="shared" si="674"/>
        <v>100</v>
      </c>
      <c r="R878" s="586">
        <f t="shared" si="675"/>
        <v>100</v>
      </c>
      <c r="S878" s="393"/>
      <c r="T878" s="394"/>
      <c r="U878" s="376"/>
      <c r="V878" s="376"/>
      <c r="W878" s="376"/>
      <c r="X878" s="376"/>
      <c r="Y878" s="376"/>
      <c r="Z878" s="393"/>
      <c r="AA878" s="394"/>
      <c r="AB878" s="376"/>
      <c r="AC878" s="376"/>
      <c r="AD878" s="376"/>
      <c r="AE878" s="376"/>
      <c r="AF878" s="376"/>
      <c r="AG878" s="34" t="str">
        <f t="shared" si="702"/>
        <v>3.02 &gt; Benchmark</v>
      </c>
      <c r="AH878" s="85">
        <f t="shared" si="705"/>
        <v>864</v>
      </c>
      <c r="AI878" s="85">
        <f t="shared" si="706"/>
        <v>32</v>
      </c>
      <c r="AJ878" s="871" t="s">
        <v>1526</v>
      </c>
    </row>
    <row r="879" spans="1:36" x14ac:dyDescent="0.2">
      <c r="A879" s="587">
        <f>INDEX(Country!$F$31:$G$76, MATCH(AI879, Country!$O$31:$O$76, 0), 1)</f>
        <v>3.0299999999999994</v>
      </c>
      <c r="B879" s="588" t="str">
        <f>INDEX(Country!$F$31:$G$76, MATCH(AI879, Country!$O$31:$O$76, 0), 2)</f>
        <v>Clean energy service providers</v>
      </c>
      <c r="C879" s="589" t="str">
        <f>INDEX(Country!$K$31:$K$76, MATCH(AI879, Country!$O$31:$O$76, 0), 1)</f>
        <v>Sevice Providers</v>
      </c>
      <c r="D879" s="590" t="str">
        <f t="shared" si="661"/>
        <v>Argentina</v>
      </c>
      <c r="E879" s="618">
        <f>Levelisation!F1336</f>
        <v>6</v>
      </c>
      <c r="F879" s="618">
        <f>Levelisation!G1336</f>
        <v>6</v>
      </c>
      <c r="G879" s="618">
        <f>Levelisation!H1336</f>
        <v>6</v>
      </c>
      <c r="H879" s="618">
        <f>Levelisation!I1336</f>
        <v>6</v>
      </c>
      <c r="I879" s="618">
        <f>Levelisation!J1336</f>
        <v>6</v>
      </c>
      <c r="J879" s="618">
        <f>Levelisation!K1336</f>
        <v>6</v>
      </c>
      <c r="K879" s="619">
        <f>Levelisation!L1336</f>
        <v>8</v>
      </c>
      <c r="L879" s="580">
        <f t="shared" si="709"/>
        <v>30</v>
      </c>
      <c r="M879" s="581">
        <f t="shared" si="710"/>
        <v>30</v>
      </c>
      <c r="N879" s="581">
        <f t="shared" si="671"/>
        <v>30</v>
      </c>
      <c r="O879" s="581">
        <f t="shared" si="672"/>
        <v>30</v>
      </c>
      <c r="P879" s="581">
        <f t="shared" si="673"/>
        <v>30</v>
      </c>
      <c r="Q879" s="581">
        <f t="shared" si="674"/>
        <v>30</v>
      </c>
      <c r="R879" s="582">
        <f t="shared" si="675"/>
        <v>40</v>
      </c>
      <c r="S879" s="455"/>
      <c r="T879" s="456"/>
      <c r="U879" s="456"/>
      <c r="V879" s="456"/>
      <c r="W879" s="456"/>
      <c r="X879" s="456"/>
      <c r="Y879" s="456"/>
      <c r="Z879" s="455"/>
      <c r="AA879" s="456"/>
      <c r="AB879" s="456"/>
      <c r="AC879" s="456"/>
      <c r="AD879" s="456"/>
      <c r="AE879" s="456"/>
      <c r="AF879" s="456"/>
      <c r="AG879" s="396" t="str">
        <f t="shared" si="702"/>
        <v>3.03 &gt; Argentina</v>
      </c>
      <c r="AH879" s="397">
        <f t="shared" si="705"/>
        <v>865</v>
      </c>
      <c r="AI879" s="397">
        <f t="shared" si="706"/>
        <v>33</v>
      </c>
      <c r="AJ879" s="879" t="s">
        <v>1526</v>
      </c>
    </row>
    <row r="880" spans="1:36" x14ac:dyDescent="0.2">
      <c r="A880" s="492">
        <f>INDEX(Country!$F$31:$G$76, MATCH(AI880, Country!$O$31:$O$76, 0), 1)</f>
        <v>3.0299999999999994</v>
      </c>
      <c r="B880" s="2" t="str">
        <f>INDEX(Country!$F$31:$G$76, MATCH(AI880, Country!$O$31:$O$76, 0), 2)</f>
        <v>Clean energy service providers</v>
      </c>
      <c r="C880" s="436" t="str">
        <f>INDEX(Country!$K$31:$K$76, MATCH(AI880, Country!$O$31:$O$76, 0), 1)</f>
        <v>Sevice Providers</v>
      </c>
      <c r="D880" s="4" t="str">
        <f t="shared" si="661"/>
        <v>Bahamas</v>
      </c>
      <c r="E880" s="18">
        <f>Levelisation!F1337</f>
        <v>2</v>
      </c>
      <c r="F880" s="18">
        <f>Levelisation!G1337</f>
        <v>2</v>
      </c>
      <c r="G880" s="18">
        <f>Levelisation!H1337</f>
        <v>2</v>
      </c>
      <c r="H880" s="18">
        <f>Levelisation!I1337</f>
        <v>2</v>
      </c>
      <c r="I880" s="18">
        <f>Levelisation!J1337</f>
        <v>2</v>
      </c>
      <c r="J880" s="18">
        <f>Levelisation!K1337</f>
        <v>2</v>
      </c>
      <c r="K880" s="19">
        <f>Levelisation!L1337</f>
        <v>2</v>
      </c>
      <c r="L880" s="457">
        <f t="shared" si="709"/>
        <v>10</v>
      </c>
      <c r="M880" s="458">
        <f t="shared" si="710"/>
        <v>10</v>
      </c>
      <c r="N880" s="458">
        <f t="shared" si="671"/>
        <v>10</v>
      </c>
      <c r="O880" s="458">
        <f t="shared" si="672"/>
        <v>10</v>
      </c>
      <c r="P880" s="458">
        <f t="shared" si="673"/>
        <v>10</v>
      </c>
      <c r="Q880" s="458">
        <f t="shared" si="674"/>
        <v>10</v>
      </c>
      <c r="R880" s="459">
        <f t="shared" si="675"/>
        <v>10</v>
      </c>
      <c r="S880" s="455"/>
      <c r="T880" s="456"/>
      <c r="U880" s="456"/>
      <c r="V880" s="456"/>
      <c r="W880" s="456"/>
      <c r="X880" s="456"/>
      <c r="Y880" s="456"/>
      <c r="Z880" s="455"/>
      <c r="AA880" s="456"/>
      <c r="AB880" s="456"/>
      <c r="AC880" s="456"/>
      <c r="AD880" s="456"/>
      <c r="AE880" s="456"/>
      <c r="AF880" s="456"/>
      <c r="AG880" s="33" t="str">
        <f t="shared" si="702"/>
        <v>3.03 &gt; Bahamas</v>
      </c>
      <c r="AH880" s="84">
        <f t="shared" si="705"/>
        <v>866</v>
      </c>
      <c r="AI880" s="84">
        <f t="shared" si="706"/>
        <v>33</v>
      </c>
      <c r="AJ880" s="877" t="s">
        <v>1526</v>
      </c>
    </row>
    <row r="881" spans="1:36" x14ac:dyDescent="0.2">
      <c r="A881" s="492">
        <f>INDEX(Country!$F$31:$G$76, MATCH(AI881, Country!$O$31:$O$76, 0), 1)</f>
        <v>3.0299999999999994</v>
      </c>
      <c r="B881" s="2" t="str">
        <f>INDEX(Country!$F$31:$G$76, MATCH(AI881, Country!$O$31:$O$76, 0), 2)</f>
        <v>Clean energy service providers</v>
      </c>
      <c r="C881" s="436" t="str">
        <f>INDEX(Country!$K$31:$K$76, MATCH(AI881, Country!$O$31:$O$76, 0), 1)</f>
        <v>Sevice Providers</v>
      </c>
      <c r="D881" s="4" t="str">
        <f t="shared" si="661"/>
        <v>Barbados</v>
      </c>
      <c r="E881" s="18">
        <f>Levelisation!F1338</f>
        <v>3</v>
      </c>
      <c r="F881" s="18">
        <f>Levelisation!G1338</f>
        <v>3</v>
      </c>
      <c r="G881" s="18">
        <f>Levelisation!H1338</f>
        <v>3</v>
      </c>
      <c r="H881" s="18">
        <f>Levelisation!I1338</f>
        <v>3</v>
      </c>
      <c r="I881" s="18">
        <f>Levelisation!J1338</f>
        <v>3</v>
      </c>
      <c r="J881" s="18">
        <f>Levelisation!K1338</f>
        <v>3</v>
      </c>
      <c r="K881" s="19">
        <f>Levelisation!L1338</f>
        <v>3</v>
      </c>
      <c r="L881" s="457">
        <f t="shared" si="709"/>
        <v>15</v>
      </c>
      <c r="M881" s="458">
        <f t="shared" si="710"/>
        <v>15</v>
      </c>
      <c r="N881" s="458">
        <f t="shared" si="671"/>
        <v>15</v>
      </c>
      <c r="O881" s="458">
        <f t="shared" si="672"/>
        <v>15</v>
      </c>
      <c r="P881" s="458">
        <f t="shared" si="673"/>
        <v>15</v>
      </c>
      <c r="Q881" s="458">
        <f t="shared" si="674"/>
        <v>15</v>
      </c>
      <c r="R881" s="459">
        <f t="shared" si="675"/>
        <v>15</v>
      </c>
      <c r="S881" s="455"/>
      <c r="T881" s="456"/>
      <c r="U881" s="456"/>
      <c r="V881" s="456"/>
      <c r="W881" s="456"/>
      <c r="X881" s="456"/>
      <c r="Y881" s="456"/>
      <c r="Z881" s="455"/>
      <c r="AA881" s="456"/>
      <c r="AB881" s="456"/>
      <c r="AC881" s="456"/>
      <c r="AD881" s="456"/>
      <c r="AE881" s="456"/>
      <c r="AF881" s="456"/>
      <c r="AG881" s="33" t="str">
        <f t="shared" si="702"/>
        <v>3.03 &gt; Barbados</v>
      </c>
      <c r="AH881" s="84">
        <f t="shared" si="705"/>
        <v>867</v>
      </c>
      <c r="AI881" s="84">
        <f t="shared" si="706"/>
        <v>33</v>
      </c>
      <c r="AJ881" s="877" t="s">
        <v>1526</v>
      </c>
    </row>
    <row r="882" spans="1:36" x14ac:dyDescent="0.2">
      <c r="A882" s="492">
        <f>INDEX(Country!$F$31:$G$76, MATCH(AI882, Country!$O$31:$O$76, 0), 1)</f>
        <v>3.0299999999999994</v>
      </c>
      <c r="B882" s="2" t="str">
        <f>INDEX(Country!$F$31:$G$76, MATCH(AI882, Country!$O$31:$O$76, 0), 2)</f>
        <v>Clean energy service providers</v>
      </c>
      <c r="C882" s="436" t="str">
        <f>INDEX(Country!$K$31:$K$76, MATCH(AI882, Country!$O$31:$O$76, 0), 1)</f>
        <v>Sevice Providers</v>
      </c>
      <c r="D882" s="4" t="str">
        <f t="shared" si="661"/>
        <v>Belize</v>
      </c>
      <c r="E882" s="18">
        <f>Levelisation!F1339</f>
        <v>0</v>
      </c>
      <c r="F882" s="18">
        <f>Levelisation!G1339</f>
        <v>0</v>
      </c>
      <c r="G882" s="18">
        <f>Levelisation!H1339</f>
        <v>0</v>
      </c>
      <c r="H882" s="18">
        <f>Levelisation!I1339</f>
        <v>0</v>
      </c>
      <c r="I882" s="18">
        <f>Levelisation!J1339</f>
        <v>0</v>
      </c>
      <c r="J882" s="18">
        <f>Levelisation!K1339</f>
        <v>0</v>
      </c>
      <c r="K882" s="19">
        <f>Levelisation!L1339</f>
        <v>1</v>
      </c>
      <c r="L882" s="457">
        <f t="shared" si="709"/>
        <v>0</v>
      </c>
      <c r="M882" s="458">
        <f t="shared" si="710"/>
        <v>0</v>
      </c>
      <c r="N882" s="458">
        <f t="shared" si="671"/>
        <v>0</v>
      </c>
      <c r="O882" s="458">
        <f t="shared" si="672"/>
        <v>0</v>
      </c>
      <c r="P882" s="458">
        <f t="shared" si="673"/>
        <v>0</v>
      </c>
      <c r="Q882" s="458">
        <f t="shared" si="674"/>
        <v>0</v>
      </c>
      <c r="R882" s="459">
        <f t="shared" si="675"/>
        <v>5</v>
      </c>
      <c r="S882" s="455"/>
      <c r="T882" s="456"/>
      <c r="U882" s="456"/>
      <c r="V882" s="456"/>
      <c r="W882" s="456"/>
      <c r="X882" s="456"/>
      <c r="Y882" s="456"/>
      <c r="Z882" s="455"/>
      <c r="AA882" s="456"/>
      <c r="AB882" s="456"/>
      <c r="AC882" s="456"/>
      <c r="AD882" s="456"/>
      <c r="AE882" s="456"/>
      <c r="AF882" s="456"/>
      <c r="AG882" s="33" t="str">
        <f t="shared" si="702"/>
        <v>3.03 &gt; Belize</v>
      </c>
      <c r="AH882" s="84">
        <f t="shared" si="705"/>
        <v>868</v>
      </c>
      <c r="AI882" s="84">
        <f t="shared" si="706"/>
        <v>33</v>
      </c>
      <c r="AJ882" s="877" t="s">
        <v>1526</v>
      </c>
    </row>
    <row r="883" spans="1:36" x14ac:dyDescent="0.2">
      <c r="A883" s="492">
        <f>INDEX(Country!$F$31:$G$76, MATCH(AI883, Country!$O$31:$O$76, 0), 1)</f>
        <v>3.0299999999999994</v>
      </c>
      <c r="B883" s="2" t="str">
        <f>INDEX(Country!$F$31:$G$76, MATCH(AI883, Country!$O$31:$O$76, 0), 2)</f>
        <v>Clean energy service providers</v>
      </c>
      <c r="C883" s="436" t="str">
        <f>INDEX(Country!$K$31:$K$76, MATCH(AI883, Country!$O$31:$O$76, 0), 1)</f>
        <v>Sevice Providers</v>
      </c>
      <c r="D883" s="4" t="str">
        <f t="shared" si="661"/>
        <v>Bolivia</v>
      </c>
      <c r="E883" s="18">
        <f>Levelisation!F1340</f>
        <v>1</v>
      </c>
      <c r="F883" s="18">
        <f>Levelisation!G1340</f>
        <v>1</v>
      </c>
      <c r="G883" s="18">
        <f>Levelisation!H1340</f>
        <v>1</v>
      </c>
      <c r="H883" s="18">
        <f>Levelisation!I1340</f>
        <v>1</v>
      </c>
      <c r="I883" s="18">
        <f>Levelisation!J1340</f>
        <v>1</v>
      </c>
      <c r="J883" s="18">
        <f>Levelisation!K1340</f>
        <v>1</v>
      </c>
      <c r="K883" s="19">
        <f>Levelisation!L1340</f>
        <v>1</v>
      </c>
      <c r="L883" s="457">
        <f t="shared" si="709"/>
        <v>5</v>
      </c>
      <c r="M883" s="458">
        <f t="shared" si="710"/>
        <v>5</v>
      </c>
      <c r="N883" s="458">
        <f t="shared" si="671"/>
        <v>5</v>
      </c>
      <c r="O883" s="458">
        <f t="shared" si="672"/>
        <v>5</v>
      </c>
      <c r="P883" s="458">
        <f t="shared" si="673"/>
        <v>5</v>
      </c>
      <c r="Q883" s="458">
        <f t="shared" si="674"/>
        <v>5</v>
      </c>
      <c r="R883" s="459">
        <f t="shared" si="675"/>
        <v>5</v>
      </c>
      <c r="S883" s="455"/>
      <c r="T883" s="456"/>
      <c r="U883" s="456"/>
      <c r="V883" s="456"/>
      <c r="W883" s="456"/>
      <c r="X883" s="456"/>
      <c r="Y883" s="456"/>
      <c r="Z883" s="455"/>
      <c r="AA883" s="456"/>
      <c r="AB883" s="456"/>
      <c r="AC883" s="456"/>
      <c r="AD883" s="456"/>
      <c r="AE883" s="456"/>
      <c r="AF883" s="456"/>
      <c r="AG883" s="33" t="str">
        <f t="shared" si="702"/>
        <v>3.03 &gt; Bolivia</v>
      </c>
      <c r="AH883" s="84">
        <f t="shared" si="705"/>
        <v>869</v>
      </c>
      <c r="AI883" s="84">
        <f t="shared" si="706"/>
        <v>33</v>
      </c>
      <c r="AJ883" s="877" t="s">
        <v>1526</v>
      </c>
    </row>
    <row r="884" spans="1:36" x14ac:dyDescent="0.2">
      <c r="A884" s="492">
        <f>INDEX(Country!$F$31:$G$76, MATCH(AI884, Country!$O$31:$O$76, 0), 1)</f>
        <v>3.0299999999999994</v>
      </c>
      <c r="B884" s="2" t="str">
        <f>INDEX(Country!$F$31:$G$76, MATCH(AI884, Country!$O$31:$O$76, 0), 2)</f>
        <v>Clean energy service providers</v>
      </c>
      <c r="C884" s="436" t="str">
        <f>INDEX(Country!$K$31:$K$76, MATCH(AI884, Country!$O$31:$O$76, 0), 1)</f>
        <v>Sevice Providers</v>
      </c>
      <c r="D884" s="4" t="str">
        <f t="shared" si="661"/>
        <v>Brazil</v>
      </c>
      <c r="E884" s="18">
        <f>Levelisation!F1341</f>
        <v>16</v>
      </c>
      <c r="F884" s="18">
        <f>Levelisation!G1341</f>
        <v>16</v>
      </c>
      <c r="G884" s="18">
        <f>Levelisation!H1341</f>
        <v>16</v>
      </c>
      <c r="H884" s="18">
        <f>Levelisation!I1341</f>
        <v>16</v>
      </c>
      <c r="I884" s="18">
        <f>Levelisation!J1341</f>
        <v>16</v>
      </c>
      <c r="J884" s="18">
        <f>Levelisation!K1341</f>
        <v>16</v>
      </c>
      <c r="K884" s="19">
        <f>Levelisation!L1341</f>
        <v>18</v>
      </c>
      <c r="L884" s="457">
        <f t="shared" si="709"/>
        <v>80</v>
      </c>
      <c r="M884" s="458">
        <f t="shared" si="710"/>
        <v>80</v>
      </c>
      <c r="N884" s="458">
        <f t="shared" si="671"/>
        <v>80</v>
      </c>
      <c r="O884" s="458">
        <f t="shared" si="672"/>
        <v>80</v>
      </c>
      <c r="P884" s="458">
        <f t="shared" si="673"/>
        <v>80</v>
      </c>
      <c r="Q884" s="458">
        <f t="shared" si="674"/>
        <v>80</v>
      </c>
      <c r="R884" s="459">
        <f t="shared" si="675"/>
        <v>90</v>
      </c>
      <c r="S884" s="455"/>
      <c r="T884" s="456"/>
      <c r="U884" s="456"/>
      <c r="V884" s="456"/>
      <c r="W884" s="456"/>
      <c r="X884" s="456"/>
      <c r="Y884" s="456"/>
      <c r="Z884" s="455"/>
      <c r="AA884" s="456"/>
      <c r="AB884" s="456"/>
      <c r="AC884" s="456"/>
      <c r="AD884" s="456"/>
      <c r="AE884" s="456"/>
      <c r="AF884" s="456"/>
      <c r="AG884" s="33" t="str">
        <f t="shared" si="702"/>
        <v>3.03 &gt; Brazil</v>
      </c>
      <c r="AH884" s="84">
        <f t="shared" si="705"/>
        <v>870</v>
      </c>
      <c r="AI884" s="84">
        <f t="shared" si="706"/>
        <v>33</v>
      </c>
      <c r="AJ884" s="877" t="s">
        <v>1526</v>
      </c>
    </row>
    <row r="885" spans="1:36" x14ac:dyDescent="0.2">
      <c r="A885" s="492">
        <f>INDEX(Country!$F$31:$G$76, MATCH(AI885, Country!$O$31:$O$76, 0), 1)</f>
        <v>3.0299999999999994</v>
      </c>
      <c r="B885" s="2" t="str">
        <f>INDEX(Country!$F$31:$G$76, MATCH(AI885, Country!$O$31:$O$76, 0), 2)</f>
        <v>Clean energy service providers</v>
      </c>
      <c r="C885" s="436" t="str">
        <f>INDEX(Country!$K$31:$K$76, MATCH(AI885, Country!$O$31:$O$76, 0), 1)</f>
        <v>Sevice Providers</v>
      </c>
      <c r="D885" s="4" t="str">
        <f t="shared" ref="D885:D948" si="711">D858</f>
        <v>Chile</v>
      </c>
      <c r="E885" s="18">
        <f>Levelisation!F1342</f>
        <v>8</v>
      </c>
      <c r="F885" s="18">
        <f>Levelisation!G1342</f>
        <v>8</v>
      </c>
      <c r="G885" s="18">
        <f>Levelisation!H1342</f>
        <v>8</v>
      </c>
      <c r="H885" s="18">
        <f>Levelisation!I1342</f>
        <v>8</v>
      </c>
      <c r="I885" s="18">
        <f>Levelisation!J1342</f>
        <v>8</v>
      </c>
      <c r="J885" s="18">
        <f>Levelisation!K1342</f>
        <v>8</v>
      </c>
      <c r="K885" s="19">
        <f>Levelisation!L1342</f>
        <v>12</v>
      </c>
      <c r="L885" s="457">
        <f t="shared" si="709"/>
        <v>40</v>
      </c>
      <c r="M885" s="458">
        <f t="shared" si="710"/>
        <v>40</v>
      </c>
      <c r="N885" s="458">
        <f t="shared" si="671"/>
        <v>40</v>
      </c>
      <c r="O885" s="458">
        <f t="shared" si="672"/>
        <v>40</v>
      </c>
      <c r="P885" s="458">
        <f t="shared" si="673"/>
        <v>40</v>
      </c>
      <c r="Q885" s="458">
        <f t="shared" si="674"/>
        <v>40</v>
      </c>
      <c r="R885" s="459">
        <f t="shared" si="675"/>
        <v>60</v>
      </c>
      <c r="S885" s="455"/>
      <c r="T885" s="456"/>
      <c r="U885" s="456"/>
      <c r="V885" s="456"/>
      <c r="W885" s="456"/>
      <c r="X885" s="456"/>
      <c r="Y885" s="456"/>
      <c r="Z885" s="455"/>
      <c r="AA885" s="456"/>
      <c r="AB885" s="456"/>
      <c r="AC885" s="456"/>
      <c r="AD885" s="456"/>
      <c r="AE885" s="456"/>
      <c r="AF885" s="456"/>
      <c r="AG885" s="33" t="str">
        <f t="shared" si="702"/>
        <v>3.03 &gt; Chile</v>
      </c>
      <c r="AH885" s="84">
        <f t="shared" si="705"/>
        <v>871</v>
      </c>
      <c r="AI885" s="84">
        <f t="shared" si="706"/>
        <v>33</v>
      </c>
      <c r="AJ885" s="877" t="s">
        <v>1526</v>
      </c>
    </row>
    <row r="886" spans="1:36" x14ac:dyDescent="0.2">
      <c r="A886" s="492">
        <f>INDEX(Country!$F$31:$G$76, MATCH(AI886, Country!$O$31:$O$76, 0), 1)</f>
        <v>3.0299999999999994</v>
      </c>
      <c r="B886" s="2" t="str">
        <f>INDEX(Country!$F$31:$G$76, MATCH(AI886, Country!$O$31:$O$76, 0), 2)</f>
        <v>Clean energy service providers</v>
      </c>
      <c r="C886" s="436" t="str">
        <f>INDEX(Country!$K$31:$K$76, MATCH(AI886, Country!$O$31:$O$76, 0), 1)</f>
        <v>Sevice Providers</v>
      </c>
      <c r="D886" s="4" t="str">
        <f t="shared" si="711"/>
        <v>Colombia</v>
      </c>
      <c r="E886" s="18">
        <f>Levelisation!F1343</f>
        <v>4</v>
      </c>
      <c r="F886" s="18">
        <f>Levelisation!G1343</f>
        <v>4</v>
      </c>
      <c r="G886" s="18">
        <f>Levelisation!H1343</f>
        <v>4</v>
      </c>
      <c r="H886" s="18">
        <f>Levelisation!I1343</f>
        <v>4</v>
      </c>
      <c r="I886" s="18">
        <f>Levelisation!J1343</f>
        <v>4</v>
      </c>
      <c r="J886" s="18">
        <f>Levelisation!K1343</f>
        <v>4</v>
      </c>
      <c r="K886" s="19">
        <f>Levelisation!L1343</f>
        <v>5</v>
      </c>
      <c r="L886" s="457">
        <f t="shared" si="709"/>
        <v>20</v>
      </c>
      <c r="M886" s="458">
        <f t="shared" si="710"/>
        <v>20</v>
      </c>
      <c r="N886" s="458">
        <f t="shared" si="671"/>
        <v>20</v>
      </c>
      <c r="O886" s="458">
        <f t="shared" si="672"/>
        <v>20</v>
      </c>
      <c r="P886" s="458">
        <f t="shared" si="673"/>
        <v>20</v>
      </c>
      <c r="Q886" s="458">
        <f t="shared" si="674"/>
        <v>20</v>
      </c>
      <c r="R886" s="459">
        <f t="shared" si="675"/>
        <v>25</v>
      </c>
      <c r="S886" s="455"/>
      <c r="T886" s="456"/>
      <c r="U886" s="456"/>
      <c r="V886" s="456"/>
      <c r="W886" s="456"/>
      <c r="X886" s="456"/>
      <c r="Y886" s="456"/>
      <c r="Z886" s="455"/>
      <c r="AA886" s="456"/>
      <c r="AB886" s="456"/>
      <c r="AC886" s="456"/>
      <c r="AD886" s="456"/>
      <c r="AE886" s="456"/>
      <c r="AF886" s="456"/>
      <c r="AG886" s="33" t="str">
        <f t="shared" si="702"/>
        <v>3.03 &gt; Colombia</v>
      </c>
      <c r="AH886" s="84">
        <f t="shared" si="705"/>
        <v>872</v>
      </c>
      <c r="AI886" s="84">
        <f t="shared" si="706"/>
        <v>33</v>
      </c>
      <c r="AJ886" s="877" t="s">
        <v>1526</v>
      </c>
    </row>
    <row r="887" spans="1:36" x14ac:dyDescent="0.2">
      <c r="A887" s="492">
        <f>INDEX(Country!$F$31:$G$76, MATCH(AI887, Country!$O$31:$O$76, 0), 1)</f>
        <v>3.0299999999999994</v>
      </c>
      <c r="B887" s="2" t="str">
        <f>INDEX(Country!$F$31:$G$76, MATCH(AI887, Country!$O$31:$O$76, 0), 2)</f>
        <v>Clean energy service providers</v>
      </c>
      <c r="C887" s="436" t="str">
        <f>INDEX(Country!$K$31:$K$76, MATCH(AI887, Country!$O$31:$O$76, 0), 1)</f>
        <v>Sevice Providers</v>
      </c>
      <c r="D887" s="4" t="str">
        <f t="shared" si="711"/>
        <v>Costa Rica</v>
      </c>
      <c r="E887" s="18">
        <f>Levelisation!F1344</f>
        <v>5</v>
      </c>
      <c r="F887" s="18">
        <f>Levelisation!G1344</f>
        <v>5</v>
      </c>
      <c r="G887" s="18">
        <f>Levelisation!H1344</f>
        <v>5</v>
      </c>
      <c r="H887" s="18">
        <f>Levelisation!I1344</f>
        <v>5</v>
      </c>
      <c r="I887" s="18">
        <f>Levelisation!J1344</f>
        <v>5</v>
      </c>
      <c r="J887" s="18">
        <f>Levelisation!K1344</f>
        <v>5</v>
      </c>
      <c r="K887" s="19">
        <f>Levelisation!L1344</f>
        <v>5</v>
      </c>
      <c r="L887" s="457">
        <f t="shared" si="709"/>
        <v>25</v>
      </c>
      <c r="M887" s="458">
        <f t="shared" si="710"/>
        <v>25</v>
      </c>
      <c r="N887" s="458">
        <f t="shared" si="671"/>
        <v>25</v>
      </c>
      <c r="O887" s="458">
        <f t="shared" si="672"/>
        <v>25</v>
      </c>
      <c r="P887" s="458">
        <f t="shared" si="673"/>
        <v>25</v>
      </c>
      <c r="Q887" s="458">
        <f t="shared" si="674"/>
        <v>25</v>
      </c>
      <c r="R887" s="459">
        <f t="shared" si="675"/>
        <v>25</v>
      </c>
      <c r="S887" s="455"/>
      <c r="T887" s="456"/>
      <c r="U887" s="456"/>
      <c r="V887" s="456"/>
      <c r="W887" s="456"/>
      <c r="X887" s="456"/>
      <c r="Y887" s="456"/>
      <c r="Z887" s="455"/>
      <c r="AA887" s="456"/>
      <c r="AB887" s="456"/>
      <c r="AC887" s="456"/>
      <c r="AD887" s="456"/>
      <c r="AE887" s="456"/>
      <c r="AF887" s="456"/>
      <c r="AG887" s="33" t="str">
        <f t="shared" si="702"/>
        <v>3.03 &gt; Costa Rica</v>
      </c>
      <c r="AH887" s="84">
        <f t="shared" si="705"/>
        <v>873</v>
      </c>
      <c r="AI887" s="84">
        <f t="shared" si="706"/>
        <v>33</v>
      </c>
      <c r="AJ887" s="877" t="s">
        <v>1526</v>
      </c>
    </row>
    <row r="888" spans="1:36" x14ac:dyDescent="0.2">
      <c r="A888" s="492">
        <f>INDEX(Country!$F$31:$G$76, MATCH(AI888, Country!$O$31:$O$76, 0), 1)</f>
        <v>3.0299999999999994</v>
      </c>
      <c r="B888" s="2" t="str">
        <f>INDEX(Country!$F$31:$G$76, MATCH(AI888, Country!$O$31:$O$76, 0), 2)</f>
        <v>Clean energy service providers</v>
      </c>
      <c r="C888" s="436" t="str">
        <f>INDEX(Country!$K$31:$K$76, MATCH(AI888, Country!$O$31:$O$76, 0), 1)</f>
        <v>Sevice Providers</v>
      </c>
      <c r="D888" s="4" t="str">
        <f t="shared" si="711"/>
        <v>Dominican Republic</v>
      </c>
      <c r="E888" s="18">
        <f>Levelisation!F1345</f>
        <v>0</v>
      </c>
      <c r="F888" s="18">
        <f>Levelisation!G1345</f>
        <v>0</v>
      </c>
      <c r="G888" s="18">
        <f>Levelisation!H1345</f>
        <v>0</v>
      </c>
      <c r="H888" s="18">
        <f>Levelisation!I1345</f>
        <v>0</v>
      </c>
      <c r="I888" s="18">
        <f>Levelisation!J1345</f>
        <v>0</v>
      </c>
      <c r="J888" s="18">
        <f>Levelisation!K1345</f>
        <v>0</v>
      </c>
      <c r="K888" s="19">
        <f>Levelisation!L1345</f>
        <v>1</v>
      </c>
      <c r="L888" s="457">
        <f t="shared" si="709"/>
        <v>0</v>
      </c>
      <c r="M888" s="458">
        <f t="shared" si="710"/>
        <v>0</v>
      </c>
      <c r="N888" s="458">
        <f t="shared" si="671"/>
        <v>0</v>
      </c>
      <c r="O888" s="458">
        <f t="shared" si="672"/>
        <v>0</v>
      </c>
      <c r="P888" s="458">
        <f t="shared" si="673"/>
        <v>0</v>
      </c>
      <c r="Q888" s="458">
        <f t="shared" si="674"/>
        <v>0</v>
      </c>
      <c r="R888" s="459">
        <f t="shared" si="675"/>
        <v>5</v>
      </c>
      <c r="S888" s="455"/>
      <c r="T888" s="456"/>
      <c r="U888" s="456"/>
      <c r="V888" s="456"/>
      <c r="W888" s="456"/>
      <c r="X888" s="456"/>
      <c r="Y888" s="456"/>
      <c r="Z888" s="455"/>
      <c r="AA888" s="456"/>
      <c r="AB888" s="456"/>
      <c r="AC888" s="456"/>
      <c r="AD888" s="456"/>
      <c r="AE888" s="456"/>
      <c r="AF888" s="456"/>
      <c r="AG888" s="33" t="str">
        <f t="shared" si="702"/>
        <v>3.03 &gt; Dominican Republic</v>
      </c>
      <c r="AH888" s="84">
        <f t="shared" si="705"/>
        <v>874</v>
      </c>
      <c r="AI888" s="84">
        <f t="shared" si="706"/>
        <v>33</v>
      </c>
      <c r="AJ888" s="877" t="s">
        <v>1526</v>
      </c>
    </row>
    <row r="889" spans="1:36" x14ac:dyDescent="0.2">
      <c r="A889" s="492">
        <f>INDEX(Country!$F$31:$G$76, MATCH(AI889, Country!$O$31:$O$76, 0), 1)</f>
        <v>3.0299999999999994</v>
      </c>
      <c r="B889" s="2" t="str">
        <f>INDEX(Country!$F$31:$G$76, MATCH(AI889, Country!$O$31:$O$76, 0), 2)</f>
        <v>Clean energy service providers</v>
      </c>
      <c r="C889" s="436" t="str">
        <f>INDEX(Country!$K$31:$K$76, MATCH(AI889, Country!$O$31:$O$76, 0), 1)</f>
        <v>Sevice Providers</v>
      </c>
      <c r="D889" s="4" t="str">
        <f t="shared" si="711"/>
        <v>Ecuador</v>
      </c>
      <c r="E889" s="18">
        <f>Levelisation!F1346</f>
        <v>0</v>
      </c>
      <c r="F889" s="18">
        <f>Levelisation!G1346</f>
        <v>0</v>
      </c>
      <c r="G889" s="18">
        <f>Levelisation!H1346</f>
        <v>0</v>
      </c>
      <c r="H889" s="18">
        <f>Levelisation!I1346</f>
        <v>0</v>
      </c>
      <c r="I889" s="18">
        <f>Levelisation!J1346</f>
        <v>0</v>
      </c>
      <c r="J889" s="18">
        <f>Levelisation!K1346</f>
        <v>0</v>
      </c>
      <c r="K889" s="19">
        <f>Levelisation!L1346</f>
        <v>2</v>
      </c>
      <c r="L889" s="457">
        <f t="shared" ref="L889:L905" si="712">IFERROR(dbl_BenchmarkMax*E889/ SUMIFS(E$15:E$1256, $D$15:$D$1256, "Benchmark", $B$15:$B$1256,$B889), 0)</f>
        <v>0</v>
      </c>
      <c r="M889" s="458">
        <f t="shared" ref="M889:M905" si="713">IFERROR(dbl_BenchmarkMax*F889/ SUMIFS(F$15:F$1256, $D$15:$D$1256, "Benchmark", $B$15:$B$1256,$B889), 0)</f>
        <v>0</v>
      </c>
      <c r="N889" s="458">
        <f t="shared" ref="N889:N905" si="714">IFERROR(dbl_BenchmarkMax*G889/ SUMIFS(G$15:G$1256, $D$15:$D$1256, "Benchmark", $B$15:$B$1256,$B889), 0)</f>
        <v>0</v>
      </c>
      <c r="O889" s="458">
        <f t="shared" ref="O889:O905" si="715">IFERROR(dbl_BenchmarkMax*H889/ SUMIFS(H$15:H$1256, $D$15:$D$1256, "Benchmark", $B$15:$B$1256,$B889), 0)</f>
        <v>0</v>
      </c>
      <c r="P889" s="458">
        <f t="shared" ref="P889:P905" si="716">IFERROR(dbl_BenchmarkMax*I889/ SUMIFS(I$15:I$1256, $D$15:$D$1256, "Benchmark", $B$15:$B$1256,$B889), 0)</f>
        <v>0</v>
      </c>
      <c r="Q889" s="458">
        <f t="shared" ref="Q889:Q905" si="717">IFERROR(dbl_BenchmarkMax*J889/ SUMIFS(J$15:J$1256, $D$15:$D$1256, "Benchmark", $B$15:$B$1256,$B889), 0)</f>
        <v>0</v>
      </c>
      <c r="R889" s="459">
        <f t="shared" ref="R889:R905" si="718">IFERROR(dbl_BenchmarkMax*K889/ SUMIFS(K$15:K$1256, $D$15:$D$1256, "Benchmark", $B$15:$B$1256,$B889), 0)</f>
        <v>10</v>
      </c>
      <c r="S889" s="455"/>
      <c r="T889" s="456"/>
      <c r="U889" s="456"/>
      <c r="V889" s="456"/>
      <c r="W889" s="456"/>
      <c r="X889" s="456"/>
      <c r="Y889" s="456"/>
      <c r="Z889" s="455"/>
      <c r="AA889" s="456"/>
      <c r="AB889" s="456"/>
      <c r="AC889" s="456"/>
      <c r="AD889" s="456"/>
      <c r="AE889" s="456"/>
      <c r="AF889" s="456"/>
      <c r="AG889" s="33" t="str">
        <f t="shared" si="702"/>
        <v>3.03 &gt; Ecuador</v>
      </c>
      <c r="AH889" s="84">
        <f t="shared" si="705"/>
        <v>875</v>
      </c>
      <c r="AI889" s="84">
        <f t="shared" si="706"/>
        <v>33</v>
      </c>
      <c r="AJ889" s="877" t="s">
        <v>1526</v>
      </c>
    </row>
    <row r="890" spans="1:36" x14ac:dyDescent="0.2">
      <c r="A890" s="492">
        <f>INDEX(Country!$F$31:$G$76, MATCH(AI890, Country!$O$31:$O$76, 0), 1)</f>
        <v>3.0299999999999994</v>
      </c>
      <c r="B890" s="2" t="str">
        <f>INDEX(Country!$F$31:$G$76, MATCH(AI890, Country!$O$31:$O$76, 0), 2)</f>
        <v>Clean energy service providers</v>
      </c>
      <c r="C890" s="436" t="str">
        <f>INDEX(Country!$K$31:$K$76, MATCH(AI890, Country!$O$31:$O$76, 0), 1)</f>
        <v>Sevice Providers</v>
      </c>
      <c r="D890" s="4" t="str">
        <f t="shared" si="711"/>
        <v>El Salvador</v>
      </c>
      <c r="E890" s="18">
        <f>Levelisation!F1347</f>
        <v>2</v>
      </c>
      <c r="F890" s="18">
        <f>Levelisation!G1347</f>
        <v>2</v>
      </c>
      <c r="G890" s="18">
        <f>Levelisation!H1347</f>
        <v>2</v>
      </c>
      <c r="H890" s="18">
        <f>Levelisation!I1347</f>
        <v>2</v>
      </c>
      <c r="I890" s="18">
        <f>Levelisation!J1347</f>
        <v>2</v>
      </c>
      <c r="J890" s="18">
        <f>Levelisation!K1347</f>
        <v>2</v>
      </c>
      <c r="K890" s="19">
        <f>Levelisation!L1347</f>
        <v>2</v>
      </c>
      <c r="L890" s="457">
        <f t="shared" si="712"/>
        <v>10</v>
      </c>
      <c r="M890" s="458">
        <f t="shared" si="713"/>
        <v>10</v>
      </c>
      <c r="N890" s="458">
        <f t="shared" si="714"/>
        <v>10</v>
      </c>
      <c r="O890" s="458">
        <f t="shared" si="715"/>
        <v>10</v>
      </c>
      <c r="P890" s="458">
        <f t="shared" si="716"/>
        <v>10</v>
      </c>
      <c r="Q890" s="458">
        <f t="shared" si="717"/>
        <v>10</v>
      </c>
      <c r="R890" s="459">
        <f t="shared" si="718"/>
        <v>10</v>
      </c>
      <c r="S890" s="455"/>
      <c r="T890" s="456"/>
      <c r="U890" s="456"/>
      <c r="V890" s="456"/>
      <c r="W890" s="456"/>
      <c r="X890" s="456"/>
      <c r="Y890" s="456"/>
      <c r="Z890" s="455"/>
      <c r="AA890" s="456"/>
      <c r="AB890" s="456"/>
      <c r="AC890" s="456"/>
      <c r="AD890" s="456"/>
      <c r="AE890" s="456"/>
      <c r="AF890" s="456"/>
      <c r="AG890" s="33" t="str">
        <f t="shared" si="702"/>
        <v>3.03 &gt; El Salvador</v>
      </c>
      <c r="AH890" s="84">
        <f t="shared" si="705"/>
        <v>876</v>
      </c>
      <c r="AI890" s="84">
        <f t="shared" si="706"/>
        <v>33</v>
      </c>
      <c r="AJ890" s="877" t="s">
        <v>1526</v>
      </c>
    </row>
    <row r="891" spans="1:36" x14ac:dyDescent="0.2">
      <c r="A891" s="492">
        <f>INDEX(Country!$F$31:$G$76, MATCH(AI891, Country!$O$31:$O$76, 0), 1)</f>
        <v>3.0299999999999994</v>
      </c>
      <c r="B891" s="2" t="str">
        <f>INDEX(Country!$F$31:$G$76, MATCH(AI891, Country!$O$31:$O$76, 0), 2)</f>
        <v>Clean energy service providers</v>
      </c>
      <c r="C891" s="436" t="str">
        <f>INDEX(Country!$K$31:$K$76, MATCH(AI891, Country!$O$31:$O$76, 0), 1)</f>
        <v>Sevice Providers</v>
      </c>
      <c r="D891" s="4" t="str">
        <f t="shared" si="711"/>
        <v>Guatemala</v>
      </c>
      <c r="E891" s="18">
        <f>Levelisation!F1348</f>
        <v>1</v>
      </c>
      <c r="F891" s="18">
        <f>Levelisation!G1348</f>
        <v>1</v>
      </c>
      <c r="G891" s="18">
        <f>Levelisation!H1348</f>
        <v>1</v>
      </c>
      <c r="H891" s="18">
        <f>Levelisation!I1348</f>
        <v>1</v>
      </c>
      <c r="I891" s="18">
        <f>Levelisation!J1348</f>
        <v>1</v>
      </c>
      <c r="J891" s="18">
        <f>Levelisation!K1348</f>
        <v>1</v>
      </c>
      <c r="K891" s="19">
        <f>Levelisation!L1348</f>
        <v>2</v>
      </c>
      <c r="L891" s="457">
        <f t="shared" si="712"/>
        <v>5</v>
      </c>
      <c r="M891" s="458">
        <f t="shared" si="713"/>
        <v>5</v>
      </c>
      <c r="N891" s="458">
        <f t="shared" si="714"/>
        <v>5</v>
      </c>
      <c r="O891" s="458">
        <f t="shared" si="715"/>
        <v>5</v>
      </c>
      <c r="P891" s="458">
        <f t="shared" si="716"/>
        <v>5</v>
      </c>
      <c r="Q891" s="458">
        <f t="shared" si="717"/>
        <v>5</v>
      </c>
      <c r="R891" s="459">
        <f t="shared" si="718"/>
        <v>10</v>
      </c>
      <c r="S891" s="455"/>
      <c r="T891" s="456"/>
      <c r="U891" s="456"/>
      <c r="V891" s="456"/>
      <c r="W891" s="456"/>
      <c r="X891" s="456"/>
      <c r="Y891" s="456"/>
      <c r="Z891" s="455"/>
      <c r="AA891" s="456"/>
      <c r="AB891" s="456"/>
      <c r="AC891" s="456"/>
      <c r="AD891" s="456"/>
      <c r="AE891" s="456"/>
      <c r="AF891" s="456"/>
      <c r="AG891" s="33" t="str">
        <f t="shared" si="702"/>
        <v>3.03 &gt; Guatemala</v>
      </c>
      <c r="AH891" s="84">
        <f t="shared" si="705"/>
        <v>877</v>
      </c>
      <c r="AI891" s="84">
        <f t="shared" si="706"/>
        <v>33</v>
      </c>
      <c r="AJ891" s="877" t="s">
        <v>1526</v>
      </c>
    </row>
    <row r="892" spans="1:36" x14ac:dyDescent="0.2">
      <c r="A892" s="492">
        <f>INDEX(Country!$F$31:$G$76, MATCH(AI892, Country!$O$31:$O$76, 0), 1)</f>
        <v>3.0299999999999994</v>
      </c>
      <c r="B892" s="2" t="str">
        <f>INDEX(Country!$F$31:$G$76, MATCH(AI892, Country!$O$31:$O$76, 0), 2)</f>
        <v>Clean energy service providers</v>
      </c>
      <c r="C892" s="436" t="str">
        <f>INDEX(Country!$K$31:$K$76, MATCH(AI892, Country!$O$31:$O$76, 0), 1)</f>
        <v>Sevice Providers</v>
      </c>
      <c r="D892" s="4" t="str">
        <f t="shared" si="711"/>
        <v>Guyana</v>
      </c>
      <c r="E892" s="18">
        <f>Levelisation!F1349</f>
        <v>1</v>
      </c>
      <c r="F892" s="18">
        <f>Levelisation!G1349</f>
        <v>1</v>
      </c>
      <c r="G892" s="18">
        <f>Levelisation!H1349</f>
        <v>1</v>
      </c>
      <c r="H892" s="18">
        <f>Levelisation!I1349</f>
        <v>1</v>
      </c>
      <c r="I892" s="18">
        <f>Levelisation!J1349</f>
        <v>1</v>
      </c>
      <c r="J892" s="18">
        <f>Levelisation!K1349</f>
        <v>1</v>
      </c>
      <c r="K892" s="19">
        <f>Levelisation!L1349</f>
        <v>1</v>
      </c>
      <c r="L892" s="457">
        <f t="shared" si="712"/>
        <v>5</v>
      </c>
      <c r="M892" s="458">
        <f t="shared" si="713"/>
        <v>5</v>
      </c>
      <c r="N892" s="458">
        <f t="shared" si="714"/>
        <v>5</v>
      </c>
      <c r="O892" s="458">
        <f t="shared" si="715"/>
        <v>5</v>
      </c>
      <c r="P892" s="458">
        <f t="shared" si="716"/>
        <v>5</v>
      </c>
      <c r="Q892" s="458">
        <f t="shared" si="717"/>
        <v>5</v>
      </c>
      <c r="R892" s="459">
        <f t="shared" si="718"/>
        <v>5</v>
      </c>
      <c r="S892" s="455"/>
      <c r="T892" s="456"/>
      <c r="U892" s="456"/>
      <c r="V892" s="456"/>
      <c r="W892" s="456"/>
      <c r="X892" s="456"/>
      <c r="Y892" s="456"/>
      <c r="Z892" s="455"/>
      <c r="AA892" s="456"/>
      <c r="AB892" s="456"/>
      <c r="AC892" s="456"/>
      <c r="AD892" s="456"/>
      <c r="AE892" s="456"/>
      <c r="AF892" s="456"/>
      <c r="AG892" s="33" t="str">
        <f t="shared" si="702"/>
        <v>3.03 &gt; Guyana</v>
      </c>
      <c r="AH892" s="84">
        <f t="shared" si="705"/>
        <v>878</v>
      </c>
      <c r="AI892" s="84">
        <f t="shared" si="706"/>
        <v>33</v>
      </c>
      <c r="AJ892" s="877" t="s">
        <v>1526</v>
      </c>
    </row>
    <row r="893" spans="1:36" x14ac:dyDescent="0.2">
      <c r="A893" s="492">
        <f>INDEX(Country!$F$31:$G$76, MATCH(AI893, Country!$O$31:$O$76, 0), 1)</f>
        <v>3.0299999999999994</v>
      </c>
      <c r="B893" s="2" t="str">
        <f>INDEX(Country!$F$31:$G$76, MATCH(AI893, Country!$O$31:$O$76, 0), 2)</f>
        <v>Clean energy service providers</v>
      </c>
      <c r="C893" s="436" t="str">
        <f>INDEX(Country!$K$31:$K$76, MATCH(AI893, Country!$O$31:$O$76, 0), 1)</f>
        <v>Sevice Providers</v>
      </c>
      <c r="D893" s="4" t="str">
        <f t="shared" si="711"/>
        <v>Haiti</v>
      </c>
      <c r="E893" s="18">
        <f>Levelisation!F1350</f>
        <v>1</v>
      </c>
      <c r="F893" s="18">
        <f>Levelisation!G1350</f>
        <v>1</v>
      </c>
      <c r="G893" s="18">
        <f>Levelisation!H1350</f>
        <v>1</v>
      </c>
      <c r="H893" s="18">
        <f>Levelisation!I1350</f>
        <v>1</v>
      </c>
      <c r="I893" s="18">
        <f>Levelisation!J1350</f>
        <v>1</v>
      </c>
      <c r="J893" s="18">
        <f>Levelisation!K1350</f>
        <v>1</v>
      </c>
      <c r="K893" s="19">
        <f>Levelisation!L1350</f>
        <v>1</v>
      </c>
      <c r="L893" s="457">
        <f t="shared" si="712"/>
        <v>5</v>
      </c>
      <c r="M893" s="458">
        <f t="shared" si="713"/>
        <v>5</v>
      </c>
      <c r="N893" s="458">
        <f t="shared" si="714"/>
        <v>5</v>
      </c>
      <c r="O893" s="458">
        <f t="shared" si="715"/>
        <v>5</v>
      </c>
      <c r="P893" s="458">
        <f t="shared" si="716"/>
        <v>5</v>
      </c>
      <c r="Q893" s="458">
        <f t="shared" si="717"/>
        <v>5</v>
      </c>
      <c r="R893" s="459">
        <f t="shared" si="718"/>
        <v>5</v>
      </c>
      <c r="S893" s="455"/>
      <c r="T893" s="456"/>
      <c r="U893" s="456"/>
      <c r="V893" s="456"/>
      <c r="W893" s="456"/>
      <c r="X893" s="456"/>
      <c r="Y893" s="456"/>
      <c r="Z893" s="455"/>
      <c r="AA893" s="456"/>
      <c r="AB893" s="456"/>
      <c r="AC893" s="456"/>
      <c r="AD893" s="456"/>
      <c r="AE893" s="456"/>
      <c r="AF893" s="456"/>
      <c r="AG893" s="33" t="str">
        <f t="shared" si="702"/>
        <v>3.03 &gt; Haiti</v>
      </c>
      <c r="AH893" s="84">
        <f t="shared" si="705"/>
        <v>879</v>
      </c>
      <c r="AI893" s="84">
        <f t="shared" si="706"/>
        <v>33</v>
      </c>
      <c r="AJ893" s="877" t="s">
        <v>1526</v>
      </c>
    </row>
    <row r="894" spans="1:36" x14ac:dyDescent="0.2">
      <c r="A894" s="492">
        <f>INDEX(Country!$F$31:$G$76, MATCH(AI894, Country!$O$31:$O$76, 0), 1)</f>
        <v>3.0299999999999994</v>
      </c>
      <c r="B894" s="2" t="str">
        <f>INDEX(Country!$F$31:$G$76, MATCH(AI894, Country!$O$31:$O$76, 0), 2)</f>
        <v>Clean energy service providers</v>
      </c>
      <c r="C894" s="436" t="str">
        <f>INDEX(Country!$K$31:$K$76, MATCH(AI894, Country!$O$31:$O$76, 0), 1)</f>
        <v>Sevice Providers</v>
      </c>
      <c r="D894" s="4" t="str">
        <f t="shared" si="711"/>
        <v>Honduras</v>
      </c>
      <c r="E894" s="18">
        <f>Levelisation!F1351</f>
        <v>0</v>
      </c>
      <c r="F894" s="18">
        <f>Levelisation!G1351</f>
        <v>0</v>
      </c>
      <c r="G894" s="18">
        <f>Levelisation!H1351</f>
        <v>0</v>
      </c>
      <c r="H894" s="18">
        <f>Levelisation!I1351</f>
        <v>0</v>
      </c>
      <c r="I894" s="18">
        <f>Levelisation!J1351</f>
        <v>0</v>
      </c>
      <c r="J894" s="18">
        <f>Levelisation!K1351</f>
        <v>0</v>
      </c>
      <c r="K894" s="19">
        <f>Levelisation!L1351</f>
        <v>1</v>
      </c>
      <c r="L894" s="457">
        <f t="shared" si="712"/>
        <v>0</v>
      </c>
      <c r="M894" s="458">
        <f t="shared" si="713"/>
        <v>0</v>
      </c>
      <c r="N894" s="458">
        <f t="shared" si="714"/>
        <v>0</v>
      </c>
      <c r="O894" s="458">
        <f t="shared" si="715"/>
        <v>0</v>
      </c>
      <c r="P894" s="458">
        <f t="shared" si="716"/>
        <v>0</v>
      </c>
      <c r="Q894" s="458">
        <f t="shared" si="717"/>
        <v>0</v>
      </c>
      <c r="R894" s="459">
        <f t="shared" si="718"/>
        <v>5</v>
      </c>
      <c r="S894" s="455"/>
      <c r="T894" s="456"/>
      <c r="U894" s="456"/>
      <c r="V894" s="456"/>
      <c r="W894" s="456"/>
      <c r="X894" s="456"/>
      <c r="Y894" s="456"/>
      <c r="Z894" s="455"/>
      <c r="AA894" s="456"/>
      <c r="AB894" s="456"/>
      <c r="AC894" s="456"/>
      <c r="AD894" s="456"/>
      <c r="AE894" s="456"/>
      <c r="AF894" s="456"/>
      <c r="AG894" s="33" t="str">
        <f t="shared" si="702"/>
        <v>3.03 &gt; Honduras</v>
      </c>
      <c r="AH894" s="84">
        <f t="shared" si="705"/>
        <v>880</v>
      </c>
      <c r="AI894" s="84">
        <f t="shared" si="706"/>
        <v>33</v>
      </c>
      <c r="AJ894" s="877" t="s">
        <v>1526</v>
      </c>
    </row>
    <row r="895" spans="1:36" x14ac:dyDescent="0.2">
      <c r="A895" s="492">
        <f>INDEX(Country!$F$31:$G$76, MATCH(AI895, Country!$O$31:$O$76, 0), 1)</f>
        <v>3.0299999999999994</v>
      </c>
      <c r="B895" s="2" t="str">
        <f>INDEX(Country!$F$31:$G$76, MATCH(AI895, Country!$O$31:$O$76, 0), 2)</f>
        <v>Clean energy service providers</v>
      </c>
      <c r="C895" s="436" t="str">
        <f>INDEX(Country!$K$31:$K$76, MATCH(AI895, Country!$O$31:$O$76, 0), 1)</f>
        <v>Sevice Providers</v>
      </c>
      <c r="D895" s="4" t="str">
        <f t="shared" si="711"/>
        <v>Jamaica</v>
      </c>
      <c r="E895" s="18">
        <f>Levelisation!F1352</f>
        <v>1</v>
      </c>
      <c r="F895" s="18">
        <f>Levelisation!G1352</f>
        <v>1</v>
      </c>
      <c r="G895" s="18">
        <f>Levelisation!H1352</f>
        <v>1</v>
      </c>
      <c r="H895" s="18">
        <f>Levelisation!I1352</f>
        <v>1</v>
      </c>
      <c r="I895" s="18">
        <f>Levelisation!J1352</f>
        <v>1</v>
      </c>
      <c r="J895" s="18">
        <f>Levelisation!K1352</f>
        <v>1</v>
      </c>
      <c r="K895" s="19">
        <f>Levelisation!L1352</f>
        <v>1</v>
      </c>
      <c r="L895" s="457">
        <f t="shared" si="712"/>
        <v>5</v>
      </c>
      <c r="M895" s="458">
        <f t="shared" si="713"/>
        <v>5</v>
      </c>
      <c r="N895" s="458">
        <f t="shared" si="714"/>
        <v>5</v>
      </c>
      <c r="O895" s="458">
        <f t="shared" si="715"/>
        <v>5</v>
      </c>
      <c r="P895" s="458">
        <f t="shared" si="716"/>
        <v>5</v>
      </c>
      <c r="Q895" s="458">
        <f t="shared" si="717"/>
        <v>5</v>
      </c>
      <c r="R895" s="459">
        <f t="shared" si="718"/>
        <v>5</v>
      </c>
      <c r="S895" s="455"/>
      <c r="T895" s="456"/>
      <c r="U895" s="456"/>
      <c r="V895" s="456"/>
      <c r="W895" s="456"/>
      <c r="X895" s="456"/>
      <c r="Y895" s="456"/>
      <c r="Z895" s="455"/>
      <c r="AA895" s="456"/>
      <c r="AB895" s="456"/>
      <c r="AC895" s="456"/>
      <c r="AD895" s="456"/>
      <c r="AE895" s="456"/>
      <c r="AF895" s="456"/>
      <c r="AG895" s="33" t="str">
        <f t="shared" si="702"/>
        <v>3.03 &gt; Jamaica</v>
      </c>
      <c r="AH895" s="84">
        <f t="shared" si="705"/>
        <v>881</v>
      </c>
      <c r="AI895" s="84">
        <f t="shared" si="706"/>
        <v>33</v>
      </c>
      <c r="AJ895" s="877" t="s">
        <v>1526</v>
      </c>
    </row>
    <row r="896" spans="1:36" x14ac:dyDescent="0.2">
      <c r="A896" s="492">
        <f>INDEX(Country!$F$31:$G$76, MATCH(AI896, Country!$O$31:$O$76, 0), 1)</f>
        <v>3.0299999999999994</v>
      </c>
      <c r="B896" s="2" t="str">
        <f>INDEX(Country!$F$31:$G$76, MATCH(AI896, Country!$O$31:$O$76, 0), 2)</f>
        <v>Clean energy service providers</v>
      </c>
      <c r="C896" s="436" t="str">
        <f>INDEX(Country!$K$31:$K$76, MATCH(AI896, Country!$O$31:$O$76, 0), 1)</f>
        <v>Sevice Providers</v>
      </c>
      <c r="D896" s="4" t="str">
        <f t="shared" si="711"/>
        <v>Mexico</v>
      </c>
      <c r="E896" s="18">
        <f>Levelisation!F1353</f>
        <v>7</v>
      </c>
      <c r="F896" s="18">
        <f>Levelisation!G1353</f>
        <v>7</v>
      </c>
      <c r="G896" s="18">
        <f>Levelisation!H1353</f>
        <v>7</v>
      </c>
      <c r="H896" s="18">
        <f>Levelisation!I1353</f>
        <v>7</v>
      </c>
      <c r="I896" s="18">
        <f>Levelisation!J1353</f>
        <v>7</v>
      </c>
      <c r="J896" s="18">
        <f>Levelisation!K1353</f>
        <v>7</v>
      </c>
      <c r="K896" s="19">
        <f>Levelisation!L1353</f>
        <v>12</v>
      </c>
      <c r="L896" s="457">
        <f t="shared" si="712"/>
        <v>35</v>
      </c>
      <c r="M896" s="458">
        <f t="shared" si="713"/>
        <v>35</v>
      </c>
      <c r="N896" s="458">
        <f t="shared" si="714"/>
        <v>35</v>
      </c>
      <c r="O896" s="458">
        <f t="shared" si="715"/>
        <v>35</v>
      </c>
      <c r="P896" s="458">
        <f t="shared" si="716"/>
        <v>35</v>
      </c>
      <c r="Q896" s="458">
        <f t="shared" si="717"/>
        <v>35</v>
      </c>
      <c r="R896" s="459">
        <f t="shared" si="718"/>
        <v>60</v>
      </c>
      <c r="S896" s="455"/>
      <c r="T896" s="456"/>
      <c r="U896" s="456"/>
      <c r="V896" s="456"/>
      <c r="W896" s="456"/>
      <c r="X896" s="456"/>
      <c r="Y896" s="456"/>
      <c r="Z896" s="455"/>
      <c r="AA896" s="456"/>
      <c r="AB896" s="456"/>
      <c r="AC896" s="456"/>
      <c r="AD896" s="456"/>
      <c r="AE896" s="456"/>
      <c r="AF896" s="456"/>
      <c r="AG896" s="33" t="str">
        <f t="shared" si="702"/>
        <v>3.03 &gt; Mexico</v>
      </c>
      <c r="AH896" s="84">
        <f t="shared" si="705"/>
        <v>882</v>
      </c>
      <c r="AI896" s="84">
        <f t="shared" si="706"/>
        <v>33</v>
      </c>
      <c r="AJ896" s="877" t="s">
        <v>1526</v>
      </c>
    </row>
    <row r="897" spans="1:36" x14ac:dyDescent="0.2">
      <c r="A897" s="492">
        <f>INDEX(Country!$F$31:$G$76, MATCH(AI897, Country!$O$31:$O$76, 0), 1)</f>
        <v>3.0299999999999994</v>
      </c>
      <c r="B897" s="2" t="str">
        <f>INDEX(Country!$F$31:$G$76, MATCH(AI897, Country!$O$31:$O$76, 0), 2)</f>
        <v>Clean energy service providers</v>
      </c>
      <c r="C897" s="436" t="str">
        <f>INDEX(Country!$K$31:$K$76, MATCH(AI897, Country!$O$31:$O$76, 0), 1)</f>
        <v>Sevice Providers</v>
      </c>
      <c r="D897" s="4" t="str">
        <f t="shared" si="711"/>
        <v>Nicaragua</v>
      </c>
      <c r="E897" s="18">
        <f>Levelisation!F1354</f>
        <v>0</v>
      </c>
      <c r="F897" s="18">
        <f>Levelisation!G1354</f>
        <v>0</v>
      </c>
      <c r="G897" s="18">
        <f>Levelisation!H1354</f>
        <v>0</v>
      </c>
      <c r="H897" s="18">
        <f>Levelisation!I1354</f>
        <v>0</v>
      </c>
      <c r="I897" s="18">
        <f>Levelisation!J1354</f>
        <v>0</v>
      </c>
      <c r="J897" s="18">
        <f>Levelisation!K1354</f>
        <v>0</v>
      </c>
      <c r="K897" s="19">
        <f>Levelisation!L1354</f>
        <v>0</v>
      </c>
      <c r="L897" s="457">
        <f t="shared" si="712"/>
        <v>0</v>
      </c>
      <c r="M897" s="458">
        <f t="shared" si="713"/>
        <v>0</v>
      </c>
      <c r="N897" s="458">
        <f t="shared" si="714"/>
        <v>0</v>
      </c>
      <c r="O897" s="458">
        <f t="shared" si="715"/>
        <v>0</v>
      </c>
      <c r="P897" s="458">
        <f t="shared" si="716"/>
        <v>0</v>
      </c>
      <c r="Q897" s="458">
        <f t="shared" si="717"/>
        <v>0</v>
      </c>
      <c r="R897" s="459">
        <f t="shared" si="718"/>
        <v>0</v>
      </c>
      <c r="S897" s="455"/>
      <c r="T897" s="456"/>
      <c r="U897" s="456"/>
      <c r="V897" s="456"/>
      <c r="W897" s="456"/>
      <c r="X897" s="456"/>
      <c r="Y897" s="456"/>
      <c r="Z897" s="455"/>
      <c r="AA897" s="456"/>
      <c r="AB897" s="456"/>
      <c r="AC897" s="456"/>
      <c r="AD897" s="456"/>
      <c r="AE897" s="456"/>
      <c r="AF897" s="456"/>
      <c r="AG897" s="33" t="str">
        <f t="shared" si="702"/>
        <v>3.03 &gt; Nicaragua</v>
      </c>
      <c r="AH897" s="84">
        <f t="shared" si="705"/>
        <v>883</v>
      </c>
      <c r="AI897" s="84">
        <f t="shared" si="706"/>
        <v>33</v>
      </c>
      <c r="AJ897" s="877" t="s">
        <v>1526</v>
      </c>
    </row>
    <row r="898" spans="1:36" x14ac:dyDescent="0.2">
      <c r="A898" s="492">
        <f>INDEX(Country!$F$31:$G$76, MATCH(AI898, Country!$O$31:$O$76, 0), 1)</f>
        <v>3.0299999999999994</v>
      </c>
      <c r="B898" s="2" t="str">
        <f>INDEX(Country!$F$31:$G$76, MATCH(AI898, Country!$O$31:$O$76, 0), 2)</f>
        <v>Clean energy service providers</v>
      </c>
      <c r="C898" s="436" t="str">
        <f>INDEX(Country!$K$31:$K$76, MATCH(AI898, Country!$O$31:$O$76, 0), 1)</f>
        <v>Sevice Providers</v>
      </c>
      <c r="D898" s="4" t="str">
        <f t="shared" si="711"/>
        <v>Panama</v>
      </c>
      <c r="E898" s="18">
        <f>Levelisation!F1355</f>
        <v>3</v>
      </c>
      <c r="F898" s="18">
        <f>Levelisation!G1355</f>
        <v>3</v>
      </c>
      <c r="G898" s="18">
        <f>Levelisation!H1355</f>
        <v>3</v>
      </c>
      <c r="H898" s="18">
        <f>Levelisation!I1355</f>
        <v>3</v>
      </c>
      <c r="I898" s="18">
        <f>Levelisation!J1355</f>
        <v>3</v>
      </c>
      <c r="J898" s="18">
        <f>Levelisation!K1355</f>
        <v>3</v>
      </c>
      <c r="K898" s="19">
        <f>Levelisation!L1355</f>
        <v>3</v>
      </c>
      <c r="L898" s="457">
        <f t="shared" si="712"/>
        <v>15</v>
      </c>
      <c r="M898" s="458">
        <f t="shared" si="713"/>
        <v>15</v>
      </c>
      <c r="N898" s="458">
        <f t="shared" si="714"/>
        <v>15</v>
      </c>
      <c r="O898" s="458">
        <f t="shared" si="715"/>
        <v>15</v>
      </c>
      <c r="P898" s="458">
        <f t="shared" si="716"/>
        <v>15</v>
      </c>
      <c r="Q898" s="458">
        <f t="shared" si="717"/>
        <v>15</v>
      </c>
      <c r="R898" s="459">
        <f t="shared" si="718"/>
        <v>15</v>
      </c>
      <c r="S898" s="455"/>
      <c r="T898" s="456"/>
      <c r="U898" s="456"/>
      <c r="V898" s="456"/>
      <c r="W898" s="456"/>
      <c r="X898" s="456"/>
      <c r="Y898" s="456"/>
      <c r="Z898" s="455"/>
      <c r="AA898" s="456"/>
      <c r="AB898" s="456"/>
      <c r="AC898" s="456"/>
      <c r="AD898" s="456"/>
      <c r="AE898" s="456"/>
      <c r="AF898" s="456"/>
      <c r="AG898" s="33" t="str">
        <f t="shared" si="702"/>
        <v>3.03 &gt; Panama</v>
      </c>
      <c r="AH898" s="84">
        <f t="shared" si="705"/>
        <v>884</v>
      </c>
      <c r="AI898" s="84">
        <f t="shared" si="706"/>
        <v>33</v>
      </c>
      <c r="AJ898" s="877" t="s">
        <v>1526</v>
      </c>
    </row>
    <row r="899" spans="1:36" x14ac:dyDescent="0.2">
      <c r="A899" s="492">
        <f>INDEX(Country!$F$31:$G$76, MATCH(AI899, Country!$O$31:$O$76, 0), 1)</f>
        <v>3.0299999999999994</v>
      </c>
      <c r="B899" s="2" t="str">
        <f>INDEX(Country!$F$31:$G$76, MATCH(AI899, Country!$O$31:$O$76, 0), 2)</f>
        <v>Clean energy service providers</v>
      </c>
      <c r="C899" s="436" t="str">
        <f>INDEX(Country!$K$31:$K$76, MATCH(AI899, Country!$O$31:$O$76, 0), 1)</f>
        <v>Sevice Providers</v>
      </c>
      <c r="D899" s="4" t="str">
        <f t="shared" si="711"/>
        <v>Paraguay</v>
      </c>
      <c r="E899" s="18">
        <f>Levelisation!F1356</f>
        <v>0</v>
      </c>
      <c r="F899" s="18">
        <f>Levelisation!G1356</f>
        <v>0</v>
      </c>
      <c r="G899" s="18">
        <f>Levelisation!H1356</f>
        <v>0</v>
      </c>
      <c r="H899" s="18">
        <f>Levelisation!I1356</f>
        <v>0</v>
      </c>
      <c r="I899" s="18">
        <f>Levelisation!J1356</f>
        <v>0</v>
      </c>
      <c r="J899" s="18">
        <f>Levelisation!K1356</f>
        <v>0</v>
      </c>
      <c r="K899" s="19">
        <f>Levelisation!L1356</f>
        <v>0</v>
      </c>
      <c r="L899" s="457">
        <f t="shared" si="712"/>
        <v>0</v>
      </c>
      <c r="M899" s="458">
        <f t="shared" si="713"/>
        <v>0</v>
      </c>
      <c r="N899" s="458">
        <f t="shared" si="714"/>
        <v>0</v>
      </c>
      <c r="O899" s="458">
        <f t="shared" si="715"/>
        <v>0</v>
      </c>
      <c r="P899" s="458">
        <f t="shared" si="716"/>
        <v>0</v>
      </c>
      <c r="Q899" s="458">
        <f t="shared" si="717"/>
        <v>0</v>
      </c>
      <c r="R899" s="459">
        <f t="shared" si="718"/>
        <v>0</v>
      </c>
      <c r="S899" s="455"/>
      <c r="T899" s="456"/>
      <c r="U899" s="456"/>
      <c r="V899" s="456"/>
      <c r="W899" s="456"/>
      <c r="X899" s="456"/>
      <c r="Y899" s="456"/>
      <c r="Z899" s="455"/>
      <c r="AA899" s="456"/>
      <c r="AB899" s="456"/>
      <c r="AC899" s="456"/>
      <c r="AD899" s="456"/>
      <c r="AE899" s="456"/>
      <c r="AF899" s="456"/>
      <c r="AG899" s="33" t="str">
        <f t="shared" si="702"/>
        <v>3.03 &gt; Paraguay</v>
      </c>
      <c r="AH899" s="84">
        <f t="shared" si="705"/>
        <v>885</v>
      </c>
      <c r="AI899" s="84">
        <f t="shared" si="706"/>
        <v>33</v>
      </c>
      <c r="AJ899" s="877" t="s">
        <v>1526</v>
      </c>
    </row>
    <row r="900" spans="1:36" x14ac:dyDescent="0.2">
      <c r="A900" s="492">
        <f>INDEX(Country!$F$31:$G$76, MATCH(AI900, Country!$O$31:$O$76, 0), 1)</f>
        <v>3.0299999999999994</v>
      </c>
      <c r="B900" s="2" t="str">
        <f>INDEX(Country!$F$31:$G$76, MATCH(AI900, Country!$O$31:$O$76, 0), 2)</f>
        <v>Clean energy service providers</v>
      </c>
      <c r="C900" s="436" t="str">
        <f>INDEX(Country!$K$31:$K$76, MATCH(AI900, Country!$O$31:$O$76, 0), 1)</f>
        <v>Sevice Providers</v>
      </c>
      <c r="D900" s="4" t="str">
        <f t="shared" si="711"/>
        <v>Peru</v>
      </c>
      <c r="E900" s="18">
        <f>Levelisation!F1357</f>
        <v>5</v>
      </c>
      <c r="F900" s="18">
        <f>Levelisation!G1357</f>
        <v>5</v>
      </c>
      <c r="G900" s="18">
        <f>Levelisation!H1357</f>
        <v>5</v>
      </c>
      <c r="H900" s="18">
        <f>Levelisation!I1357</f>
        <v>5</v>
      </c>
      <c r="I900" s="18">
        <f>Levelisation!J1357</f>
        <v>5</v>
      </c>
      <c r="J900" s="18">
        <f>Levelisation!K1357</f>
        <v>5</v>
      </c>
      <c r="K900" s="19">
        <f>Levelisation!L1357</f>
        <v>9</v>
      </c>
      <c r="L900" s="457">
        <f t="shared" si="712"/>
        <v>25</v>
      </c>
      <c r="M900" s="458">
        <f t="shared" si="713"/>
        <v>25</v>
      </c>
      <c r="N900" s="458">
        <f t="shared" si="714"/>
        <v>25</v>
      </c>
      <c r="O900" s="458">
        <f t="shared" si="715"/>
        <v>25</v>
      </c>
      <c r="P900" s="458">
        <f t="shared" si="716"/>
        <v>25</v>
      </c>
      <c r="Q900" s="458">
        <f t="shared" si="717"/>
        <v>25</v>
      </c>
      <c r="R900" s="459">
        <f t="shared" si="718"/>
        <v>45</v>
      </c>
      <c r="S900" s="455"/>
      <c r="T900" s="456"/>
      <c r="U900" s="456"/>
      <c r="V900" s="456"/>
      <c r="W900" s="456"/>
      <c r="X900" s="456"/>
      <c r="Y900" s="456"/>
      <c r="Z900" s="455"/>
      <c r="AA900" s="456"/>
      <c r="AB900" s="456"/>
      <c r="AC900" s="456"/>
      <c r="AD900" s="456"/>
      <c r="AE900" s="456"/>
      <c r="AF900" s="456"/>
      <c r="AG900" s="33" t="str">
        <f t="shared" si="702"/>
        <v>3.03 &gt; Peru</v>
      </c>
      <c r="AH900" s="84">
        <f t="shared" si="705"/>
        <v>886</v>
      </c>
      <c r="AI900" s="84">
        <f t="shared" si="706"/>
        <v>33</v>
      </c>
      <c r="AJ900" s="877" t="s">
        <v>1526</v>
      </c>
    </row>
    <row r="901" spans="1:36" x14ac:dyDescent="0.2">
      <c r="A901" s="492">
        <f>INDEX(Country!$F$31:$G$76, MATCH(AI901, Country!$O$31:$O$76, 0), 1)</f>
        <v>3.0299999999999994</v>
      </c>
      <c r="B901" s="2" t="str">
        <f>INDEX(Country!$F$31:$G$76, MATCH(AI901, Country!$O$31:$O$76, 0), 2)</f>
        <v>Clean energy service providers</v>
      </c>
      <c r="C901" s="436" t="str">
        <f>INDEX(Country!$K$31:$K$76, MATCH(AI901, Country!$O$31:$O$76, 0), 1)</f>
        <v>Sevice Providers</v>
      </c>
      <c r="D901" s="4" t="str">
        <f t="shared" si="711"/>
        <v>Suriname</v>
      </c>
      <c r="E901" s="18">
        <f>Levelisation!F1358</f>
        <v>0</v>
      </c>
      <c r="F901" s="18">
        <f>Levelisation!G1358</f>
        <v>0</v>
      </c>
      <c r="G901" s="18">
        <f>Levelisation!H1358</f>
        <v>0</v>
      </c>
      <c r="H901" s="18">
        <f>Levelisation!I1358</f>
        <v>0</v>
      </c>
      <c r="I901" s="18">
        <f>Levelisation!J1358</f>
        <v>0</v>
      </c>
      <c r="J901" s="18">
        <f>Levelisation!K1358</f>
        <v>0</v>
      </c>
      <c r="K901" s="19">
        <f>Levelisation!L1358</f>
        <v>0</v>
      </c>
      <c r="L901" s="457">
        <f t="shared" si="712"/>
        <v>0</v>
      </c>
      <c r="M901" s="458">
        <f t="shared" si="713"/>
        <v>0</v>
      </c>
      <c r="N901" s="458">
        <f t="shared" si="714"/>
        <v>0</v>
      </c>
      <c r="O901" s="458">
        <f t="shared" si="715"/>
        <v>0</v>
      </c>
      <c r="P901" s="458">
        <f t="shared" si="716"/>
        <v>0</v>
      </c>
      <c r="Q901" s="458">
        <f t="shared" si="717"/>
        <v>0</v>
      </c>
      <c r="R901" s="459">
        <f t="shared" si="718"/>
        <v>0</v>
      </c>
      <c r="S901" s="455"/>
      <c r="T901" s="456"/>
      <c r="U901" s="456"/>
      <c r="V901" s="456"/>
      <c r="W901" s="456"/>
      <c r="X901" s="456"/>
      <c r="Y901" s="456"/>
      <c r="Z901" s="455"/>
      <c r="AA901" s="456"/>
      <c r="AB901" s="456"/>
      <c r="AC901" s="456"/>
      <c r="AD901" s="456"/>
      <c r="AE901" s="456"/>
      <c r="AF901" s="456"/>
      <c r="AG901" s="33" t="str">
        <f t="shared" si="702"/>
        <v>3.03 &gt; Suriname</v>
      </c>
      <c r="AH901" s="84">
        <f t="shared" si="705"/>
        <v>887</v>
      </c>
      <c r="AI901" s="84">
        <f t="shared" si="706"/>
        <v>33</v>
      </c>
      <c r="AJ901" s="877" t="s">
        <v>1526</v>
      </c>
    </row>
    <row r="902" spans="1:36" x14ac:dyDescent="0.2">
      <c r="A902" s="492">
        <f>INDEX(Country!$F$31:$G$76, MATCH(AI902, Country!$O$31:$O$76, 0), 1)</f>
        <v>3.0299999999999994</v>
      </c>
      <c r="B902" s="2" t="str">
        <f>INDEX(Country!$F$31:$G$76, MATCH(AI902, Country!$O$31:$O$76, 0), 2)</f>
        <v>Clean energy service providers</v>
      </c>
      <c r="C902" s="436" t="str">
        <f>INDEX(Country!$K$31:$K$76, MATCH(AI902, Country!$O$31:$O$76, 0), 1)</f>
        <v>Sevice Providers</v>
      </c>
      <c r="D902" s="4" t="str">
        <f t="shared" si="711"/>
        <v>Trinidad &amp; Tobago</v>
      </c>
      <c r="E902" s="18">
        <f>Levelisation!F1359</f>
        <v>0</v>
      </c>
      <c r="F902" s="18">
        <f>Levelisation!G1359</f>
        <v>0</v>
      </c>
      <c r="G902" s="18">
        <f>Levelisation!H1359</f>
        <v>0</v>
      </c>
      <c r="H902" s="18">
        <f>Levelisation!I1359</f>
        <v>0</v>
      </c>
      <c r="I902" s="18">
        <f>Levelisation!J1359</f>
        <v>0</v>
      </c>
      <c r="J902" s="18">
        <f>Levelisation!K1359</f>
        <v>0</v>
      </c>
      <c r="K902" s="19">
        <f>Levelisation!L1359</f>
        <v>5</v>
      </c>
      <c r="L902" s="457">
        <f t="shared" si="712"/>
        <v>0</v>
      </c>
      <c r="M902" s="458">
        <f t="shared" si="713"/>
        <v>0</v>
      </c>
      <c r="N902" s="458">
        <f t="shared" si="714"/>
        <v>0</v>
      </c>
      <c r="O902" s="458">
        <f t="shared" si="715"/>
        <v>0</v>
      </c>
      <c r="P902" s="458">
        <f t="shared" si="716"/>
        <v>0</v>
      </c>
      <c r="Q902" s="458">
        <f t="shared" si="717"/>
        <v>0</v>
      </c>
      <c r="R902" s="459">
        <f t="shared" si="718"/>
        <v>25</v>
      </c>
      <c r="S902" s="455"/>
      <c r="T902" s="456"/>
      <c r="U902" s="456"/>
      <c r="V902" s="456"/>
      <c r="W902" s="456"/>
      <c r="X902" s="456"/>
      <c r="Y902" s="456"/>
      <c r="Z902" s="455"/>
      <c r="AA902" s="456"/>
      <c r="AB902" s="456"/>
      <c r="AC902" s="456"/>
      <c r="AD902" s="456"/>
      <c r="AE902" s="456"/>
      <c r="AF902" s="456"/>
      <c r="AG902" s="33" t="str">
        <f t="shared" si="702"/>
        <v>3.03 &gt; Trinidad &amp; Tobago</v>
      </c>
      <c r="AH902" s="84">
        <f t="shared" si="705"/>
        <v>888</v>
      </c>
      <c r="AI902" s="84">
        <f t="shared" si="706"/>
        <v>33</v>
      </c>
      <c r="AJ902" s="877" t="s">
        <v>1526</v>
      </c>
    </row>
    <row r="903" spans="1:36" x14ac:dyDescent="0.2">
      <c r="A903" s="492">
        <f>INDEX(Country!$F$31:$G$76, MATCH(AI903, Country!$O$31:$O$76, 0), 1)</f>
        <v>3.0299999999999994</v>
      </c>
      <c r="B903" s="2" t="str">
        <f>INDEX(Country!$F$31:$G$76, MATCH(AI903, Country!$O$31:$O$76, 0), 2)</f>
        <v>Clean energy service providers</v>
      </c>
      <c r="C903" s="436" t="str">
        <f>INDEX(Country!$K$31:$K$76, MATCH(AI903, Country!$O$31:$O$76, 0), 1)</f>
        <v>Sevice Providers</v>
      </c>
      <c r="D903" s="4" t="str">
        <f t="shared" si="711"/>
        <v>Uruguay</v>
      </c>
      <c r="E903" s="18">
        <f>Levelisation!F1360</f>
        <v>3</v>
      </c>
      <c r="F903" s="18">
        <f>Levelisation!G1360</f>
        <v>3</v>
      </c>
      <c r="G903" s="18">
        <f>Levelisation!H1360</f>
        <v>3</v>
      </c>
      <c r="H903" s="18">
        <f>Levelisation!I1360</f>
        <v>3</v>
      </c>
      <c r="I903" s="18">
        <f>Levelisation!J1360</f>
        <v>3</v>
      </c>
      <c r="J903" s="18">
        <f>Levelisation!K1360</f>
        <v>3</v>
      </c>
      <c r="K903" s="19">
        <f>Levelisation!L1360</f>
        <v>4</v>
      </c>
      <c r="L903" s="457">
        <f t="shared" si="712"/>
        <v>15</v>
      </c>
      <c r="M903" s="458">
        <f t="shared" si="713"/>
        <v>15</v>
      </c>
      <c r="N903" s="458">
        <f t="shared" si="714"/>
        <v>15</v>
      </c>
      <c r="O903" s="458">
        <f t="shared" si="715"/>
        <v>15</v>
      </c>
      <c r="P903" s="458">
        <f t="shared" si="716"/>
        <v>15</v>
      </c>
      <c r="Q903" s="458">
        <f t="shared" si="717"/>
        <v>15</v>
      </c>
      <c r="R903" s="459">
        <f t="shared" si="718"/>
        <v>20</v>
      </c>
      <c r="S903" s="455"/>
      <c r="T903" s="456"/>
      <c r="U903" s="456"/>
      <c r="V903" s="456"/>
      <c r="W903" s="456"/>
      <c r="X903" s="456"/>
      <c r="Y903" s="456"/>
      <c r="Z903" s="455"/>
      <c r="AA903" s="456"/>
      <c r="AB903" s="456"/>
      <c r="AC903" s="456"/>
      <c r="AD903" s="456"/>
      <c r="AE903" s="456"/>
      <c r="AF903" s="456"/>
      <c r="AG903" s="33" t="str">
        <f t="shared" si="702"/>
        <v>3.03 &gt; Uruguay</v>
      </c>
      <c r="AH903" s="84">
        <f t="shared" si="705"/>
        <v>889</v>
      </c>
      <c r="AI903" s="84">
        <f t="shared" si="706"/>
        <v>33</v>
      </c>
      <c r="AJ903" s="877" t="s">
        <v>1526</v>
      </c>
    </row>
    <row r="904" spans="1:36" x14ac:dyDescent="0.2">
      <c r="A904" s="491">
        <f>INDEX(Country!$F$31:$G$76, MATCH(AI904, Country!$O$31:$O$76, 0), 1)</f>
        <v>3.0299999999999994</v>
      </c>
      <c r="B904" s="386" t="str">
        <f>INDEX(Country!$F$31:$G$76, MATCH(AI904, Country!$O$31:$O$76, 0), 2)</f>
        <v>Clean energy service providers</v>
      </c>
      <c r="C904" s="437" t="str">
        <f>INDEX(Country!$K$31:$K$76, MATCH(AI904, Country!$O$31:$O$76, 0), 1)</f>
        <v>Sevice Providers</v>
      </c>
      <c r="D904" s="86" t="str">
        <f t="shared" si="711"/>
        <v>Venezuela</v>
      </c>
      <c r="E904" s="375">
        <f>Levelisation!F1361</f>
        <v>2</v>
      </c>
      <c r="F904" s="375">
        <f>Levelisation!G1361</f>
        <v>2</v>
      </c>
      <c r="G904" s="375">
        <f>Levelisation!H1361</f>
        <v>2</v>
      </c>
      <c r="H904" s="375">
        <f>Levelisation!I1361</f>
        <v>2</v>
      </c>
      <c r="I904" s="375">
        <f>Levelisation!J1361</f>
        <v>2</v>
      </c>
      <c r="J904" s="375">
        <f>Levelisation!K1361</f>
        <v>2</v>
      </c>
      <c r="K904" s="405">
        <f>Levelisation!L1361</f>
        <v>2</v>
      </c>
      <c r="L904" s="460">
        <f t="shared" si="712"/>
        <v>10</v>
      </c>
      <c r="M904" s="461">
        <f t="shared" si="713"/>
        <v>10</v>
      </c>
      <c r="N904" s="461">
        <f t="shared" si="714"/>
        <v>10</v>
      </c>
      <c r="O904" s="461">
        <f t="shared" si="715"/>
        <v>10</v>
      </c>
      <c r="P904" s="461">
        <f t="shared" si="716"/>
        <v>10</v>
      </c>
      <c r="Q904" s="461">
        <f t="shared" si="717"/>
        <v>10</v>
      </c>
      <c r="R904" s="462">
        <f t="shared" si="718"/>
        <v>10</v>
      </c>
      <c r="S904" s="455"/>
      <c r="T904" s="456"/>
      <c r="U904" s="456"/>
      <c r="V904" s="456"/>
      <c r="W904" s="456"/>
      <c r="X904" s="456"/>
      <c r="Y904" s="456"/>
      <c r="Z904" s="455"/>
      <c r="AA904" s="456"/>
      <c r="AB904" s="456"/>
      <c r="AC904" s="456"/>
      <c r="AD904" s="456"/>
      <c r="AE904" s="456"/>
      <c r="AF904" s="456"/>
      <c r="AG904" s="90" t="str">
        <f t="shared" si="702"/>
        <v>3.03 &gt; Venezuela</v>
      </c>
      <c r="AH904" s="392">
        <f t="shared" si="705"/>
        <v>890</v>
      </c>
      <c r="AI904" s="392">
        <f t="shared" si="706"/>
        <v>33</v>
      </c>
      <c r="AJ904" s="878" t="s">
        <v>1526</v>
      </c>
    </row>
    <row r="905" spans="1:36" x14ac:dyDescent="0.2">
      <c r="A905" s="490">
        <f>INDEX(Country!$F$31:$G$76, MATCH(AI905, Country!$O$31:$O$76, 0), 1)</f>
        <v>3.0299999999999994</v>
      </c>
      <c r="B905" s="387" t="str">
        <f>INDEX(Country!$F$31:$G$76, MATCH(AI905, Country!$O$31:$O$76, 0), 2)</f>
        <v>Clean energy service providers</v>
      </c>
      <c r="C905" s="438" t="str">
        <f>INDEX(Country!$K$31:$K$76, MATCH(AI905, Country!$O$31:$O$76, 0), 1)</f>
        <v>Sevice Providers</v>
      </c>
      <c r="D905" s="32" t="str">
        <f t="shared" si="711"/>
        <v>Benchmark</v>
      </c>
      <c r="E905" s="818">
        <v>20</v>
      </c>
      <c r="F905" s="818">
        <v>20</v>
      </c>
      <c r="G905" s="818">
        <v>20</v>
      </c>
      <c r="H905" s="818">
        <v>20</v>
      </c>
      <c r="I905" s="818">
        <v>20</v>
      </c>
      <c r="J905" s="818">
        <v>20</v>
      </c>
      <c r="K905" s="819">
        <v>20</v>
      </c>
      <c r="L905" s="585">
        <f t="shared" si="712"/>
        <v>100</v>
      </c>
      <c r="M905" s="463">
        <f t="shared" si="713"/>
        <v>100</v>
      </c>
      <c r="N905" s="463">
        <f t="shared" si="714"/>
        <v>100</v>
      </c>
      <c r="O905" s="463">
        <f t="shared" si="715"/>
        <v>100</v>
      </c>
      <c r="P905" s="463">
        <f t="shared" si="716"/>
        <v>100</v>
      </c>
      <c r="Q905" s="463">
        <f t="shared" si="717"/>
        <v>100</v>
      </c>
      <c r="R905" s="586">
        <f t="shared" si="718"/>
        <v>100</v>
      </c>
      <c r="S905" s="393"/>
      <c r="T905" s="394"/>
      <c r="U905" s="376"/>
      <c r="V905" s="376"/>
      <c r="W905" s="376"/>
      <c r="X905" s="376"/>
      <c r="Y905" s="376"/>
      <c r="Z905" s="393" t="s">
        <v>3288</v>
      </c>
      <c r="AA905" s="394"/>
      <c r="AB905" s="376"/>
      <c r="AC905" s="376"/>
      <c r="AD905" s="376"/>
      <c r="AE905" s="376"/>
      <c r="AF905" s="401"/>
      <c r="AG905" s="34" t="str">
        <f t="shared" si="702"/>
        <v>3.03 &gt; Benchmark</v>
      </c>
      <c r="AH905" s="85">
        <f t="shared" si="705"/>
        <v>891</v>
      </c>
      <c r="AI905" s="85">
        <f t="shared" si="706"/>
        <v>33</v>
      </c>
      <c r="AJ905" s="871" t="s">
        <v>1526</v>
      </c>
    </row>
    <row r="906" spans="1:36" x14ac:dyDescent="0.2">
      <c r="A906" s="587">
        <f>INDEX(Country!$F$31:$G$76, MATCH(AI906, Country!$O$31:$O$76, 0), 1)</f>
        <v>4.01</v>
      </c>
      <c r="B906" s="588" t="str">
        <f>INDEX(Country!$F$31:$G$76, MATCH(AI906, Country!$O$31:$O$76, 0), 2)</f>
        <v>Carbon offsets historical activity</v>
      </c>
      <c r="C906" s="589" t="str">
        <f>INDEX(Country!$K$31:$K$76, MATCH(AI906, Country!$O$31:$O$76, 0), 1)</f>
        <v>Projects</v>
      </c>
      <c r="D906" s="590" t="str">
        <f t="shared" si="711"/>
        <v>Argentina</v>
      </c>
      <c r="E906" s="605">
        <f>F906</f>
        <v>39</v>
      </c>
      <c r="F906" s="605">
        <f t="shared" ref="F906:H906" si="719">G906</f>
        <v>39</v>
      </c>
      <c r="G906" s="605">
        <f t="shared" si="719"/>
        <v>39</v>
      </c>
      <c r="H906" s="43">
        <f t="shared" si="719"/>
        <v>39</v>
      </c>
      <c r="I906" s="43">
        <f t="shared" ref="I906:I931" si="720">K906</f>
        <v>39</v>
      </c>
      <c r="J906" s="43">
        <v>103.04933314886553</v>
      </c>
      <c r="K906" s="606">
        <v>39</v>
      </c>
      <c r="L906" s="580">
        <f t="shared" ref="L906:L932" si="721">(Z906/4)*dbl_BenchmarkMax</f>
        <v>100</v>
      </c>
      <c r="M906" s="581">
        <f t="shared" ref="M906:M932" si="722">(AA906/4)*dbl_BenchmarkMax</f>
        <v>100</v>
      </c>
      <c r="N906" s="581">
        <f t="shared" ref="N906:N932" si="723">(AB906/4)*dbl_BenchmarkMax</f>
        <v>100</v>
      </c>
      <c r="O906" s="581">
        <f t="shared" ref="O906:O932" si="724">(AC906/4)*dbl_BenchmarkMax</f>
        <v>100</v>
      </c>
      <c r="P906" s="581">
        <f t="shared" ref="P906:P932" si="725">(AD906/4)*dbl_BenchmarkMax</f>
        <v>100</v>
      </c>
      <c r="Q906" s="581">
        <f t="shared" ref="Q906:Q932" si="726">(AE906/4)*dbl_BenchmarkMax</f>
        <v>100</v>
      </c>
      <c r="R906" s="582">
        <f t="shared" ref="R906:R932" si="727">(AF906/4)*dbl_BenchmarkMax</f>
        <v>100</v>
      </c>
      <c r="S906" s="455"/>
      <c r="T906" s="456"/>
      <c r="U906" s="456"/>
      <c r="V906" s="456"/>
      <c r="W906" s="456"/>
      <c r="X906" s="456"/>
      <c r="Y906" s="456"/>
      <c r="Z906" s="472">
        <f t="shared" ref="Z906:AB906" si="728">AA906</f>
        <v>4</v>
      </c>
      <c r="AA906" s="378">
        <f t="shared" si="728"/>
        <v>4</v>
      </c>
      <c r="AB906" s="378">
        <f t="shared" si="728"/>
        <v>4</v>
      </c>
      <c r="AC906" s="378">
        <f t="shared" ref="AC906:AC931" si="729">AD906</f>
        <v>4</v>
      </c>
      <c r="AD906" s="378">
        <f t="shared" ref="AD906:AD931" si="730">AE906</f>
        <v>4</v>
      </c>
      <c r="AE906" s="378">
        <f t="shared" ref="AE906:AE931" si="731">AF906</f>
        <v>4</v>
      </c>
      <c r="AF906" s="388">
        <v>4</v>
      </c>
      <c r="AG906" s="396" t="str">
        <f t="shared" si="702"/>
        <v>4.01 &gt; Argentina</v>
      </c>
      <c r="AH906" s="397">
        <f t="shared" si="705"/>
        <v>892</v>
      </c>
      <c r="AI906" s="397">
        <f t="shared" si="706"/>
        <v>34</v>
      </c>
      <c r="AJ906" s="879" t="s">
        <v>1526</v>
      </c>
    </row>
    <row r="907" spans="1:36" x14ac:dyDescent="0.2">
      <c r="A907" s="492">
        <f>INDEX(Country!$F$31:$G$76, MATCH(AI907, Country!$O$31:$O$76, 0), 1)</f>
        <v>4.01</v>
      </c>
      <c r="B907" s="2" t="str">
        <f>INDEX(Country!$F$31:$G$76, MATCH(AI907, Country!$O$31:$O$76, 0), 2)</f>
        <v>Carbon offsets historical activity</v>
      </c>
      <c r="C907" s="436" t="str">
        <f>INDEX(Country!$K$31:$K$76, MATCH(AI907, Country!$O$31:$O$76, 0), 1)</f>
        <v>Projects</v>
      </c>
      <c r="D907" s="4" t="str">
        <f t="shared" si="711"/>
        <v>Bahamas</v>
      </c>
      <c r="E907" s="43">
        <f t="shared" ref="E907:H907" si="732">F907</f>
        <v>2</v>
      </c>
      <c r="F907" s="43">
        <f t="shared" si="732"/>
        <v>2</v>
      </c>
      <c r="G907" s="43">
        <f t="shared" si="732"/>
        <v>2</v>
      </c>
      <c r="H907" s="43">
        <f t="shared" si="732"/>
        <v>2</v>
      </c>
      <c r="I907" s="43">
        <f t="shared" si="720"/>
        <v>2</v>
      </c>
      <c r="J907" s="43">
        <v>25.97608695652174</v>
      </c>
      <c r="K907" s="44">
        <v>2</v>
      </c>
      <c r="L907" s="457">
        <f t="shared" si="721"/>
        <v>25</v>
      </c>
      <c r="M907" s="458">
        <f t="shared" si="722"/>
        <v>25</v>
      </c>
      <c r="N907" s="458">
        <f t="shared" si="723"/>
        <v>25</v>
      </c>
      <c r="O907" s="458">
        <f t="shared" si="724"/>
        <v>25</v>
      </c>
      <c r="P907" s="458">
        <f t="shared" si="725"/>
        <v>25</v>
      </c>
      <c r="Q907" s="458">
        <f t="shared" si="726"/>
        <v>25</v>
      </c>
      <c r="R907" s="459">
        <f t="shared" si="727"/>
        <v>25</v>
      </c>
      <c r="S907" s="455"/>
      <c r="T907" s="456"/>
      <c r="U907" s="456"/>
      <c r="V907" s="456"/>
      <c r="W907" s="456"/>
      <c r="X907" s="456"/>
      <c r="Y907" s="456"/>
      <c r="Z907" s="79">
        <f t="shared" ref="Z907:AB907" si="733">AA907</f>
        <v>1</v>
      </c>
      <c r="AA907" s="78">
        <f t="shared" si="733"/>
        <v>1</v>
      </c>
      <c r="AB907" s="78">
        <f t="shared" si="733"/>
        <v>1</v>
      </c>
      <c r="AC907" s="78">
        <f t="shared" si="729"/>
        <v>1</v>
      </c>
      <c r="AD907" s="78">
        <f t="shared" si="730"/>
        <v>1</v>
      </c>
      <c r="AE907" s="78">
        <f t="shared" si="731"/>
        <v>1</v>
      </c>
      <c r="AF907" s="6">
        <v>1</v>
      </c>
      <c r="AG907" s="33" t="str">
        <f t="shared" si="702"/>
        <v>4.01 &gt; Bahamas</v>
      </c>
      <c r="AH907" s="84">
        <f t="shared" si="705"/>
        <v>893</v>
      </c>
      <c r="AI907" s="84">
        <f t="shared" si="706"/>
        <v>34</v>
      </c>
      <c r="AJ907" s="877" t="s">
        <v>1526</v>
      </c>
    </row>
    <row r="908" spans="1:36" x14ac:dyDescent="0.2">
      <c r="A908" s="492">
        <f>INDEX(Country!$F$31:$G$76, MATCH(AI908, Country!$O$31:$O$76, 0), 1)</f>
        <v>4.01</v>
      </c>
      <c r="B908" s="2" t="str">
        <f>INDEX(Country!$F$31:$G$76, MATCH(AI908, Country!$O$31:$O$76, 0), 2)</f>
        <v>Carbon offsets historical activity</v>
      </c>
      <c r="C908" s="436" t="str">
        <f>INDEX(Country!$K$31:$K$76, MATCH(AI908, Country!$O$31:$O$76, 0), 1)</f>
        <v>Projects</v>
      </c>
      <c r="D908" s="4" t="str">
        <f t="shared" si="711"/>
        <v>Barbados</v>
      </c>
      <c r="E908" s="43">
        <f t="shared" ref="E908:H908" si="734">F908</f>
        <v>0</v>
      </c>
      <c r="F908" s="43">
        <f t="shared" si="734"/>
        <v>0</v>
      </c>
      <c r="G908" s="43">
        <f t="shared" si="734"/>
        <v>0</v>
      </c>
      <c r="H908" s="43">
        <f t="shared" si="734"/>
        <v>0</v>
      </c>
      <c r="I908" s="43">
        <f t="shared" si="720"/>
        <v>0</v>
      </c>
      <c r="J908" s="43">
        <v>0</v>
      </c>
      <c r="K908" s="44">
        <v>0</v>
      </c>
      <c r="L908" s="457">
        <f t="shared" si="721"/>
        <v>0</v>
      </c>
      <c r="M908" s="458">
        <f t="shared" si="722"/>
        <v>0</v>
      </c>
      <c r="N908" s="458">
        <f t="shared" si="723"/>
        <v>0</v>
      </c>
      <c r="O908" s="458">
        <f t="shared" si="724"/>
        <v>0</v>
      </c>
      <c r="P908" s="458">
        <f t="shared" si="725"/>
        <v>0</v>
      </c>
      <c r="Q908" s="458">
        <f t="shared" si="726"/>
        <v>0</v>
      </c>
      <c r="R908" s="459">
        <f t="shared" si="727"/>
        <v>0</v>
      </c>
      <c r="S908" s="455"/>
      <c r="T908" s="456"/>
      <c r="U908" s="456"/>
      <c r="V908" s="456"/>
      <c r="W908" s="456"/>
      <c r="X908" s="456"/>
      <c r="Y908" s="456"/>
      <c r="Z908" s="79">
        <f t="shared" ref="Z908:AB908" si="735">AA908</f>
        <v>0</v>
      </c>
      <c r="AA908" s="78">
        <f t="shared" si="735"/>
        <v>0</v>
      </c>
      <c r="AB908" s="78">
        <f t="shared" si="735"/>
        <v>0</v>
      </c>
      <c r="AC908" s="78">
        <f t="shared" si="729"/>
        <v>0</v>
      </c>
      <c r="AD908" s="78">
        <f t="shared" si="730"/>
        <v>0</v>
      </c>
      <c r="AE908" s="78">
        <f t="shared" si="731"/>
        <v>0</v>
      </c>
      <c r="AF908" s="6">
        <v>0</v>
      </c>
      <c r="AG908" s="33" t="str">
        <f t="shared" si="702"/>
        <v>4.01 &gt; Barbados</v>
      </c>
      <c r="AH908" s="84">
        <f t="shared" si="705"/>
        <v>894</v>
      </c>
      <c r="AI908" s="84">
        <f t="shared" si="706"/>
        <v>34</v>
      </c>
      <c r="AJ908" s="877" t="s">
        <v>1526</v>
      </c>
    </row>
    <row r="909" spans="1:36" x14ac:dyDescent="0.2">
      <c r="A909" s="492">
        <f>INDEX(Country!$F$31:$G$76, MATCH(AI909, Country!$O$31:$O$76, 0), 1)</f>
        <v>4.01</v>
      </c>
      <c r="B909" s="2" t="str">
        <f>INDEX(Country!$F$31:$G$76, MATCH(AI909, Country!$O$31:$O$76, 0), 2)</f>
        <v>Carbon offsets historical activity</v>
      </c>
      <c r="C909" s="436" t="str">
        <f>INDEX(Country!$K$31:$K$76, MATCH(AI909, Country!$O$31:$O$76, 0), 1)</f>
        <v>Projects</v>
      </c>
      <c r="D909" s="4" t="str">
        <f t="shared" si="711"/>
        <v>Belize</v>
      </c>
      <c r="E909" s="43">
        <f t="shared" ref="E909:H909" si="736">F909</f>
        <v>3</v>
      </c>
      <c r="F909" s="43">
        <f t="shared" si="736"/>
        <v>3</v>
      </c>
      <c r="G909" s="43">
        <f t="shared" si="736"/>
        <v>3</v>
      </c>
      <c r="H909" s="43">
        <f t="shared" si="736"/>
        <v>3</v>
      </c>
      <c r="I909" s="43">
        <f t="shared" si="720"/>
        <v>3</v>
      </c>
      <c r="J909" s="43">
        <v>189.59714285714287</v>
      </c>
      <c r="K909" s="44">
        <v>3</v>
      </c>
      <c r="L909" s="457">
        <f t="shared" si="721"/>
        <v>0</v>
      </c>
      <c r="M909" s="458">
        <f t="shared" si="722"/>
        <v>0</v>
      </c>
      <c r="N909" s="458">
        <f t="shared" si="723"/>
        <v>0</v>
      </c>
      <c r="O909" s="458">
        <f t="shared" si="724"/>
        <v>0</v>
      </c>
      <c r="P909" s="458">
        <f t="shared" si="725"/>
        <v>0</v>
      </c>
      <c r="Q909" s="458">
        <f t="shared" si="726"/>
        <v>0</v>
      </c>
      <c r="R909" s="459">
        <f t="shared" si="727"/>
        <v>0</v>
      </c>
      <c r="S909" s="455"/>
      <c r="T909" s="456"/>
      <c r="U909" s="456"/>
      <c r="V909" s="456"/>
      <c r="W909" s="456"/>
      <c r="X909" s="456"/>
      <c r="Y909" s="456"/>
      <c r="Z909" s="79">
        <f t="shared" ref="Z909:AB909" si="737">AA909</f>
        <v>0</v>
      </c>
      <c r="AA909" s="78">
        <f t="shared" si="737"/>
        <v>0</v>
      </c>
      <c r="AB909" s="78">
        <f t="shared" si="737"/>
        <v>0</v>
      </c>
      <c r="AC909" s="78">
        <f t="shared" si="729"/>
        <v>0</v>
      </c>
      <c r="AD909" s="78">
        <f t="shared" si="730"/>
        <v>0</v>
      </c>
      <c r="AE909" s="78">
        <f t="shared" si="731"/>
        <v>0</v>
      </c>
      <c r="AF909" s="6">
        <v>0</v>
      </c>
      <c r="AG909" s="33" t="str">
        <f t="shared" si="702"/>
        <v>4.01 &gt; Belize</v>
      </c>
      <c r="AH909" s="84">
        <f t="shared" si="705"/>
        <v>895</v>
      </c>
      <c r="AI909" s="84">
        <f t="shared" si="706"/>
        <v>34</v>
      </c>
      <c r="AJ909" s="877" t="s">
        <v>1526</v>
      </c>
    </row>
    <row r="910" spans="1:36" x14ac:dyDescent="0.2">
      <c r="A910" s="492">
        <f>INDEX(Country!$F$31:$G$76, MATCH(AI910, Country!$O$31:$O$76, 0), 1)</f>
        <v>4.01</v>
      </c>
      <c r="B910" s="2" t="str">
        <f>INDEX(Country!$F$31:$G$76, MATCH(AI910, Country!$O$31:$O$76, 0), 2)</f>
        <v>Carbon offsets historical activity</v>
      </c>
      <c r="C910" s="436" t="str">
        <f>INDEX(Country!$K$31:$K$76, MATCH(AI910, Country!$O$31:$O$76, 0), 1)</f>
        <v>Projects</v>
      </c>
      <c r="D910" s="4" t="str">
        <f t="shared" si="711"/>
        <v>Bolivia</v>
      </c>
      <c r="E910" s="43">
        <f t="shared" ref="E910:H910" si="738">F910</f>
        <v>9</v>
      </c>
      <c r="F910" s="43">
        <f t="shared" si="738"/>
        <v>9</v>
      </c>
      <c r="G910" s="43">
        <f t="shared" si="738"/>
        <v>9</v>
      </c>
      <c r="H910" s="43">
        <f t="shared" si="738"/>
        <v>9</v>
      </c>
      <c r="I910" s="43">
        <f t="shared" si="720"/>
        <v>9</v>
      </c>
      <c r="J910" s="43">
        <v>21.822382382382383</v>
      </c>
      <c r="K910" s="44">
        <v>9</v>
      </c>
      <c r="L910" s="457">
        <f t="shared" si="721"/>
        <v>50</v>
      </c>
      <c r="M910" s="458">
        <f t="shared" si="722"/>
        <v>50</v>
      </c>
      <c r="N910" s="458">
        <f t="shared" si="723"/>
        <v>50</v>
      </c>
      <c r="O910" s="458">
        <f t="shared" si="724"/>
        <v>50</v>
      </c>
      <c r="P910" s="458">
        <f t="shared" si="725"/>
        <v>50</v>
      </c>
      <c r="Q910" s="458">
        <f t="shared" si="726"/>
        <v>50</v>
      </c>
      <c r="R910" s="459">
        <f t="shared" si="727"/>
        <v>50</v>
      </c>
      <c r="S910" s="455"/>
      <c r="T910" s="456"/>
      <c r="U910" s="456"/>
      <c r="V910" s="456"/>
      <c r="W910" s="456"/>
      <c r="X910" s="456"/>
      <c r="Y910" s="456"/>
      <c r="Z910" s="79">
        <f t="shared" ref="Z910:AB910" si="739">AA910</f>
        <v>2</v>
      </c>
      <c r="AA910" s="78">
        <f t="shared" si="739"/>
        <v>2</v>
      </c>
      <c r="AB910" s="78">
        <f t="shared" si="739"/>
        <v>2</v>
      </c>
      <c r="AC910" s="78">
        <f t="shared" si="729"/>
        <v>2</v>
      </c>
      <c r="AD910" s="78">
        <f t="shared" si="730"/>
        <v>2</v>
      </c>
      <c r="AE910" s="78">
        <f t="shared" si="731"/>
        <v>2</v>
      </c>
      <c r="AF910" s="6">
        <v>2</v>
      </c>
      <c r="AG910" s="33" t="str">
        <f t="shared" si="702"/>
        <v>4.01 &gt; Bolivia</v>
      </c>
      <c r="AH910" s="84">
        <f t="shared" si="705"/>
        <v>896</v>
      </c>
      <c r="AI910" s="84">
        <f t="shared" si="706"/>
        <v>34</v>
      </c>
      <c r="AJ910" s="877" t="s">
        <v>1526</v>
      </c>
    </row>
    <row r="911" spans="1:36" x14ac:dyDescent="0.2">
      <c r="A911" s="492">
        <f>INDEX(Country!$F$31:$G$76, MATCH(AI911, Country!$O$31:$O$76, 0), 1)</f>
        <v>4.01</v>
      </c>
      <c r="B911" s="2" t="str">
        <f>INDEX(Country!$F$31:$G$76, MATCH(AI911, Country!$O$31:$O$76, 0), 2)</f>
        <v>Carbon offsets historical activity</v>
      </c>
      <c r="C911" s="436" t="str">
        <f>INDEX(Country!$K$31:$K$76, MATCH(AI911, Country!$O$31:$O$76, 0), 1)</f>
        <v>Projects</v>
      </c>
      <c r="D911" s="4" t="str">
        <f t="shared" si="711"/>
        <v>Brazil</v>
      </c>
      <c r="E911" s="43">
        <f t="shared" ref="E911:H911" si="740">F911</f>
        <v>345</v>
      </c>
      <c r="F911" s="43">
        <f t="shared" si="740"/>
        <v>345</v>
      </c>
      <c r="G911" s="43">
        <f t="shared" si="740"/>
        <v>345</v>
      </c>
      <c r="H911" s="43">
        <f t="shared" si="740"/>
        <v>345</v>
      </c>
      <c r="I911" s="43">
        <f t="shared" si="720"/>
        <v>345</v>
      </c>
      <c r="J911" s="43">
        <v>77.940044719386364</v>
      </c>
      <c r="K911" s="44">
        <v>345</v>
      </c>
      <c r="L911" s="457">
        <f t="shared" si="721"/>
        <v>100</v>
      </c>
      <c r="M911" s="458">
        <f t="shared" si="722"/>
        <v>100</v>
      </c>
      <c r="N911" s="458">
        <f t="shared" si="723"/>
        <v>100</v>
      </c>
      <c r="O911" s="458">
        <f t="shared" si="724"/>
        <v>100</v>
      </c>
      <c r="P911" s="458">
        <f t="shared" si="725"/>
        <v>100</v>
      </c>
      <c r="Q911" s="458">
        <f t="shared" si="726"/>
        <v>100</v>
      </c>
      <c r="R911" s="459">
        <f t="shared" si="727"/>
        <v>100</v>
      </c>
      <c r="S911" s="455"/>
      <c r="T911" s="456"/>
      <c r="U911" s="456"/>
      <c r="V911" s="456"/>
      <c r="W911" s="456"/>
      <c r="X911" s="456"/>
      <c r="Y911" s="456"/>
      <c r="Z911" s="79">
        <f t="shared" ref="Z911:AB911" si="741">AA911</f>
        <v>4</v>
      </c>
      <c r="AA911" s="78">
        <f t="shared" si="741"/>
        <v>4</v>
      </c>
      <c r="AB911" s="78">
        <f t="shared" si="741"/>
        <v>4</v>
      </c>
      <c r="AC911" s="78">
        <f t="shared" si="729"/>
        <v>4</v>
      </c>
      <c r="AD911" s="78">
        <f t="shared" si="730"/>
        <v>4</v>
      </c>
      <c r="AE911" s="78">
        <f t="shared" si="731"/>
        <v>4</v>
      </c>
      <c r="AF911" s="6">
        <v>4</v>
      </c>
      <c r="AG911" s="33" t="str">
        <f t="shared" ref="AG911:AG974" si="742">A911&amp;" &gt; " &amp;D911</f>
        <v>4.01 &gt; Brazil</v>
      </c>
      <c r="AH911" s="84">
        <f t="shared" si="705"/>
        <v>897</v>
      </c>
      <c r="AI911" s="84">
        <f t="shared" si="706"/>
        <v>34</v>
      </c>
      <c r="AJ911" s="877" t="s">
        <v>1526</v>
      </c>
    </row>
    <row r="912" spans="1:36" x14ac:dyDescent="0.2">
      <c r="A912" s="492">
        <f>INDEX(Country!$F$31:$G$76, MATCH(AI912, Country!$O$31:$O$76, 0), 1)</f>
        <v>4.01</v>
      </c>
      <c r="B912" s="2" t="str">
        <f>INDEX(Country!$F$31:$G$76, MATCH(AI912, Country!$O$31:$O$76, 0), 2)</f>
        <v>Carbon offsets historical activity</v>
      </c>
      <c r="C912" s="436" t="str">
        <f>INDEX(Country!$K$31:$K$76, MATCH(AI912, Country!$O$31:$O$76, 0), 1)</f>
        <v>Projects</v>
      </c>
      <c r="D912" s="4" t="str">
        <f t="shared" si="711"/>
        <v>Chile</v>
      </c>
      <c r="E912" s="43">
        <f t="shared" ref="E912:H912" si="743">F912</f>
        <v>85</v>
      </c>
      <c r="F912" s="43">
        <f t="shared" si="743"/>
        <v>85</v>
      </c>
      <c r="G912" s="43">
        <f t="shared" si="743"/>
        <v>85</v>
      </c>
      <c r="H912" s="43">
        <f t="shared" si="743"/>
        <v>85</v>
      </c>
      <c r="I912" s="43">
        <f t="shared" si="720"/>
        <v>85</v>
      </c>
      <c r="J912" s="43">
        <v>491.44698863636376</v>
      </c>
      <c r="K912" s="44">
        <v>85</v>
      </c>
      <c r="L912" s="457">
        <f t="shared" si="721"/>
        <v>100</v>
      </c>
      <c r="M912" s="458">
        <f t="shared" si="722"/>
        <v>100</v>
      </c>
      <c r="N912" s="458">
        <f t="shared" si="723"/>
        <v>100</v>
      </c>
      <c r="O912" s="458">
        <f t="shared" si="724"/>
        <v>100</v>
      </c>
      <c r="P912" s="458">
        <f t="shared" si="725"/>
        <v>100</v>
      </c>
      <c r="Q912" s="458">
        <f t="shared" si="726"/>
        <v>100</v>
      </c>
      <c r="R912" s="459">
        <f t="shared" si="727"/>
        <v>100</v>
      </c>
      <c r="S912" s="455"/>
      <c r="T912" s="456"/>
      <c r="U912" s="456"/>
      <c r="V912" s="456"/>
      <c r="W912" s="456"/>
      <c r="X912" s="456"/>
      <c r="Y912" s="456"/>
      <c r="Z912" s="79">
        <f t="shared" ref="Z912:AB912" si="744">AA912</f>
        <v>4</v>
      </c>
      <c r="AA912" s="78">
        <f t="shared" si="744"/>
        <v>4</v>
      </c>
      <c r="AB912" s="78">
        <f t="shared" si="744"/>
        <v>4</v>
      </c>
      <c r="AC912" s="78">
        <f t="shared" si="729"/>
        <v>4</v>
      </c>
      <c r="AD912" s="78">
        <f t="shared" si="730"/>
        <v>4</v>
      </c>
      <c r="AE912" s="78">
        <f t="shared" si="731"/>
        <v>4</v>
      </c>
      <c r="AF912" s="6">
        <v>4</v>
      </c>
      <c r="AG912" s="33" t="str">
        <f t="shared" si="742"/>
        <v>4.01 &gt; Chile</v>
      </c>
      <c r="AH912" s="84">
        <f t="shared" si="705"/>
        <v>898</v>
      </c>
      <c r="AI912" s="84">
        <f t="shared" si="706"/>
        <v>34</v>
      </c>
      <c r="AJ912" s="877" t="s">
        <v>1526</v>
      </c>
    </row>
    <row r="913" spans="1:36" x14ac:dyDescent="0.2">
      <c r="A913" s="492">
        <f>INDEX(Country!$F$31:$G$76, MATCH(AI913, Country!$O$31:$O$76, 0), 1)</f>
        <v>4.01</v>
      </c>
      <c r="B913" s="2" t="str">
        <f>INDEX(Country!$F$31:$G$76, MATCH(AI913, Country!$O$31:$O$76, 0), 2)</f>
        <v>Carbon offsets historical activity</v>
      </c>
      <c r="C913" s="436" t="str">
        <f>INDEX(Country!$K$31:$K$76, MATCH(AI913, Country!$O$31:$O$76, 0), 1)</f>
        <v>Projects</v>
      </c>
      <c r="D913" s="4" t="str">
        <f t="shared" si="711"/>
        <v>Colombia</v>
      </c>
      <c r="E913" s="43">
        <f t="shared" ref="E913:H913" si="745">F913</f>
        <v>51</v>
      </c>
      <c r="F913" s="43">
        <f t="shared" si="745"/>
        <v>51</v>
      </c>
      <c r="G913" s="43">
        <f t="shared" si="745"/>
        <v>51</v>
      </c>
      <c r="H913" s="43">
        <f t="shared" si="745"/>
        <v>51</v>
      </c>
      <c r="I913" s="43">
        <f t="shared" si="720"/>
        <v>51</v>
      </c>
      <c r="J913" s="43">
        <v>138.37700574712645</v>
      </c>
      <c r="K913" s="44">
        <v>51</v>
      </c>
      <c r="L913" s="457">
        <f t="shared" si="721"/>
        <v>75</v>
      </c>
      <c r="M913" s="458">
        <f t="shared" si="722"/>
        <v>75</v>
      </c>
      <c r="N913" s="458">
        <f t="shared" si="723"/>
        <v>75</v>
      </c>
      <c r="O913" s="458">
        <f t="shared" si="724"/>
        <v>75</v>
      </c>
      <c r="P913" s="458">
        <f t="shared" si="725"/>
        <v>75</v>
      </c>
      <c r="Q913" s="458">
        <f t="shared" si="726"/>
        <v>75</v>
      </c>
      <c r="R913" s="459">
        <f t="shared" si="727"/>
        <v>75</v>
      </c>
      <c r="S913" s="455"/>
      <c r="T913" s="456"/>
      <c r="U913" s="456"/>
      <c r="V913" s="456"/>
      <c r="W913" s="456"/>
      <c r="X913" s="456"/>
      <c r="Y913" s="456"/>
      <c r="Z913" s="79">
        <f t="shared" ref="Z913:AB913" si="746">AA913</f>
        <v>3</v>
      </c>
      <c r="AA913" s="78">
        <f t="shared" si="746"/>
        <v>3</v>
      </c>
      <c r="AB913" s="78">
        <f t="shared" si="746"/>
        <v>3</v>
      </c>
      <c r="AC913" s="78">
        <f t="shared" si="729"/>
        <v>3</v>
      </c>
      <c r="AD913" s="78">
        <f t="shared" si="730"/>
        <v>3</v>
      </c>
      <c r="AE913" s="78">
        <f t="shared" si="731"/>
        <v>3</v>
      </c>
      <c r="AF913" s="6">
        <v>3</v>
      </c>
      <c r="AG913" s="33" t="str">
        <f t="shared" si="742"/>
        <v>4.01 &gt; Colombia</v>
      </c>
      <c r="AH913" s="84">
        <f t="shared" ref="AH913:AH976" si="747">AH912+1</f>
        <v>899</v>
      </c>
      <c r="AI913" s="84">
        <f t="shared" ref="AI913:AI976" si="748">ROUNDUP(AH913/COUNTA($D$15:$D$41),0)</f>
        <v>34</v>
      </c>
      <c r="AJ913" s="877" t="s">
        <v>1526</v>
      </c>
    </row>
    <row r="914" spans="1:36" x14ac:dyDescent="0.2">
      <c r="A914" s="492">
        <f>INDEX(Country!$F$31:$G$76, MATCH(AI914, Country!$O$31:$O$76, 0), 1)</f>
        <v>4.01</v>
      </c>
      <c r="B914" s="2" t="str">
        <f>INDEX(Country!$F$31:$G$76, MATCH(AI914, Country!$O$31:$O$76, 0), 2)</f>
        <v>Carbon offsets historical activity</v>
      </c>
      <c r="C914" s="436" t="str">
        <f>INDEX(Country!$K$31:$K$76, MATCH(AI914, Country!$O$31:$O$76, 0), 1)</f>
        <v>Projects</v>
      </c>
      <c r="D914" s="4" t="str">
        <f t="shared" si="711"/>
        <v>Costa Rica</v>
      </c>
      <c r="E914" s="43">
        <f t="shared" ref="E914:H914" si="749">F914</f>
        <v>13</v>
      </c>
      <c r="F914" s="43">
        <f t="shared" si="749"/>
        <v>13</v>
      </c>
      <c r="G914" s="43">
        <f t="shared" si="749"/>
        <v>13</v>
      </c>
      <c r="H914" s="43">
        <f t="shared" si="749"/>
        <v>13</v>
      </c>
      <c r="I914" s="43">
        <f t="shared" si="720"/>
        <v>13</v>
      </c>
      <c r="J914" s="43">
        <v>331.02232996633001</v>
      </c>
      <c r="K914" s="44">
        <v>13</v>
      </c>
      <c r="L914" s="457">
        <f t="shared" si="721"/>
        <v>25</v>
      </c>
      <c r="M914" s="458">
        <f t="shared" si="722"/>
        <v>25</v>
      </c>
      <c r="N914" s="458">
        <f t="shared" si="723"/>
        <v>25</v>
      </c>
      <c r="O914" s="458">
        <f t="shared" si="724"/>
        <v>25</v>
      </c>
      <c r="P914" s="458">
        <f t="shared" si="725"/>
        <v>25</v>
      </c>
      <c r="Q914" s="458">
        <f t="shared" si="726"/>
        <v>25</v>
      </c>
      <c r="R914" s="459">
        <f t="shared" si="727"/>
        <v>25</v>
      </c>
      <c r="S914" s="455"/>
      <c r="T914" s="456"/>
      <c r="U914" s="456"/>
      <c r="V914" s="456"/>
      <c r="W914" s="456"/>
      <c r="X914" s="456"/>
      <c r="Y914" s="456"/>
      <c r="Z914" s="79">
        <f t="shared" ref="Z914:AB914" si="750">AA914</f>
        <v>1</v>
      </c>
      <c r="AA914" s="78">
        <f t="shared" si="750"/>
        <v>1</v>
      </c>
      <c r="AB914" s="78">
        <f t="shared" si="750"/>
        <v>1</v>
      </c>
      <c r="AC914" s="78">
        <f t="shared" si="729"/>
        <v>1</v>
      </c>
      <c r="AD914" s="78">
        <f t="shared" si="730"/>
        <v>1</v>
      </c>
      <c r="AE914" s="78">
        <f t="shared" si="731"/>
        <v>1</v>
      </c>
      <c r="AF914" s="6">
        <v>1</v>
      </c>
      <c r="AG914" s="33" t="str">
        <f t="shared" si="742"/>
        <v>4.01 &gt; Costa Rica</v>
      </c>
      <c r="AH914" s="84">
        <f t="shared" si="747"/>
        <v>900</v>
      </c>
      <c r="AI914" s="84">
        <f t="shared" si="748"/>
        <v>34</v>
      </c>
      <c r="AJ914" s="877" t="s">
        <v>1526</v>
      </c>
    </row>
    <row r="915" spans="1:36" x14ac:dyDescent="0.2">
      <c r="A915" s="492">
        <f>INDEX(Country!$F$31:$G$76, MATCH(AI915, Country!$O$31:$O$76, 0), 1)</f>
        <v>4.01</v>
      </c>
      <c r="B915" s="2" t="str">
        <f>INDEX(Country!$F$31:$G$76, MATCH(AI915, Country!$O$31:$O$76, 0), 2)</f>
        <v>Carbon offsets historical activity</v>
      </c>
      <c r="C915" s="436" t="str">
        <f>INDEX(Country!$K$31:$K$76, MATCH(AI915, Country!$O$31:$O$76, 0), 1)</f>
        <v>Projects</v>
      </c>
      <c r="D915" s="4" t="str">
        <f t="shared" si="711"/>
        <v>Dominican Republic</v>
      </c>
      <c r="E915" s="43">
        <f t="shared" ref="E915:H915" si="751">F915</f>
        <v>11</v>
      </c>
      <c r="F915" s="43">
        <f t="shared" si="751"/>
        <v>11</v>
      </c>
      <c r="G915" s="43">
        <f t="shared" si="751"/>
        <v>11</v>
      </c>
      <c r="H915" s="43">
        <f t="shared" si="751"/>
        <v>11</v>
      </c>
      <c r="I915" s="43">
        <f t="shared" si="720"/>
        <v>11</v>
      </c>
      <c r="J915" s="43">
        <v>158.13432835820893</v>
      </c>
      <c r="K915" s="44">
        <v>11</v>
      </c>
      <c r="L915" s="457">
        <f t="shared" si="721"/>
        <v>0</v>
      </c>
      <c r="M915" s="458">
        <f t="shared" si="722"/>
        <v>0</v>
      </c>
      <c r="N915" s="458">
        <f t="shared" si="723"/>
        <v>0</v>
      </c>
      <c r="O915" s="458">
        <f t="shared" si="724"/>
        <v>0</v>
      </c>
      <c r="P915" s="458">
        <f t="shared" si="725"/>
        <v>0</v>
      </c>
      <c r="Q915" s="458">
        <f t="shared" si="726"/>
        <v>0</v>
      </c>
      <c r="R915" s="459">
        <f t="shared" si="727"/>
        <v>0</v>
      </c>
      <c r="S915" s="455"/>
      <c r="T915" s="456"/>
      <c r="U915" s="456"/>
      <c r="V915" s="456"/>
      <c r="W915" s="456"/>
      <c r="X915" s="456"/>
      <c r="Y915" s="456"/>
      <c r="Z915" s="79">
        <f t="shared" ref="Z915:AB915" si="752">AA915</f>
        <v>0</v>
      </c>
      <c r="AA915" s="78">
        <f t="shared" si="752"/>
        <v>0</v>
      </c>
      <c r="AB915" s="78">
        <f t="shared" si="752"/>
        <v>0</v>
      </c>
      <c r="AC915" s="78">
        <f t="shared" si="729"/>
        <v>0</v>
      </c>
      <c r="AD915" s="78">
        <f t="shared" si="730"/>
        <v>0</v>
      </c>
      <c r="AE915" s="78">
        <f t="shared" si="731"/>
        <v>0</v>
      </c>
      <c r="AF915" s="6">
        <v>0</v>
      </c>
      <c r="AG915" s="33" t="str">
        <f t="shared" si="742"/>
        <v>4.01 &gt; Dominican Republic</v>
      </c>
      <c r="AH915" s="84">
        <f t="shared" si="747"/>
        <v>901</v>
      </c>
      <c r="AI915" s="84">
        <f t="shared" si="748"/>
        <v>34</v>
      </c>
      <c r="AJ915" s="877" t="s">
        <v>1526</v>
      </c>
    </row>
    <row r="916" spans="1:36" x14ac:dyDescent="0.2">
      <c r="A916" s="492">
        <f>INDEX(Country!$F$31:$G$76, MATCH(AI916, Country!$O$31:$O$76, 0), 1)</f>
        <v>4.01</v>
      </c>
      <c r="B916" s="2" t="str">
        <f>INDEX(Country!$F$31:$G$76, MATCH(AI916, Country!$O$31:$O$76, 0), 2)</f>
        <v>Carbon offsets historical activity</v>
      </c>
      <c r="C916" s="436" t="str">
        <f>INDEX(Country!$K$31:$K$76, MATCH(AI916, Country!$O$31:$O$76, 0), 1)</f>
        <v>Projects</v>
      </c>
      <c r="D916" s="4" t="str">
        <f t="shared" si="711"/>
        <v>Ecuador</v>
      </c>
      <c r="E916" s="43">
        <f t="shared" ref="E916:H916" si="753">F916</f>
        <v>22</v>
      </c>
      <c r="F916" s="43">
        <f t="shared" si="753"/>
        <v>22</v>
      </c>
      <c r="G916" s="43">
        <f t="shared" si="753"/>
        <v>22</v>
      </c>
      <c r="H916" s="43">
        <f t="shared" si="753"/>
        <v>22</v>
      </c>
      <c r="I916" s="43">
        <f t="shared" si="720"/>
        <v>22</v>
      </c>
      <c r="J916" s="43">
        <v>99.476766360000624</v>
      </c>
      <c r="K916" s="44">
        <v>22</v>
      </c>
      <c r="L916" s="457">
        <f t="shared" si="721"/>
        <v>50</v>
      </c>
      <c r="M916" s="458">
        <f t="shared" si="722"/>
        <v>50</v>
      </c>
      <c r="N916" s="458">
        <f t="shared" si="723"/>
        <v>50</v>
      </c>
      <c r="O916" s="458">
        <f t="shared" si="724"/>
        <v>50</v>
      </c>
      <c r="P916" s="458">
        <f t="shared" si="725"/>
        <v>50</v>
      </c>
      <c r="Q916" s="458">
        <f t="shared" si="726"/>
        <v>50</v>
      </c>
      <c r="R916" s="459">
        <f t="shared" si="727"/>
        <v>50</v>
      </c>
      <c r="S916" s="455"/>
      <c r="T916" s="456"/>
      <c r="U916" s="456"/>
      <c r="V916" s="456"/>
      <c r="W916" s="456"/>
      <c r="X916" s="456"/>
      <c r="Y916" s="456"/>
      <c r="Z916" s="79">
        <f t="shared" ref="Z916:AB916" si="754">AA916</f>
        <v>2</v>
      </c>
      <c r="AA916" s="78">
        <f t="shared" si="754"/>
        <v>2</v>
      </c>
      <c r="AB916" s="78">
        <f t="shared" si="754"/>
        <v>2</v>
      </c>
      <c r="AC916" s="78">
        <f t="shared" si="729"/>
        <v>2</v>
      </c>
      <c r="AD916" s="78">
        <f t="shared" si="730"/>
        <v>2</v>
      </c>
      <c r="AE916" s="78">
        <f t="shared" si="731"/>
        <v>2</v>
      </c>
      <c r="AF916" s="6">
        <v>2</v>
      </c>
      <c r="AG916" s="33" t="str">
        <f t="shared" si="742"/>
        <v>4.01 &gt; Ecuador</v>
      </c>
      <c r="AH916" s="84">
        <f t="shared" si="747"/>
        <v>902</v>
      </c>
      <c r="AI916" s="84">
        <f t="shared" si="748"/>
        <v>34</v>
      </c>
      <c r="AJ916" s="877" t="s">
        <v>1526</v>
      </c>
    </row>
    <row r="917" spans="1:36" x14ac:dyDescent="0.2">
      <c r="A917" s="492">
        <f>INDEX(Country!$F$31:$G$76, MATCH(AI917, Country!$O$31:$O$76, 0), 1)</f>
        <v>4.01</v>
      </c>
      <c r="B917" s="2" t="str">
        <f>INDEX(Country!$F$31:$G$76, MATCH(AI917, Country!$O$31:$O$76, 0), 2)</f>
        <v>Carbon offsets historical activity</v>
      </c>
      <c r="C917" s="436" t="str">
        <f>INDEX(Country!$K$31:$K$76, MATCH(AI917, Country!$O$31:$O$76, 0), 1)</f>
        <v>Projects</v>
      </c>
      <c r="D917" s="4" t="str">
        <f t="shared" si="711"/>
        <v>El Salvador</v>
      </c>
      <c r="E917" s="43">
        <f t="shared" ref="E917:H917" si="755">F917</f>
        <v>7</v>
      </c>
      <c r="F917" s="43">
        <f t="shared" si="755"/>
        <v>7</v>
      </c>
      <c r="G917" s="43">
        <f t="shared" si="755"/>
        <v>7</v>
      </c>
      <c r="H917" s="43">
        <f t="shared" si="755"/>
        <v>7</v>
      </c>
      <c r="I917" s="43">
        <f t="shared" si="720"/>
        <v>7</v>
      </c>
      <c r="J917" s="43">
        <v>342.71899082568808</v>
      </c>
      <c r="K917" s="44">
        <v>7</v>
      </c>
      <c r="L917" s="457">
        <f t="shared" si="721"/>
        <v>25</v>
      </c>
      <c r="M917" s="458">
        <f t="shared" si="722"/>
        <v>25</v>
      </c>
      <c r="N917" s="458">
        <f t="shared" si="723"/>
        <v>25</v>
      </c>
      <c r="O917" s="458">
        <f t="shared" si="724"/>
        <v>25</v>
      </c>
      <c r="P917" s="458">
        <f t="shared" si="725"/>
        <v>25</v>
      </c>
      <c r="Q917" s="458">
        <f t="shared" si="726"/>
        <v>25</v>
      </c>
      <c r="R917" s="459">
        <f t="shared" si="727"/>
        <v>25</v>
      </c>
      <c r="S917" s="455"/>
      <c r="T917" s="456"/>
      <c r="U917" s="456"/>
      <c r="V917" s="456"/>
      <c r="W917" s="456"/>
      <c r="X917" s="456"/>
      <c r="Y917" s="456"/>
      <c r="Z917" s="79">
        <f t="shared" ref="Z917:AB917" si="756">AA917</f>
        <v>1</v>
      </c>
      <c r="AA917" s="78">
        <f t="shared" si="756"/>
        <v>1</v>
      </c>
      <c r="AB917" s="78">
        <f t="shared" si="756"/>
        <v>1</v>
      </c>
      <c r="AC917" s="78">
        <f t="shared" si="729"/>
        <v>1</v>
      </c>
      <c r="AD917" s="78">
        <f t="shared" si="730"/>
        <v>1</v>
      </c>
      <c r="AE917" s="78">
        <f t="shared" si="731"/>
        <v>1</v>
      </c>
      <c r="AF917" s="6">
        <v>1</v>
      </c>
      <c r="AG917" s="33" t="str">
        <f t="shared" si="742"/>
        <v>4.01 &gt; El Salvador</v>
      </c>
      <c r="AH917" s="84">
        <f t="shared" si="747"/>
        <v>903</v>
      </c>
      <c r="AI917" s="84">
        <f t="shared" si="748"/>
        <v>34</v>
      </c>
      <c r="AJ917" s="877" t="s">
        <v>1526</v>
      </c>
    </row>
    <row r="918" spans="1:36" x14ac:dyDescent="0.2">
      <c r="A918" s="492">
        <f>INDEX(Country!$F$31:$G$76, MATCH(AI918, Country!$O$31:$O$76, 0), 1)</f>
        <v>4.01</v>
      </c>
      <c r="B918" s="2" t="str">
        <f>INDEX(Country!$F$31:$G$76, MATCH(AI918, Country!$O$31:$O$76, 0), 2)</f>
        <v>Carbon offsets historical activity</v>
      </c>
      <c r="C918" s="436" t="str">
        <f>INDEX(Country!$K$31:$K$76, MATCH(AI918, Country!$O$31:$O$76, 0), 1)</f>
        <v>Projects</v>
      </c>
      <c r="D918" s="4" t="str">
        <f t="shared" si="711"/>
        <v>Guatemala</v>
      </c>
      <c r="E918" s="43">
        <f t="shared" ref="E918:H918" si="757">F918</f>
        <v>17</v>
      </c>
      <c r="F918" s="43">
        <f t="shared" si="757"/>
        <v>17</v>
      </c>
      <c r="G918" s="43">
        <f t="shared" si="757"/>
        <v>17</v>
      </c>
      <c r="H918" s="43">
        <f t="shared" si="757"/>
        <v>17</v>
      </c>
      <c r="I918" s="43">
        <f t="shared" si="720"/>
        <v>17</v>
      </c>
      <c r="J918" s="43">
        <v>106.91757222665603</v>
      </c>
      <c r="K918" s="44">
        <v>17</v>
      </c>
      <c r="L918" s="457">
        <f t="shared" si="721"/>
        <v>50</v>
      </c>
      <c r="M918" s="458">
        <f t="shared" si="722"/>
        <v>50</v>
      </c>
      <c r="N918" s="458">
        <f t="shared" si="723"/>
        <v>50</v>
      </c>
      <c r="O918" s="458">
        <f t="shared" si="724"/>
        <v>50</v>
      </c>
      <c r="P918" s="458">
        <f t="shared" si="725"/>
        <v>50</v>
      </c>
      <c r="Q918" s="458">
        <f t="shared" si="726"/>
        <v>50</v>
      </c>
      <c r="R918" s="459">
        <f t="shared" si="727"/>
        <v>50</v>
      </c>
      <c r="S918" s="455"/>
      <c r="T918" s="456"/>
      <c r="U918" s="456"/>
      <c r="V918" s="456"/>
      <c r="W918" s="456"/>
      <c r="X918" s="456"/>
      <c r="Y918" s="456"/>
      <c r="Z918" s="79">
        <f t="shared" ref="Z918:AB918" si="758">AA918</f>
        <v>2</v>
      </c>
      <c r="AA918" s="78">
        <f t="shared" si="758"/>
        <v>2</v>
      </c>
      <c r="AB918" s="78">
        <f t="shared" si="758"/>
        <v>2</v>
      </c>
      <c r="AC918" s="78">
        <f t="shared" si="729"/>
        <v>2</v>
      </c>
      <c r="AD918" s="78">
        <f t="shared" si="730"/>
        <v>2</v>
      </c>
      <c r="AE918" s="78">
        <f t="shared" si="731"/>
        <v>2</v>
      </c>
      <c r="AF918" s="6">
        <v>2</v>
      </c>
      <c r="AG918" s="33" t="str">
        <f t="shared" si="742"/>
        <v>4.01 &gt; Guatemala</v>
      </c>
      <c r="AH918" s="84">
        <f t="shared" si="747"/>
        <v>904</v>
      </c>
      <c r="AI918" s="84">
        <f t="shared" si="748"/>
        <v>34</v>
      </c>
      <c r="AJ918" s="877" t="s">
        <v>1526</v>
      </c>
    </row>
    <row r="919" spans="1:36" x14ac:dyDescent="0.2">
      <c r="A919" s="492">
        <f>INDEX(Country!$F$31:$G$76, MATCH(AI919, Country!$O$31:$O$76, 0), 1)</f>
        <v>4.01</v>
      </c>
      <c r="B919" s="2" t="str">
        <f>INDEX(Country!$F$31:$G$76, MATCH(AI919, Country!$O$31:$O$76, 0), 2)</f>
        <v>Carbon offsets historical activity</v>
      </c>
      <c r="C919" s="436" t="str">
        <f>INDEX(Country!$K$31:$K$76, MATCH(AI919, Country!$O$31:$O$76, 0), 1)</f>
        <v>Projects</v>
      </c>
      <c r="D919" s="4" t="str">
        <f t="shared" si="711"/>
        <v>Guyana</v>
      </c>
      <c r="E919" s="43">
        <f t="shared" ref="E919:H919" si="759">F919</f>
        <v>1</v>
      </c>
      <c r="F919" s="43">
        <f t="shared" si="759"/>
        <v>1</v>
      </c>
      <c r="G919" s="43">
        <f t="shared" si="759"/>
        <v>1</v>
      </c>
      <c r="H919" s="43">
        <f t="shared" si="759"/>
        <v>1</v>
      </c>
      <c r="I919" s="43">
        <f t="shared" si="720"/>
        <v>1</v>
      </c>
      <c r="J919" s="43">
        <v>39.245283018867923</v>
      </c>
      <c r="K919" s="44">
        <v>1</v>
      </c>
      <c r="L919" s="457">
        <f t="shared" si="721"/>
        <v>0</v>
      </c>
      <c r="M919" s="458">
        <f t="shared" si="722"/>
        <v>0</v>
      </c>
      <c r="N919" s="458">
        <f t="shared" si="723"/>
        <v>0</v>
      </c>
      <c r="O919" s="458">
        <f t="shared" si="724"/>
        <v>0</v>
      </c>
      <c r="P919" s="458">
        <f t="shared" si="725"/>
        <v>0</v>
      </c>
      <c r="Q919" s="458">
        <f t="shared" si="726"/>
        <v>0</v>
      </c>
      <c r="R919" s="459">
        <f t="shared" si="727"/>
        <v>0</v>
      </c>
      <c r="S919" s="455"/>
      <c r="T919" s="456"/>
      <c r="U919" s="456"/>
      <c r="V919" s="456"/>
      <c r="W919" s="456"/>
      <c r="X919" s="456"/>
      <c r="Y919" s="456"/>
      <c r="Z919" s="79">
        <f t="shared" ref="Z919:AB919" si="760">AA919</f>
        <v>0</v>
      </c>
      <c r="AA919" s="78">
        <f t="shared" si="760"/>
        <v>0</v>
      </c>
      <c r="AB919" s="78">
        <f t="shared" si="760"/>
        <v>0</v>
      </c>
      <c r="AC919" s="78">
        <f t="shared" si="729"/>
        <v>0</v>
      </c>
      <c r="AD919" s="78">
        <f t="shared" si="730"/>
        <v>0</v>
      </c>
      <c r="AE919" s="78">
        <f t="shared" si="731"/>
        <v>0</v>
      </c>
      <c r="AF919" s="6">
        <v>0</v>
      </c>
      <c r="AG919" s="33" t="str">
        <f t="shared" si="742"/>
        <v>4.01 &gt; Guyana</v>
      </c>
      <c r="AH919" s="84">
        <f t="shared" si="747"/>
        <v>905</v>
      </c>
      <c r="AI919" s="84">
        <f t="shared" si="748"/>
        <v>34</v>
      </c>
      <c r="AJ919" s="877" t="s">
        <v>1526</v>
      </c>
    </row>
    <row r="920" spans="1:36" x14ac:dyDescent="0.2">
      <c r="A920" s="492">
        <f>INDEX(Country!$F$31:$G$76, MATCH(AI920, Country!$O$31:$O$76, 0), 1)</f>
        <v>4.01</v>
      </c>
      <c r="B920" s="2" t="str">
        <f>INDEX(Country!$F$31:$G$76, MATCH(AI920, Country!$O$31:$O$76, 0), 2)</f>
        <v>Carbon offsets historical activity</v>
      </c>
      <c r="C920" s="436" t="str">
        <f>INDEX(Country!$K$31:$K$76, MATCH(AI920, Country!$O$31:$O$76, 0), 1)</f>
        <v>Projects</v>
      </c>
      <c r="D920" s="4" t="str">
        <f t="shared" si="711"/>
        <v>Haiti</v>
      </c>
      <c r="E920" s="43">
        <f t="shared" ref="E920:H920" si="761">F920</f>
        <v>0</v>
      </c>
      <c r="F920" s="43">
        <f t="shared" si="761"/>
        <v>0</v>
      </c>
      <c r="G920" s="43">
        <f t="shared" si="761"/>
        <v>0</v>
      </c>
      <c r="H920" s="43">
        <f t="shared" si="761"/>
        <v>0</v>
      </c>
      <c r="I920" s="43">
        <f t="shared" si="720"/>
        <v>0</v>
      </c>
      <c r="J920" s="43">
        <v>0</v>
      </c>
      <c r="K920" s="44">
        <v>0</v>
      </c>
      <c r="L920" s="457">
        <f t="shared" si="721"/>
        <v>0</v>
      </c>
      <c r="M920" s="458">
        <f t="shared" si="722"/>
        <v>0</v>
      </c>
      <c r="N920" s="458">
        <f t="shared" si="723"/>
        <v>0</v>
      </c>
      <c r="O920" s="458">
        <f t="shared" si="724"/>
        <v>0</v>
      </c>
      <c r="P920" s="458">
        <f t="shared" si="725"/>
        <v>0</v>
      </c>
      <c r="Q920" s="458">
        <f t="shared" si="726"/>
        <v>0</v>
      </c>
      <c r="R920" s="459">
        <f t="shared" si="727"/>
        <v>0</v>
      </c>
      <c r="S920" s="455"/>
      <c r="T920" s="456"/>
      <c r="U920" s="456"/>
      <c r="V920" s="456"/>
      <c r="W920" s="456"/>
      <c r="X920" s="456"/>
      <c r="Y920" s="456"/>
      <c r="Z920" s="79">
        <f t="shared" ref="Z920:AB920" si="762">AA920</f>
        <v>0</v>
      </c>
      <c r="AA920" s="78">
        <f t="shared" si="762"/>
        <v>0</v>
      </c>
      <c r="AB920" s="78">
        <f t="shared" si="762"/>
        <v>0</v>
      </c>
      <c r="AC920" s="78">
        <f t="shared" si="729"/>
        <v>0</v>
      </c>
      <c r="AD920" s="78">
        <f t="shared" si="730"/>
        <v>0</v>
      </c>
      <c r="AE920" s="78">
        <f t="shared" si="731"/>
        <v>0</v>
      </c>
      <c r="AF920" s="6">
        <v>0</v>
      </c>
      <c r="AG920" s="33" t="str">
        <f t="shared" si="742"/>
        <v>4.01 &gt; Haiti</v>
      </c>
      <c r="AH920" s="84">
        <f t="shared" si="747"/>
        <v>906</v>
      </c>
      <c r="AI920" s="84">
        <f t="shared" si="748"/>
        <v>34</v>
      </c>
      <c r="AJ920" s="877" t="s">
        <v>1526</v>
      </c>
    </row>
    <row r="921" spans="1:36" x14ac:dyDescent="0.2">
      <c r="A921" s="492">
        <f>INDEX(Country!$F$31:$G$76, MATCH(AI921, Country!$O$31:$O$76, 0), 1)</f>
        <v>4.01</v>
      </c>
      <c r="B921" s="2" t="str">
        <f>INDEX(Country!$F$31:$G$76, MATCH(AI921, Country!$O$31:$O$76, 0), 2)</f>
        <v>Carbon offsets historical activity</v>
      </c>
      <c r="C921" s="436" t="str">
        <f>INDEX(Country!$K$31:$K$76, MATCH(AI921, Country!$O$31:$O$76, 0), 1)</f>
        <v>Projects</v>
      </c>
      <c r="D921" s="4" t="str">
        <f t="shared" si="711"/>
        <v>Honduras</v>
      </c>
      <c r="E921" s="43">
        <f t="shared" ref="E921:H921" si="763">F921</f>
        <v>34</v>
      </c>
      <c r="F921" s="43">
        <f t="shared" si="763"/>
        <v>34</v>
      </c>
      <c r="G921" s="43">
        <f t="shared" si="763"/>
        <v>34</v>
      </c>
      <c r="H921" s="43">
        <f t="shared" si="763"/>
        <v>34</v>
      </c>
      <c r="I921" s="43">
        <f t="shared" si="720"/>
        <v>34</v>
      </c>
      <c r="J921" s="43">
        <v>97.33180712032447</v>
      </c>
      <c r="K921" s="44">
        <v>34</v>
      </c>
      <c r="L921" s="457">
        <f t="shared" si="721"/>
        <v>50</v>
      </c>
      <c r="M921" s="458">
        <f t="shared" si="722"/>
        <v>50</v>
      </c>
      <c r="N921" s="458">
        <f t="shared" si="723"/>
        <v>50</v>
      </c>
      <c r="O921" s="458">
        <f t="shared" si="724"/>
        <v>50</v>
      </c>
      <c r="P921" s="458">
        <f t="shared" si="725"/>
        <v>50</v>
      </c>
      <c r="Q921" s="458">
        <f t="shared" si="726"/>
        <v>50</v>
      </c>
      <c r="R921" s="459">
        <f t="shared" si="727"/>
        <v>50</v>
      </c>
      <c r="S921" s="455"/>
      <c r="T921" s="456"/>
      <c r="U921" s="456"/>
      <c r="V921" s="456"/>
      <c r="W921" s="456"/>
      <c r="X921" s="456"/>
      <c r="Y921" s="456"/>
      <c r="Z921" s="79">
        <f t="shared" ref="Z921:AB921" si="764">AA921</f>
        <v>2</v>
      </c>
      <c r="AA921" s="78">
        <f t="shared" si="764"/>
        <v>2</v>
      </c>
      <c r="AB921" s="78">
        <f t="shared" si="764"/>
        <v>2</v>
      </c>
      <c r="AC921" s="78">
        <f t="shared" si="729"/>
        <v>2</v>
      </c>
      <c r="AD921" s="78">
        <f t="shared" si="730"/>
        <v>2</v>
      </c>
      <c r="AE921" s="78">
        <f t="shared" si="731"/>
        <v>2</v>
      </c>
      <c r="AF921" s="6">
        <v>2</v>
      </c>
      <c r="AG921" s="33" t="str">
        <f t="shared" si="742"/>
        <v>4.01 &gt; Honduras</v>
      </c>
      <c r="AH921" s="84">
        <f t="shared" si="747"/>
        <v>907</v>
      </c>
      <c r="AI921" s="84">
        <f t="shared" si="748"/>
        <v>34</v>
      </c>
      <c r="AJ921" s="877" t="s">
        <v>1526</v>
      </c>
    </row>
    <row r="922" spans="1:36" x14ac:dyDescent="0.2">
      <c r="A922" s="492">
        <f>INDEX(Country!$F$31:$G$76, MATCH(AI922, Country!$O$31:$O$76, 0), 1)</f>
        <v>4.01</v>
      </c>
      <c r="B922" s="2" t="str">
        <f>INDEX(Country!$F$31:$G$76, MATCH(AI922, Country!$O$31:$O$76, 0), 2)</f>
        <v>Carbon offsets historical activity</v>
      </c>
      <c r="C922" s="436" t="str">
        <f>INDEX(Country!$K$31:$K$76, MATCH(AI922, Country!$O$31:$O$76, 0), 1)</f>
        <v>Projects</v>
      </c>
      <c r="D922" s="4" t="str">
        <f t="shared" si="711"/>
        <v>Jamaica</v>
      </c>
      <c r="E922" s="43">
        <f t="shared" ref="E922:H922" si="765">F922</f>
        <v>2</v>
      </c>
      <c r="F922" s="43">
        <f t="shared" si="765"/>
        <v>2</v>
      </c>
      <c r="G922" s="43">
        <f t="shared" si="765"/>
        <v>2</v>
      </c>
      <c r="H922" s="43">
        <f t="shared" si="765"/>
        <v>2</v>
      </c>
      <c r="I922" s="43">
        <f t="shared" si="720"/>
        <v>2</v>
      </c>
      <c r="J922" s="43">
        <v>123.70078740157481</v>
      </c>
      <c r="K922" s="44">
        <v>2</v>
      </c>
      <c r="L922" s="457">
        <f t="shared" si="721"/>
        <v>0</v>
      </c>
      <c r="M922" s="458">
        <f t="shared" si="722"/>
        <v>0</v>
      </c>
      <c r="N922" s="458">
        <f t="shared" si="723"/>
        <v>0</v>
      </c>
      <c r="O922" s="458">
        <f t="shared" si="724"/>
        <v>0</v>
      </c>
      <c r="P922" s="458">
        <f t="shared" si="725"/>
        <v>0</v>
      </c>
      <c r="Q922" s="458">
        <f t="shared" si="726"/>
        <v>0</v>
      </c>
      <c r="R922" s="459">
        <f t="shared" si="727"/>
        <v>0</v>
      </c>
      <c r="S922" s="455"/>
      <c r="T922" s="456"/>
      <c r="U922" s="456"/>
      <c r="V922" s="456"/>
      <c r="W922" s="456"/>
      <c r="X922" s="456"/>
      <c r="Y922" s="456"/>
      <c r="Z922" s="79">
        <f t="shared" ref="Z922:AB922" si="766">AA922</f>
        <v>0</v>
      </c>
      <c r="AA922" s="78">
        <f t="shared" si="766"/>
        <v>0</v>
      </c>
      <c r="AB922" s="78">
        <f t="shared" si="766"/>
        <v>0</v>
      </c>
      <c r="AC922" s="78">
        <f t="shared" si="729"/>
        <v>0</v>
      </c>
      <c r="AD922" s="78">
        <f t="shared" si="730"/>
        <v>0</v>
      </c>
      <c r="AE922" s="78">
        <f t="shared" si="731"/>
        <v>0</v>
      </c>
      <c r="AF922" s="6">
        <v>0</v>
      </c>
      <c r="AG922" s="33" t="str">
        <f t="shared" si="742"/>
        <v>4.01 &gt; Jamaica</v>
      </c>
      <c r="AH922" s="84">
        <f t="shared" si="747"/>
        <v>908</v>
      </c>
      <c r="AI922" s="84">
        <f t="shared" si="748"/>
        <v>34</v>
      </c>
      <c r="AJ922" s="877" t="s">
        <v>1526</v>
      </c>
    </row>
    <row r="923" spans="1:36" x14ac:dyDescent="0.2">
      <c r="A923" s="492">
        <f>INDEX(Country!$F$31:$G$76, MATCH(AI923, Country!$O$31:$O$76, 0), 1)</f>
        <v>4.01</v>
      </c>
      <c r="B923" s="2" t="str">
        <f>INDEX(Country!$F$31:$G$76, MATCH(AI923, Country!$O$31:$O$76, 0), 2)</f>
        <v>Carbon offsets historical activity</v>
      </c>
      <c r="C923" s="436" t="str">
        <f>INDEX(Country!$K$31:$K$76, MATCH(AI923, Country!$O$31:$O$76, 0), 1)</f>
        <v>Projects</v>
      </c>
      <c r="D923" s="4" t="str">
        <f t="shared" si="711"/>
        <v>Mexico</v>
      </c>
      <c r="E923" s="43">
        <f t="shared" ref="E923:H923" si="767">F923</f>
        <v>174</v>
      </c>
      <c r="F923" s="43">
        <f t="shared" si="767"/>
        <v>174</v>
      </c>
      <c r="G923" s="43">
        <f t="shared" si="767"/>
        <v>174</v>
      </c>
      <c r="H923" s="43">
        <f t="shared" si="767"/>
        <v>174</v>
      </c>
      <c r="I923" s="43">
        <f>K923</f>
        <v>174</v>
      </c>
      <c r="J923" s="43">
        <v>118.72823546944858</v>
      </c>
      <c r="K923" s="44">
        <v>174</v>
      </c>
      <c r="L923" s="457">
        <f t="shared" si="721"/>
        <v>100</v>
      </c>
      <c r="M923" s="458">
        <f t="shared" si="722"/>
        <v>100</v>
      </c>
      <c r="N923" s="458">
        <f t="shared" si="723"/>
        <v>100</v>
      </c>
      <c r="O923" s="458">
        <f t="shared" si="724"/>
        <v>100</v>
      </c>
      <c r="P923" s="458">
        <f t="shared" si="725"/>
        <v>100</v>
      </c>
      <c r="Q923" s="458">
        <f t="shared" si="726"/>
        <v>100</v>
      </c>
      <c r="R923" s="459">
        <f t="shared" si="727"/>
        <v>100</v>
      </c>
      <c r="S923" s="455"/>
      <c r="T923" s="456"/>
      <c r="U923" s="456"/>
      <c r="V923" s="456"/>
      <c r="W923" s="456"/>
      <c r="X923" s="456"/>
      <c r="Y923" s="456"/>
      <c r="Z923" s="79">
        <f t="shared" ref="Z923:AB923" si="768">AA923</f>
        <v>4</v>
      </c>
      <c r="AA923" s="78">
        <f t="shared" si="768"/>
        <v>4</v>
      </c>
      <c r="AB923" s="78">
        <f t="shared" si="768"/>
        <v>4</v>
      </c>
      <c r="AC923" s="78">
        <f t="shared" si="729"/>
        <v>4</v>
      </c>
      <c r="AD923" s="78">
        <f t="shared" si="730"/>
        <v>4</v>
      </c>
      <c r="AE923" s="78">
        <f t="shared" si="731"/>
        <v>4</v>
      </c>
      <c r="AF923" s="6">
        <v>4</v>
      </c>
      <c r="AG923" s="33" t="str">
        <f t="shared" si="742"/>
        <v>4.01 &gt; Mexico</v>
      </c>
      <c r="AH923" s="84">
        <f t="shared" si="747"/>
        <v>909</v>
      </c>
      <c r="AI923" s="84">
        <f t="shared" si="748"/>
        <v>34</v>
      </c>
      <c r="AJ923" s="877" t="s">
        <v>1526</v>
      </c>
    </row>
    <row r="924" spans="1:36" x14ac:dyDescent="0.2">
      <c r="A924" s="492">
        <f>INDEX(Country!$F$31:$G$76, MATCH(AI924, Country!$O$31:$O$76, 0), 1)</f>
        <v>4.01</v>
      </c>
      <c r="B924" s="2" t="str">
        <f>INDEX(Country!$F$31:$G$76, MATCH(AI924, Country!$O$31:$O$76, 0), 2)</f>
        <v>Carbon offsets historical activity</v>
      </c>
      <c r="C924" s="436" t="str">
        <f>INDEX(Country!$K$31:$K$76, MATCH(AI924, Country!$O$31:$O$76, 0), 1)</f>
        <v>Projects</v>
      </c>
      <c r="D924" s="4" t="str">
        <f t="shared" si="711"/>
        <v>Nicaragua</v>
      </c>
      <c r="E924" s="43">
        <f t="shared" ref="E924:H924" si="769">F924</f>
        <v>12</v>
      </c>
      <c r="F924" s="43">
        <f t="shared" si="769"/>
        <v>12</v>
      </c>
      <c r="G924" s="43">
        <f t="shared" si="769"/>
        <v>12</v>
      </c>
      <c r="H924" s="43">
        <f t="shared" si="769"/>
        <v>12</v>
      </c>
      <c r="I924" s="43">
        <f t="shared" si="720"/>
        <v>12</v>
      </c>
      <c r="J924" s="43">
        <v>357.77237037037037</v>
      </c>
      <c r="K924" s="44">
        <v>12</v>
      </c>
      <c r="L924" s="457">
        <f t="shared" si="721"/>
        <v>50</v>
      </c>
      <c r="M924" s="458">
        <f t="shared" si="722"/>
        <v>50</v>
      </c>
      <c r="N924" s="458">
        <f t="shared" si="723"/>
        <v>50</v>
      </c>
      <c r="O924" s="458">
        <f t="shared" si="724"/>
        <v>50</v>
      </c>
      <c r="P924" s="458">
        <f t="shared" si="725"/>
        <v>50</v>
      </c>
      <c r="Q924" s="458">
        <f t="shared" si="726"/>
        <v>50</v>
      </c>
      <c r="R924" s="459">
        <f t="shared" si="727"/>
        <v>50</v>
      </c>
      <c r="S924" s="455"/>
      <c r="T924" s="456"/>
      <c r="U924" s="456"/>
      <c r="V924" s="456"/>
      <c r="W924" s="456"/>
      <c r="X924" s="456"/>
      <c r="Y924" s="456"/>
      <c r="Z924" s="79">
        <f t="shared" ref="Z924:AB924" si="770">AA924</f>
        <v>2</v>
      </c>
      <c r="AA924" s="78">
        <f t="shared" si="770"/>
        <v>2</v>
      </c>
      <c r="AB924" s="78">
        <f t="shared" si="770"/>
        <v>2</v>
      </c>
      <c r="AC924" s="78">
        <f t="shared" si="729"/>
        <v>2</v>
      </c>
      <c r="AD924" s="78">
        <f t="shared" si="730"/>
        <v>2</v>
      </c>
      <c r="AE924" s="78">
        <f t="shared" si="731"/>
        <v>2</v>
      </c>
      <c r="AF924" s="6">
        <v>2</v>
      </c>
      <c r="AG924" s="33" t="str">
        <f t="shared" si="742"/>
        <v>4.01 &gt; Nicaragua</v>
      </c>
      <c r="AH924" s="84">
        <f t="shared" si="747"/>
        <v>910</v>
      </c>
      <c r="AI924" s="84">
        <f t="shared" si="748"/>
        <v>34</v>
      </c>
      <c r="AJ924" s="877" t="s">
        <v>1526</v>
      </c>
    </row>
    <row r="925" spans="1:36" x14ac:dyDescent="0.2">
      <c r="A925" s="492">
        <f>INDEX(Country!$F$31:$G$76, MATCH(AI925, Country!$O$31:$O$76, 0), 1)</f>
        <v>4.01</v>
      </c>
      <c r="B925" s="2" t="str">
        <f>INDEX(Country!$F$31:$G$76, MATCH(AI925, Country!$O$31:$O$76, 0), 2)</f>
        <v>Carbon offsets historical activity</v>
      </c>
      <c r="C925" s="436" t="str">
        <f>INDEX(Country!$K$31:$K$76, MATCH(AI925, Country!$O$31:$O$76, 0), 1)</f>
        <v>Projects</v>
      </c>
      <c r="D925" s="4" t="str">
        <f t="shared" si="711"/>
        <v>Panama</v>
      </c>
      <c r="E925" s="43">
        <f t="shared" ref="E925:H925" si="771">F925</f>
        <v>13</v>
      </c>
      <c r="F925" s="43">
        <f t="shared" si="771"/>
        <v>13</v>
      </c>
      <c r="G925" s="43">
        <f t="shared" si="771"/>
        <v>13</v>
      </c>
      <c r="H925" s="43">
        <f t="shared" si="771"/>
        <v>13</v>
      </c>
      <c r="I925" s="43">
        <f t="shared" si="720"/>
        <v>13</v>
      </c>
      <c r="J925" s="43">
        <v>845.48349523809543</v>
      </c>
      <c r="K925" s="44">
        <v>13</v>
      </c>
      <c r="L925" s="457">
        <f t="shared" si="721"/>
        <v>0</v>
      </c>
      <c r="M925" s="458">
        <f t="shared" si="722"/>
        <v>0</v>
      </c>
      <c r="N925" s="458">
        <f t="shared" si="723"/>
        <v>0</v>
      </c>
      <c r="O925" s="458">
        <f t="shared" si="724"/>
        <v>0</v>
      </c>
      <c r="P925" s="458">
        <f t="shared" si="725"/>
        <v>0</v>
      </c>
      <c r="Q925" s="458">
        <f t="shared" si="726"/>
        <v>0</v>
      </c>
      <c r="R925" s="459">
        <f t="shared" si="727"/>
        <v>0</v>
      </c>
      <c r="S925" s="455"/>
      <c r="T925" s="456"/>
      <c r="U925" s="456"/>
      <c r="V925" s="456"/>
      <c r="W925" s="456"/>
      <c r="X925" s="456"/>
      <c r="Y925" s="456"/>
      <c r="Z925" s="79">
        <f t="shared" ref="Z925:AB925" si="772">AA925</f>
        <v>0</v>
      </c>
      <c r="AA925" s="78">
        <f t="shared" si="772"/>
        <v>0</v>
      </c>
      <c r="AB925" s="78">
        <f t="shared" si="772"/>
        <v>0</v>
      </c>
      <c r="AC925" s="78">
        <f t="shared" si="729"/>
        <v>0</v>
      </c>
      <c r="AD925" s="78">
        <f t="shared" si="730"/>
        <v>0</v>
      </c>
      <c r="AE925" s="78">
        <f t="shared" si="731"/>
        <v>0</v>
      </c>
      <c r="AF925" s="6">
        <v>0</v>
      </c>
      <c r="AG925" s="33" t="str">
        <f t="shared" si="742"/>
        <v>4.01 &gt; Panama</v>
      </c>
      <c r="AH925" s="84">
        <f t="shared" si="747"/>
        <v>911</v>
      </c>
      <c r="AI925" s="84">
        <f t="shared" si="748"/>
        <v>34</v>
      </c>
      <c r="AJ925" s="877" t="s">
        <v>1526</v>
      </c>
    </row>
    <row r="926" spans="1:36" x14ac:dyDescent="0.2">
      <c r="A926" s="492">
        <f>INDEX(Country!$F$31:$G$76, MATCH(AI926, Country!$O$31:$O$76, 0), 1)</f>
        <v>4.01</v>
      </c>
      <c r="B926" s="2" t="str">
        <f>INDEX(Country!$F$31:$G$76, MATCH(AI926, Country!$O$31:$O$76, 0), 2)</f>
        <v>Carbon offsets historical activity</v>
      </c>
      <c r="C926" s="436" t="str">
        <f>INDEX(Country!$K$31:$K$76, MATCH(AI926, Country!$O$31:$O$76, 0), 1)</f>
        <v>Projects</v>
      </c>
      <c r="D926" s="4" t="str">
        <f t="shared" si="711"/>
        <v>Paraguay</v>
      </c>
      <c r="E926" s="43">
        <f t="shared" ref="E926:H926" si="773">F926</f>
        <v>2</v>
      </c>
      <c r="F926" s="43">
        <f t="shared" si="773"/>
        <v>2</v>
      </c>
      <c r="G926" s="43">
        <f t="shared" si="773"/>
        <v>2</v>
      </c>
      <c r="H926" s="43">
        <f t="shared" si="773"/>
        <v>2</v>
      </c>
      <c r="I926" s="43">
        <f t="shared" si="720"/>
        <v>2</v>
      </c>
      <c r="J926" s="43">
        <v>34.880445744680856</v>
      </c>
      <c r="K926" s="44">
        <v>2</v>
      </c>
      <c r="L926" s="457">
        <f t="shared" si="721"/>
        <v>0</v>
      </c>
      <c r="M926" s="458">
        <f t="shared" si="722"/>
        <v>0</v>
      </c>
      <c r="N926" s="458">
        <f t="shared" si="723"/>
        <v>0</v>
      </c>
      <c r="O926" s="458">
        <f t="shared" si="724"/>
        <v>0</v>
      </c>
      <c r="P926" s="458">
        <f t="shared" si="725"/>
        <v>0</v>
      </c>
      <c r="Q926" s="458">
        <f t="shared" si="726"/>
        <v>0</v>
      </c>
      <c r="R926" s="459">
        <f t="shared" si="727"/>
        <v>0</v>
      </c>
      <c r="S926" s="455"/>
      <c r="T926" s="456"/>
      <c r="U926" s="456"/>
      <c r="V926" s="456"/>
      <c r="W926" s="456"/>
      <c r="X926" s="456"/>
      <c r="Y926" s="456"/>
      <c r="Z926" s="79">
        <f t="shared" ref="Z926:AB926" si="774">AA926</f>
        <v>0</v>
      </c>
      <c r="AA926" s="78">
        <f t="shared" si="774"/>
        <v>0</v>
      </c>
      <c r="AB926" s="78">
        <f t="shared" si="774"/>
        <v>0</v>
      </c>
      <c r="AC926" s="78">
        <f t="shared" si="729"/>
        <v>0</v>
      </c>
      <c r="AD926" s="78">
        <f t="shared" si="730"/>
        <v>0</v>
      </c>
      <c r="AE926" s="78">
        <f t="shared" si="731"/>
        <v>0</v>
      </c>
      <c r="AF926" s="6">
        <v>0</v>
      </c>
      <c r="AG926" s="33" t="str">
        <f t="shared" si="742"/>
        <v>4.01 &gt; Paraguay</v>
      </c>
      <c r="AH926" s="84">
        <f t="shared" si="747"/>
        <v>912</v>
      </c>
      <c r="AI926" s="84">
        <f t="shared" si="748"/>
        <v>34</v>
      </c>
      <c r="AJ926" s="877" t="s">
        <v>1526</v>
      </c>
    </row>
    <row r="927" spans="1:36" x14ac:dyDescent="0.2">
      <c r="A927" s="492">
        <f>INDEX(Country!$F$31:$G$76, MATCH(AI927, Country!$O$31:$O$76, 0), 1)</f>
        <v>4.01</v>
      </c>
      <c r="B927" s="2" t="str">
        <f>INDEX(Country!$F$31:$G$76, MATCH(AI927, Country!$O$31:$O$76, 0), 2)</f>
        <v>Carbon offsets historical activity</v>
      </c>
      <c r="C927" s="436" t="str">
        <f>INDEX(Country!$K$31:$K$76, MATCH(AI927, Country!$O$31:$O$76, 0), 1)</f>
        <v>Projects</v>
      </c>
      <c r="D927" s="4" t="str">
        <f t="shared" si="711"/>
        <v>Peru</v>
      </c>
      <c r="E927" s="43">
        <f t="shared" ref="E927:H927" si="775">F927</f>
        <v>61</v>
      </c>
      <c r="F927" s="43">
        <f t="shared" si="775"/>
        <v>61</v>
      </c>
      <c r="G927" s="43">
        <f t="shared" si="775"/>
        <v>61</v>
      </c>
      <c r="H927" s="43">
        <f t="shared" si="775"/>
        <v>61</v>
      </c>
      <c r="I927" s="43">
        <f t="shared" si="720"/>
        <v>61</v>
      </c>
      <c r="J927" s="43">
        <v>130.80298131278536</v>
      </c>
      <c r="K927" s="44">
        <v>61</v>
      </c>
      <c r="L927" s="457">
        <f t="shared" si="721"/>
        <v>75</v>
      </c>
      <c r="M927" s="458">
        <f t="shared" si="722"/>
        <v>75</v>
      </c>
      <c r="N927" s="458">
        <f t="shared" si="723"/>
        <v>75</v>
      </c>
      <c r="O927" s="458">
        <f t="shared" si="724"/>
        <v>75</v>
      </c>
      <c r="P927" s="458">
        <f t="shared" si="725"/>
        <v>75</v>
      </c>
      <c r="Q927" s="458">
        <f t="shared" si="726"/>
        <v>75</v>
      </c>
      <c r="R927" s="459">
        <f t="shared" si="727"/>
        <v>75</v>
      </c>
      <c r="S927" s="455"/>
      <c r="T927" s="456"/>
      <c r="U927" s="456"/>
      <c r="V927" s="456"/>
      <c r="W927" s="456"/>
      <c r="X927" s="456"/>
      <c r="Y927" s="456"/>
      <c r="Z927" s="79">
        <f t="shared" ref="Z927:AB927" si="776">AA927</f>
        <v>3</v>
      </c>
      <c r="AA927" s="78">
        <f t="shared" si="776"/>
        <v>3</v>
      </c>
      <c r="AB927" s="78">
        <f t="shared" si="776"/>
        <v>3</v>
      </c>
      <c r="AC927" s="78">
        <f t="shared" si="729"/>
        <v>3</v>
      </c>
      <c r="AD927" s="78">
        <f t="shared" si="730"/>
        <v>3</v>
      </c>
      <c r="AE927" s="78">
        <f t="shared" si="731"/>
        <v>3</v>
      </c>
      <c r="AF927" s="6">
        <v>3</v>
      </c>
      <c r="AG927" s="33" t="str">
        <f t="shared" si="742"/>
        <v>4.01 &gt; Peru</v>
      </c>
      <c r="AH927" s="84">
        <f t="shared" si="747"/>
        <v>913</v>
      </c>
      <c r="AI927" s="84">
        <f t="shared" si="748"/>
        <v>34</v>
      </c>
      <c r="AJ927" s="877" t="s">
        <v>1526</v>
      </c>
    </row>
    <row r="928" spans="1:36" x14ac:dyDescent="0.2">
      <c r="A928" s="492">
        <f>INDEX(Country!$F$31:$G$76, MATCH(AI928, Country!$O$31:$O$76, 0), 1)</f>
        <v>4.01</v>
      </c>
      <c r="B928" s="2" t="str">
        <f>INDEX(Country!$F$31:$G$76, MATCH(AI928, Country!$O$31:$O$76, 0), 2)</f>
        <v>Carbon offsets historical activity</v>
      </c>
      <c r="C928" s="436" t="str">
        <f>INDEX(Country!$K$31:$K$76, MATCH(AI928, Country!$O$31:$O$76, 0), 1)</f>
        <v>Projects</v>
      </c>
      <c r="D928" s="4" t="str">
        <f t="shared" si="711"/>
        <v>Suriname</v>
      </c>
      <c r="E928" s="43">
        <f t="shared" ref="E928:H928" si="777">F928</f>
        <v>0</v>
      </c>
      <c r="F928" s="43">
        <f t="shared" si="777"/>
        <v>0</v>
      </c>
      <c r="G928" s="43">
        <f t="shared" si="777"/>
        <v>0</v>
      </c>
      <c r="H928" s="43">
        <f t="shared" si="777"/>
        <v>0</v>
      </c>
      <c r="I928" s="43">
        <f t="shared" si="720"/>
        <v>0</v>
      </c>
      <c r="J928" s="43">
        <v>0</v>
      </c>
      <c r="K928" s="44">
        <v>0</v>
      </c>
      <c r="L928" s="457">
        <f t="shared" si="721"/>
        <v>0</v>
      </c>
      <c r="M928" s="458">
        <f t="shared" si="722"/>
        <v>0</v>
      </c>
      <c r="N928" s="458">
        <f t="shared" si="723"/>
        <v>0</v>
      </c>
      <c r="O928" s="458">
        <f t="shared" si="724"/>
        <v>0</v>
      </c>
      <c r="P928" s="458">
        <f t="shared" si="725"/>
        <v>0</v>
      </c>
      <c r="Q928" s="458">
        <f t="shared" si="726"/>
        <v>0</v>
      </c>
      <c r="R928" s="459">
        <f t="shared" si="727"/>
        <v>0</v>
      </c>
      <c r="S928" s="455"/>
      <c r="T928" s="456"/>
      <c r="U928" s="456"/>
      <c r="V928" s="456"/>
      <c r="W928" s="456"/>
      <c r="X928" s="456"/>
      <c r="Y928" s="456"/>
      <c r="Z928" s="79">
        <f t="shared" ref="Z928:AB928" si="778">AA928</f>
        <v>0</v>
      </c>
      <c r="AA928" s="78">
        <f t="shared" si="778"/>
        <v>0</v>
      </c>
      <c r="AB928" s="78">
        <f t="shared" si="778"/>
        <v>0</v>
      </c>
      <c r="AC928" s="78">
        <f t="shared" si="729"/>
        <v>0</v>
      </c>
      <c r="AD928" s="78">
        <f t="shared" si="730"/>
        <v>0</v>
      </c>
      <c r="AE928" s="78">
        <f t="shared" si="731"/>
        <v>0</v>
      </c>
      <c r="AF928" s="6">
        <v>0</v>
      </c>
      <c r="AG928" s="33" t="str">
        <f t="shared" si="742"/>
        <v>4.01 &gt; Suriname</v>
      </c>
      <c r="AH928" s="84">
        <f t="shared" si="747"/>
        <v>914</v>
      </c>
      <c r="AI928" s="84">
        <f t="shared" si="748"/>
        <v>34</v>
      </c>
      <c r="AJ928" s="877" t="s">
        <v>1526</v>
      </c>
    </row>
    <row r="929" spans="1:36" x14ac:dyDescent="0.2">
      <c r="A929" s="492">
        <f>INDEX(Country!$F$31:$G$76, MATCH(AI929, Country!$O$31:$O$76, 0), 1)</f>
        <v>4.01</v>
      </c>
      <c r="B929" s="2" t="str">
        <f>INDEX(Country!$F$31:$G$76, MATCH(AI929, Country!$O$31:$O$76, 0), 2)</f>
        <v>Carbon offsets historical activity</v>
      </c>
      <c r="C929" s="436" t="str">
        <f>INDEX(Country!$K$31:$K$76, MATCH(AI929, Country!$O$31:$O$76, 0), 1)</f>
        <v>Projects</v>
      </c>
      <c r="D929" s="4" t="str">
        <f t="shared" si="711"/>
        <v>Trinidad &amp; Tobago</v>
      </c>
      <c r="E929" s="43">
        <f t="shared" ref="E929:H929" si="779">F929</f>
        <v>0</v>
      </c>
      <c r="F929" s="43">
        <f t="shared" si="779"/>
        <v>0</v>
      </c>
      <c r="G929" s="43">
        <f t="shared" si="779"/>
        <v>0</v>
      </c>
      <c r="H929" s="43">
        <f t="shared" si="779"/>
        <v>0</v>
      </c>
      <c r="I929" s="43">
        <f t="shared" si="720"/>
        <v>0</v>
      </c>
      <c r="J929" s="43">
        <v>0</v>
      </c>
      <c r="K929" s="44">
        <v>0</v>
      </c>
      <c r="L929" s="457">
        <f t="shared" si="721"/>
        <v>0</v>
      </c>
      <c r="M929" s="458">
        <f t="shared" si="722"/>
        <v>0</v>
      </c>
      <c r="N929" s="458">
        <f t="shared" si="723"/>
        <v>0</v>
      </c>
      <c r="O929" s="458">
        <f t="shared" si="724"/>
        <v>0</v>
      </c>
      <c r="P929" s="458">
        <f t="shared" si="725"/>
        <v>0</v>
      </c>
      <c r="Q929" s="458">
        <f t="shared" si="726"/>
        <v>0</v>
      </c>
      <c r="R929" s="459">
        <f t="shared" si="727"/>
        <v>0</v>
      </c>
      <c r="S929" s="455"/>
      <c r="T929" s="456"/>
      <c r="U929" s="456"/>
      <c r="V929" s="456"/>
      <c r="W929" s="456"/>
      <c r="X929" s="456"/>
      <c r="Y929" s="456"/>
      <c r="Z929" s="79">
        <f t="shared" ref="Z929:AB929" si="780">AA929</f>
        <v>0</v>
      </c>
      <c r="AA929" s="78">
        <f t="shared" si="780"/>
        <v>0</v>
      </c>
      <c r="AB929" s="78">
        <f t="shared" si="780"/>
        <v>0</v>
      </c>
      <c r="AC929" s="78">
        <f t="shared" si="729"/>
        <v>0</v>
      </c>
      <c r="AD929" s="78">
        <f t="shared" si="730"/>
        <v>0</v>
      </c>
      <c r="AE929" s="78">
        <f t="shared" si="731"/>
        <v>0</v>
      </c>
      <c r="AF929" s="6">
        <v>0</v>
      </c>
      <c r="AG929" s="33" t="str">
        <f t="shared" si="742"/>
        <v>4.01 &gt; Trinidad &amp; Tobago</v>
      </c>
      <c r="AH929" s="84">
        <f t="shared" si="747"/>
        <v>915</v>
      </c>
      <c r="AI929" s="84">
        <f t="shared" si="748"/>
        <v>34</v>
      </c>
      <c r="AJ929" s="877" t="s">
        <v>1526</v>
      </c>
    </row>
    <row r="930" spans="1:36" x14ac:dyDescent="0.2">
      <c r="A930" s="492">
        <f>INDEX(Country!$F$31:$G$76, MATCH(AI930, Country!$O$31:$O$76, 0), 1)</f>
        <v>4.01</v>
      </c>
      <c r="B930" s="2" t="str">
        <f>INDEX(Country!$F$31:$G$76, MATCH(AI930, Country!$O$31:$O$76, 0), 2)</f>
        <v>Carbon offsets historical activity</v>
      </c>
      <c r="C930" s="436" t="str">
        <f>INDEX(Country!$K$31:$K$76, MATCH(AI930, Country!$O$31:$O$76, 0), 1)</f>
        <v>Projects</v>
      </c>
      <c r="D930" s="4" t="str">
        <f t="shared" si="711"/>
        <v>Uruguay</v>
      </c>
      <c r="E930" s="43">
        <f t="shared" ref="E930:H930" si="781">F930</f>
        <v>24</v>
      </c>
      <c r="F930" s="43">
        <f t="shared" si="781"/>
        <v>24</v>
      </c>
      <c r="G930" s="43">
        <f t="shared" si="781"/>
        <v>24</v>
      </c>
      <c r="H930" s="43">
        <f t="shared" si="781"/>
        <v>24</v>
      </c>
      <c r="I930" s="43">
        <f t="shared" si="720"/>
        <v>24</v>
      </c>
      <c r="J930" s="43">
        <v>56.78555023923446</v>
      </c>
      <c r="K930" s="44">
        <v>24</v>
      </c>
      <c r="L930" s="457">
        <f t="shared" si="721"/>
        <v>50</v>
      </c>
      <c r="M930" s="458">
        <f t="shared" si="722"/>
        <v>50</v>
      </c>
      <c r="N930" s="458">
        <f t="shared" si="723"/>
        <v>50</v>
      </c>
      <c r="O930" s="458">
        <f t="shared" si="724"/>
        <v>50</v>
      </c>
      <c r="P930" s="458">
        <f t="shared" si="725"/>
        <v>50</v>
      </c>
      <c r="Q930" s="458">
        <f t="shared" si="726"/>
        <v>50</v>
      </c>
      <c r="R930" s="459">
        <f t="shared" si="727"/>
        <v>50</v>
      </c>
      <c r="S930" s="455"/>
      <c r="T930" s="456"/>
      <c r="U930" s="456"/>
      <c r="V930" s="456"/>
      <c r="W930" s="456"/>
      <c r="X930" s="456"/>
      <c r="Y930" s="456"/>
      <c r="Z930" s="79">
        <f t="shared" ref="Z930:AB930" si="782">AA930</f>
        <v>2</v>
      </c>
      <c r="AA930" s="78">
        <f t="shared" si="782"/>
        <v>2</v>
      </c>
      <c r="AB930" s="78">
        <f t="shared" si="782"/>
        <v>2</v>
      </c>
      <c r="AC930" s="78">
        <f t="shared" si="729"/>
        <v>2</v>
      </c>
      <c r="AD930" s="78">
        <f t="shared" si="730"/>
        <v>2</v>
      </c>
      <c r="AE930" s="78">
        <f t="shared" si="731"/>
        <v>2</v>
      </c>
      <c r="AF930" s="6">
        <v>2</v>
      </c>
      <c r="AG930" s="33" t="str">
        <f t="shared" si="742"/>
        <v>4.01 &gt; Uruguay</v>
      </c>
      <c r="AH930" s="84">
        <f t="shared" si="747"/>
        <v>916</v>
      </c>
      <c r="AI930" s="84">
        <f t="shared" si="748"/>
        <v>34</v>
      </c>
      <c r="AJ930" s="877" t="s">
        <v>1526</v>
      </c>
    </row>
    <row r="931" spans="1:36" x14ac:dyDescent="0.2">
      <c r="A931" s="491">
        <f>INDEX(Country!$F$31:$G$76, MATCH(AI931, Country!$O$31:$O$76, 0), 1)</f>
        <v>4.01</v>
      </c>
      <c r="B931" s="386" t="str">
        <f>INDEX(Country!$F$31:$G$76, MATCH(AI931, Country!$O$31:$O$76, 0), 2)</f>
        <v>Carbon offsets historical activity</v>
      </c>
      <c r="C931" s="437" t="str">
        <f>INDEX(Country!$K$31:$K$76, MATCH(AI931, Country!$O$31:$O$76, 0), 1)</f>
        <v>Projects</v>
      </c>
      <c r="D931" s="86" t="str">
        <f t="shared" si="711"/>
        <v>Venezuela</v>
      </c>
      <c r="E931" s="374">
        <f t="shared" ref="E931:H931" si="783">F931</f>
        <v>0</v>
      </c>
      <c r="F931" s="374">
        <f t="shared" si="783"/>
        <v>0</v>
      </c>
      <c r="G931" s="374">
        <f t="shared" si="783"/>
        <v>0</v>
      </c>
      <c r="H931" s="374">
        <f t="shared" si="783"/>
        <v>0</v>
      </c>
      <c r="I931" s="374">
        <f t="shared" si="720"/>
        <v>0</v>
      </c>
      <c r="J931" s="374">
        <v>5.5236411842686711E-2</v>
      </c>
      <c r="K931" s="399">
        <v>0</v>
      </c>
      <c r="L931" s="460">
        <f t="shared" si="721"/>
        <v>0</v>
      </c>
      <c r="M931" s="461">
        <f t="shared" si="722"/>
        <v>0</v>
      </c>
      <c r="N931" s="461">
        <f t="shared" si="723"/>
        <v>0</v>
      </c>
      <c r="O931" s="461">
        <f t="shared" si="724"/>
        <v>0</v>
      </c>
      <c r="P931" s="461">
        <f t="shared" si="725"/>
        <v>0</v>
      </c>
      <c r="Q931" s="461">
        <f t="shared" si="726"/>
        <v>0</v>
      </c>
      <c r="R931" s="462">
        <f t="shared" si="727"/>
        <v>0</v>
      </c>
      <c r="S931" s="455"/>
      <c r="T931" s="456"/>
      <c r="U931" s="456"/>
      <c r="V931" s="456"/>
      <c r="W931" s="456"/>
      <c r="X931" s="456"/>
      <c r="Y931" s="456"/>
      <c r="Z931" s="93">
        <f t="shared" ref="Z931:AB931" si="784">AA931</f>
        <v>0</v>
      </c>
      <c r="AA931" s="379">
        <f t="shared" si="784"/>
        <v>0</v>
      </c>
      <c r="AB931" s="379">
        <f t="shared" si="784"/>
        <v>0</v>
      </c>
      <c r="AC931" s="379">
        <f t="shared" si="729"/>
        <v>0</v>
      </c>
      <c r="AD931" s="379">
        <f t="shared" si="730"/>
        <v>0</v>
      </c>
      <c r="AE931" s="379">
        <f t="shared" si="731"/>
        <v>0</v>
      </c>
      <c r="AF931" s="390">
        <v>0</v>
      </c>
      <c r="AG931" s="90" t="str">
        <f t="shared" si="742"/>
        <v>4.01 &gt; Venezuela</v>
      </c>
      <c r="AH931" s="392">
        <f t="shared" si="747"/>
        <v>917</v>
      </c>
      <c r="AI931" s="392">
        <f t="shared" si="748"/>
        <v>34</v>
      </c>
      <c r="AJ931" s="878" t="s">
        <v>1526</v>
      </c>
    </row>
    <row r="932" spans="1:36" x14ac:dyDescent="0.2">
      <c r="A932" s="490">
        <f>INDEX(Country!$F$31:$G$76, MATCH(AI932, Country!$O$31:$O$76, 0), 1)</f>
        <v>4.01</v>
      </c>
      <c r="B932" s="387" t="str">
        <f>INDEX(Country!$F$31:$G$76, MATCH(AI932, Country!$O$31:$O$76, 0), 2)</f>
        <v>Carbon offsets historical activity</v>
      </c>
      <c r="C932" s="438" t="str">
        <f>INDEX(Country!$K$31:$K$76, MATCH(AI932, Country!$O$31:$O$76, 0), 1)</f>
        <v>Projects</v>
      </c>
      <c r="D932" s="32" t="str">
        <f t="shared" si="711"/>
        <v>Benchmark</v>
      </c>
      <c r="E932" s="365">
        <f>IFERROR(MAX(E906:E931), 0)</f>
        <v>345</v>
      </c>
      <c r="F932" s="365">
        <f t="shared" ref="F932:K932" si="785">IFERROR(MAX(F906:F931), 0)</f>
        <v>345</v>
      </c>
      <c r="G932" s="365">
        <f t="shared" si="785"/>
        <v>345</v>
      </c>
      <c r="H932" s="365">
        <f t="shared" si="785"/>
        <v>345</v>
      </c>
      <c r="I932" s="365">
        <f t="shared" si="785"/>
        <v>345</v>
      </c>
      <c r="J932" s="365">
        <f t="shared" ref="J932" si="786">IFERROR(MAX(J906:J931), 0)</f>
        <v>845.48349523809543</v>
      </c>
      <c r="K932" s="593">
        <f t="shared" si="785"/>
        <v>345</v>
      </c>
      <c r="L932" s="585">
        <f t="shared" si="721"/>
        <v>100</v>
      </c>
      <c r="M932" s="463">
        <f t="shared" si="722"/>
        <v>100</v>
      </c>
      <c r="N932" s="463">
        <f t="shared" si="723"/>
        <v>100</v>
      </c>
      <c r="O932" s="463">
        <f t="shared" si="724"/>
        <v>100</v>
      </c>
      <c r="P932" s="463">
        <f t="shared" si="725"/>
        <v>100</v>
      </c>
      <c r="Q932" s="463">
        <f t="shared" si="726"/>
        <v>100</v>
      </c>
      <c r="R932" s="586">
        <f t="shared" si="727"/>
        <v>100</v>
      </c>
      <c r="S932" s="393"/>
      <c r="T932" s="394"/>
      <c r="U932" s="376"/>
      <c r="V932" s="376"/>
      <c r="W932" s="376"/>
      <c r="X932" s="376"/>
      <c r="Y932" s="376"/>
      <c r="Z932" s="423">
        <f>IFERROR(MAX(Z906:Z931), 0)</f>
        <v>4</v>
      </c>
      <c r="AA932" s="365">
        <f t="shared" ref="AA932:AB932" si="787">IFERROR(MAX(AA906:AA931), 0)</f>
        <v>4</v>
      </c>
      <c r="AB932" s="365">
        <f t="shared" si="787"/>
        <v>4</v>
      </c>
      <c r="AC932" s="365">
        <f t="shared" ref="AC932:AE932" si="788">IFERROR(MAX(AC906:AC931), 0)</f>
        <v>4</v>
      </c>
      <c r="AD932" s="365">
        <f t="shared" si="788"/>
        <v>4</v>
      </c>
      <c r="AE932" s="365">
        <f t="shared" si="788"/>
        <v>4</v>
      </c>
      <c r="AF932" s="395">
        <f>IFERROR(MAX(AF906:AF931), 0)</f>
        <v>4</v>
      </c>
      <c r="AG932" s="34" t="str">
        <f t="shared" si="742"/>
        <v>4.01 &gt; Benchmark</v>
      </c>
      <c r="AH932" s="85">
        <f t="shared" si="747"/>
        <v>918</v>
      </c>
      <c r="AI932" s="85">
        <f t="shared" si="748"/>
        <v>34</v>
      </c>
      <c r="AJ932" s="871" t="s">
        <v>1526</v>
      </c>
    </row>
    <row r="933" spans="1:36" x14ac:dyDescent="0.2">
      <c r="A933" s="587">
        <f>INDEX(Country!$F$31:$G$76, MATCH(AI933, Country!$O$31:$O$76, 0), 1)</f>
        <v>4.0199999999999996</v>
      </c>
      <c r="B933" s="588" t="str">
        <f>INDEX(Country!$F$31:$G$76, MATCH(AI933, Country!$O$31:$O$76, 0), 2)</f>
        <v>CDM risk</v>
      </c>
      <c r="C933" s="589" t="str">
        <f>INDEX(Country!$K$31:$K$76, MATCH(AI933, Country!$O$31:$O$76, 0), 1)</f>
        <v>Failures/Projects</v>
      </c>
      <c r="D933" s="590" t="str">
        <f t="shared" si="711"/>
        <v>Argentina</v>
      </c>
      <c r="E933" s="614">
        <f t="shared" ref="E933:H933" si="789">F933</f>
        <v>11</v>
      </c>
      <c r="F933" s="614">
        <f t="shared" si="789"/>
        <v>11</v>
      </c>
      <c r="G933" s="614">
        <f t="shared" si="789"/>
        <v>11</v>
      </c>
      <c r="H933" s="47">
        <f t="shared" si="789"/>
        <v>11</v>
      </c>
      <c r="I933" s="47">
        <f t="shared" ref="I933:I958" si="790">K933</f>
        <v>11</v>
      </c>
      <c r="J933" s="47">
        <v>11</v>
      </c>
      <c r="K933" s="615">
        <v>11</v>
      </c>
      <c r="L933" s="580">
        <f t="shared" ref="L933:L959" si="791">(Z933/6)*dbl_BenchmarkMax</f>
        <v>83.333333333333343</v>
      </c>
      <c r="M933" s="581">
        <f t="shared" ref="M933:M959" si="792">(AA933/6)*dbl_BenchmarkMax</f>
        <v>83.333333333333343</v>
      </c>
      <c r="N933" s="581">
        <f t="shared" ref="N933:N959" si="793">(AB933/6)*dbl_BenchmarkMax</f>
        <v>83.333333333333343</v>
      </c>
      <c r="O933" s="581">
        <f t="shared" ref="O933:O959" si="794">(AC933/6)*dbl_BenchmarkMax</f>
        <v>83.333333333333343</v>
      </c>
      <c r="P933" s="581">
        <f t="shared" ref="P933:P959" si="795">(AD933/6)*dbl_BenchmarkMax</f>
        <v>83.333333333333343</v>
      </c>
      <c r="Q933" s="581">
        <f t="shared" ref="Q933:Q959" si="796">(AE933/6)*dbl_BenchmarkMax</f>
        <v>83.333333333333343</v>
      </c>
      <c r="R933" s="582">
        <f t="shared" ref="R933:R959" si="797">(AF933/6)*dbl_BenchmarkMax</f>
        <v>83.333333333333343</v>
      </c>
      <c r="S933" s="455"/>
      <c r="T933" s="456"/>
      <c r="U933" s="456"/>
      <c r="V933" s="456"/>
      <c r="W933" s="456"/>
      <c r="X933" s="456"/>
      <c r="Y933" s="456"/>
      <c r="Z933" s="472">
        <f t="shared" ref="Z933:AB933" si="798">AA933</f>
        <v>5</v>
      </c>
      <c r="AA933" s="378">
        <f t="shared" si="798"/>
        <v>5</v>
      </c>
      <c r="AB933" s="378">
        <f t="shared" si="798"/>
        <v>5</v>
      </c>
      <c r="AC933" s="378">
        <f t="shared" ref="AC933:AC958" si="799">AD933</f>
        <v>5</v>
      </c>
      <c r="AD933" s="378">
        <f t="shared" ref="AD933:AD958" si="800">AE933</f>
        <v>5</v>
      </c>
      <c r="AE933" s="378">
        <f t="shared" ref="AE933:AE958" si="801">AF933</f>
        <v>5</v>
      </c>
      <c r="AF933" s="388">
        <v>5</v>
      </c>
      <c r="AG933" s="396" t="str">
        <f t="shared" si="742"/>
        <v>4.02 &gt; Argentina</v>
      </c>
      <c r="AH933" s="397">
        <f t="shared" si="747"/>
        <v>919</v>
      </c>
      <c r="AI933" s="397">
        <f t="shared" si="748"/>
        <v>35</v>
      </c>
      <c r="AJ933" s="879" t="s">
        <v>1526</v>
      </c>
    </row>
    <row r="934" spans="1:36" x14ac:dyDescent="0.2">
      <c r="A934" s="492">
        <f>INDEX(Country!$F$31:$G$76, MATCH(AI934, Country!$O$31:$O$76, 0), 1)</f>
        <v>4.0199999999999996</v>
      </c>
      <c r="B934" s="2" t="str">
        <f>INDEX(Country!$F$31:$G$76, MATCH(AI934, Country!$O$31:$O$76, 0), 2)</f>
        <v>CDM risk</v>
      </c>
      <c r="C934" s="436" t="str">
        <f>INDEX(Country!$K$31:$K$76, MATCH(AI934, Country!$O$31:$O$76, 0), 1)</f>
        <v>Failures/Projects</v>
      </c>
      <c r="D934" s="4" t="str">
        <f t="shared" si="711"/>
        <v>Bahamas</v>
      </c>
      <c r="E934" s="47">
        <f t="shared" ref="E934:H934" si="802">F934</f>
        <v>0</v>
      </c>
      <c r="F934" s="47">
        <f t="shared" si="802"/>
        <v>0</v>
      </c>
      <c r="G934" s="47">
        <f t="shared" si="802"/>
        <v>0</v>
      </c>
      <c r="H934" s="47">
        <f t="shared" si="802"/>
        <v>0</v>
      </c>
      <c r="I934" s="47">
        <f t="shared" si="790"/>
        <v>0</v>
      </c>
      <c r="J934" s="47">
        <v>0</v>
      </c>
      <c r="K934" s="45">
        <v>0</v>
      </c>
      <c r="L934" s="457">
        <f t="shared" si="791"/>
        <v>66.666666666666657</v>
      </c>
      <c r="M934" s="458">
        <f t="shared" si="792"/>
        <v>66.666666666666657</v>
      </c>
      <c r="N934" s="458">
        <f t="shared" si="793"/>
        <v>66.666666666666657</v>
      </c>
      <c r="O934" s="458">
        <f t="shared" si="794"/>
        <v>66.666666666666657</v>
      </c>
      <c r="P934" s="458">
        <f t="shared" si="795"/>
        <v>66.666666666666657</v>
      </c>
      <c r="Q934" s="458">
        <f t="shared" si="796"/>
        <v>66.666666666666657</v>
      </c>
      <c r="R934" s="459">
        <f t="shared" si="797"/>
        <v>66.666666666666657</v>
      </c>
      <c r="S934" s="455"/>
      <c r="T934" s="456"/>
      <c r="U934" s="456"/>
      <c r="V934" s="456"/>
      <c r="W934" s="456"/>
      <c r="X934" s="456"/>
      <c r="Y934" s="456"/>
      <c r="Z934" s="79">
        <f t="shared" ref="Z934:AB934" si="803">AA934</f>
        <v>4</v>
      </c>
      <c r="AA934" s="78">
        <f t="shared" si="803"/>
        <v>4</v>
      </c>
      <c r="AB934" s="78">
        <f t="shared" si="803"/>
        <v>4</v>
      </c>
      <c r="AC934" s="78">
        <f t="shared" si="799"/>
        <v>4</v>
      </c>
      <c r="AD934" s="78">
        <f t="shared" si="800"/>
        <v>4</v>
      </c>
      <c r="AE934" s="78">
        <f t="shared" si="801"/>
        <v>4</v>
      </c>
      <c r="AF934" s="6">
        <v>4</v>
      </c>
      <c r="AG934" s="33" t="str">
        <f t="shared" si="742"/>
        <v>4.02 &gt; Bahamas</v>
      </c>
      <c r="AH934" s="84">
        <f t="shared" si="747"/>
        <v>920</v>
      </c>
      <c r="AI934" s="84">
        <f t="shared" si="748"/>
        <v>35</v>
      </c>
      <c r="AJ934" s="877" t="s">
        <v>1526</v>
      </c>
    </row>
    <row r="935" spans="1:36" x14ac:dyDescent="0.2">
      <c r="A935" s="492">
        <f>INDEX(Country!$F$31:$G$76, MATCH(AI935, Country!$O$31:$O$76, 0), 1)</f>
        <v>4.0199999999999996</v>
      </c>
      <c r="B935" s="2" t="str">
        <f>INDEX(Country!$F$31:$G$76, MATCH(AI935, Country!$O$31:$O$76, 0), 2)</f>
        <v>CDM risk</v>
      </c>
      <c r="C935" s="436" t="str">
        <f>INDEX(Country!$K$31:$K$76, MATCH(AI935, Country!$O$31:$O$76, 0), 1)</f>
        <v>Failures/Projects</v>
      </c>
      <c r="D935" s="4" t="str">
        <f t="shared" si="711"/>
        <v>Barbados</v>
      </c>
      <c r="E935" s="47">
        <f t="shared" ref="E935:H935" si="804">F935</f>
        <v>0</v>
      </c>
      <c r="F935" s="47">
        <f t="shared" si="804"/>
        <v>0</v>
      </c>
      <c r="G935" s="47">
        <f t="shared" si="804"/>
        <v>0</v>
      </c>
      <c r="H935" s="47">
        <f t="shared" si="804"/>
        <v>0</v>
      </c>
      <c r="I935" s="47">
        <f t="shared" si="790"/>
        <v>0</v>
      </c>
      <c r="J935" s="47">
        <v>0</v>
      </c>
      <c r="K935" s="45">
        <v>0</v>
      </c>
      <c r="L935" s="457">
        <f t="shared" si="791"/>
        <v>0</v>
      </c>
      <c r="M935" s="458">
        <f t="shared" si="792"/>
        <v>0</v>
      </c>
      <c r="N935" s="458">
        <f t="shared" si="793"/>
        <v>0</v>
      </c>
      <c r="O935" s="458">
        <f t="shared" si="794"/>
        <v>0</v>
      </c>
      <c r="P935" s="458">
        <f t="shared" si="795"/>
        <v>0</v>
      </c>
      <c r="Q935" s="458">
        <f t="shared" si="796"/>
        <v>0</v>
      </c>
      <c r="R935" s="459">
        <f t="shared" si="797"/>
        <v>0</v>
      </c>
      <c r="S935" s="455"/>
      <c r="T935" s="456"/>
      <c r="U935" s="456"/>
      <c r="V935" s="456"/>
      <c r="W935" s="456"/>
      <c r="X935" s="456"/>
      <c r="Y935" s="456"/>
      <c r="Z935" s="79">
        <f t="shared" ref="Z935:AB935" si="805">AA935</f>
        <v>0</v>
      </c>
      <c r="AA935" s="78">
        <f t="shared" si="805"/>
        <v>0</v>
      </c>
      <c r="AB935" s="78">
        <f t="shared" si="805"/>
        <v>0</v>
      </c>
      <c r="AC935" s="78">
        <f t="shared" si="799"/>
        <v>0</v>
      </c>
      <c r="AD935" s="78">
        <f t="shared" si="800"/>
        <v>0</v>
      </c>
      <c r="AE935" s="78">
        <f t="shared" si="801"/>
        <v>0</v>
      </c>
      <c r="AF935" s="6">
        <v>0</v>
      </c>
      <c r="AG935" s="33" t="str">
        <f t="shared" si="742"/>
        <v>4.02 &gt; Barbados</v>
      </c>
      <c r="AH935" s="84">
        <f t="shared" si="747"/>
        <v>921</v>
      </c>
      <c r="AI935" s="84">
        <f t="shared" si="748"/>
        <v>35</v>
      </c>
      <c r="AJ935" s="877" t="s">
        <v>1526</v>
      </c>
    </row>
    <row r="936" spans="1:36" x14ac:dyDescent="0.2">
      <c r="A936" s="492">
        <f>INDEX(Country!$F$31:$G$76, MATCH(AI936, Country!$O$31:$O$76, 0), 1)</f>
        <v>4.0199999999999996</v>
      </c>
      <c r="B936" s="2" t="str">
        <f>INDEX(Country!$F$31:$G$76, MATCH(AI936, Country!$O$31:$O$76, 0), 2)</f>
        <v>CDM risk</v>
      </c>
      <c r="C936" s="436" t="str">
        <f>INDEX(Country!$K$31:$K$76, MATCH(AI936, Country!$O$31:$O$76, 0), 1)</f>
        <v>Failures/Projects</v>
      </c>
      <c r="D936" s="4" t="str">
        <f t="shared" si="711"/>
        <v>Belize</v>
      </c>
      <c r="E936" s="47">
        <f t="shared" ref="E936:H936" si="806">F936</f>
        <v>0</v>
      </c>
      <c r="F936" s="47">
        <f t="shared" si="806"/>
        <v>0</v>
      </c>
      <c r="G936" s="47">
        <f t="shared" si="806"/>
        <v>0</v>
      </c>
      <c r="H936" s="47">
        <f t="shared" si="806"/>
        <v>0</v>
      </c>
      <c r="I936" s="47">
        <f t="shared" si="790"/>
        <v>0</v>
      </c>
      <c r="J936" s="47">
        <v>0</v>
      </c>
      <c r="K936" s="45">
        <v>0</v>
      </c>
      <c r="L936" s="457">
        <f t="shared" si="791"/>
        <v>0</v>
      </c>
      <c r="M936" s="458">
        <f t="shared" si="792"/>
        <v>0</v>
      </c>
      <c r="N936" s="458">
        <f t="shared" si="793"/>
        <v>0</v>
      </c>
      <c r="O936" s="458">
        <f t="shared" si="794"/>
        <v>0</v>
      </c>
      <c r="P936" s="458">
        <f t="shared" si="795"/>
        <v>0</v>
      </c>
      <c r="Q936" s="458">
        <f t="shared" si="796"/>
        <v>0</v>
      </c>
      <c r="R936" s="459">
        <f t="shared" si="797"/>
        <v>0</v>
      </c>
      <c r="S936" s="455"/>
      <c r="T936" s="456"/>
      <c r="U936" s="456"/>
      <c r="V936" s="456"/>
      <c r="W936" s="456"/>
      <c r="X936" s="456"/>
      <c r="Y936" s="456"/>
      <c r="Z936" s="79">
        <f t="shared" ref="Z936:AB936" si="807">AA936</f>
        <v>0</v>
      </c>
      <c r="AA936" s="78">
        <f t="shared" si="807"/>
        <v>0</v>
      </c>
      <c r="AB936" s="78">
        <f t="shared" si="807"/>
        <v>0</v>
      </c>
      <c r="AC936" s="78">
        <f t="shared" si="799"/>
        <v>0</v>
      </c>
      <c r="AD936" s="78">
        <f t="shared" si="800"/>
        <v>0</v>
      </c>
      <c r="AE936" s="78">
        <f t="shared" si="801"/>
        <v>0</v>
      </c>
      <c r="AF936" s="6">
        <v>0</v>
      </c>
      <c r="AG936" s="33" t="str">
        <f t="shared" si="742"/>
        <v>4.02 &gt; Belize</v>
      </c>
      <c r="AH936" s="84">
        <f t="shared" si="747"/>
        <v>922</v>
      </c>
      <c r="AI936" s="84">
        <f t="shared" si="748"/>
        <v>35</v>
      </c>
      <c r="AJ936" s="877" t="s">
        <v>1526</v>
      </c>
    </row>
    <row r="937" spans="1:36" x14ac:dyDescent="0.2">
      <c r="A937" s="492">
        <f>INDEX(Country!$F$31:$G$76, MATCH(AI937, Country!$O$31:$O$76, 0), 1)</f>
        <v>4.0199999999999996</v>
      </c>
      <c r="B937" s="2" t="str">
        <f>INDEX(Country!$F$31:$G$76, MATCH(AI937, Country!$O$31:$O$76, 0), 2)</f>
        <v>CDM risk</v>
      </c>
      <c r="C937" s="436" t="str">
        <f>INDEX(Country!$K$31:$K$76, MATCH(AI937, Country!$O$31:$O$76, 0), 1)</f>
        <v>Failures/Projects</v>
      </c>
      <c r="D937" s="4" t="str">
        <f t="shared" si="711"/>
        <v>Bolivia</v>
      </c>
      <c r="E937" s="47">
        <f t="shared" ref="E937:H937" si="808">F937</f>
        <v>1</v>
      </c>
      <c r="F937" s="47">
        <f t="shared" si="808"/>
        <v>1</v>
      </c>
      <c r="G937" s="47">
        <f t="shared" si="808"/>
        <v>1</v>
      </c>
      <c r="H937" s="47">
        <f t="shared" si="808"/>
        <v>1</v>
      </c>
      <c r="I937" s="47">
        <f t="shared" si="790"/>
        <v>1</v>
      </c>
      <c r="J937" s="47">
        <v>1</v>
      </c>
      <c r="K937" s="45">
        <v>1</v>
      </c>
      <c r="L937" s="457">
        <f t="shared" si="791"/>
        <v>0</v>
      </c>
      <c r="M937" s="458">
        <f t="shared" si="792"/>
        <v>0</v>
      </c>
      <c r="N937" s="458">
        <f t="shared" si="793"/>
        <v>0</v>
      </c>
      <c r="O937" s="458">
        <f t="shared" si="794"/>
        <v>0</v>
      </c>
      <c r="P937" s="458">
        <f t="shared" si="795"/>
        <v>0</v>
      </c>
      <c r="Q937" s="458">
        <f t="shared" si="796"/>
        <v>0</v>
      </c>
      <c r="R937" s="459">
        <f t="shared" si="797"/>
        <v>0</v>
      </c>
      <c r="S937" s="455"/>
      <c r="T937" s="456"/>
      <c r="U937" s="456"/>
      <c r="V937" s="456"/>
      <c r="W937" s="456"/>
      <c r="X937" s="456"/>
      <c r="Y937" s="456"/>
      <c r="Z937" s="79">
        <f t="shared" ref="Z937:AB937" si="809">AA937</f>
        <v>0</v>
      </c>
      <c r="AA937" s="78">
        <f t="shared" si="809"/>
        <v>0</v>
      </c>
      <c r="AB937" s="78">
        <f t="shared" si="809"/>
        <v>0</v>
      </c>
      <c r="AC937" s="78">
        <f t="shared" si="799"/>
        <v>0</v>
      </c>
      <c r="AD937" s="78">
        <f t="shared" si="800"/>
        <v>0</v>
      </c>
      <c r="AE937" s="78">
        <f t="shared" si="801"/>
        <v>0</v>
      </c>
      <c r="AF937" s="6">
        <v>0</v>
      </c>
      <c r="AG937" s="33" t="str">
        <f t="shared" si="742"/>
        <v>4.02 &gt; Bolivia</v>
      </c>
      <c r="AH937" s="84">
        <f t="shared" si="747"/>
        <v>923</v>
      </c>
      <c r="AI937" s="84">
        <f t="shared" si="748"/>
        <v>35</v>
      </c>
      <c r="AJ937" s="877" t="s">
        <v>1526</v>
      </c>
    </row>
    <row r="938" spans="1:36" x14ac:dyDescent="0.2">
      <c r="A938" s="492">
        <f>INDEX(Country!$F$31:$G$76, MATCH(AI938, Country!$O$31:$O$76, 0), 1)</f>
        <v>4.0199999999999996</v>
      </c>
      <c r="B938" s="2" t="str">
        <f>INDEX(Country!$F$31:$G$76, MATCH(AI938, Country!$O$31:$O$76, 0), 2)</f>
        <v>CDM risk</v>
      </c>
      <c r="C938" s="436" t="str">
        <f>INDEX(Country!$K$31:$K$76, MATCH(AI938, Country!$O$31:$O$76, 0), 1)</f>
        <v>Failures/Projects</v>
      </c>
      <c r="D938" s="4" t="str">
        <f t="shared" si="711"/>
        <v>Brazil</v>
      </c>
      <c r="E938" s="47">
        <f t="shared" ref="E938:H938" si="810">F938</f>
        <v>118</v>
      </c>
      <c r="F938" s="47">
        <f t="shared" si="810"/>
        <v>118</v>
      </c>
      <c r="G938" s="47">
        <f t="shared" si="810"/>
        <v>118</v>
      </c>
      <c r="H938" s="47">
        <f t="shared" si="810"/>
        <v>118</v>
      </c>
      <c r="I938" s="47">
        <f t="shared" si="790"/>
        <v>118</v>
      </c>
      <c r="J938" s="47">
        <v>118</v>
      </c>
      <c r="K938" s="45">
        <v>118</v>
      </c>
      <c r="L938" s="457">
        <f t="shared" si="791"/>
        <v>16.666666666666664</v>
      </c>
      <c r="M938" s="458">
        <f t="shared" si="792"/>
        <v>16.666666666666664</v>
      </c>
      <c r="N938" s="458">
        <f t="shared" si="793"/>
        <v>16.666666666666664</v>
      </c>
      <c r="O938" s="458">
        <f t="shared" si="794"/>
        <v>16.666666666666664</v>
      </c>
      <c r="P938" s="458">
        <f t="shared" si="795"/>
        <v>16.666666666666664</v>
      </c>
      <c r="Q938" s="458">
        <f t="shared" si="796"/>
        <v>16.666666666666664</v>
      </c>
      <c r="R938" s="459">
        <f t="shared" si="797"/>
        <v>16.666666666666664</v>
      </c>
      <c r="S938" s="455"/>
      <c r="T938" s="456"/>
      <c r="U938" s="456"/>
      <c r="V938" s="456"/>
      <c r="W938" s="456"/>
      <c r="X938" s="456"/>
      <c r="Y938" s="456"/>
      <c r="Z938" s="79">
        <f t="shared" ref="Z938:AB938" si="811">AA938</f>
        <v>1</v>
      </c>
      <c r="AA938" s="78">
        <f t="shared" si="811"/>
        <v>1</v>
      </c>
      <c r="AB938" s="78">
        <f t="shared" si="811"/>
        <v>1</v>
      </c>
      <c r="AC938" s="78">
        <f t="shared" si="799"/>
        <v>1</v>
      </c>
      <c r="AD938" s="78">
        <f t="shared" si="800"/>
        <v>1</v>
      </c>
      <c r="AE938" s="78">
        <f t="shared" si="801"/>
        <v>1</v>
      </c>
      <c r="AF938" s="6">
        <v>1</v>
      </c>
      <c r="AG938" s="33" t="str">
        <f t="shared" si="742"/>
        <v>4.02 &gt; Brazil</v>
      </c>
      <c r="AH938" s="84">
        <f t="shared" si="747"/>
        <v>924</v>
      </c>
      <c r="AI938" s="84">
        <f t="shared" si="748"/>
        <v>35</v>
      </c>
      <c r="AJ938" s="877" t="s">
        <v>1526</v>
      </c>
    </row>
    <row r="939" spans="1:36" x14ac:dyDescent="0.2">
      <c r="A939" s="492">
        <f>INDEX(Country!$F$31:$G$76, MATCH(AI939, Country!$O$31:$O$76, 0), 1)</f>
        <v>4.0199999999999996</v>
      </c>
      <c r="B939" s="2" t="str">
        <f>INDEX(Country!$F$31:$G$76, MATCH(AI939, Country!$O$31:$O$76, 0), 2)</f>
        <v>CDM risk</v>
      </c>
      <c r="C939" s="436" t="str">
        <f>INDEX(Country!$K$31:$K$76, MATCH(AI939, Country!$O$31:$O$76, 0), 1)</f>
        <v>Failures/Projects</v>
      </c>
      <c r="D939" s="4" t="str">
        <f t="shared" si="711"/>
        <v>Chile</v>
      </c>
      <c r="E939" s="47">
        <f t="shared" ref="E939:H939" si="812">F939</f>
        <v>18</v>
      </c>
      <c r="F939" s="47">
        <f t="shared" si="812"/>
        <v>18</v>
      </c>
      <c r="G939" s="47">
        <f t="shared" si="812"/>
        <v>18</v>
      </c>
      <c r="H939" s="47">
        <f t="shared" si="812"/>
        <v>18</v>
      </c>
      <c r="I939" s="47">
        <f t="shared" si="790"/>
        <v>18</v>
      </c>
      <c r="J939" s="47">
        <v>18</v>
      </c>
      <c r="K939" s="45">
        <v>18</v>
      </c>
      <c r="L939" s="457">
        <f t="shared" si="791"/>
        <v>50</v>
      </c>
      <c r="M939" s="458">
        <f t="shared" si="792"/>
        <v>50</v>
      </c>
      <c r="N939" s="458">
        <f t="shared" si="793"/>
        <v>50</v>
      </c>
      <c r="O939" s="458">
        <f t="shared" si="794"/>
        <v>50</v>
      </c>
      <c r="P939" s="458">
        <f t="shared" si="795"/>
        <v>50</v>
      </c>
      <c r="Q939" s="458">
        <f t="shared" si="796"/>
        <v>50</v>
      </c>
      <c r="R939" s="459">
        <f t="shared" si="797"/>
        <v>50</v>
      </c>
      <c r="S939" s="455"/>
      <c r="T939" s="456"/>
      <c r="U939" s="456"/>
      <c r="V939" s="456"/>
      <c r="W939" s="456"/>
      <c r="X939" s="456"/>
      <c r="Y939" s="456"/>
      <c r="Z939" s="79">
        <f t="shared" ref="Z939:AB939" si="813">AA939</f>
        <v>3</v>
      </c>
      <c r="AA939" s="78">
        <f t="shared" si="813"/>
        <v>3</v>
      </c>
      <c r="AB939" s="78">
        <f t="shared" si="813"/>
        <v>3</v>
      </c>
      <c r="AC939" s="78">
        <f t="shared" si="799"/>
        <v>3</v>
      </c>
      <c r="AD939" s="78">
        <f t="shared" si="800"/>
        <v>3</v>
      </c>
      <c r="AE939" s="78">
        <f t="shared" si="801"/>
        <v>3</v>
      </c>
      <c r="AF939" s="6">
        <v>3</v>
      </c>
      <c r="AG939" s="33" t="str">
        <f t="shared" si="742"/>
        <v>4.02 &gt; Chile</v>
      </c>
      <c r="AH939" s="84">
        <f t="shared" si="747"/>
        <v>925</v>
      </c>
      <c r="AI939" s="84">
        <f t="shared" si="748"/>
        <v>35</v>
      </c>
      <c r="AJ939" s="877" t="s">
        <v>1526</v>
      </c>
    </row>
    <row r="940" spans="1:36" x14ac:dyDescent="0.2">
      <c r="A940" s="492">
        <f>INDEX(Country!$F$31:$G$76, MATCH(AI940, Country!$O$31:$O$76, 0), 1)</f>
        <v>4.0199999999999996</v>
      </c>
      <c r="B940" s="2" t="str">
        <f>INDEX(Country!$F$31:$G$76, MATCH(AI940, Country!$O$31:$O$76, 0), 2)</f>
        <v>CDM risk</v>
      </c>
      <c r="C940" s="436" t="str">
        <f>INDEX(Country!$K$31:$K$76, MATCH(AI940, Country!$O$31:$O$76, 0), 1)</f>
        <v>Failures/Projects</v>
      </c>
      <c r="D940" s="4" t="str">
        <f t="shared" si="711"/>
        <v>Colombia</v>
      </c>
      <c r="E940" s="47">
        <f t="shared" ref="E940:H940" si="814">F940</f>
        <v>9</v>
      </c>
      <c r="F940" s="47">
        <f t="shared" si="814"/>
        <v>9</v>
      </c>
      <c r="G940" s="47">
        <f t="shared" si="814"/>
        <v>9</v>
      </c>
      <c r="H940" s="47">
        <f t="shared" si="814"/>
        <v>9</v>
      </c>
      <c r="I940" s="47">
        <f t="shared" si="790"/>
        <v>9</v>
      </c>
      <c r="J940" s="47">
        <v>9</v>
      </c>
      <c r="K940" s="45">
        <v>9</v>
      </c>
      <c r="L940" s="457">
        <f t="shared" si="791"/>
        <v>50</v>
      </c>
      <c r="M940" s="458">
        <f t="shared" si="792"/>
        <v>50</v>
      </c>
      <c r="N940" s="458">
        <f t="shared" si="793"/>
        <v>50</v>
      </c>
      <c r="O940" s="458">
        <f t="shared" si="794"/>
        <v>50</v>
      </c>
      <c r="P940" s="458">
        <f t="shared" si="795"/>
        <v>50</v>
      </c>
      <c r="Q940" s="458">
        <f t="shared" si="796"/>
        <v>50</v>
      </c>
      <c r="R940" s="459">
        <f t="shared" si="797"/>
        <v>50</v>
      </c>
      <c r="S940" s="455"/>
      <c r="T940" s="456"/>
      <c r="U940" s="456"/>
      <c r="V940" s="456"/>
      <c r="W940" s="456"/>
      <c r="X940" s="456"/>
      <c r="Y940" s="456"/>
      <c r="Z940" s="79">
        <f t="shared" ref="Z940:AB940" si="815">AA940</f>
        <v>3</v>
      </c>
      <c r="AA940" s="78">
        <f t="shared" si="815"/>
        <v>3</v>
      </c>
      <c r="AB940" s="78">
        <f t="shared" si="815"/>
        <v>3</v>
      </c>
      <c r="AC940" s="78">
        <f t="shared" si="799"/>
        <v>3</v>
      </c>
      <c r="AD940" s="78">
        <f t="shared" si="800"/>
        <v>3</v>
      </c>
      <c r="AE940" s="78">
        <f t="shared" si="801"/>
        <v>3</v>
      </c>
      <c r="AF940" s="6">
        <v>3</v>
      </c>
      <c r="AG940" s="33" t="str">
        <f t="shared" si="742"/>
        <v>4.02 &gt; Colombia</v>
      </c>
      <c r="AH940" s="84">
        <f t="shared" si="747"/>
        <v>926</v>
      </c>
      <c r="AI940" s="84">
        <f t="shared" si="748"/>
        <v>35</v>
      </c>
      <c r="AJ940" s="877" t="s">
        <v>1526</v>
      </c>
    </row>
    <row r="941" spans="1:36" x14ac:dyDescent="0.2">
      <c r="A941" s="492">
        <f>INDEX(Country!$F$31:$G$76, MATCH(AI941, Country!$O$31:$O$76, 0), 1)</f>
        <v>4.0199999999999996</v>
      </c>
      <c r="B941" s="2" t="str">
        <f>INDEX(Country!$F$31:$G$76, MATCH(AI941, Country!$O$31:$O$76, 0), 2)</f>
        <v>CDM risk</v>
      </c>
      <c r="C941" s="436" t="str">
        <f>INDEX(Country!$K$31:$K$76, MATCH(AI941, Country!$O$31:$O$76, 0), 1)</f>
        <v>Failures/Projects</v>
      </c>
      <c r="D941" s="4" t="str">
        <f t="shared" si="711"/>
        <v>Costa Rica</v>
      </c>
      <c r="E941" s="47">
        <f t="shared" ref="E941:H941" si="816">F941</f>
        <v>2</v>
      </c>
      <c r="F941" s="47">
        <f t="shared" si="816"/>
        <v>2</v>
      </c>
      <c r="G941" s="47">
        <f t="shared" si="816"/>
        <v>2</v>
      </c>
      <c r="H941" s="47">
        <f t="shared" si="816"/>
        <v>2</v>
      </c>
      <c r="I941" s="47">
        <f t="shared" si="790"/>
        <v>2</v>
      </c>
      <c r="J941" s="47">
        <v>2</v>
      </c>
      <c r="K941" s="45">
        <v>2</v>
      </c>
      <c r="L941" s="457">
        <f t="shared" si="791"/>
        <v>66.666666666666657</v>
      </c>
      <c r="M941" s="458">
        <f t="shared" si="792"/>
        <v>66.666666666666657</v>
      </c>
      <c r="N941" s="458">
        <f t="shared" si="793"/>
        <v>66.666666666666657</v>
      </c>
      <c r="O941" s="458">
        <f t="shared" si="794"/>
        <v>66.666666666666657</v>
      </c>
      <c r="P941" s="458">
        <f t="shared" si="795"/>
        <v>66.666666666666657</v>
      </c>
      <c r="Q941" s="458">
        <f t="shared" si="796"/>
        <v>66.666666666666657</v>
      </c>
      <c r="R941" s="459">
        <f t="shared" si="797"/>
        <v>66.666666666666657</v>
      </c>
      <c r="S941" s="455"/>
      <c r="T941" s="456"/>
      <c r="U941" s="456"/>
      <c r="V941" s="456"/>
      <c r="W941" s="456"/>
      <c r="X941" s="456"/>
      <c r="Y941" s="456"/>
      <c r="Z941" s="79">
        <f t="shared" ref="Z941:AB941" si="817">AA941</f>
        <v>4</v>
      </c>
      <c r="AA941" s="78">
        <f t="shared" si="817"/>
        <v>4</v>
      </c>
      <c r="AB941" s="78">
        <f t="shared" si="817"/>
        <v>4</v>
      </c>
      <c r="AC941" s="78">
        <f t="shared" si="799"/>
        <v>4</v>
      </c>
      <c r="AD941" s="78">
        <f t="shared" si="800"/>
        <v>4</v>
      </c>
      <c r="AE941" s="78">
        <f t="shared" si="801"/>
        <v>4</v>
      </c>
      <c r="AF941" s="6">
        <v>4</v>
      </c>
      <c r="AG941" s="33" t="str">
        <f t="shared" si="742"/>
        <v>4.02 &gt; Costa Rica</v>
      </c>
      <c r="AH941" s="84">
        <f t="shared" si="747"/>
        <v>927</v>
      </c>
      <c r="AI941" s="84">
        <f t="shared" si="748"/>
        <v>35</v>
      </c>
      <c r="AJ941" s="877" t="s">
        <v>1526</v>
      </c>
    </row>
    <row r="942" spans="1:36" x14ac:dyDescent="0.2">
      <c r="A942" s="492">
        <f>INDEX(Country!$F$31:$G$76, MATCH(AI942, Country!$O$31:$O$76, 0), 1)</f>
        <v>4.0199999999999996</v>
      </c>
      <c r="B942" s="2" t="str">
        <f>INDEX(Country!$F$31:$G$76, MATCH(AI942, Country!$O$31:$O$76, 0), 2)</f>
        <v>CDM risk</v>
      </c>
      <c r="C942" s="436" t="str">
        <f>INDEX(Country!$K$31:$K$76, MATCH(AI942, Country!$O$31:$O$76, 0), 1)</f>
        <v>Failures/Projects</v>
      </c>
      <c r="D942" s="4" t="str">
        <f t="shared" si="711"/>
        <v>Dominican Republic</v>
      </c>
      <c r="E942" s="47">
        <f t="shared" ref="E942:H942" si="818">F942</f>
        <v>1</v>
      </c>
      <c r="F942" s="47">
        <f t="shared" si="818"/>
        <v>1</v>
      </c>
      <c r="G942" s="47">
        <f t="shared" si="818"/>
        <v>1</v>
      </c>
      <c r="H942" s="47">
        <f t="shared" si="818"/>
        <v>1</v>
      </c>
      <c r="I942" s="47">
        <f t="shared" si="790"/>
        <v>1</v>
      </c>
      <c r="J942" s="47">
        <v>1</v>
      </c>
      <c r="K942" s="45">
        <v>1</v>
      </c>
      <c r="L942" s="457">
        <f t="shared" si="791"/>
        <v>50</v>
      </c>
      <c r="M942" s="458">
        <f t="shared" si="792"/>
        <v>50</v>
      </c>
      <c r="N942" s="458">
        <f t="shared" si="793"/>
        <v>50</v>
      </c>
      <c r="O942" s="458">
        <f t="shared" si="794"/>
        <v>50</v>
      </c>
      <c r="P942" s="458">
        <f t="shared" si="795"/>
        <v>50</v>
      </c>
      <c r="Q942" s="458">
        <f t="shared" si="796"/>
        <v>50</v>
      </c>
      <c r="R942" s="459">
        <f t="shared" si="797"/>
        <v>50</v>
      </c>
      <c r="S942" s="455"/>
      <c r="T942" s="456"/>
      <c r="U942" s="456"/>
      <c r="V942" s="456"/>
      <c r="W942" s="456"/>
      <c r="X942" s="456"/>
      <c r="Y942" s="456"/>
      <c r="Z942" s="79">
        <f t="shared" ref="Z942:AB942" si="819">AA942</f>
        <v>3</v>
      </c>
      <c r="AA942" s="78">
        <f t="shared" si="819"/>
        <v>3</v>
      </c>
      <c r="AB942" s="78">
        <f t="shared" si="819"/>
        <v>3</v>
      </c>
      <c r="AC942" s="78">
        <f t="shared" si="799"/>
        <v>3</v>
      </c>
      <c r="AD942" s="78">
        <f t="shared" si="800"/>
        <v>3</v>
      </c>
      <c r="AE942" s="78">
        <f t="shared" si="801"/>
        <v>3</v>
      </c>
      <c r="AF942" s="6">
        <v>3</v>
      </c>
      <c r="AG942" s="33" t="str">
        <f t="shared" si="742"/>
        <v>4.02 &gt; Dominican Republic</v>
      </c>
      <c r="AH942" s="84">
        <f t="shared" si="747"/>
        <v>928</v>
      </c>
      <c r="AI942" s="84">
        <f t="shared" si="748"/>
        <v>35</v>
      </c>
      <c r="AJ942" s="877" t="s">
        <v>1526</v>
      </c>
    </row>
    <row r="943" spans="1:36" x14ac:dyDescent="0.2">
      <c r="A943" s="492">
        <f>INDEX(Country!$F$31:$G$76, MATCH(AI943, Country!$O$31:$O$76, 0), 1)</f>
        <v>4.0199999999999996</v>
      </c>
      <c r="B943" s="2" t="str">
        <f>INDEX(Country!$F$31:$G$76, MATCH(AI943, Country!$O$31:$O$76, 0), 2)</f>
        <v>CDM risk</v>
      </c>
      <c r="C943" s="436" t="str">
        <f>INDEX(Country!$K$31:$K$76, MATCH(AI943, Country!$O$31:$O$76, 0), 1)</f>
        <v>Failures/Projects</v>
      </c>
      <c r="D943" s="4" t="str">
        <f t="shared" si="711"/>
        <v>Ecuador</v>
      </c>
      <c r="E943" s="47">
        <f t="shared" ref="E943:H943" si="820">F943</f>
        <v>10</v>
      </c>
      <c r="F943" s="47">
        <f t="shared" si="820"/>
        <v>10</v>
      </c>
      <c r="G943" s="47">
        <f t="shared" si="820"/>
        <v>10</v>
      </c>
      <c r="H943" s="47">
        <f t="shared" si="820"/>
        <v>10</v>
      </c>
      <c r="I943" s="47">
        <f t="shared" si="790"/>
        <v>10</v>
      </c>
      <c r="J943" s="47">
        <v>10</v>
      </c>
      <c r="K943" s="45">
        <v>10</v>
      </c>
      <c r="L943" s="457">
        <f t="shared" si="791"/>
        <v>50</v>
      </c>
      <c r="M943" s="458">
        <f t="shared" si="792"/>
        <v>50</v>
      </c>
      <c r="N943" s="458">
        <f t="shared" si="793"/>
        <v>50</v>
      </c>
      <c r="O943" s="458">
        <f>(AC943/6)*dbl_BenchmarkMax</f>
        <v>50</v>
      </c>
      <c r="P943" s="458">
        <f t="shared" si="795"/>
        <v>50</v>
      </c>
      <c r="Q943" s="458">
        <f t="shared" si="796"/>
        <v>50</v>
      </c>
      <c r="R943" s="459">
        <f t="shared" si="797"/>
        <v>50</v>
      </c>
      <c r="S943" s="455"/>
      <c r="T943" s="456"/>
      <c r="U943" s="456"/>
      <c r="V943" s="456"/>
      <c r="W943" s="456"/>
      <c r="X943" s="456"/>
      <c r="Y943" s="456"/>
      <c r="Z943" s="79">
        <f t="shared" ref="Z943:AB943" si="821">AA943</f>
        <v>3</v>
      </c>
      <c r="AA943" s="78">
        <f t="shared" si="821"/>
        <v>3</v>
      </c>
      <c r="AB943" s="78">
        <f t="shared" si="821"/>
        <v>3</v>
      </c>
      <c r="AC943" s="78">
        <f t="shared" si="799"/>
        <v>3</v>
      </c>
      <c r="AD943" s="78">
        <f t="shared" si="800"/>
        <v>3</v>
      </c>
      <c r="AE943" s="78">
        <f t="shared" si="801"/>
        <v>3</v>
      </c>
      <c r="AF943" s="6">
        <v>3</v>
      </c>
      <c r="AG943" s="33" t="str">
        <f t="shared" si="742"/>
        <v>4.02 &gt; Ecuador</v>
      </c>
      <c r="AH943" s="84">
        <f t="shared" si="747"/>
        <v>929</v>
      </c>
      <c r="AI943" s="84">
        <f t="shared" si="748"/>
        <v>35</v>
      </c>
      <c r="AJ943" s="877" t="s">
        <v>1526</v>
      </c>
    </row>
    <row r="944" spans="1:36" x14ac:dyDescent="0.2">
      <c r="A944" s="492">
        <f>INDEX(Country!$F$31:$G$76, MATCH(AI944, Country!$O$31:$O$76, 0), 1)</f>
        <v>4.0199999999999996</v>
      </c>
      <c r="B944" s="2" t="str">
        <f>INDEX(Country!$F$31:$G$76, MATCH(AI944, Country!$O$31:$O$76, 0), 2)</f>
        <v>CDM risk</v>
      </c>
      <c r="C944" s="436" t="str">
        <f>INDEX(Country!$K$31:$K$76, MATCH(AI944, Country!$O$31:$O$76, 0), 1)</f>
        <v>Failures/Projects</v>
      </c>
      <c r="D944" s="4" t="str">
        <f t="shared" si="711"/>
        <v>El Salvador</v>
      </c>
      <c r="E944" s="47">
        <f t="shared" ref="E944:H944" si="822">F944</f>
        <v>2</v>
      </c>
      <c r="F944" s="47">
        <f t="shared" si="822"/>
        <v>2</v>
      </c>
      <c r="G944" s="47">
        <f t="shared" si="822"/>
        <v>2</v>
      </c>
      <c r="H944" s="47">
        <f t="shared" si="822"/>
        <v>2</v>
      </c>
      <c r="I944" s="47">
        <f t="shared" si="790"/>
        <v>2</v>
      </c>
      <c r="J944" s="47">
        <v>2</v>
      </c>
      <c r="K944" s="45">
        <v>2</v>
      </c>
      <c r="L944" s="457">
        <f t="shared" si="791"/>
        <v>66.666666666666657</v>
      </c>
      <c r="M944" s="458">
        <f t="shared" si="792"/>
        <v>66.666666666666657</v>
      </c>
      <c r="N944" s="458">
        <f t="shared" si="793"/>
        <v>66.666666666666657</v>
      </c>
      <c r="O944" s="458">
        <f t="shared" si="794"/>
        <v>66.666666666666657</v>
      </c>
      <c r="P944" s="458">
        <f t="shared" si="795"/>
        <v>66.666666666666657</v>
      </c>
      <c r="Q944" s="458">
        <f t="shared" si="796"/>
        <v>66.666666666666657</v>
      </c>
      <c r="R944" s="459">
        <f t="shared" si="797"/>
        <v>66.666666666666657</v>
      </c>
      <c r="S944" s="455"/>
      <c r="T944" s="456"/>
      <c r="U944" s="456"/>
      <c r="V944" s="456"/>
      <c r="W944" s="456"/>
      <c r="X944" s="456"/>
      <c r="Y944" s="456"/>
      <c r="Z944" s="79">
        <f t="shared" ref="Z944:AB944" si="823">AA944</f>
        <v>4</v>
      </c>
      <c r="AA944" s="78">
        <f t="shared" si="823"/>
        <v>4</v>
      </c>
      <c r="AB944" s="78">
        <f t="shared" si="823"/>
        <v>4</v>
      </c>
      <c r="AC944" s="78">
        <f t="shared" si="799"/>
        <v>4</v>
      </c>
      <c r="AD944" s="78">
        <f t="shared" si="800"/>
        <v>4</v>
      </c>
      <c r="AE944" s="78">
        <f t="shared" si="801"/>
        <v>4</v>
      </c>
      <c r="AF944" s="6">
        <v>4</v>
      </c>
      <c r="AG944" s="33" t="str">
        <f t="shared" si="742"/>
        <v>4.02 &gt; El Salvador</v>
      </c>
      <c r="AH944" s="84">
        <f t="shared" si="747"/>
        <v>930</v>
      </c>
      <c r="AI944" s="84">
        <f t="shared" si="748"/>
        <v>35</v>
      </c>
      <c r="AJ944" s="877" t="s">
        <v>1526</v>
      </c>
    </row>
    <row r="945" spans="1:36" x14ac:dyDescent="0.2">
      <c r="A945" s="492">
        <f>INDEX(Country!$F$31:$G$76, MATCH(AI945, Country!$O$31:$O$76, 0), 1)</f>
        <v>4.0199999999999996</v>
      </c>
      <c r="B945" s="2" t="str">
        <f>INDEX(Country!$F$31:$G$76, MATCH(AI945, Country!$O$31:$O$76, 0), 2)</f>
        <v>CDM risk</v>
      </c>
      <c r="C945" s="436" t="str">
        <f>INDEX(Country!$K$31:$K$76, MATCH(AI945, Country!$O$31:$O$76, 0), 1)</f>
        <v>Failures/Projects</v>
      </c>
      <c r="D945" s="4" t="str">
        <f t="shared" si="711"/>
        <v>Guatemala</v>
      </c>
      <c r="E945" s="47">
        <f t="shared" ref="E945:H945" si="824">F945</f>
        <v>7.0000000000000009</v>
      </c>
      <c r="F945" s="47">
        <f t="shared" si="824"/>
        <v>7.0000000000000009</v>
      </c>
      <c r="G945" s="47">
        <f t="shared" si="824"/>
        <v>7.0000000000000009</v>
      </c>
      <c r="H945" s="47">
        <f t="shared" si="824"/>
        <v>7.0000000000000009</v>
      </c>
      <c r="I945" s="47">
        <f t="shared" si="790"/>
        <v>7.0000000000000009</v>
      </c>
      <c r="J945" s="47">
        <v>7.0000000000000009</v>
      </c>
      <c r="K945" s="45">
        <v>7.0000000000000009</v>
      </c>
      <c r="L945" s="457">
        <f t="shared" si="791"/>
        <v>66.666666666666657</v>
      </c>
      <c r="M945" s="458">
        <f t="shared" si="792"/>
        <v>66.666666666666657</v>
      </c>
      <c r="N945" s="458">
        <f t="shared" si="793"/>
        <v>66.666666666666657</v>
      </c>
      <c r="O945" s="458">
        <f t="shared" si="794"/>
        <v>66.666666666666657</v>
      </c>
      <c r="P945" s="458">
        <f t="shared" si="795"/>
        <v>66.666666666666657</v>
      </c>
      <c r="Q945" s="458">
        <f t="shared" si="796"/>
        <v>66.666666666666657</v>
      </c>
      <c r="R945" s="459">
        <f t="shared" si="797"/>
        <v>66.666666666666657</v>
      </c>
      <c r="S945" s="455"/>
      <c r="T945" s="456"/>
      <c r="U945" s="456"/>
      <c r="V945" s="456"/>
      <c r="W945" s="456"/>
      <c r="X945" s="456"/>
      <c r="Y945" s="456"/>
      <c r="Z945" s="79">
        <f t="shared" ref="Z945:AB945" si="825">AA945</f>
        <v>4</v>
      </c>
      <c r="AA945" s="78">
        <f t="shared" si="825"/>
        <v>4</v>
      </c>
      <c r="AB945" s="78">
        <f t="shared" si="825"/>
        <v>4</v>
      </c>
      <c r="AC945" s="78">
        <f t="shared" si="799"/>
        <v>4</v>
      </c>
      <c r="AD945" s="78">
        <f t="shared" si="800"/>
        <v>4</v>
      </c>
      <c r="AE945" s="78">
        <f t="shared" si="801"/>
        <v>4</v>
      </c>
      <c r="AF945" s="6">
        <v>4</v>
      </c>
      <c r="AG945" s="33" t="str">
        <f t="shared" si="742"/>
        <v>4.02 &gt; Guatemala</v>
      </c>
      <c r="AH945" s="84">
        <f t="shared" si="747"/>
        <v>931</v>
      </c>
      <c r="AI945" s="84">
        <f t="shared" si="748"/>
        <v>35</v>
      </c>
      <c r="AJ945" s="877" t="s">
        <v>1526</v>
      </c>
    </row>
    <row r="946" spans="1:36" x14ac:dyDescent="0.2">
      <c r="A946" s="492">
        <f>INDEX(Country!$F$31:$G$76, MATCH(AI946, Country!$O$31:$O$76, 0), 1)</f>
        <v>4.0199999999999996</v>
      </c>
      <c r="B946" s="2" t="str">
        <f>INDEX(Country!$F$31:$G$76, MATCH(AI946, Country!$O$31:$O$76, 0), 2)</f>
        <v>CDM risk</v>
      </c>
      <c r="C946" s="436" t="str">
        <f>INDEX(Country!$K$31:$K$76, MATCH(AI946, Country!$O$31:$O$76, 0), 1)</f>
        <v>Failures/Projects</v>
      </c>
      <c r="D946" s="4" t="str">
        <f t="shared" si="711"/>
        <v>Guyana</v>
      </c>
      <c r="E946" s="47">
        <f t="shared" ref="E946:H946" si="826">F946</f>
        <v>0</v>
      </c>
      <c r="F946" s="47">
        <f t="shared" si="826"/>
        <v>0</v>
      </c>
      <c r="G946" s="47">
        <f t="shared" si="826"/>
        <v>0</v>
      </c>
      <c r="H946" s="47">
        <f t="shared" si="826"/>
        <v>0</v>
      </c>
      <c r="I946" s="47">
        <f t="shared" si="790"/>
        <v>0</v>
      </c>
      <c r="J946" s="47">
        <v>0</v>
      </c>
      <c r="K946" s="45">
        <v>0</v>
      </c>
      <c r="L946" s="457">
        <f t="shared" si="791"/>
        <v>66.666666666666657</v>
      </c>
      <c r="M946" s="458">
        <f t="shared" si="792"/>
        <v>66.666666666666657</v>
      </c>
      <c r="N946" s="458">
        <f t="shared" si="793"/>
        <v>66.666666666666657</v>
      </c>
      <c r="O946" s="458">
        <f t="shared" si="794"/>
        <v>66.666666666666657</v>
      </c>
      <c r="P946" s="458">
        <f t="shared" si="795"/>
        <v>66.666666666666657</v>
      </c>
      <c r="Q946" s="458">
        <f t="shared" si="796"/>
        <v>66.666666666666657</v>
      </c>
      <c r="R946" s="459">
        <f t="shared" si="797"/>
        <v>66.666666666666657</v>
      </c>
      <c r="S946" s="455"/>
      <c r="T946" s="456"/>
      <c r="U946" s="456"/>
      <c r="V946" s="456"/>
      <c r="W946" s="456"/>
      <c r="X946" s="456"/>
      <c r="Y946" s="456"/>
      <c r="Z946" s="79">
        <f t="shared" ref="Z946:AB946" si="827">AA946</f>
        <v>4</v>
      </c>
      <c r="AA946" s="78">
        <f t="shared" si="827"/>
        <v>4</v>
      </c>
      <c r="AB946" s="78">
        <f t="shared" si="827"/>
        <v>4</v>
      </c>
      <c r="AC946" s="78">
        <f t="shared" si="799"/>
        <v>4</v>
      </c>
      <c r="AD946" s="78">
        <f t="shared" si="800"/>
        <v>4</v>
      </c>
      <c r="AE946" s="78">
        <f t="shared" si="801"/>
        <v>4</v>
      </c>
      <c r="AF946" s="6">
        <v>4</v>
      </c>
      <c r="AG946" s="33" t="str">
        <f t="shared" si="742"/>
        <v>4.02 &gt; Guyana</v>
      </c>
      <c r="AH946" s="84">
        <f t="shared" si="747"/>
        <v>932</v>
      </c>
      <c r="AI946" s="84">
        <f t="shared" si="748"/>
        <v>35</v>
      </c>
      <c r="AJ946" s="877" t="s">
        <v>1526</v>
      </c>
    </row>
    <row r="947" spans="1:36" x14ac:dyDescent="0.2">
      <c r="A947" s="492">
        <f>INDEX(Country!$F$31:$G$76, MATCH(AI947, Country!$O$31:$O$76, 0), 1)</f>
        <v>4.0199999999999996</v>
      </c>
      <c r="B947" s="2" t="str">
        <f>INDEX(Country!$F$31:$G$76, MATCH(AI947, Country!$O$31:$O$76, 0), 2)</f>
        <v>CDM risk</v>
      </c>
      <c r="C947" s="436" t="str">
        <f>INDEX(Country!$K$31:$K$76, MATCH(AI947, Country!$O$31:$O$76, 0), 1)</f>
        <v>Failures/Projects</v>
      </c>
      <c r="D947" s="4" t="str">
        <f t="shared" si="711"/>
        <v>Haiti</v>
      </c>
      <c r="E947" s="47">
        <f t="shared" ref="E947:H947" si="828">F947</f>
        <v>0</v>
      </c>
      <c r="F947" s="47">
        <f t="shared" si="828"/>
        <v>0</v>
      </c>
      <c r="G947" s="47">
        <f t="shared" si="828"/>
        <v>0</v>
      </c>
      <c r="H947" s="47">
        <f t="shared" si="828"/>
        <v>0</v>
      </c>
      <c r="I947" s="47">
        <f t="shared" si="790"/>
        <v>0</v>
      </c>
      <c r="J947" s="47">
        <v>0</v>
      </c>
      <c r="K947" s="45">
        <v>0</v>
      </c>
      <c r="L947" s="457">
        <f t="shared" si="791"/>
        <v>0</v>
      </c>
      <c r="M947" s="458">
        <f t="shared" si="792"/>
        <v>0</v>
      </c>
      <c r="N947" s="458">
        <f t="shared" si="793"/>
        <v>0</v>
      </c>
      <c r="O947" s="458">
        <f t="shared" si="794"/>
        <v>0</v>
      </c>
      <c r="P947" s="458">
        <f t="shared" si="795"/>
        <v>0</v>
      </c>
      <c r="Q947" s="458">
        <f t="shared" si="796"/>
        <v>0</v>
      </c>
      <c r="R947" s="459">
        <f t="shared" si="797"/>
        <v>0</v>
      </c>
      <c r="S947" s="455"/>
      <c r="T947" s="456"/>
      <c r="U947" s="456"/>
      <c r="V947" s="456"/>
      <c r="W947" s="456"/>
      <c r="X947" s="456"/>
      <c r="Y947" s="456"/>
      <c r="Z947" s="79">
        <f t="shared" ref="Z947:AB947" si="829">AA947</f>
        <v>0</v>
      </c>
      <c r="AA947" s="78">
        <f t="shared" si="829"/>
        <v>0</v>
      </c>
      <c r="AB947" s="78">
        <f t="shared" si="829"/>
        <v>0</v>
      </c>
      <c r="AC947" s="78">
        <f t="shared" si="799"/>
        <v>0</v>
      </c>
      <c r="AD947" s="78">
        <f t="shared" si="800"/>
        <v>0</v>
      </c>
      <c r="AE947" s="78">
        <f t="shared" si="801"/>
        <v>0</v>
      </c>
      <c r="AF947" s="6">
        <v>0</v>
      </c>
      <c r="AG947" s="33" t="str">
        <f t="shared" si="742"/>
        <v>4.02 &gt; Haiti</v>
      </c>
      <c r="AH947" s="84">
        <f t="shared" si="747"/>
        <v>933</v>
      </c>
      <c r="AI947" s="84">
        <f t="shared" si="748"/>
        <v>35</v>
      </c>
      <c r="AJ947" s="877" t="s">
        <v>1526</v>
      </c>
    </row>
    <row r="948" spans="1:36" x14ac:dyDescent="0.2">
      <c r="A948" s="492">
        <f>INDEX(Country!$F$31:$G$76, MATCH(AI948, Country!$O$31:$O$76, 0), 1)</f>
        <v>4.0199999999999996</v>
      </c>
      <c r="B948" s="2" t="str">
        <f>INDEX(Country!$F$31:$G$76, MATCH(AI948, Country!$O$31:$O$76, 0), 2)</f>
        <v>CDM risk</v>
      </c>
      <c r="C948" s="436" t="str">
        <f>INDEX(Country!$K$31:$K$76, MATCH(AI948, Country!$O$31:$O$76, 0), 1)</f>
        <v>Failures/Projects</v>
      </c>
      <c r="D948" s="4" t="str">
        <f t="shared" si="711"/>
        <v>Honduras</v>
      </c>
      <c r="E948" s="47">
        <f t="shared" ref="E948:H948" si="830">F948</f>
        <v>11</v>
      </c>
      <c r="F948" s="47">
        <f t="shared" si="830"/>
        <v>11</v>
      </c>
      <c r="G948" s="47">
        <f t="shared" si="830"/>
        <v>11</v>
      </c>
      <c r="H948" s="47">
        <f t="shared" si="830"/>
        <v>11</v>
      </c>
      <c r="I948" s="47">
        <f t="shared" si="790"/>
        <v>11</v>
      </c>
      <c r="J948" s="47">
        <v>11</v>
      </c>
      <c r="K948" s="45">
        <v>11</v>
      </c>
      <c r="L948" s="457">
        <f t="shared" si="791"/>
        <v>50</v>
      </c>
      <c r="M948" s="458">
        <f t="shared" si="792"/>
        <v>50</v>
      </c>
      <c r="N948" s="458">
        <f t="shared" si="793"/>
        <v>50</v>
      </c>
      <c r="O948" s="458">
        <f t="shared" si="794"/>
        <v>50</v>
      </c>
      <c r="P948" s="458">
        <f t="shared" si="795"/>
        <v>50</v>
      </c>
      <c r="Q948" s="458">
        <f t="shared" si="796"/>
        <v>50</v>
      </c>
      <c r="R948" s="459">
        <f t="shared" si="797"/>
        <v>50</v>
      </c>
      <c r="S948" s="455"/>
      <c r="T948" s="456"/>
      <c r="U948" s="456"/>
      <c r="V948" s="456"/>
      <c r="W948" s="456"/>
      <c r="X948" s="456"/>
      <c r="Y948" s="456"/>
      <c r="Z948" s="79">
        <f t="shared" ref="Z948:AB948" si="831">AA948</f>
        <v>3</v>
      </c>
      <c r="AA948" s="78">
        <f t="shared" si="831"/>
        <v>3</v>
      </c>
      <c r="AB948" s="78">
        <f t="shared" si="831"/>
        <v>3</v>
      </c>
      <c r="AC948" s="78">
        <f t="shared" si="799"/>
        <v>3</v>
      </c>
      <c r="AD948" s="78">
        <f t="shared" si="800"/>
        <v>3</v>
      </c>
      <c r="AE948" s="78">
        <f t="shared" si="801"/>
        <v>3</v>
      </c>
      <c r="AF948" s="6">
        <v>3</v>
      </c>
      <c r="AG948" s="33" t="str">
        <f t="shared" si="742"/>
        <v>4.02 &gt; Honduras</v>
      </c>
      <c r="AH948" s="84">
        <f t="shared" si="747"/>
        <v>934</v>
      </c>
      <c r="AI948" s="84">
        <f t="shared" si="748"/>
        <v>35</v>
      </c>
      <c r="AJ948" s="877" t="s">
        <v>1526</v>
      </c>
    </row>
    <row r="949" spans="1:36" x14ac:dyDescent="0.2">
      <c r="A949" s="492">
        <f>INDEX(Country!$F$31:$G$76, MATCH(AI949, Country!$O$31:$O$76, 0), 1)</f>
        <v>4.0199999999999996</v>
      </c>
      <c r="B949" s="2" t="str">
        <f>INDEX(Country!$F$31:$G$76, MATCH(AI949, Country!$O$31:$O$76, 0), 2)</f>
        <v>CDM risk</v>
      </c>
      <c r="C949" s="436" t="str">
        <f>INDEX(Country!$K$31:$K$76, MATCH(AI949, Country!$O$31:$O$76, 0), 1)</f>
        <v>Failures/Projects</v>
      </c>
      <c r="D949" s="4" t="str">
        <f t="shared" ref="D949:D959" si="832">D922</f>
        <v>Jamaica</v>
      </c>
      <c r="E949" s="47">
        <f t="shared" ref="E949:H949" si="833">F949</f>
        <v>1</v>
      </c>
      <c r="F949" s="47">
        <f t="shared" si="833"/>
        <v>1</v>
      </c>
      <c r="G949" s="47">
        <f t="shared" si="833"/>
        <v>1</v>
      </c>
      <c r="H949" s="47">
        <f t="shared" si="833"/>
        <v>1</v>
      </c>
      <c r="I949" s="47">
        <f t="shared" si="790"/>
        <v>1</v>
      </c>
      <c r="J949" s="47">
        <v>1</v>
      </c>
      <c r="K949" s="45">
        <v>1</v>
      </c>
      <c r="L949" s="457">
        <f t="shared" si="791"/>
        <v>100</v>
      </c>
      <c r="M949" s="458">
        <f t="shared" si="792"/>
        <v>100</v>
      </c>
      <c r="N949" s="458">
        <f t="shared" si="793"/>
        <v>100</v>
      </c>
      <c r="O949" s="458">
        <f t="shared" si="794"/>
        <v>100</v>
      </c>
      <c r="P949" s="458">
        <f t="shared" si="795"/>
        <v>100</v>
      </c>
      <c r="Q949" s="458">
        <f t="shared" si="796"/>
        <v>100</v>
      </c>
      <c r="R949" s="459">
        <f t="shared" si="797"/>
        <v>100</v>
      </c>
      <c r="S949" s="455"/>
      <c r="T949" s="456"/>
      <c r="U949" s="456"/>
      <c r="V949" s="456"/>
      <c r="W949" s="456"/>
      <c r="X949" s="456"/>
      <c r="Y949" s="456"/>
      <c r="Z949" s="79">
        <f t="shared" ref="Z949:AB949" si="834">AA949</f>
        <v>6</v>
      </c>
      <c r="AA949" s="78">
        <f t="shared" si="834"/>
        <v>6</v>
      </c>
      <c r="AB949" s="78">
        <f t="shared" si="834"/>
        <v>6</v>
      </c>
      <c r="AC949" s="78">
        <f t="shared" si="799"/>
        <v>6</v>
      </c>
      <c r="AD949" s="78">
        <f t="shared" si="800"/>
        <v>6</v>
      </c>
      <c r="AE949" s="78">
        <f t="shared" si="801"/>
        <v>6</v>
      </c>
      <c r="AF949" s="6">
        <v>6</v>
      </c>
      <c r="AG949" s="33" t="str">
        <f t="shared" si="742"/>
        <v>4.02 &gt; Jamaica</v>
      </c>
      <c r="AH949" s="84">
        <f t="shared" si="747"/>
        <v>935</v>
      </c>
      <c r="AI949" s="84">
        <f t="shared" si="748"/>
        <v>35</v>
      </c>
      <c r="AJ949" s="877" t="s">
        <v>1526</v>
      </c>
    </row>
    <row r="950" spans="1:36" x14ac:dyDescent="0.2">
      <c r="A950" s="492">
        <f>INDEX(Country!$F$31:$G$76, MATCH(AI950, Country!$O$31:$O$76, 0), 1)</f>
        <v>4.0199999999999996</v>
      </c>
      <c r="B950" s="2" t="str">
        <f>INDEX(Country!$F$31:$G$76, MATCH(AI950, Country!$O$31:$O$76, 0), 2)</f>
        <v>CDM risk</v>
      </c>
      <c r="C950" s="436" t="str">
        <f>INDEX(Country!$K$31:$K$76, MATCH(AI950, Country!$O$31:$O$76, 0), 1)</f>
        <v>Failures/Projects</v>
      </c>
      <c r="D950" s="4" t="str">
        <f t="shared" si="832"/>
        <v>Mexico</v>
      </c>
      <c r="E950" s="47">
        <f t="shared" ref="E950:H950" si="835">F950</f>
        <v>38</v>
      </c>
      <c r="F950" s="47">
        <f t="shared" si="835"/>
        <v>38</v>
      </c>
      <c r="G950" s="47">
        <f t="shared" si="835"/>
        <v>38</v>
      </c>
      <c r="H950" s="47">
        <f t="shared" si="835"/>
        <v>38</v>
      </c>
      <c r="I950" s="47">
        <f t="shared" si="790"/>
        <v>38</v>
      </c>
      <c r="J950" s="47">
        <v>38</v>
      </c>
      <c r="K950" s="45">
        <v>38</v>
      </c>
      <c r="L950" s="457">
        <f t="shared" si="791"/>
        <v>83.333333333333343</v>
      </c>
      <c r="M950" s="458">
        <f t="shared" si="792"/>
        <v>83.333333333333343</v>
      </c>
      <c r="N950" s="458">
        <f t="shared" si="793"/>
        <v>83.333333333333343</v>
      </c>
      <c r="O950" s="458">
        <f t="shared" si="794"/>
        <v>83.333333333333343</v>
      </c>
      <c r="P950" s="458">
        <f t="shared" si="795"/>
        <v>83.333333333333343</v>
      </c>
      <c r="Q950" s="458">
        <f t="shared" si="796"/>
        <v>83.333333333333343</v>
      </c>
      <c r="R950" s="459">
        <f t="shared" si="797"/>
        <v>83.333333333333343</v>
      </c>
      <c r="S950" s="455"/>
      <c r="T950" s="456"/>
      <c r="U950" s="456"/>
      <c r="V950" s="456"/>
      <c r="W950" s="456"/>
      <c r="X950" s="456"/>
      <c r="Y950" s="456"/>
      <c r="Z950" s="79">
        <f t="shared" ref="Z950:AB950" si="836">AA950</f>
        <v>5</v>
      </c>
      <c r="AA950" s="78">
        <f t="shared" si="836"/>
        <v>5</v>
      </c>
      <c r="AB950" s="78">
        <f t="shared" si="836"/>
        <v>5</v>
      </c>
      <c r="AC950" s="78">
        <f t="shared" si="799"/>
        <v>5</v>
      </c>
      <c r="AD950" s="78">
        <f t="shared" si="800"/>
        <v>5</v>
      </c>
      <c r="AE950" s="78">
        <f t="shared" si="801"/>
        <v>5</v>
      </c>
      <c r="AF950" s="6">
        <v>5</v>
      </c>
      <c r="AG950" s="33" t="str">
        <f t="shared" si="742"/>
        <v>4.02 &gt; Mexico</v>
      </c>
      <c r="AH950" s="84">
        <f t="shared" si="747"/>
        <v>936</v>
      </c>
      <c r="AI950" s="84">
        <f t="shared" si="748"/>
        <v>35</v>
      </c>
      <c r="AJ950" s="877" t="s">
        <v>1526</v>
      </c>
    </row>
    <row r="951" spans="1:36" x14ac:dyDescent="0.2">
      <c r="A951" s="492">
        <f>INDEX(Country!$F$31:$G$76, MATCH(AI951, Country!$O$31:$O$76, 0), 1)</f>
        <v>4.0199999999999996</v>
      </c>
      <c r="B951" s="2" t="str">
        <f>INDEX(Country!$F$31:$G$76, MATCH(AI951, Country!$O$31:$O$76, 0), 2)</f>
        <v>CDM risk</v>
      </c>
      <c r="C951" s="436" t="str">
        <f>INDEX(Country!$K$31:$K$76, MATCH(AI951, Country!$O$31:$O$76, 0), 1)</f>
        <v>Failures/Projects</v>
      </c>
      <c r="D951" s="4" t="str">
        <f t="shared" si="832"/>
        <v>Nicaragua</v>
      </c>
      <c r="E951" s="47">
        <f t="shared" ref="E951:H951" si="837">F951</f>
        <v>3</v>
      </c>
      <c r="F951" s="47">
        <f t="shared" si="837"/>
        <v>3</v>
      </c>
      <c r="G951" s="47">
        <f t="shared" si="837"/>
        <v>3</v>
      </c>
      <c r="H951" s="47">
        <f t="shared" si="837"/>
        <v>3</v>
      </c>
      <c r="I951" s="47">
        <f t="shared" si="790"/>
        <v>3</v>
      </c>
      <c r="J951" s="47">
        <v>3</v>
      </c>
      <c r="K951" s="45">
        <v>3</v>
      </c>
      <c r="L951" s="457">
        <f t="shared" si="791"/>
        <v>16.666666666666664</v>
      </c>
      <c r="M951" s="458">
        <f t="shared" si="792"/>
        <v>16.666666666666664</v>
      </c>
      <c r="N951" s="458">
        <f t="shared" si="793"/>
        <v>16.666666666666664</v>
      </c>
      <c r="O951" s="458">
        <f t="shared" si="794"/>
        <v>16.666666666666664</v>
      </c>
      <c r="P951" s="458">
        <f t="shared" si="795"/>
        <v>16.666666666666664</v>
      </c>
      <c r="Q951" s="458">
        <f t="shared" si="796"/>
        <v>16.666666666666664</v>
      </c>
      <c r="R951" s="459">
        <f t="shared" si="797"/>
        <v>16.666666666666664</v>
      </c>
      <c r="S951" s="455"/>
      <c r="T951" s="456"/>
      <c r="U951" s="456"/>
      <c r="V951" s="456"/>
      <c r="W951" s="456"/>
      <c r="X951" s="456"/>
      <c r="Y951" s="456"/>
      <c r="Z951" s="79">
        <f t="shared" ref="Z951:AB951" si="838">AA951</f>
        <v>1</v>
      </c>
      <c r="AA951" s="78">
        <f t="shared" si="838"/>
        <v>1</v>
      </c>
      <c r="AB951" s="78">
        <f t="shared" si="838"/>
        <v>1</v>
      </c>
      <c r="AC951" s="78">
        <f t="shared" si="799"/>
        <v>1</v>
      </c>
      <c r="AD951" s="78">
        <f t="shared" si="800"/>
        <v>1</v>
      </c>
      <c r="AE951" s="78">
        <f t="shared" si="801"/>
        <v>1</v>
      </c>
      <c r="AF951" s="6">
        <v>1</v>
      </c>
      <c r="AG951" s="33" t="str">
        <f t="shared" si="742"/>
        <v>4.02 &gt; Nicaragua</v>
      </c>
      <c r="AH951" s="84">
        <f t="shared" si="747"/>
        <v>937</v>
      </c>
      <c r="AI951" s="84">
        <f t="shared" si="748"/>
        <v>35</v>
      </c>
      <c r="AJ951" s="877" t="s">
        <v>1526</v>
      </c>
    </row>
    <row r="952" spans="1:36" x14ac:dyDescent="0.2">
      <c r="A952" s="492">
        <f>INDEX(Country!$F$31:$G$76, MATCH(AI952, Country!$O$31:$O$76, 0), 1)</f>
        <v>4.0199999999999996</v>
      </c>
      <c r="B952" s="2" t="str">
        <f>INDEX(Country!$F$31:$G$76, MATCH(AI952, Country!$O$31:$O$76, 0), 2)</f>
        <v>CDM risk</v>
      </c>
      <c r="C952" s="436" t="str">
        <f>INDEX(Country!$K$31:$K$76, MATCH(AI952, Country!$O$31:$O$76, 0), 1)</f>
        <v>Failures/Projects</v>
      </c>
      <c r="D952" s="4" t="str">
        <f t="shared" si="832"/>
        <v>Panama</v>
      </c>
      <c r="E952" s="47">
        <f t="shared" ref="E952:H952" si="839">F952</f>
        <v>1</v>
      </c>
      <c r="F952" s="47">
        <f t="shared" si="839"/>
        <v>1</v>
      </c>
      <c r="G952" s="47">
        <f t="shared" si="839"/>
        <v>1</v>
      </c>
      <c r="H952" s="47">
        <f t="shared" si="839"/>
        <v>1</v>
      </c>
      <c r="I952" s="47">
        <f t="shared" si="790"/>
        <v>1</v>
      </c>
      <c r="J952" s="47">
        <v>1</v>
      </c>
      <c r="K952" s="45">
        <v>1</v>
      </c>
      <c r="L952" s="457">
        <f t="shared" si="791"/>
        <v>33.333333333333329</v>
      </c>
      <c r="M952" s="458">
        <f t="shared" si="792"/>
        <v>33.333333333333329</v>
      </c>
      <c r="N952" s="458">
        <f t="shared" si="793"/>
        <v>33.333333333333329</v>
      </c>
      <c r="O952" s="458">
        <f t="shared" si="794"/>
        <v>33.333333333333329</v>
      </c>
      <c r="P952" s="458">
        <f t="shared" si="795"/>
        <v>33.333333333333329</v>
      </c>
      <c r="Q952" s="458">
        <f t="shared" si="796"/>
        <v>33.333333333333329</v>
      </c>
      <c r="R952" s="459">
        <f t="shared" si="797"/>
        <v>33.333333333333329</v>
      </c>
      <c r="S952" s="455"/>
      <c r="T952" s="456"/>
      <c r="U952" s="456"/>
      <c r="V952" s="456"/>
      <c r="W952" s="456"/>
      <c r="X952" s="456"/>
      <c r="Y952" s="456"/>
      <c r="Z952" s="79">
        <f t="shared" ref="Z952:AB952" si="840">AA952</f>
        <v>2</v>
      </c>
      <c r="AA952" s="78">
        <f t="shared" si="840"/>
        <v>2</v>
      </c>
      <c r="AB952" s="78">
        <f t="shared" si="840"/>
        <v>2</v>
      </c>
      <c r="AC952" s="78">
        <f t="shared" si="799"/>
        <v>2</v>
      </c>
      <c r="AD952" s="78">
        <f t="shared" si="800"/>
        <v>2</v>
      </c>
      <c r="AE952" s="78">
        <f t="shared" si="801"/>
        <v>2</v>
      </c>
      <c r="AF952" s="6">
        <v>2</v>
      </c>
      <c r="AG952" s="33" t="str">
        <f t="shared" si="742"/>
        <v>4.02 &gt; Panama</v>
      </c>
      <c r="AH952" s="84">
        <f t="shared" si="747"/>
        <v>938</v>
      </c>
      <c r="AI952" s="84">
        <f t="shared" si="748"/>
        <v>35</v>
      </c>
      <c r="AJ952" s="877" t="s">
        <v>1526</v>
      </c>
    </row>
    <row r="953" spans="1:36" x14ac:dyDescent="0.2">
      <c r="A953" s="492">
        <f>INDEX(Country!$F$31:$G$76, MATCH(AI953, Country!$O$31:$O$76, 0), 1)</f>
        <v>4.0199999999999996</v>
      </c>
      <c r="B953" s="2" t="str">
        <f>INDEX(Country!$F$31:$G$76, MATCH(AI953, Country!$O$31:$O$76, 0), 2)</f>
        <v>CDM risk</v>
      </c>
      <c r="C953" s="436" t="str">
        <f>INDEX(Country!$K$31:$K$76, MATCH(AI953, Country!$O$31:$O$76, 0), 1)</f>
        <v>Failures/Projects</v>
      </c>
      <c r="D953" s="4" t="str">
        <f t="shared" si="832"/>
        <v>Paraguay</v>
      </c>
      <c r="E953" s="47">
        <f t="shared" ref="E953:H953" si="841">F953</f>
        <v>0</v>
      </c>
      <c r="F953" s="47">
        <f t="shared" si="841"/>
        <v>0</v>
      </c>
      <c r="G953" s="47">
        <f t="shared" si="841"/>
        <v>0</v>
      </c>
      <c r="H953" s="47">
        <f t="shared" si="841"/>
        <v>0</v>
      </c>
      <c r="I953" s="47">
        <f t="shared" si="790"/>
        <v>0</v>
      </c>
      <c r="J953" s="47">
        <v>0</v>
      </c>
      <c r="K953" s="45">
        <v>0</v>
      </c>
      <c r="L953" s="457">
        <f t="shared" si="791"/>
        <v>66.666666666666657</v>
      </c>
      <c r="M953" s="458">
        <f t="shared" si="792"/>
        <v>66.666666666666657</v>
      </c>
      <c r="N953" s="458">
        <f t="shared" si="793"/>
        <v>66.666666666666657</v>
      </c>
      <c r="O953" s="458">
        <f t="shared" si="794"/>
        <v>66.666666666666657</v>
      </c>
      <c r="P953" s="458">
        <f t="shared" si="795"/>
        <v>66.666666666666657</v>
      </c>
      <c r="Q953" s="458">
        <f t="shared" si="796"/>
        <v>66.666666666666657</v>
      </c>
      <c r="R953" s="459">
        <f t="shared" si="797"/>
        <v>66.666666666666657</v>
      </c>
      <c r="S953" s="455"/>
      <c r="T953" s="456"/>
      <c r="U953" s="456"/>
      <c r="V953" s="456"/>
      <c r="W953" s="456"/>
      <c r="X953" s="456"/>
      <c r="Y953" s="456"/>
      <c r="Z953" s="79">
        <f t="shared" ref="Z953:AB953" si="842">AA953</f>
        <v>4</v>
      </c>
      <c r="AA953" s="78">
        <f t="shared" si="842"/>
        <v>4</v>
      </c>
      <c r="AB953" s="78">
        <f t="shared" si="842"/>
        <v>4</v>
      </c>
      <c r="AC953" s="78">
        <f t="shared" si="799"/>
        <v>4</v>
      </c>
      <c r="AD953" s="78">
        <f t="shared" si="800"/>
        <v>4</v>
      </c>
      <c r="AE953" s="78">
        <f t="shared" si="801"/>
        <v>4</v>
      </c>
      <c r="AF953" s="6">
        <v>4</v>
      </c>
      <c r="AG953" s="33" t="str">
        <f t="shared" si="742"/>
        <v>4.02 &gt; Paraguay</v>
      </c>
      <c r="AH953" s="84">
        <f t="shared" si="747"/>
        <v>939</v>
      </c>
      <c r="AI953" s="84">
        <f t="shared" si="748"/>
        <v>35</v>
      </c>
      <c r="AJ953" s="877" t="s">
        <v>1526</v>
      </c>
    </row>
    <row r="954" spans="1:36" x14ac:dyDescent="0.2">
      <c r="A954" s="492">
        <f>INDEX(Country!$F$31:$G$76, MATCH(AI954, Country!$O$31:$O$76, 0), 1)</f>
        <v>4.0199999999999996</v>
      </c>
      <c r="B954" s="2" t="str">
        <f>INDEX(Country!$F$31:$G$76, MATCH(AI954, Country!$O$31:$O$76, 0), 2)</f>
        <v>CDM risk</v>
      </c>
      <c r="C954" s="436" t="str">
        <f>INDEX(Country!$K$31:$K$76, MATCH(AI954, Country!$O$31:$O$76, 0), 1)</f>
        <v>Failures/Projects</v>
      </c>
      <c r="D954" s="4" t="str">
        <f t="shared" si="832"/>
        <v>Peru</v>
      </c>
      <c r="E954" s="47">
        <f t="shared" ref="E954:H954" si="843">F954</f>
        <v>7.0000000000000009</v>
      </c>
      <c r="F954" s="47">
        <f t="shared" si="843"/>
        <v>7.0000000000000009</v>
      </c>
      <c r="G954" s="47">
        <f t="shared" si="843"/>
        <v>7.0000000000000009</v>
      </c>
      <c r="H954" s="47">
        <f t="shared" si="843"/>
        <v>7.0000000000000009</v>
      </c>
      <c r="I954" s="47">
        <f t="shared" si="790"/>
        <v>7.0000000000000009</v>
      </c>
      <c r="J954" s="47">
        <v>7.0000000000000009</v>
      </c>
      <c r="K954" s="45">
        <v>7.0000000000000009</v>
      </c>
      <c r="L954" s="457">
        <f t="shared" si="791"/>
        <v>100</v>
      </c>
      <c r="M954" s="458">
        <f t="shared" si="792"/>
        <v>100</v>
      </c>
      <c r="N954" s="458">
        <f t="shared" si="793"/>
        <v>100</v>
      </c>
      <c r="O954" s="458">
        <f t="shared" si="794"/>
        <v>100</v>
      </c>
      <c r="P954" s="458">
        <f t="shared" si="795"/>
        <v>100</v>
      </c>
      <c r="Q954" s="458">
        <f t="shared" si="796"/>
        <v>100</v>
      </c>
      <c r="R954" s="459">
        <f t="shared" si="797"/>
        <v>100</v>
      </c>
      <c r="S954" s="455"/>
      <c r="T954" s="456"/>
      <c r="U954" s="456"/>
      <c r="V954" s="456"/>
      <c r="W954" s="456"/>
      <c r="X954" s="456"/>
      <c r="Y954" s="456"/>
      <c r="Z954" s="79">
        <f t="shared" ref="Z954:AB954" si="844">AA954</f>
        <v>6</v>
      </c>
      <c r="AA954" s="78">
        <f t="shared" si="844"/>
        <v>6</v>
      </c>
      <c r="AB954" s="78">
        <f t="shared" si="844"/>
        <v>6</v>
      </c>
      <c r="AC954" s="78">
        <f t="shared" si="799"/>
        <v>6</v>
      </c>
      <c r="AD954" s="78">
        <f t="shared" si="800"/>
        <v>6</v>
      </c>
      <c r="AE954" s="78">
        <f t="shared" si="801"/>
        <v>6</v>
      </c>
      <c r="AF954" s="6">
        <v>6</v>
      </c>
      <c r="AG954" s="33" t="str">
        <f t="shared" si="742"/>
        <v>4.02 &gt; Peru</v>
      </c>
      <c r="AH954" s="84">
        <f t="shared" si="747"/>
        <v>940</v>
      </c>
      <c r="AI954" s="84">
        <f t="shared" si="748"/>
        <v>35</v>
      </c>
      <c r="AJ954" s="877" t="s">
        <v>1526</v>
      </c>
    </row>
    <row r="955" spans="1:36" x14ac:dyDescent="0.2">
      <c r="A955" s="492">
        <f>INDEX(Country!$F$31:$G$76, MATCH(AI955, Country!$O$31:$O$76, 0), 1)</f>
        <v>4.0199999999999996</v>
      </c>
      <c r="B955" s="2" t="str">
        <f>INDEX(Country!$F$31:$G$76, MATCH(AI955, Country!$O$31:$O$76, 0), 2)</f>
        <v>CDM risk</v>
      </c>
      <c r="C955" s="436" t="str">
        <f>INDEX(Country!$K$31:$K$76, MATCH(AI955, Country!$O$31:$O$76, 0), 1)</f>
        <v>Failures/Projects</v>
      </c>
      <c r="D955" s="4" t="str">
        <f t="shared" si="832"/>
        <v>Suriname</v>
      </c>
      <c r="E955" s="47">
        <f t="shared" ref="E955:H955" si="845">F955</f>
        <v>0</v>
      </c>
      <c r="F955" s="47">
        <f t="shared" si="845"/>
        <v>0</v>
      </c>
      <c r="G955" s="47">
        <f t="shared" si="845"/>
        <v>0</v>
      </c>
      <c r="H955" s="47">
        <f t="shared" si="845"/>
        <v>0</v>
      </c>
      <c r="I955" s="47">
        <f t="shared" si="790"/>
        <v>0</v>
      </c>
      <c r="J955" s="47">
        <v>0</v>
      </c>
      <c r="K955" s="45">
        <v>0</v>
      </c>
      <c r="L955" s="457">
        <f t="shared" si="791"/>
        <v>0</v>
      </c>
      <c r="M955" s="458">
        <f t="shared" si="792"/>
        <v>0</v>
      </c>
      <c r="N955" s="458">
        <f t="shared" si="793"/>
        <v>0</v>
      </c>
      <c r="O955" s="458">
        <f t="shared" si="794"/>
        <v>0</v>
      </c>
      <c r="P955" s="458">
        <f t="shared" si="795"/>
        <v>0</v>
      </c>
      <c r="Q955" s="458">
        <f t="shared" si="796"/>
        <v>0</v>
      </c>
      <c r="R955" s="459">
        <f t="shared" si="797"/>
        <v>0</v>
      </c>
      <c r="S955" s="455"/>
      <c r="T955" s="456"/>
      <c r="U955" s="456"/>
      <c r="V955" s="456"/>
      <c r="W955" s="456"/>
      <c r="X955" s="456"/>
      <c r="Y955" s="456"/>
      <c r="Z955" s="79">
        <f t="shared" ref="Z955:AB955" si="846">AA955</f>
        <v>0</v>
      </c>
      <c r="AA955" s="78">
        <f t="shared" si="846"/>
        <v>0</v>
      </c>
      <c r="AB955" s="78">
        <f t="shared" si="846"/>
        <v>0</v>
      </c>
      <c r="AC955" s="78">
        <f t="shared" si="799"/>
        <v>0</v>
      </c>
      <c r="AD955" s="78">
        <f t="shared" si="800"/>
        <v>0</v>
      </c>
      <c r="AE955" s="78">
        <f t="shared" si="801"/>
        <v>0</v>
      </c>
      <c r="AF955" s="6">
        <v>0</v>
      </c>
      <c r="AG955" s="33" t="str">
        <f t="shared" si="742"/>
        <v>4.02 &gt; Suriname</v>
      </c>
      <c r="AH955" s="84">
        <f t="shared" si="747"/>
        <v>941</v>
      </c>
      <c r="AI955" s="84">
        <f t="shared" si="748"/>
        <v>35</v>
      </c>
      <c r="AJ955" s="877" t="s">
        <v>1526</v>
      </c>
    </row>
    <row r="956" spans="1:36" x14ac:dyDescent="0.2">
      <c r="A956" s="492">
        <f>INDEX(Country!$F$31:$G$76, MATCH(AI956, Country!$O$31:$O$76, 0), 1)</f>
        <v>4.0199999999999996</v>
      </c>
      <c r="B956" s="2" t="str">
        <f>INDEX(Country!$F$31:$G$76, MATCH(AI956, Country!$O$31:$O$76, 0), 2)</f>
        <v>CDM risk</v>
      </c>
      <c r="C956" s="436" t="str">
        <f>INDEX(Country!$K$31:$K$76, MATCH(AI956, Country!$O$31:$O$76, 0), 1)</f>
        <v>Failures/Projects</v>
      </c>
      <c r="D956" s="4" t="str">
        <f t="shared" si="832"/>
        <v>Trinidad &amp; Tobago</v>
      </c>
      <c r="E956" s="47">
        <f t="shared" ref="E956:H956" si="847">F956</f>
        <v>0</v>
      </c>
      <c r="F956" s="47">
        <f t="shared" si="847"/>
        <v>0</v>
      </c>
      <c r="G956" s="47">
        <f t="shared" si="847"/>
        <v>0</v>
      </c>
      <c r="H956" s="47">
        <f t="shared" si="847"/>
        <v>0</v>
      </c>
      <c r="I956" s="47">
        <f t="shared" si="790"/>
        <v>0</v>
      </c>
      <c r="J956" s="47">
        <v>0</v>
      </c>
      <c r="K956" s="45">
        <v>0</v>
      </c>
      <c r="L956" s="457">
        <f t="shared" si="791"/>
        <v>0</v>
      </c>
      <c r="M956" s="458">
        <f t="shared" si="792"/>
        <v>0</v>
      </c>
      <c r="N956" s="458">
        <f t="shared" si="793"/>
        <v>0</v>
      </c>
      <c r="O956" s="458">
        <f t="shared" si="794"/>
        <v>0</v>
      </c>
      <c r="P956" s="458">
        <f t="shared" si="795"/>
        <v>0</v>
      </c>
      <c r="Q956" s="458">
        <f t="shared" si="796"/>
        <v>0</v>
      </c>
      <c r="R956" s="459">
        <f t="shared" si="797"/>
        <v>0</v>
      </c>
      <c r="S956" s="455"/>
      <c r="T956" s="456"/>
      <c r="U956" s="456"/>
      <c r="V956" s="456"/>
      <c r="W956" s="456"/>
      <c r="X956" s="456"/>
      <c r="Y956" s="456"/>
      <c r="Z956" s="79">
        <f t="shared" ref="Z956:AB956" si="848">AA956</f>
        <v>0</v>
      </c>
      <c r="AA956" s="78">
        <f t="shared" si="848"/>
        <v>0</v>
      </c>
      <c r="AB956" s="78">
        <f t="shared" si="848"/>
        <v>0</v>
      </c>
      <c r="AC956" s="78">
        <f t="shared" si="799"/>
        <v>0</v>
      </c>
      <c r="AD956" s="78">
        <f t="shared" si="800"/>
        <v>0</v>
      </c>
      <c r="AE956" s="78">
        <f t="shared" si="801"/>
        <v>0</v>
      </c>
      <c r="AF956" s="6">
        <v>0</v>
      </c>
      <c r="AG956" s="33" t="str">
        <f t="shared" si="742"/>
        <v>4.02 &gt; Trinidad &amp; Tobago</v>
      </c>
      <c r="AH956" s="84">
        <f t="shared" si="747"/>
        <v>942</v>
      </c>
      <c r="AI956" s="84">
        <f t="shared" si="748"/>
        <v>35</v>
      </c>
      <c r="AJ956" s="877" t="s">
        <v>1526</v>
      </c>
    </row>
    <row r="957" spans="1:36" x14ac:dyDescent="0.2">
      <c r="A957" s="492">
        <f>INDEX(Country!$F$31:$G$76, MATCH(AI957, Country!$O$31:$O$76, 0), 1)</f>
        <v>4.0199999999999996</v>
      </c>
      <c r="B957" s="2" t="str">
        <f>INDEX(Country!$F$31:$G$76, MATCH(AI957, Country!$O$31:$O$76, 0), 2)</f>
        <v>CDM risk</v>
      </c>
      <c r="C957" s="436" t="str">
        <f>INDEX(Country!$K$31:$K$76, MATCH(AI957, Country!$O$31:$O$76, 0), 1)</f>
        <v>Failures/Projects</v>
      </c>
      <c r="D957" s="4" t="str">
        <f t="shared" si="832"/>
        <v>Uruguay</v>
      </c>
      <c r="E957" s="47">
        <f t="shared" ref="E957:H957" si="849">F957</f>
        <v>1</v>
      </c>
      <c r="F957" s="47">
        <f t="shared" si="849"/>
        <v>1</v>
      </c>
      <c r="G957" s="47">
        <f t="shared" si="849"/>
        <v>1</v>
      </c>
      <c r="H957" s="47">
        <f t="shared" si="849"/>
        <v>1</v>
      </c>
      <c r="I957" s="47">
        <f t="shared" si="790"/>
        <v>1</v>
      </c>
      <c r="J957" s="47">
        <v>1</v>
      </c>
      <c r="K957" s="45">
        <v>1</v>
      </c>
      <c r="L957" s="457">
        <f t="shared" si="791"/>
        <v>66.666666666666657</v>
      </c>
      <c r="M957" s="458">
        <f t="shared" si="792"/>
        <v>66.666666666666657</v>
      </c>
      <c r="N957" s="458">
        <f t="shared" si="793"/>
        <v>66.666666666666657</v>
      </c>
      <c r="O957" s="458">
        <f t="shared" si="794"/>
        <v>66.666666666666657</v>
      </c>
      <c r="P957" s="458">
        <f t="shared" si="795"/>
        <v>66.666666666666657</v>
      </c>
      <c r="Q957" s="458">
        <f t="shared" si="796"/>
        <v>66.666666666666657</v>
      </c>
      <c r="R957" s="459">
        <f t="shared" si="797"/>
        <v>66.666666666666657</v>
      </c>
      <c r="S957" s="455"/>
      <c r="T957" s="456"/>
      <c r="U957" s="456"/>
      <c r="V957" s="456"/>
      <c r="W957" s="456"/>
      <c r="X957" s="456"/>
      <c r="Y957" s="456"/>
      <c r="Z957" s="79">
        <f t="shared" ref="Z957:AB957" si="850">AA957</f>
        <v>4</v>
      </c>
      <c r="AA957" s="78">
        <f t="shared" si="850"/>
        <v>4</v>
      </c>
      <c r="AB957" s="78">
        <f t="shared" si="850"/>
        <v>4</v>
      </c>
      <c r="AC957" s="78">
        <f t="shared" si="799"/>
        <v>4</v>
      </c>
      <c r="AD957" s="78">
        <f t="shared" si="800"/>
        <v>4</v>
      </c>
      <c r="AE957" s="78">
        <f t="shared" si="801"/>
        <v>4</v>
      </c>
      <c r="AF957" s="6">
        <v>4</v>
      </c>
      <c r="AG957" s="33" t="str">
        <f t="shared" si="742"/>
        <v>4.02 &gt; Uruguay</v>
      </c>
      <c r="AH957" s="84">
        <f t="shared" si="747"/>
        <v>943</v>
      </c>
      <c r="AI957" s="84">
        <f t="shared" si="748"/>
        <v>35</v>
      </c>
      <c r="AJ957" s="877" t="s">
        <v>1526</v>
      </c>
    </row>
    <row r="958" spans="1:36" x14ac:dyDescent="0.2">
      <c r="A958" s="491">
        <f>INDEX(Country!$F$31:$G$76, MATCH(AI958, Country!$O$31:$O$76, 0), 1)</f>
        <v>4.0199999999999996</v>
      </c>
      <c r="B958" s="386" t="str">
        <f>INDEX(Country!$F$31:$G$76, MATCH(AI958, Country!$O$31:$O$76, 0), 2)</f>
        <v>CDM risk</v>
      </c>
      <c r="C958" s="437" t="str">
        <f>INDEX(Country!$K$31:$K$76, MATCH(AI958, Country!$O$31:$O$76, 0), 1)</f>
        <v>Failures/Projects</v>
      </c>
      <c r="D958" s="86" t="str">
        <f t="shared" si="832"/>
        <v>Venezuela</v>
      </c>
      <c r="E958" s="363">
        <f t="shared" ref="E958:H958" si="851">F958</f>
        <v>0</v>
      </c>
      <c r="F958" s="363">
        <f t="shared" si="851"/>
        <v>0</v>
      </c>
      <c r="G958" s="363">
        <f t="shared" si="851"/>
        <v>0</v>
      </c>
      <c r="H958" s="363">
        <f t="shared" si="851"/>
        <v>0</v>
      </c>
      <c r="I958" s="363">
        <f t="shared" si="790"/>
        <v>0</v>
      </c>
      <c r="J958" s="363">
        <v>0</v>
      </c>
      <c r="K958" s="400">
        <v>0</v>
      </c>
      <c r="L958" s="460">
        <f t="shared" si="791"/>
        <v>0</v>
      </c>
      <c r="M958" s="461">
        <f t="shared" si="792"/>
        <v>0</v>
      </c>
      <c r="N958" s="461">
        <f t="shared" si="793"/>
        <v>0</v>
      </c>
      <c r="O958" s="461">
        <f t="shared" si="794"/>
        <v>0</v>
      </c>
      <c r="P958" s="461">
        <f t="shared" si="795"/>
        <v>0</v>
      </c>
      <c r="Q958" s="461">
        <f t="shared" si="796"/>
        <v>0</v>
      </c>
      <c r="R958" s="462">
        <f t="shared" si="797"/>
        <v>0</v>
      </c>
      <c r="S958" s="455"/>
      <c r="T958" s="456"/>
      <c r="U958" s="456"/>
      <c r="V958" s="456"/>
      <c r="W958" s="456"/>
      <c r="X958" s="456"/>
      <c r="Y958" s="456"/>
      <c r="Z958" s="93">
        <f t="shared" ref="Z958:AB958" si="852">AA958</f>
        <v>0</v>
      </c>
      <c r="AA958" s="379">
        <f t="shared" si="852"/>
        <v>0</v>
      </c>
      <c r="AB958" s="379">
        <f t="shared" si="852"/>
        <v>0</v>
      </c>
      <c r="AC958" s="379">
        <f t="shared" si="799"/>
        <v>0</v>
      </c>
      <c r="AD958" s="379">
        <f t="shared" si="800"/>
        <v>0</v>
      </c>
      <c r="AE958" s="379">
        <f t="shared" si="801"/>
        <v>0</v>
      </c>
      <c r="AF958" s="390">
        <v>0</v>
      </c>
      <c r="AG958" s="90" t="str">
        <f t="shared" si="742"/>
        <v>4.02 &gt; Venezuela</v>
      </c>
      <c r="AH958" s="392">
        <f t="shared" si="747"/>
        <v>944</v>
      </c>
      <c r="AI958" s="392">
        <f t="shared" si="748"/>
        <v>35</v>
      </c>
      <c r="AJ958" s="878" t="s">
        <v>1526</v>
      </c>
    </row>
    <row r="959" spans="1:36" x14ac:dyDescent="0.2">
      <c r="A959" s="490">
        <f>INDEX(Country!$F$31:$G$76, MATCH(AI959, Country!$O$31:$O$76, 0), 1)</f>
        <v>4.0199999999999996</v>
      </c>
      <c r="B959" s="387" t="str">
        <f>INDEX(Country!$F$31:$G$76, MATCH(AI959, Country!$O$31:$O$76, 0), 2)</f>
        <v>CDM risk</v>
      </c>
      <c r="C959" s="438" t="str">
        <f>INDEX(Country!$K$31:$K$76, MATCH(AI959, Country!$O$31:$O$76, 0), 1)</f>
        <v>Failures/Projects</v>
      </c>
      <c r="D959" s="32" t="str">
        <f t="shared" si="832"/>
        <v>Benchmark</v>
      </c>
      <c r="E959" s="362">
        <f t="shared" ref="E959:I959" si="853">IFERROR(MAX(E933:E958), 0)</f>
        <v>118</v>
      </c>
      <c r="F959" s="362">
        <f t="shared" si="853"/>
        <v>118</v>
      </c>
      <c r="G959" s="362">
        <f t="shared" si="853"/>
        <v>118</v>
      </c>
      <c r="H959" s="362">
        <f t="shared" si="853"/>
        <v>118</v>
      </c>
      <c r="I959" s="362">
        <f t="shared" si="853"/>
        <v>118</v>
      </c>
      <c r="J959" s="362">
        <f t="shared" ref="J959:K959" si="854">IFERROR(MAX(J933:J958), 0)</f>
        <v>118</v>
      </c>
      <c r="K959" s="584">
        <f t="shared" si="854"/>
        <v>118</v>
      </c>
      <c r="L959" s="585">
        <f t="shared" si="791"/>
        <v>100</v>
      </c>
      <c r="M959" s="463">
        <f t="shared" si="792"/>
        <v>100</v>
      </c>
      <c r="N959" s="463">
        <f t="shared" si="793"/>
        <v>100</v>
      </c>
      <c r="O959" s="463">
        <f t="shared" si="794"/>
        <v>100</v>
      </c>
      <c r="P959" s="463">
        <f t="shared" si="795"/>
        <v>100</v>
      </c>
      <c r="Q959" s="463">
        <f t="shared" si="796"/>
        <v>100</v>
      </c>
      <c r="R959" s="586">
        <f t="shared" si="797"/>
        <v>100</v>
      </c>
      <c r="S959" s="393"/>
      <c r="T959" s="394"/>
      <c r="U959" s="376"/>
      <c r="V959" s="376"/>
      <c r="W959" s="376"/>
      <c r="X959" s="376"/>
      <c r="Y959" s="376"/>
      <c r="Z959" s="423">
        <f>IFERROR(MAX(Z933:Z958), 0)</f>
        <v>6</v>
      </c>
      <c r="AA959" s="365">
        <f>IFERROR(MAX(AA933:AA958), 0)</f>
        <v>6</v>
      </c>
      <c r="AB959" s="365">
        <f t="shared" ref="AB959:AF959" si="855">IFERROR(MAX(AB933:AB958), 0)</f>
        <v>6</v>
      </c>
      <c r="AC959" s="365">
        <f t="shared" ref="AC959:AE959" si="856">IFERROR(MAX(AC933:AC958), 0)</f>
        <v>6</v>
      </c>
      <c r="AD959" s="365">
        <f t="shared" si="856"/>
        <v>6</v>
      </c>
      <c r="AE959" s="365">
        <f t="shared" si="856"/>
        <v>6</v>
      </c>
      <c r="AF959" s="395">
        <f t="shared" si="855"/>
        <v>6</v>
      </c>
      <c r="AG959" s="34" t="str">
        <f t="shared" si="742"/>
        <v>4.02 &gt; Benchmark</v>
      </c>
      <c r="AH959" s="85">
        <f t="shared" si="747"/>
        <v>945</v>
      </c>
      <c r="AI959" s="85">
        <f t="shared" si="748"/>
        <v>35</v>
      </c>
      <c r="AJ959" s="871" t="s">
        <v>1526</v>
      </c>
    </row>
    <row r="960" spans="1:36" x14ac:dyDescent="0.2">
      <c r="A960" s="587">
        <f>INDEX(Country!$F$31:$G$76, MATCH(AI960, Country!$O$31:$O$76, 0), 1)</f>
        <v>4.0299999999999994</v>
      </c>
      <c r="B960" s="588" t="str">
        <f>INDEX(Country!$F$31:$G$76, MATCH(AI960, Country!$O$31:$O$76, 0), 2)</f>
        <v>Carbon offsets future potential</v>
      </c>
      <c r="C960" s="589" t="str">
        <f>INDEX(Country!$K$31:$K$76, MATCH(AI960, Country!$O$31:$O$76, 0), 1)</f>
        <v>Potential</v>
      </c>
      <c r="D960" s="590" t="str">
        <f t="shared" ref="D960:D986" si="857">D906</f>
        <v>Argentina</v>
      </c>
      <c r="E960" s="614"/>
      <c r="F960" s="614"/>
      <c r="G960" s="614"/>
      <c r="H960" s="47"/>
      <c r="I960" s="47"/>
      <c r="J960" s="47"/>
      <c r="K960" s="615"/>
      <c r="L960" s="580">
        <f t="shared" ref="L960:L986" si="858">(Z960/4)*dbl_BenchmarkMax</f>
        <v>36.565846636656929</v>
      </c>
      <c r="M960" s="581">
        <f t="shared" ref="M960:M986" si="859">(AA960/4)*dbl_BenchmarkMax</f>
        <v>36.565846636656929</v>
      </c>
      <c r="N960" s="581">
        <f t="shared" ref="N960:N986" si="860">(AB960/4)*dbl_BenchmarkMax</f>
        <v>36.565846636656929</v>
      </c>
      <c r="O960" s="581">
        <f t="shared" ref="O960:O986" si="861">(AC960/4)*dbl_BenchmarkMax</f>
        <v>36.565846636656929</v>
      </c>
      <c r="P960" s="581">
        <f t="shared" ref="P960:P986" si="862">(AD960/4)*dbl_BenchmarkMax</f>
        <v>36.565846636656929</v>
      </c>
      <c r="Q960" s="581">
        <f t="shared" ref="Q960:Q986" si="863">(AE960/4)*dbl_BenchmarkMax</f>
        <v>36.565846636656929</v>
      </c>
      <c r="R960" s="582">
        <f t="shared" ref="R960:R986" si="864">(AF960/4)*dbl_BenchmarkMax</f>
        <v>36.565846636656929</v>
      </c>
      <c r="S960" s="455"/>
      <c r="T960" s="456"/>
      <c r="U960" s="456"/>
      <c r="V960" s="456"/>
      <c r="W960" s="456"/>
      <c r="X960" s="456"/>
      <c r="Y960" s="820"/>
      <c r="Z960" s="78">
        <f t="shared" ref="Z960:AE960" si="865">AA960</f>
        <v>1.4626338654662772</v>
      </c>
      <c r="AA960" s="78">
        <f t="shared" si="865"/>
        <v>1.4626338654662772</v>
      </c>
      <c r="AB960" s="78">
        <f t="shared" si="865"/>
        <v>1.4626338654662772</v>
      </c>
      <c r="AC960" s="78">
        <f t="shared" si="865"/>
        <v>1.4626338654662772</v>
      </c>
      <c r="AD960" s="78">
        <f t="shared" si="865"/>
        <v>1.4626338654662772</v>
      </c>
      <c r="AE960" s="78">
        <f t="shared" si="865"/>
        <v>1.4626338654662772</v>
      </c>
      <c r="AF960" s="78">
        <v>1.4626338654662772</v>
      </c>
      <c r="AG960" s="396" t="str">
        <f t="shared" si="742"/>
        <v>4.03 &gt; Argentina</v>
      </c>
      <c r="AH960" s="397">
        <f t="shared" si="747"/>
        <v>946</v>
      </c>
      <c r="AI960" s="397">
        <f t="shared" si="748"/>
        <v>36</v>
      </c>
      <c r="AJ960" s="879" t="s">
        <v>1526</v>
      </c>
    </row>
    <row r="961" spans="1:36" x14ac:dyDescent="0.2">
      <c r="A961" s="492">
        <f>INDEX(Country!$F$31:$G$76, MATCH(AI961, Country!$O$31:$O$76, 0), 1)</f>
        <v>4.0299999999999994</v>
      </c>
      <c r="B961" s="2" t="str">
        <f>INDEX(Country!$F$31:$G$76, MATCH(AI961, Country!$O$31:$O$76, 0), 2)</f>
        <v>Carbon offsets future potential</v>
      </c>
      <c r="C961" s="436" t="str">
        <f>INDEX(Country!$K$31:$K$76, MATCH(AI961, Country!$O$31:$O$76, 0), 1)</f>
        <v>Potential</v>
      </c>
      <c r="D961" s="4" t="str">
        <f t="shared" si="857"/>
        <v>Bahamas</v>
      </c>
      <c r="E961" s="47"/>
      <c r="F961" s="47"/>
      <c r="G961" s="47"/>
      <c r="H961" s="47"/>
      <c r="I961" s="47"/>
      <c r="J961" s="47"/>
      <c r="K961" s="45"/>
      <c r="L961" s="457">
        <f t="shared" si="858"/>
        <v>2.49081432584219</v>
      </c>
      <c r="M961" s="458">
        <f t="shared" si="859"/>
        <v>2.49081432584219</v>
      </c>
      <c r="N961" s="458">
        <f t="shared" si="860"/>
        <v>2.49081432584219</v>
      </c>
      <c r="O961" s="458">
        <f t="shared" si="861"/>
        <v>2.49081432584219</v>
      </c>
      <c r="P961" s="458">
        <f t="shared" si="862"/>
        <v>2.49081432584219</v>
      </c>
      <c r="Q961" s="458">
        <f t="shared" si="863"/>
        <v>2.49081432584219</v>
      </c>
      <c r="R961" s="459">
        <f t="shared" si="864"/>
        <v>2.49081432584219</v>
      </c>
      <c r="S961" s="455"/>
      <c r="T961" s="456"/>
      <c r="U961" s="456"/>
      <c r="V961" s="456"/>
      <c r="W961" s="456"/>
      <c r="X961" s="456"/>
      <c r="Y961" s="821"/>
      <c r="Z961" s="78">
        <f t="shared" ref="Z961:AE985" si="866">AA961</f>
        <v>9.9632573033687596E-2</v>
      </c>
      <c r="AA961" s="78">
        <f t="shared" si="866"/>
        <v>9.9632573033687596E-2</v>
      </c>
      <c r="AB961" s="78">
        <f t="shared" si="866"/>
        <v>9.9632573033687596E-2</v>
      </c>
      <c r="AC961" s="78">
        <f t="shared" si="866"/>
        <v>9.9632573033687596E-2</v>
      </c>
      <c r="AD961" s="78">
        <f t="shared" si="866"/>
        <v>9.9632573033687596E-2</v>
      </c>
      <c r="AE961" s="78">
        <f t="shared" si="866"/>
        <v>9.9632573033687596E-2</v>
      </c>
      <c r="AF961" s="78">
        <v>9.9632573033687596E-2</v>
      </c>
      <c r="AG961" s="33" t="str">
        <f t="shared" si="742"/>
        <v>4.03 &gt; Bahamas</v>
      </c>
      <c r="AH961" s="84">
        <f t="shared" si="747"/>
        <v>947</v>
      </c>
      <c r="AI961" s="84">
        <f t="shared" si="748"/>
        <v>36</v>
      </c>
      <c r="AJ961" s="877" t="s">
        <v>1526</v>
      </c>
    </row>
    <row r="962" spans="1:36" x14ac:dyDescent="0.2">
      <c r="A962" s="492">
        <f>INDEX(Country!$F$31:$G$76, MATCH(AI962, Country!$O$31:$O$76, 0), 1)</f>
        <v>4.0299999999999994</v>
      </c>
      <c r="B962" s="2" t="str">
        <f>INDEX(Country!$F$31:$G$76, MATCH(AI962, Country!$O$31:$O$76, 0), 2)</f>
        <v>Carbon offsets future potential</v>
      </c>
      <c r="C962" s="436" t="str">
        <f>INDEX(Country!$K$31:$K$76, MATCH(AI962, Country!$O$31:$O$76, 0), 1)</f>
        <v>Potential</v>
      </c>
      <c r="D962" s="4" t="str">
        <f t="shared" si="857"/>
        <v>Barbados</v>
      </c>
      <c r="E962" s="47"/>
      <c r="F962" s="47"/>
      <c r="G962" s="47"/>
      <c r="H962" s="47"/>
      <c r="I962" s="47"/>
      <c r="J962" s="47"/>
      <c r="K962" s="45"/>
      <c r="L962" s="457">
        <f t="shared" si="858"/>
        <v>2.8908741732374863</v>
      </c>
      <c r="M962" s="458">
        <f t="shared" si="859"/>
        <v>2.8908741732374863</v>
      </c>
      <c r="N962" s="458">
        <f t="shared" si="860"/>
        <v>2.8908741732374863</v>
      </c>
      <c r="O962" s="458">
        <f t="shared" si="861"/>
        <v>2.8908741732374863</v>
      </c>
      <c r="P962" s="458">
        <f t="shared" si="862"/>
        <v>2.8908741732374863</v>
      </c>
      <c r="Q962" s="458">
        <f t="shared" si="863"/>
        <v>2.8908741732374863</v>
      </c>
      <c r="R962" s="459">
        <f t="shared" si="864"/>
        <v>2.8908741732374863</v>
      </c>
      <c r="S962" s="455"/>
      <c r="T962" s="456"/>
      <c r="U962" s="456"/>
      <c r="V962" s="456"/>
      <c r="W962" s="456"/>
      <c r="X962" s="456"/>
      <c r="Y962" s="821"/>
      <c r="Z962" s="78">
        <f t="shared" si="866"/>
        <v>0.11563496692949946</v>
      </c>
      <c r="AA962" s="78">
        <f t="shared" si="866"/>
        <v>0.11563496692949946</v>
      </c>
      <c r="AB962" s="78">
        <f t="shared" si="866"/>
        <v>0.11563496692949946</v>
      </c>
      <c r="AC962" s="78">
        <f t="shared" si="866"/>
        <v>0.11563496692949946</v>
      </c>
      <c r="AD962" s="78">
        <f t="shared" si="866"/>
        <v>0.11563496692949946</v>
      </c>
      <c r="AE962" s="78">
        <f t="shared" si="866"/>
        <v>0.11563496692949946</v>
      </c>
      <c r="AF962" s="78">
        <v>0.11563496692949946</v>
      </c>
      <c r="AG962" s="33" t="str">
        <f t="shared" si="742"/>
        <v>4.03 &gt; Barbados</v>
      </c>
      <c r="AH962" s="84">
        <f t="shared" si="747"/>
        <v>948</v>
      </c>
      <c r="AI962" s="84">
        <f t="shared" si="748"/>
        <v>36</v>
      </c>
      <c r="AJ962" s="877" t="s">
        <v>1526</v>
      </c>
    </row>
    <row r="963" spans="1:36" x14ac:dyDescent="0.2">
      <c r="A963" s="492">
        <f>INDEX(Country!$F$31:$G$76, MATCH(AI963, Country!$O$31:$O$76, 0), 1)</f>
        <v>4.0299999999999994</v>
      </c>
      <c r="B963" s="2" t="str">
        <f>INDEX(Country!$F$31:$G$76, MATCH(AI963, Country!$O$31:$O$76, 0), 2)</f>
        <v>Carbon offsets future potential</v>
      </c>
      <c r="C963" s="436" t="str">
        <f>INDEX(Country!$K$31:$K$76, MATCH(AI963, Country!$O$31:$O$76, 0), 1)</f>
        <v>Potential</v>
      </c>
      <c r="D963" s="4" t="str">
        <f t="shared" si="857"/>
        <v>Belize</v>
      </c>
      <c r="E963" s="47"/>
      <c r="F963" s="47"/>
      <c r="G963" s="47"/>
      <c r="H963" s="47"/>
      <c r="I963" s="47"/>
      <c r="J963" s="47"/>
      <c r="K963" s="45"/>
      <c r="L963" s="457">
        <f t="shared" si="858"/>
        <v>16.940345007716594</v>
      </c>
      <c r="M963" s="458">
        <f t="shared" si="859"/>
        <v>16.940345007716594</v>
      </c>
      <c r="N963" s="458">
        <f t="shared" si="860"/>
        <v>16.940345007716594</v>
      </c>
      <c r="O963" s="458">
        <f t="shared" si="861"/>
        <v>16.940345007716594</v>
      </c>
      <c r="P963" s="458">
        <f t="shared" si="862"/>
        <v>16.940345007716594</v>
      </c>
      <c r="Q963" s="458">
        <f t="shared" si="863"/>
        <v>16.940345007716594</v>
      </c>
      <c r="R963" s="459">
        <f t="shared" si="864"/>
        <v>16.940345007716594</v>
      </c>
      <c r="S963" s="455"/>
      <c r="T963" s="456"/>
      <c r="U963" s="456"/>
      <c r="V963" s="456"/>
      <c r="W963" s="456"/>
      <c r="X963" s="456"/>
      <c r="Y963" s="821"/>
      <c r="Z963" s="78">
        <f t="shared" si="866"/>
        <v>0.67761380030866381</v>
      </c>
      <c r="AA963" s="78">
        <f t="shared" si="866"/>
        <v>0.67761380030866381</v>
      </c>
      <c r="AB963" s="78">
        <f t="shared" si="866"/>
        <v>0.67761380030866381</v>
      </c>
      <c r="AC963" s="78">
        <f t="shared" si="866"/>
        <v>0.67761380030866381</v>
      </c>
      <c r="AD963" s="78">
        <f t="shared" si="866"/>
        <v>0.67761380030866381</v>
      </c>
      <c r="AE963" s="78">
        <f t="shared" si="866"/>
        <v>0.67761380030866381</v>
      </c>
      <c r="AF963" s="78">
        <v>0.67761380030866381</v>
      </c>
      <c r="AG963" s="33" t="str">
        <f t="shared" si="742"/>
        <v>4.03 &gt; Belize</v>
      </c>
      <c r="AH963" s="84">
        <f t="shared" si="747"/>
        <v>949</v>
      </c>
      <c r="AI963" s="84">
        <f t="shared" si="748"/>
        <v>36</v>
      </c>
      <c r="AJ963" s="877" t="s">
        <v>1526</v>
      </c>
    </row>
    <row r="964" spans="1:36" x14ac:dyDescent="0.2">
      <c r="A964" s="492">
        <f>INDEX(Country!$F$31:$G$76, MATCH(AI964, Country!$O$31:$O$76, 0), 1)</f>
        <v>4.0299999999999994</v>
      </c>
      <c r="B964" s="2" t="str">
        <f>INDEX(Country!$F$31:$G$76, MATCH(AI964, Country!$O$31:$O$76, 0), 2)</f>
        <v>Carbon offsets future potential</v>
      </c>
      <c r="C964" s="436" t="str">
        <f>INDEX(Country!$K$31:$K$76, MATCH(AI964, Country!$O$31:$O$76, 0), 1)</f>
        <v>Potential</v>
      </c>
      <c r="D964" s="4" t="str">
        <f t="shared" si="857"/>
        <v>Bolivia</v>
      </c>
      <c r="E964" s="47"/>
      <c r="F964" s="47"/>
      <c r="G964" s="47"/>
      <c r="H964" s="47"/>
      <c r="I964" s="47"/>
      <c r="J964" s="47"/>
      <c r="K964" s="45"/>
      <c r="L964" s="457">
        <f t="shared" si="858"/>
        <v>33.653418684473216</v>
      </c>
      <c r="M964" s="458">
        <f t="shared" si="859"/>
        <v>33.653418684473216</v>
      </c>
      <c r="N964" s="458">
        <f t="shared" si="860"/>
        <v>33.653418684473216</v>
      </c>
      <c r="O964" s="458">
        <f t="shared" si="861"/>
        <v>33.653418684473216</v>
      </c>
      <c r="P964" s="458">
        <f t="shared" si="862"/>
        <v>33.653418684473216</v>
      </c>
      <c r="Q964" s="458">
        <f t="shared" si="863"/>
        <v>33.653418684473216</v>
      </c>
      <c r="R964" s="459">
        <f t="shared" si="864"/>
        <v>33.653418684473216</v>
      </c>
      <c r="S964" s="455"/>
      <c r="T964" s="456"/>
      <c r="U964" s="456"/>
      <c r="V964" s="456"/>
      <c r="W964" s="456"/>
      <c r="X964" s="456"/>
      <c r="Y964" s="821"/>
      <c r="Z964" s="78">
        <f t="shared" si="866"/>
        <v>1.3461367473789285</v>
      </c>
      <c r="AA964" s="78">
        <f t="shared" si="866"/>
        <v>1.3461367473789285</v>
      </c>
      <c r="AB964" s="78">
        <f t="shared" si="866"/>
        <v>1.3461367473789285</v>
      </c>
      <c r="AC964" s="78">
        <f t="shared" si="866"/>
        <v>1.3461367473789285</v>
      </c>
      <c r="AD964" s="78">
        <f t="shared" si="866"/>
        <v>1.3461367473789285</v>
      </c>
      <c r="AE964" s="78">
        <f t="shared" si="866"/>
        <v>1.3461367473789285</v>
      </c>
      <c r="AF964" s="78">
        <v>1.3461367473789285</v>
      </c>
      <c r="AG964" s="33" t="str">
        <f t="shared" si="742"/>
        <v>4.03 &gt; Bolivia</v>
      </c>
      <c r="AH964" s="84">
        <f t="shared" si="747"/>
        <v>950</v>
      </c>
      <c r="AI964" s="84">
        <f t="shared" si="748"/>
        <v>36</v>
      </c>
      <c r="AJ964" s="877" t="s">
        <v>1526</v>
      </c>
    </row>
    <row r="965" spans="1:36" x14ac:dyDescent="0.2">
      <c r="A965" s="492">
        <f>INDEX(Country!$F$31:$G$76, MATCH(AI965, Country!$O$31:$O$76, 0), 1)</f>
        <v>4.0299999999999994</v>
      </c>
      <c r="B965" s="2" t="str">
        <f>INDEX(Country!$F$31:$G$76, MATCH(AI965, Country!$O$31:$O$76, 0), 2)</f>
        <v>Carbon offsets future potential</v>
      </c>
      <c r="C965" s="436" t="str">
        <f>INDEX(Country!$K$31:$K$76, MATCH(AI965, Country!$O$31:$O$76, 0), 1)</f>
        <v>Potential</v>
      </c>
      <c r="D965" s="4" t="str">
        <f t="shared" si="857"/>
        <v>Brazil</v>
      </c>
      <c r="E965" s="47"/>
      <c r="F965" s="47"/>
      <c r="G965" s="47"/>
      <c r="H965" s="47"/>
      <c r="I965" s="47"/>
      <c r="J965" s="47"/>
      <c r="K965" s="45"/>
      <c r="L965" s="457">
        <f t="shared" si="858"/>
        <v>41.422998851174277</v>
      </c>
      <c r="M965" s="458">
        <f t="shared" si="859"/>
        <v>41.422998851174277</v>
      </c>
      <c r="N965" s="458">
        <f t="shared" si="860"/>
        <v>41.422998851174277</v>
      </c>
      <c r="O965" s="458">
        <f t="shared" si="861"/>
        <v>41.422998851174277</v>
      </c>
      <c r="P965" s="458">
        <f t="shared" si="862"/>
        <v>41.422998851174277</v>
      </c>
      <c r="Q965" s="458">
        <f t="shared" si="863"/>
        <v>41.422998851174277</v>
      </c>
      <c r="R965" s="459">
        <f t="shared" si="864"/>
        <v>41.422998851174277</v>
      </c>
      <c r="S965" s="455"/>
      <c r="T965" s="456"/>
      <c r="U965" s="456"/>
      <c r="V965" s="456"/>
      <c r="W965" s="456"/>
      <c r="X965" s="456"/>
      <c r="Y965" s="821"/>
      <c r="Z965" s="78">
        <f t="shared" si="866"/>
        <v>1.6569199540469712</v>
      </c>
      <c r="AA965" s="78">
        <f t="shared" si="866"/>
        <v>1.6569199540469712</v>
      </c>
      <c r="AB965" s="78">
        <f t="shared" si="866"/>
        <v>1.6569199540469712</v>
      </c>
      <c r="AC965" s="78">
        <f t="shared" si="866"/>
        <v>1.6569199540469712</v>
      </c>
      <c r="AD965" s="78">
        <f t="shared" si="866"/>
        <v>1.6569199540469712</v>
      </c>
      <c r="AE965" s="78">
        <f t="shared" si="866"/>
        <v>1.6569199540469712</v>
      </c>
      <c r="AF965" s="78">
        <v>1.6569199540469712</v>
      </c>
      <c r="AG965" s="33" t="str">
        <f t="shared" si="742"/>
        <v>4.03 &gt; Brazil</v>
      </c>
      <c r="AH965" s="84">
        <f t="shared" si="747"/>
        <v>951</v>
      </c>
      <c r="AI965" s="84">
        <f t="shared" si="748"/>
        <v>36</v>
      </c>
      <c r="AJ965" s="877" t="s">
        <v>1526</v>
      </c>
    </row>
    <row r="966" spans="1:36" x14ac:dyDescent="0.2">
      <c r="A966" s="492">
        <f>INDEX(Country!$F$31:$G$76, MATCH(AI966, Country!$O$31:$O$76, 0), 1)</f>
        <v>4.0299999999999994</v>
      </c>
      <c r="B966" s="2" t="str">
        <f>INDEX(Country!$F$31:$G$76, MATCH(AI966, Country!$O$31:$O$76, 0), 2)</f>
        <v>Carbon offsets future potential</v>
      </c>
      <c r="C966" s="436" t="str">
        <f>INDEX(Country!$K$31:$K$76, MATCH(AI966, Country!$O$31:$O$76, 0), 1)</f>
        <v>Potential</v>
      </c>
      <c r="D966" s="4" t="str">
        <f t="shared" si="857"/>
        <v>Chile</v>
      </c>
      <c r="E966" s="47"/>
      <c r="F966" s="47"/>
      <c r="G966" s="47"/>
      <c r="H966" s="47"/>
      <c r="I966" s="47"/>
      <c r="J966" s="47"/>
      <c r="K966" s="45"/>
      <c r="L966" s="457">
        <f t="shared" si="858"/>
        <v>29.485180268341871</v>
      </c>
      <c r="M966" s="458">
        <f t="shared" si="859"/>
        <v>29.485180268341871</v>
      </c>
      <c r="N966" s="458">
        <f t="shared" si="860"/>
        <v>29.485180268341871</v>
      </c>
      <c r="O966" s="458">
        <f t="shared" si="861"/>
        <v>29.485180268341871</v>
      </c>
      <c r="P966" s="458">
        <f t="shared" si="862"/>
        <v>29.485180268341871</v>
      </c>
      <c r="Q966" s="458">
        <f t="shared" si="863"/>
        <v>29.485180268341871</v>
      </c>
      <c r="R966" s="459">
        <f t="shared" si="864"/>
        <v>29.485180268341871</v>
      </c>
      <c r="S966" s="455"/>
      <c r="T966" s="456"/>
      <c r="U966" s="456"/>
      <c r="V966" s="456"/>
      <c r="W966" s="456"/>
      <c r="X966" s="456"/>
      <c r="Y966" s="821"/>
      <c r="Z966" s="78">
        <f t="shared" si="866"/>
        <v>1.1794072107336748</v>
      </c>
      <c r="AA966" s="78">
        <f t="shared" si="866"/>
        <v>1.1794072107336748</v>
      </c>
      <c r="AB966" s="78">
        <f t="shared" si="866"/>
        <v>1.1794072107336748</v>
      </c>
      <c r="AC966" s="78">
        <f t="shared" si="866"/>
        <v>1.1794072107336748</v>
      </c>
      <c r="AD966" s="78">
        <f t="shared" si="866"/>
        <v>1.1794072107336748</v>
      </c>
      <c r="AE966" s="78">
        <f t="shared" si="866"/>
        <v>1.1794072107336748</v>
      </c>
      <c r="AF966" s="78">
        <v>1.1794072107336748</v>
      </c>
      <c r="AG966" s="33" t="str">
        <f t="shared" si="742"/>
        <v>4.03 &gt; Chile</v>
      </c>
      <c r="AH966" s="84">
        <f t="shared" si="747"/>
        <v>952</v>
      </c>
      <c r="AI966" s="84">
        <f t="shared" si="748"/>
        <v>36</v>
      </c>
      <c r="AJ966" s="877" t="s">
        <v>1526</v>
      </c>
    </row>
    <row r="967" spans="1:36" x14ac:dyDescent="0.2">
      <c r="A967" s="492">
        <f>INDEX(Country!$F$31:$G$76, MATCH(AI967, Country!$O$31:$O$76, 0), 1)</f>
        <v>4.0299999999999994</v>
      </c>
      <c r="B967" s="2" t="str">
        <f>INDEX(Country!$F$31:$G$76, MATCH(AI967, Country!$O$31:$O$76, 0), 2)</f>
        <v>Carbon offsets future potential</v>
      </c>
      <c r="C967" s="436" t="str">
        <f>INDEX(Country!$K$31:$K$76, MATCH(AI967, Country!$O$31:$O$76, 0), 1)</f>
        <v>Potential</v>
      </c>
      <c r="D967" s="4" t="str">
        <f t="shared" si="857"/>
        <v>Colombia</v>
      </c>
      <c r="E967" s="47"/>
      <c r="F967" s="47"/>
      <c r="G967" s="47"/>
      <c r="H967" s="47"/>
      <c r="I967" s="47"/>
      <c r="J967" s="47"/>
      <c r="K967" s="45"/>
      <c r="L967" s="457">
        <f t="shared" si="858"/>
        <v>21.982489776364169</v>
      </c>
      <c r="M967" s="458">
        <f t="shared" si="859"/>
        <v>21.982489776364169</v>
      </c>
      <c r="N967" s="458">
        <f t="shared" si="860"/>
        <v>21.982489776364169</v>
      </c>
      <c r="O967" s="458">
        <f t="shared" si="861"/>
        <v>21.982489776364169</v>
      </c>
      <c r="P967" s="458">
        <f t="shared" si="862"/>
        <v>21.982489776364169</v>
      </c>
      <c r="Q967" s="458">
        <f t="shared" si="863"/>
        <v>21.982489776364169</v>
      </c>
      <c r="R967" s="459">
        <f t="shared" si="864"/>
        <v>21.982489776364169</v>
      </c>
      <c r="S967" s="455"/>
      <c r="T967" s="456"/>
      <c r="U967" s="456"/>
      <c r="V967" s="456"/>
      <c r="W967" s="456"/>
      <c r="X967" s="456"/>
      <c r="Y967" s="821"/>
      <c r="Z967" s="78">
        <f t="shared" si="866"/>
        <v>0.87929959105456668</v>
      </c>
      <c r="AA967" s="78">
        <f t="shared" si="866"/>
        <v>0.87929959105456668</v>
      </c>
      <c r="AB967" s="78">
        <f t="shared" si="866"/>
        <v>0.87929959105456668</v>
      </c>
      <c r="AC967" s="78">
        <f t="shared" si="866"/>
        <v>0.87929959105456668</v>
      </c>
      <c r="AD967" s="78">
        <f t="shared" si="866"/>
        <v>0.87929959105456668</v>
      </c>
      <c r="AE967" s="78">
        <f t="shared" si="866"/>
        <v>0.87929959105456668</v>
      </c>
      <c r="AF967" s="78">
        <v>0.87929959105456668</v>
      </c>
      <c r="AG967" s="33" t="str">
        <f t="shared" si="742"/>
        <v>4.03 &gt; Colombia</v>
      </c>
      <c r="AH967" s="84">
        <f t="shared" si="747"/>
        <v>953</v>
      </c>
      <c r="AI967" s="84">
        <f t="shared" si="748"/>
        <v>36</v>
      </c>
      <c r="AJ967" s="877" t="s">
        <v>1526</v>
      </c>
    </row>
    <row r="968" spans="1:36" x14ac:dyDescent="0.2">
      <c r="A968" s="492">
        <f>INDEX(Country!$F$31:$G$76, MATCH(AI968, Country!$O$31:$O$76, 0), 1)</f>
        <v>4.0299999999999994</v>
      </c>
      <c r="B968" s="2" t="str">
        <f>INDEX(Country!$F$31:$G$76, MATCH(AI968, Country!$O$31:$O$76, 0), 2)</f>
        <v>Carbon offsets future potential</v>
      </c>
      <c r="C968" s="436" t="str">
        <f>INDEX(Country!$K$31:$K$76, MATCH(AI968, Country!$O$31:$O$76, 0), 1)</f>
        <v>Potential</v>
      </c>
      <c r="D968" s="4" t="str">
        <f t="shared" si="857"/>
        <v>Costa Rica</v>
      </c>
      <c r="E968" s="47"/>
      <c r="F968" s="47"/>
      <c r="G968" s="47"/>
      <c r="H968" s="47"/>
      <c r="I968" s="47"/>
      <c r="J968" s="47"/>
      <c r="K968" s="45"/>
      <c r="L968" s="457">
        <f t="shared" si="858"/>
        <v>16.865235079726638</v>
      </c>
      <c r="M968" s="458">
        <f t="shared" si="859"/>
        <v>16.865235079726638</v>
      </c>
      <c r="N968" s="458">
        <f t="shared" si="860"/>
        <v>16.865235079726638</v>
      </c>
      <c r="O968" s="458">
        <f t="shared" si="861"/>
        <v>16.865235079726638</v>
      </c>
      <c r="P968" s="458">
        <f t="shared" si="862"/>
        <v>16.865235079726638</v>
      </c>
      <c r="Q968" s="458">
        <f t="shared" si="863"/>
        <v>16.865235079726638</v>
      </c>
      <c r="R968" s="459">
        <f t="shared" si="864"/>
        <v>16.865235079726638</v>
      </c>
      <c r="S968" s="455"/>
      <c r="T968" s="456"/>
      <c r="U968" s="456"/>
      <c r="V968" s="456"/>
      <c r="W968" s="456"/>
      <c r="X968" s="456"/>
      <c r="Y968" s="821"/>
      <c r="Z968" s="78">
        <f t="shared" si="866"/>
        <v>0.67460940318906548</v>
      </c>
      <c r="AA968" s="78">
        <f t="shared" si="866"/>
        <v>0.67460940318906548</v>
      </c>
      <c r="AB968" s="78">
        <f t="shared" si="866"/>
        <v>0.67460940318906548</v>
      </c>
      <c r="AC968" s="78">
        <f t="shared" si="866"/>
        <v>0.67460940318906548</v>
      </c>
      <c r="AD968" s="78">
        <f t="shared" si="866"/>
        <v>0.67460940318906548</v>
      </c>
      <c r="AE968" s="78">
        <f t="shared" si="866"/>
        <v>0.67460940318906548</v>
      </c>
      <c r="AF968" s="78">
        <v>0.67460940318906548</v>
      </c>
      <c r="AG968" s="33" t="str">
        <f t="shared" si="742"/>
        <v>4.03 &gt; Costa Rica</v>
      </c>
      <c r="AH968" s="84">
        <f t="shared" si="747"/>
        <v>954</v>
      </c>
      <c r="AI968" s="84">
        <f t="shared" si="748"/>
        <v>36</v>
      </c>
      <c r="AJ968" s="877" t="s">
        <v>1526</v>
      </c>
    </row>
    <row r="969" spans="1:36" x14ac:dyDescent="0.2">
      <c r="A969" s="492">
        <f>INDEX(Country!$F$31:$G$76, MATCH(AI969, Country!$O$31:$O$76, 0), 1)</f>
        <v>4.0299999999999994</v>
      </c>
      <c r="B969" s="2" t="str">
        <f>INDEX(Country!$F$31:$G$76, MATCH(AI969, Country!$O$31:$O$76, 0), 2)</f>
        <v>Carbon offsets future potential</v>
      </c>
      <c r="C969" s="436" t="str">
        <f>INDEX(Country!$K$31:$K$76, MATCH(AI969, Country!$O$31:$O$76, 0), 1)</f>
        <v>Potential</v>
      </c>
      <c r="D969" s="4" t="str">
        <f t="shared" si="857"/>
        <v>Dominican Republic</v>
      </c>
      <c r="E969" s="47"/>
      <c r="F969" s="47"/>
      <c r="G969" s="47"/>
      <c r="H969" s="47"/>
      <c r="I969" s="47"/>
      <c r="J969" s="47"/>
      <c r="K969" s="45"/>
      <c r="L969" s="457">
        <f t="shared" si="858"/>
        <v>7.4752192144683383</v>
      </c>
      <c r="M969" s="458">
        <f t="shared" si="859"/>
        <v>7.4752192144683383</v>
      </c>
      <c r="N969" s="458">
        <f t="shared" si="860"/>
        <v>7.4752192144683383</v>
      </c>
      <c r="O969" s="458">
        <f t="shared" si="861"/>
        <v>7.4752192144683383</v>
      </c>
      <c r="P969" s="458">
        <f t="shared" si="862"/>
        <v>7.4752192144683383</v>
      </c>
      <c r="Q969" s="458">
        <f t="shared" si="863"/>
        <v>7.4752192144683383</v>
      </c>
      <c r="R969" s="459">
        <f t="shared" si="864"/>
        <v>7.4752192144683383</v>
      </c>
      <c r="S969" s="455"/>
      <c r="T969" s="456"/>
      <c r="U969" s="456"/>
      <c r="V969" s="456"/>
      <c r="W969" s="456"/>
      <c r="X969" s="456"/>
      <c r="Y969" s="821"/>
      <c r="Z969" s="78">
        <f t="shared" si="866"/>
        <v>0.29900876857873354</v>
      </c>
      <c r="AA969" s="78">
        <f t="shared" si="866"/>
        <v>0.29900876857873354</v>
      </c>
      <c r="AB969" s="78">
        <f t="shared" si="866"/>
        <v>0.29900876857873354</v>
      </c>
      <c r="AC969" s="78">
        <f t="shared" si="866"/>
        <v>0.29900876857873354</v>
      </c>
      <c r="AD969" s="78">
        <f t="shared" si="866"/>
        <v>0.29900876857873354</v>
      </c>
      <c r="AE969" s="78">
        <f t="shared" si="866"/>
        <v>0.29900876857873354</v>
      </c>
      <c r="AF969" s="78">
        <v>0.29900876857873354</v>
      </c>
      <c r="AG969" s="33" t="str">
        <f t="shared" si="742"/>
        <v>4.03 &gt; Dominican Republic</v>
      </c>
      <c r="AH969" s="84">
        <f t="shared" si="747"/>
        <v>955</v>
      </c>
      <c r="AI969" s="84">
        <f t="shared" si="748"/>
        <v>36</v>
      </c>
      <c r="AJ969" s="877" t="s">
        <v>1526</v>
      </c>
    </row>
    <row r="970" spans="1:36" x14ac:dyDescent="0.2">
      <c r="A970" s="492">
        <f>INDEX(Country!$F$31:$G$76, MATCH(AI970, Country!$O$31:$O$76, 0), 1)</f>
        <v>4.0299999999999994</v>
      </c>
      <c r="B970" s="2" t="str">
        <f>INDEX(Country!$F$31:$G$76, MATCH(AI970, Country!$O$31:$O$76, 0), 2)</f>
        <v>Carbon offsets future potential</v>
      </c>
      <c r="C970" s="436" t="str">
        <f>INDEX(Country!$K$31:$K$76, MATCH(AI970, Country!$O$31:$O$76, 0), 1)</f>
        <v>Potential</v>
      </c>
      <c r="D970" s="4" t="str">
        <f t="shared" si="857"/>
        <v>Ecuador</v>
      </c>
      <c r="E970" s="47"/>
      <c r="F970" s="47"/>
      <c r="G970" s="47"/>
      <c r="H970" s="47"/>
      <c r="I970" s="47"/>
      <c r="J970" s="47"/>
      <c r="K970" s="45"/>
      <c r="L970" s="457">
        <f t="shared" si="858"/>
        <v>24.143328011494049</v>
      </c>
      <c r="M970" s="458">
        <f t="shared" si="859"/>
        <v>24.143328011494049</v>
      </c>
      <c r="N970" s="458">
        <f t="shared" si="860"/>
        <v>24.143328011494049</v>
      </c>
      <c r="O970" s="458">
        <f t="shared" si="861"/>
        <v>24.143328011494049</v>
      </c>
      <c r="P970" s="458">
        <f t="shared" si="862"/>
        <v>24.143328011494049</v>
      </c>
      <c r="Q970" s="458">
        <f t="shared" si="863"/>
        <v>24.143328011494049</v>
      </c>
      <c r="R970" s="459">
        <f t="shared" si="864"/>
        <v>24.143328011494049</v>
      </c>
      <c r="S970" s="455"/>
      <c r="T970" s="456"/>
      <c r="U970" s="456"/>
      <c r="V970" s="456"/>
      <c r="W970" s="456"/>
      <c r="X970" s="456"/>
      <c r="Y970" s="821"/>
      <c r="Z970" s="78">
        <f t="shared" si="866"/>
        <v>0.9657331204597619</v>
      </c>
      <c r="AA970" s="78">
        <f t="shared" si="866"/>
        <v>0.9657331204597619</v>
      </c>
      <c r="AB970" s="78">
        <f t="shared" si="866"/>
        <v>0.9657331204597619</v>
      </c>
      <c r="AC970" s="78">
        <f t="shared" si="866"/>
        <v>0.9657331204597619</v>
      </c>
      <c r="AD970" s="78">
        <f t="shared" si="866"/>
        <v>0.9657331204597619</v>
      </c>
      <c r="AE970" s="78">
        <f t="shared" si="866"/>
        <v>0.9657331204597619</v>
      </c>
      <c r="AF970" s="78">
        <v>0.9657331204597619</v>
      </c>
      <c r="AG970" s="33" t="str">
        <f t="shared" si="742"/>
        <v>4.03 &gt; Ecuador</v>
      </c>
      <c r="AH970" s="84">
        <f t="shared" si="747"/>
        <v>956</v>
      </c>
      <c r="AI970" s="84">
        <f t="shared" si="748"/>
        <v>36</v>
      </c>
      <c r="AJ970" s="877" t="s">
        <v>1526</v>
      </c>
    </row>
    <row r="971" spans="1:36" x14ac:dyDescent="0.2">
      <c r="A971" s="492">
        <f>INDEX(Country!$F$31:$G$76, MATCH(AI971, Country!$O$31:$O$76, 0), 1)</f>
        <v>4.0299999999999994</v>
      </c>
      <c r="B971" s="2" t="str">
        <f>INDEX(Country!$F$31:$G$76, MATCH(AI971, Country!$O$31:$O$76, 0), 2)</f>
        <v>Carbon offsets future potential</v>
      </c>
      <c r="C971" s="436" t="str">
        <f>INDEX(Country!$K$31:$K$76, MATCH(AI971, Country!$O$31:$O$76, 0), 1)</f>
        <v>Potential</v>
      </c>
      <c r="D971" s="4" t="str">
        <f t="shared" si="857"/>
        <v>El Salvador</v>
      </c>
      <c r="E971" s="47"/>
      <c r="F971" s="47"/>
      <c r="G971" s="47"/>
      <c r="H971" s="47"/>
      <c r="I971" s="47"/>
      <c r="J971" s="47"/>
      <c r="K971" s="45"/>
      <c r="L971" s="457">
        <f t="shared" si="858"/>
        <v>7.7772041973708159</v>
      </c>
      <c r="M971" s="458">
        <f t="shared" si="859"/>
        <v>7.7772041973708159</v>
      </c>
      <c r="N971" s="458">
        <f t="shared" si="860"/>
        <v>7.7772041973708159</v>
      </c>
      <c r="O971" s="458">
        <f t="shared" si="861"/>
        <v>7.7772041973708159</v>
      </c>
      <c r="P971" s="458">
        <f t="shared" si="862"/>
        <v>7.7772041973708159</v>
      </c>
      <c r="Q971" s="458">
        <f t="shared" si="863"/>
        <v>7.7772041973708159</v>
      </c>
      <c r="R971" s="459">
        <f t="shared" si="864"/>
        <v>7.7772041973708159</v>
      </c>
      <c r="S971" s="455"/>
      <c r="T971" s="456"/>
      <c r="U971" s="456"/>
      <c r="V971" s="456"/>
      <c r="W971" s="456"/>
      <c r="X971" s="456"/>
      <c r="Y971" s="821"/>
      <c r="Z971" s="78">
        <f t="shared" si="866"/>
        <v>0.31108816789483262</v>
      </c>
      <c r="AA971" s="78">
        <f t="shared" si="866"/>
        <v>0.31108816789483262</v>
      </c>
      <c r="AB971" s="78">
        <f t="shared" si="866"/>
        <v>0.31108816789483262</v>
      </c>
      <c r="AC971" s="78">
        <f t="shared" si="866"/>
        <v>0.31108816789483262</v>
      </c>
      <c r="AD971" s="78">
        <f t="shared" si="866"/>
        <v>0.31108816789483262</v>
      </c>
      <c r="AE971" s="78">
        <f t="shared" si="866"/>
        <v>0.31108816789483262</v>
      </c>
      <c r="AF971" s="78">
        <v>0.31108816789483262</v>
      </c>
      <c r="AG971" s="33" t="str">
        <f t="shared" si="742"/>
        <v>4.03 &gt; El Salvador</v>
      </c>
      <c r="AH971" s="84">
        <f t="shared" si="747"/>
        <v>957</v>
      </c>
      <c r="AI971" s="84">
        <f t="shared" si="748"/>
        <v>36</v>
      </c>
      <c r="AJ971" s="877" t="s">
        <v>1526</v>
      </c>
    </row>
    <row r="972" spans="1:36" x14ac:dyDescent="0.2">
      <c r="A972" s="492">
        <f>INDEX(Country!$F$31:$G$76, MATCH(AI972, Country!$O$31:$O$76, 0), 1)</f>
        <v>4.0299999999999994</v>
      </c>
      <c r="B972" s="2" t="str">
        <f>INDEX(Country!$F$31:$G$76, MATCH(AI972, Country!$O$31:$O$76, 0), 2)</f>
        <v>Carbon offsets future potential</v>
      </c>
      <c r="C972" s="436" t="str">
        <f>INDEX(Country!$K$31:$K$76, MATCH(AI972, Country!$O$31:$O$76, 0), 1)</f>
        <v>Potential</v>
      </c>
      <c r="D972" s="4" t="str">
        <f t="shared" si="857"/>
        <v>Guatemala</v>
      </c>
      <c r="E972" s="47"/>
      <c r="F972" s="47"/>
      <c r="G972" s="47"/>
      <c r="H972" s="47"/>
      <c r="I972" s="47"/>
      <c r="J972" s="47"/>
      <c r="K972" s="45"/>
      <c r="L972" s="457">
        <f t="shared" si="858"/>
        <v>21.231970437932159</v>
      </c>
      <c r="M972" s="458">
        <f t="shared" si="859"/>
        <v>21.231970437932159</v>
      </c>
      <c r="N972" s="458">
        <f t="shared" si="860"/>
        <v>21.231970437932159</v>
      </c>
      <c r="O972" s="458">
        <f t="shared" si="861"/>
        <v>21.231970437932159</v>
      </c>
      <c r="P972" s="458">
        <f t="shared" si="862"/>
        <v>21.231970437932159</v>
      </c>
      <c r="Q972" s="458">
        <f t="shared" si="863"/>
        <v>21.231970437932159</v>
      </c>
      <c r="R972" s="459">
        <f t="shared" si="864"/>
        <v>21.231970437932159</v>
      </c>
      <c r="S972" s="455"/>
      <c r="T972" s="456"/>
      <c r="U972" s="456"/>
      <c r="V972" s="456"/>
      <c r="W972" s="456"/>
      <c r="X972" s="456"/>
      <c r="Y972" s="821"/>
      <c r="Z972" s="78">
        <f t="shared" si="866"/>
        <v>0.84927881751728629</v>
      </c>
      <c r="AA972" s="78">
        <f t="shared" si="866"/>
        <v>0.84927881751728629</v>
      </c>
      <c r="AB972" s="78">
        <f t="shared" si="866"/>
        <v>0.84927881751728629</v>
      </c>
      <c r="AC972" s="78">
        <f t="shared" si="866"/>
        <v>0.84927881751728629</v>
      </c>
      <c r="AD972" s="78">
        <f t="shared" si="866"/>
        <v>0.84927881751728629</v>
      </c>
      <c r="AE972" s="78">
        <f t="shared" si="866"/>
        <v>0.84927881751728629</v>
      </c>
      <c r="AF972" s="78">
        <v>0.84927881751728629</v>
      </c>
      <c r="AG972" s="33" t="str">
        <f t="shared" si="742"/>
        <v>4.03 &gt; Guatemala</v>
      </c>
      <c r="AH972" s="84">
        <f t="shared" si="747"/>
        <v>958</v>
      </c>
      <c r="AI972" s="84">
        <f t="shared" si="748"/>
        <v>36</v>
      </c>
      <c r="AJ972" s="877" t="s">
        <v>1526</v>
      </c>
    </row>
    <row r="973" spans="1:36" x14ac:dyDescent="0.2">
      <c r="A973" s="492">
        <f>INDEX(Country!$F$31:$G$76, MATCH(AI973, Country!$O$31:$O$76, 0), 1)</f>
        <v>4.0299999999999994</v>
      </c>
      <c r="B973" s="2" t="str">
        <f>INDEX(Country!$F$31:$G$76, MATCH(AI973, Country!$O$31:$O$76, 0), 2)</f>
        <v>Carbon offsets future potential</v>
      </c>
      <c r="C973" s="436" t="str">
        <f>INDEX(Country!$K$31:$K$76, MATCH(AI973, Country!$O$31:$O$76, 0), 1)</f>
        <v>Potential</v>
      </c>
      <c r="D973" s="4" t="str">
        <f t="shared" si="857"/>
        <v>Guyana</v>
      </c>
      <c r="E973" s="47"/>
      <c r="F973" s="47"/>
      <c r="G973" s="47"/>
      <c r="H973" s="47"/>
      <c r="I973" s="47"/>
      <c r="J973" s="47"/>
      <c r="K973" s="45"/>
      <c r="L973" s="457">
        <f t="shared" si="858"/>
        <v>8.5475113254245443</v>
      </c>
      <c r="M973" s="458">
        <f t="shared" si="859"/>
        <v>8.5475113254245443</v>
      </c>
      <c r="N973" s="458">
        <f t="shared" si="860"/>
        <v>8.5475113254245443</v>
      </c>
      <c r="O973" s="458">
        <f t="shared" si="861"/>
        <v>8.5475113254245443</v>
      </c>
      <c r="P973" s="458">
        <f t="shared" si="862"/>
        <v>8.5475113254245443</v>
      </c>
      <c r="Q973" s="458">
        <f t="shared" si="863"/>
        <v>8.5475113254245443</v>
      </c>
      <c r="R973" s="459">
        <f t="shared" si="864"/>
        <v>8.5475113254245443</v>
      </c>
      <c r="S973" s="455"/>
      <c r="T973" s="456"/>
      <c r="U973" s="456"/>
      <c r="V973" s="456"/>
      <c r="W973" s="456"/>
      <c r="X973" s="456"/>
      <c r="Y973" s="821"/>
      <c r="Z973" s="78">
        <f t="shared" si="866"/>
        <v>0.3419004530169818</v>
      </c>
      <c r="AA973" s="78">
        <f t="shared" si="866"/>
        <v>0.3419004530169818</v>
      </c>
      <c r="AB973" s="78">
        <f t="shared" si="866"/>
        <v>0.3419004530169818</v>
      </c>
      <c r="AC973" s="78">
        <f t="shared" si="866"/>
        <v>0.3419004530169818</v>
      </c>
      <c r="AD973" s="78">
        <f t="shared" si="866"/>
        <v>0.3419004530169818</v>
      </c>
      <c r="AE973" s="78">
        <f t="shared" si="866"/>
        <v>0.3419004530169818</v>
      </c>
      <c r="AF973" s="78">
        <v>0.3419004530169818</v>
      </c>
      <c r="AG973" s="33" t="str">
        <f t="shared" si="742"/>
        <v>4.03 &gt; Guyana</v>
      </c>
      <c r="AH973" s="84">
        <f t="shared" si="747"/>
        <v>959</v>
      </c>
      <c r="AI973" s="84">
        <f t="shared" si="748"/>
        <v>36</v>
      </c>
      <c r="AJ973" s="877" t="s">
        <v>1526</v>
      </c>
    </row>
    <row r="974" spans="1:36" x14ac:dyDescent="0.2">
      <c r="A974" s="492">
        <f>INDEX(Country!$F$31:$G$76, MATCH(AI974, Country!$O$31:$O$76, 0), 1)</f>
        <v>4.0299999999999994</v>
      </c>
      <c r="B974" s="2" t="str">
        <f>INDEX(Country!$F$31:$G$76, MATCH(AI974, Country!$O$31:$O$76, 0), 2)</f>
        <v>Carbon offsets future potential</v>
      </c>
      <c r="C974" s="436" t="str">
        <f>INDEX(Country!$K$31:$K$76, MATCH(AI974, Country!$O$31:$O$76, 0), 1)</f>
        <v>Potential</v>
      </c>
      <c r="D974" s="4" t="str">
        <f t="shared" si="857"/>
        <v>Haiti</v>
      </c>
      <c r="E974" s="47"/>
      <c r="F974" s="47"/>
      <c r="G974" s="47"/>
      <c r="H974" s="47"/>
      <c r="I974" s="47"/>
      <c r="J974" s="47"/>
      <c r="K974" s="45"/>
      <c r="L974" s="457">
        <f t="shared" si="858"/>
        <v>16.486509492632514</v>
      </c>
      <c r="M974" s="458">
        <f t="shared" si="859"/>
        <v>16.486509492632514</v>
      </c>
      <c r="N974" s="458">
        <f t="shared" si="860"/>
        <v>16.486509492632514</v>
      </c>
      <c r="O974" s="458">
        <f t="shared" si="861"/>
        <v>16.486509492632514</v>
      </c>
      <c r="P974" s="458">
        <f t="shared" si="862"/>
        <v>16.486509492632514</v>
      </c>
      <c r="Q974" s="458">
        <f t="shared" si="863"/>
        <v>16.486509492632514</v>
      </c>
      <c r="R974" s="459">
        <f t="shared" si="864"/>
        <v>16.486509492632514</v>
      </c>
      <c r="S974" s="455"/>
      <c r="T974" s="456"/>
      <c r="U974" s="456"/>
      <c r="V974" s="456"/>
      <c r="W974" s="456"/>
      <c r="X974" s="456"/>
      <c r="Y974" s="821"/>
      <c r="Z974" s="78">
        <f t="shared" si="866"/>
        <v>0.65946037970530058</v>
      </c>
      <c r="AA974" s="78">
        <f t="shared" si="866"/>
        <v>0.65946037970530058</v>
      </c>
      <c r="AB974" s="78">
        <f t="shared" si="866"/>
        <v>0.65946037970530058</v>
      </c>
      <c r="AC974" s="78">
        <f t="shared" si="866"/>
        <v>0.65946037970530058</v>
      </c>
      <c r="AD974" s="78">
        <f t="shared" si="866"/>
        <v>0.65946037970530058</v>
      </c>
      <c r="AE974" s="78">
        <f t="shared" si="866"/>
        <v>0.65946037970530058</v>
      </c>
      <c r="AF974" s="78">
        <v>0.65946037970530058</v>
      </c>
      <c r="AG974" s="33" t="str">
        <f t="shared" si="742"/>
        <v>4.03 &gt; Haiti</v>
      </c>
      <c r="AH974" s="84">
        <f t="shared" si="747"/>
        <v>960</v>
      </c>
      <c r="AI974" s="84">
        <f t="shared" si="748"/>
        <v>36</v>
      </c>
      <c r="AJ974" s="877" t="s">
        <v>1526</v>
      </c>
    </row>
    <row r="975" spans="1:36" x14ac:dyDescent="0.2">
      <c r="A975" s="492">
        <f>INDEX(Country!$F$31:$G$76, MATCH(AI975, Country!$O$31:$O$76, 0), 1)</f>
        <v>4.0299999999999994</v>
      </c>
      <c r="B975" s="2" t="str">
        <f>INDEX(Country!$F$31:$G$76, MATCH(AI975, Country!$O$31:$O$76, 0), 2)</f>
        <v>Carbon offsets future potential</v>
      </c>
      <c r="C975" s="436" t="str">
        <f>INDEX(Country!$K$31:$K$76, MATCH(AI975, Country!$O$31:$O$76, 0), 1)</f>
        <v>Potential</v>
      </c>
      <c r="D975" s="4" t="str">
        <f t="shared" si="857"/>
        <v>Honduras</v>
      </c>
      <c r="E975" s="47"/>
      <c r="F975" s="47"/>
      <c r="G975" s="47"/>
      <c r="H975" s="47"/>
      <c r="I975" s="47"/>
      <c r="J975" s="47"/>
      <c r="K975" s="45"/>
      <c r="L975" s="457">
        <f t="shared" si="858"/>
        <v>37.284275547243482</v>
      </c>
      <c r="M975" s="458">
        <f t="shared" si="859"/>
        <v>37.284275547243482</v>
      </c>
      <c r="N975" s="458">
        <f t="shared" si="860"/>
        <v>37.284275547243482</v>
      </c>
      <c r="O975" s="458">
        <f t="shared" si="861"/>
        <v>37.284275547243482</v>
      </c>
      <c r="P975" s="458">
        <f t="shared" si="862"/>
        <v>37.284275547243482</v>
      </c>
      <c r="Q975" s="458">
        <f t="shared" si="863"/>
        <v>37.284275547243482</v>
      </c>
      <c r="R975" s="459">
        <f t="shared" si="864"/>
        <v>37.284275547243482</v>
      </c>
      <c r="S975" s="455"/>
      <c r="T975" s="456"/>
      <c r="U975" s="456"/>
      <c r="V975" s="456"/>
      <c r="W975" s="456"/>
      <c r="X975" s="456"/>
      <c r="Y975" s="821"/>
      <c r="Z975" s="78">
        <f t="shared" si="866"/>
        <v>1.4913710218897391</v>
      </c>
      <c r="AA975" s="78">
        <f t="shared" si="866"/>
        <v>1.4913710218897391</v>
      </c>
      <c r="AB975" s="78">
        <f t="shared" si="866"/>
        <v>1.4913710218897391</v>
      </c>
      <c r="AC975" s="78">
        <f t="shared" si="866"/>
        <v>1.4913710218897391</v>
      </c>
      <c r="AD975" s="78">
        <f t="shared" si="866"/>
        <v>1.4913710218897391</v>
      </c>
      <c r="AE975" s="78">
        <f t="shared" si="866"/>
        <v>1.4913710218897391</v>
      </c>
      <c r="AF975" s="78">
        <v>1.4913710218897391</v>
      </c>
      <c r="AG975" s="33" t="str">
        <f t="shared" ref="AG975:AG1038" si="867">A975&amp;" &gt; " &amp;D975</f>
        <v>4.03 &gt; Honduras</v>
      </c>
      <c r="AH975" s="84">
        <f t="shared" si="747"/>
        <v>961</v>
      </c>
      <c r="AI975" s="84">
        <f t="shared" si="748"/>
        <v>36</v>
      </c>
      <c r="AJ975" s="877" t="s">
        <v>1526</v>
      </c>
    </row>
    <row r="976" spans="1:36" x14ac:dyDescent="0.2">
      <c r="A976" s="492">
        <f>INDEX(Country!$F$31:$G$76, MATCH(AI976, Country!$O$31:$O$76, 0), 1)</f>
        <v>4.0299999999999994</v>
      </c>
      <c r="B976" s="2" t="str">
        <f>INDEX(Country!$F$31:$G$76, MATCH(AI976, Country!$O$31:$O$76, 0), 2)</f>
        <v>Carbon offsets future potential</v>
      </c>
      <c r="C976" s="436" t="str">
        <f>INDEX(Country!$K$31:$K$76, MATCH(AI976, Country!$O$31:$O$76, 0), 1)</f>
        <v>Potential</v>
      </c>
      <c r="D976" s="4" t="str">
        <f t="shared" si="857"/>
        <v>Jamaica</v>
      </c>
      <c r="E976" s="47"/>
      <c r="F976" s="47"/>
      <c r="G976" s="47"/>
      <c r="H976" s="47"/>
      <c r="I976" s="47"/>
      <c r="J976" s="47"/>
      <c r="K976" s="45"/>
      <c r="L976" s="457">
        <f t="shared" si="858"/>
        <v>12.291636144907224</v>
      </c>
      <c r="M976" s="458">
        <f t="shared" si="859"/>
        <v>12.291636144907224</v>
      </c>
      <c r="N976" s="458">
        <f t="shared" si="860"/>
        <v>12.291636144907224</v>
      </c>
      <c r="O976" s="458">
        <f t="shared" si="861"/>
        <v>12.291636144907224</v>
      </c>
      <c r="P976" s="458">
        <f t="shared" si="862"/>
        <v>12.291636144907224</v>
      </c>
      <c r="Q976" s="458">
        <f t="shared" si="863"/>
        <v>12.291636144907224</v>
      </c>
      <c r="R976" s="459">
        <f t="shared" si="864"/>
        <v>12.291636144907224</v>
      </c>
      <c r="S976" s="455"/>
      <c r="T976" s="456"/>
      <c r="U976" s="456"/>
      <c r="V976" s="456"/>
      <c r="W976" s="456"/>
      <c r="X976" s="456"/>
      <c r="Y976" s="821"/>
      <c r="Z976" s="78">
        <f t="shared" si="866"/>
        <v>0.49166544579628896</v>
      </c>
      <c r="AA976" s="78">
        <f t="shared" si="866"/>
        <v>0.49166544579628896</v>
      </c>
      <c r="AB976" s="78">
        <f t="shared" si="866"/>
        <v>0.49166544579628896</v>
      </c>
      <c r="AC976" s="78">
        <f t="shared" si="866"/>
        <v>0.49166544579628896</v>
      </c>
      <c r="AD976" s="78">
        <f t="shared" si="866"/>
        <v>0.49166544579628896</v>
      </c>
      <c r="AE976" s="78">
        <f t="shared" si="866"/>
        <v>0.49166544579628896</v>
      </c>
      <c r="AF976" s="78">
        <v>0.49166544579628896</v>
      </c>
      <c r="AG976" s="33" t="str">
        <f t="shared" si="867"/>
        <v>4.03 &gt; Jamaica</v>
      </c>
      <c r="AH976" s="84">
        <f t="shared" si="747"/>
        <v>962</v>
      </c>
      <c r="AI976" s="84">
        <f t="shared" si="748"/>
        <v>36</v>
      </c>
      <c r="AJ976" s="877" t="s">
        <v>1526</v>
      </c>
    </row>
    <row r="977" spans="1:36" x14ac:dyDescent="0.2">
      <c r="A977" s="492">
        <f>INDEX(Country!$F$31:$G$76, MATCH(AI977, Country!$O$31:$O$76, 0), 1)</f>
        <v>4.0299999999999994</v>
      </c>
      <c r="B977" s="2" t="str">
        <f>INDEX(Country!$F$31:$G$76, MATCH(AI977, Country!$O$31:$O$76, 0), 2)</f>
        <v>Carbon offsets future potential</v>
      </c>
      <c r="C977" s="436" t="str">
        <f>INDEX(Country!$K$31:$K$76, MATCH(AI977, Country!$O$31:$O$76, 0), 1)</f>
        <v>Potential</v>
      </c>
      <c r="D977" s="4" t="str">
        <f t="shared" si="857"/>
        <v>Mexico</v>
      </c>
      <c r="E977" s="47"/>
      <c r="F977" s="47"/>
      <c r="G977" s="47"/>
      <c r="H977" s="47"/>
      <c r="I977" s="47"/>
      <c r="J977" s="47"/>
      <c r="K977" s="45"/>
      <c r="L977" s="457">
        <f t="shared" si="858"/>
        <v>21.915425365296318</v>
      </c>
      <c r="M977" s="458">
        <f t="shared" si="859"/>
        <v>21.915425365296318</v>
      </c>
      <c r="N977" s="458">
        <f t="shared" si="860"/>
        <v>21.915425365296318</v>
      </c>
      <c r="O977" s="458">
        <f t="shared" si="861"/>
        <v>21.915425365296318</v>
      </c>
      <c r="P977" s="458">
        <f t="shared" si="862"/>
        <v>21.915425365296318</v>
      </c>
      <c r="Q977" s="458">
        <f t="shared" si="863"/>
        <v>21.915425365296318</v>
      </c>
      <c r="R977" s="459">
        <f t="shared" si="864"/>
        <v>21.915425365296318</v>
      </c>
      <c r="S977" s="455"/>
      <c r="T977" s="456"/>
      <c r="U977" s="456"/>
      <c r="V977" s="456"/>
      <c r="W977" s="456"/>
      <c r="X977" s="456"/>
      <c r="Y977" s="821"/>
      <c r="Z977" s="78">
        <f t="shared" si="866"/>
        <v>0.87661701461185271</v>
      </c>
      <c r="AA977" s="78">
        <f t="shared" si="866"/>
        <v>0.87661701461185271</v>
      </c>
      <c r="AB977" s="78">
        <f t="shared" si="866"/>
        <v>0.87661701461185271</v>
      </c>
      <c r="AC977" s="78">
        <f t="shared" si="866"/>
        <v>0.87661701461185271</v>
      </c>
      <c r="AD977" s="78">
        <f t="shared" si="866"/>
        <v>0.87661701461185271</v>
      </c>
      <c r="AE977" s="78">
        <f t="shared" si="866"/>
        <v>0.87661701461185271</v>
      </c>
      <c r="AF977" s="78">
        <v>0.87661701461185271</v>
      </c>
      <c r="AG977" s="33" t="str">
        <f t="shared" si="867"/>
        <v>4.03 &gt; Mexico</v>
      </c>
      <c r="AH977" s="84">
        <f t="shared" ref="AH977:AH1040" si="868">AH976+1</f>
        <v>963</v>
      </c>
      <c r="AI977" s="84">
        <f t="shared" ref="AI977:AI1040" si="869">ROUNDUP(AH977/COUNTA($D$15:$D$41),0)</f>
        <v>36</v>
      </c>
      <c r="AJ977" s="877" t="s">
        <v>1526</v>
      </c>
    </row>
    <row r="978" spans="1:36" x14ac:dyDescent="0.2">
      <c r="A978" s="492">
        <f>INDEX(Country!$F$31:$G$76, MATCH(AI978, Country!$O$31:$O$76, 0), 1)</f>
        <v>4.0299999999999994</v>
      </c>
      <c r="B978" s="2" t="str">
        <f>INDEX(Country!$F$31:$G$76, MATCH(AI978, Country!$O$31:$O$76, 0), 2)</f>
        <v>Carbon offsets future potential</v>
      </c>
      <c r="C978" s="436" t="str">
        <f>INDEX(Country!$K$31:$K$76, MATCH(AI978, Country!$O$31:$O$76, 0), 1)</f>
        <v>Potential</v>
      </c>
      <c r="D978" s="4" t="str">
        <f t="shared" si="857"/>
        <v>Nicaragua</v>
      </c>
      <c r="E978" s="47"/>
      <c r="F978" s="47"/>
      <c r="G978" s="47"/>
      <c r="H978" s="47"/>
      <c r="I978" s="47"/>
      <c r="J978" s="47"/>
      <c r="K978" s="45"/>
      <c r="L978" s="457">
        <f t="shared" si="858"/>
        <v>31.953739934132923</v>
      </c>
      <c r="M978" s="458">
        <f t="shared" si="859"/>
        <v>31.953739934132923</v>
      </c>
      <c r="N978" s="458">
        <f t="shared" si="860"/>
        <v>31.953739934132923</v>
      </c>
      <c r="O978" s="458">
        <f t="shared" si="861"/>
        <v>31.953739934132923</v>
      </c>
      <c r="P978" s="458">
        <f t="shared" si="862"/>
        <v>31.953739934132923</v>
      </c>
      <c r="Q978" s="458">
        <f t="shared" si="863"/>
        <v>31.953739934132923</v>
      </c>
      <c r="R978" s="459">
        <f t="shared" si="864"/>
        <v>31.953739934132923</v>
      </c>
      <c r="S978" s="455"/>
      <c r="T978" s="456"/>
      <c r="U978" s="456"/>
      <c r="V978" s="456"/>
      <c r="W978" s="456"/>
      <c r="X978" s="456"/>
      <c r="Y978" s="821"/>
      <c r="Z978" s="78">
        <f t="shared" si="866"/>
        <v>1.278149597365317</v>
      </c>
      <c r="AA978" s="78">
        <f t="shared" si="866"/>
        <v>1.278149597365317</v>
      </c>
      <c r="AB978" s="78">
        <f t="shared" si="866"/>
        <v>1.278149597365317</v>
      </c>
      <c r="AC978" s="78">
        <f t="shared" si="866"/>
        <v>1.278149597365317</v>
      </c>
      <c r="AD978" s="78">
        <f t="shared" si="866"/>
        <v>1.278149597365317</v>
      </c>
      <c r="AE978" s="78">
        <f t="shared" si="866"/>
        <v>1.278149597365317</v>
      </c>
      <c r="AF978" s="78">
        <v>1.278149597365317</v>
      </c>
      <c r="AG978" s="33" t="str">
        <f t="shared" si="867"/>
        <v>4.03 &gt; Nicaragua</v>
      </c>
      <c r="AH978" s="84">
        <f t="shared" si="868"/>
        <v>964</v>
      </c>
      <c r="AI978" s="84">
        <f t="shared" si="869"/>
        <v>36</v>
      </c>
      <c r="AJ978" s="877" t="s">
        <v>1526</v>
      </c>
    </row>
    <row r="979" spans="1:36" x14ac:dyDescent="0.2">
      <c r="A979" s="492">
        <f>INDEX(Country!$F$31:$G$76, MATCH(AI979, Country!$O$31:$O$76, 0), 1)</f>
        <v>4.0299999999999994</v>
      </c>
      <c r="B979" s="2" t="str">
        <f>INDEX(Country!$F$31:$G$76, MATCH(AI979, Country!$O$31:$O$76, 0), 2)</f>
        <v>Carbon offsets future potential</v>
      </c>
      <c r="C979" s="436" t="str">
        <f>INDEX(Country!$K$31:$K$76, MATCH(AI979, Country!$O$31:$O$76, 0), 1)</f>
        <v>Potential</v>
      </c>
      <c r="D979" s="4" t="str">
        <f t="shared" si="857"/>
        <v>Panama</v>
      </c>
      <c r="E979" s="47"/>
      <c r="F979" s="47"/>
      <c r="G979" s="47"/>
      <c r="H979" s="47"/>
      <c r="I979" s="47"/>
      <c r="J979" s="47"/>
      <c r="K979" s="45"/>
      <c r="L979" s="457">
        <f t="shared" si="858"/>
        <v>12.238800840163943</v>
      </c>
      <c r="M979" s="458">
        <f t="shared" si="859"/>
        <v>12.238800840163943</v>
      </c>
      <c r="N979" s="458">
        <f t="shared" si="860"/>
        <v>12.238800840163943</v>
      </c>
      <c r="O979" s="458">
        <f t="shared" si="861"/>
        <v>12.238800840163943</v>
      </c>
      <c r="P979" s="458">
        <f t="shared" si="862"/>
        <v>12.238800840163943</v>
      </c>
      <c r="Q979" s="458">
        <f t="shared" si="863"/>
        <v>12.238800840163943</v>
      </c>
      <c r="R979" s="459">
        <f t="shared" si="864"/>
        <v>12.238800840163943</v>
      </c>
      <c r="S979" s="455"/>
      <c r="T979" s="456"/>
      <c r="U979" s="456"/>
      <c r="V979" s="456"/>
      <c r="W979" s="456"/>
      <c r="X979" s="456"/>
      <c r="Y979" s="821"/>
      <c r="Z979" s="78">
        <f t="shared" si="866"/>
        <v>0.48955203360655775</v>
      </c>
      <c r="AA979" s="78">
        <f t="shared" si="866"/>
        <v>0.48955203360655775</v>
      </c>
      <c r="AB979" s="78">
        <f t="shared" si="866"/>
        <v>0.48955203360655775</v>
      </c>
      <c r="AC979" s="78">
        <f t="shared" si="866"/>
        <v>0.48955203360655775</v>
      </c>
      <c r="AD979" s="78">
        <f t="shared" si="866"/>
        <v>0.48955203360655775</v>
      </c>
      <c r="AE979" s="78">
        <f t="shared" si="866"/>
        <v>0.48955203360655775</v>
      </c>
      <c r="AF979" s="78">
        <v>0.48955203360655775</v>
      </c>
      <c r="AG979" s="33" t="str">
        <f t="shared" si="867"/>
        <v>4.03 &gt; Panama</v>
      </c>
      <c r="AH979" s="84">
        <f t="shared" si="868"/>
        <v>965</v>
      </c>
      <c r="AI979" s="84">
        <f t="shared" si="869"/>
        <v>36</v>
      </c>
      <c r="AJ979" s="877" t="s">
        <v>1526</v>
      </c>
    </row>
    <row r="980" spans="1:36" x14ac:dyDescent="0.2">
      <c r="A980" s="492">
        <f>INDEX(Country!$F$31:$G$76, MATCH(AI980, Country!$O$31:$O$76, 0), 1)</f>
        <v>4.0299999999999994</v>
      </c>
      <c r="B980" s="2" t="str">
        <f>INDEX(Country!$F$31:$G$76, MATCH(AI980, Country!$O$31:$O$76, 0), 2)</f>
        <v>Carbon offsets future potential</v>
      </c>
      <c r="C980" s="436" t="str">
        <f>INDEX(Country!$K$31:$K$76, MATCH(AI980, Country!$O$31:$O$76, 0), 1)</f>
        <v>Potential</v>
      </c>
      <c r="D980" s="4" t="str">
        <f t="shared" si="857"/>
        <v>Paraguay</v>
      </c>
      <c r="E980" s="47"/>
      <c r="F980" s="47"/>
      <c r="G980" s="47"/>
      <c r="H980" s="47"/>
      <c r="I980" s="47"/>
      <c r="J980" s="47"/>
      <c r="K980" s="45"/>
      <c r="L980" s="457">
        <f t="shared" si="858"/>
        <v>40.945735506989926</v>
      </c>
      <c r="M980" s="458">
        <f t="shared" si="859"/>
        <v>40.945735506989926</v>
      </c>
      <c r="N980" s="458">
        <f t="shared" si="860"/>
        <v>40.945735506989926</v>
      </c>
      <c r="O980" s="458">
        <f t="shared" si="861"/>
        <v>40.945735506989926</v>
      </c>
      <c r="P980" s="458">
        <f t="shared" si="862"/>
        <v>40.945735506989926</v>
      </c>
      <c r="Q980" s="458">
        <f t="shared" si="863"/>
        <v>40.945735506989926</v>
      </c>
      <c r="R980" s="459">
        <f t="shared" si="864"/>
        <v>40.945735506989926</v>
      </c>
      <c r="S980" s="455"/>
      <c r="T980" s="456"/>
      <c r="U980" s="456"/>
      <c r="V980" s="456"/>
      <c r="W980" s="456"/>
      <c r="X980" s="456"/>
      <c r="Y980" s="821"/>
      <c r="Z980" s="78">
        <f t="shared" si="866"/>
        <v>1.6378294202795971</v>
      </c>
      <c r="AA980" s="78">
        <f t="shared" si="866"/>
        <v>1.6378294202795971</v>
      </c>
      <c r="AB980" s="78">
        <f t="shared" si="866"/>
        <v>1.6378294202795971</v>
      </c>
      <c r="AC980" s="78">
        <f t="shared" si="866"/>
        <v>1.6378294202795971</v>
      </c>
      <c r="AD980" s="78">
        <f t="shared" si="866"/>
        <v>1.6378294202795971</v>
      </c>
      <c r="AE980" s="78">
        <f t="shared" si="866"/>
        <v>1.6378294202795971</v>
      </c>
      <c r="AF980" s="78">
        <v>1.6378294202795971</v>
      </c>
      <c r="AG980" s="33" t="str">
        <f t="shared" si="867"/>
        <v>4.03 &gt; Paraguay</v>
      </c>
      <c r="AH980" s="84">
        <f t="shared" si="868"/>
        <v>966</v>
      </c>
      <c r="AI980" s="84">
        <f t="shared" si="869"/>
        <v>36</v>
      </c>
      <c r="AJ980" s="877" t="s">
        <v>1526</v>
      </c>
    </row>
    <row r="981" spans="1:36" x14ac:dyDescent="0.2">
      <c r="A981" s="492">
        <f>INDEX(Country!$F$31:$G$76, MATCH(AI981, Country!$O$31:$O$76, 0), 1)</f>
        <v>4.0299999999999994</v>
      </c>
      <c r="B981" s="2" t="str">
        <f>INDEX(Country!$F$31:$G$76, MATCH(AI981, Country!$O$31:$O$76, 0), 2)</f>
        <v>Carbon offsets future potential</v>
      </c>
      <c r="C981" s="436" t="str">
        <f>INDEX(Country!$K$31:$K$76, MATCH(AI981, Country!$O$31:$O$76, 0), 1)</f>
        <v>Potential</v>
      </c>
      <c r="D981" s="4" t="str">
        <f t="shared" si="857"/>
        <v>Peru</v>
      </c>
      <c r="E981" s="47"/>
      <c r="F981" s="47"/>
      <c r="G981" s="47"/>
      <c r="H981" s="47"/>
      <c r="I981" s="47"/>
      <c r="J981" s="47"/>
      <c r="K981" s="45"/>
      <c r="L981" s="457">
        <f t="shared" si="858"/>
        <v>26.405590050969757</v>
      </c>
      <c r="M981" s="458">
        <f t="shared" si="859"/>
        <v>26.405590050969757</v>
      </c>
      <c r="N981" s="458">
        <f t="shared" si="860"/>
        <v>26.405590050969757</v>
      </c>
      <c r="O981" s="458">
        <f t="shared" si="861"/>
        <v>26.405590050969757</v>
      </c>
      <c r="P981" s="458">
        <f t="shared" si="862"/>
        <v>26.405590050969757</v>
      </c>
      <c r="Q981" s="458">
        <f t="shared" si="863"/>
        <v>26.405590050969757</v>
      </c>
      <c r="R981" s="459">
        <f t="shared" si="864"/>
        <v>26.405590050969757</v>
      </c>
      <c r="S981" s="455"/>
      <c r="T981" s="456"/>
      <c r="U981" s="456"/>
      <c r="V981" s="456"/>
      <c r="W981" s="456"/>
      <c r="X981" s="456"/>
      <c r="Y981" s="821"/>
      <c r="Z981" s="78">
        <f t="shared" si="866"/>
        <v>1.0562236020387903</v>
      </c>
      <c r="AA981" s="78">
        <f t="shared" si="866"/>
        <v>1.0562236020387903</v>
      </c>
      <c r="AB981" s="78">
        <f t="shared" si="866"/>
        <v>1.0562236020387903</v>
      </c>
      <c r="AC981" s="78">
        <f t="shared" si="866"/>
        <v>1.0562236020387903</v>
      </c>
      <c r="AD981" s="78">
        <f t="shared" si="866"/>
        <v>1.0562236020387903</v>
      </c>
      <c r="AE981" s="78">
        <f t="shared" si="866"/>
        <v>1.0562236020387903</v>
      </c>
      <c r="AF981" s="78">
        <v>1.0562236020387903</v>
      </c>
      <c r="AG981" s="33" t="str">
        <f t="shared" si="867"/>
        <v>4.03 &gt; Peru</v>
      </c>
      <c r="AH981" s="84">
        <f t="shared" si="868"/>
        <v>967</v>
      </c>
      <c r="AI981" s="84">
        <f t="shared" si="869"/>
        <v>36</v>
      </c>
      <c r="AJ981" s="877" t="s">
        <v>1526</v>
      </c>
    </row>
    <row r="982" spans="1:36" x14ac:dyDescent="0.2">
      <c r="A982" s="492">
        <f>INDEX(Country!$F$31:$G$76, MATCH(AI982, Country!$O$31:$O$76, 0), 1)</f>
        <v>4.0299999999999994</v>
      </c>
      <c r="B982" s="2" t="str">
        <f>INDEX(Country!$F$31:$G$76, MATCH(AI982, Country!$O$31:$O$76, 0), 2)</f>
        <v>Carbon offsets future potential</v>
      </c>
      <c r="C982" s="436" t="str">
        <f>INDEX(Country!$K$31:$K$76, MATCH(AI982, Country!$O$31:$O$76, 0), 1)</f>
        <v>Potential</v>
      </c>
      <c r="D982" s="4" t="str">
        <f t="shared" si="857"/>
        <v>Suriname</v>
      </c>
      <c r="E982" s="47"/>
      <c r="F982" s="47"/>
      <c r="G982" s="47"/>
      <c r="H982" s="47"/>
      <c r="I982" s="47"/>
      <c r="J982" s="47"/>
      <c r="K982" s="45"/>
      <c r="L982" s="457">
        <f t="shared" si="858"/>
        <v>16.553488652935151</v>
      </c>
      <c r="M982" s="458">
        <f t="shared" si="859"/>
        <v>16.553488652935151</v>
      </c>
      <c r="N982" s="458">
        <f t="shared" si="860"/>
        <v>16.553488652935151</v>
      </c>
      <c r="O982" s="458">
        <f t="shared" si="861"/>
        <v>16.553488652935151</v>
      </c>
      <c r="P982" s="458">
        <f t="shared" si="862"/>
        <v>16.553488652935151</v>
      </c>
      <c r="Q982" s="458">
        <f t="shared" si="863"/>
        <v>16.553488652935151</v>
      </c>
      <c r="R982" s="459">
        <f t="shared" si="864"/>
        <v>16.553488652935151</v>
      </c>
      <c r="S982" s="455"/>
      <c r="T982" s="456"/>
      <c r="U982" s="456"/>
      <c r="V982" s="456"/>
      <c r="W982" s="456"/>
      <c r="X982" s="456"/>
      <c r="Y982" s="821"/>
      <c r="Z982" s="78">
        <f t="shared" si="866"/>
        <v>0.662139546117406</v>
      </c>
      <c r="AA982" s="78">
        <f t="shared" si="866"/>
        <v>0.662139546117406</v>
      </c>
      <c r="AB982" s="78">
        <f t="shared" si="866"/>
        <v>0.662139546117406</v>
      </c>
      <c r="AC982" s="78">
        <f t="shared" si="866"/>
        <v>0.662139546117406</v>
      </c>
      <c r="AD982" s="78">
        <f t="shared" si="866"/>
        <v>0.662139546117406</v>
      </c>
      <c r="AE982" s="78">
        <f t="shared" si="866"/>
        <v>0.662139546117406</v>
      </c>
      <c r="AF982" s="78">
        <v>0.662139546117406</v>
      </c>
      <c r="AG982" s="33" t="str">
        <f t="shared" si="867"/>
        <v>4.03 &gt; Suriname</v>
      </c>
      <c r="AH982" s="84">
        <f t="shared" si="868"/>
        <v>968</v>
      </c>
      <c r="AI982" s="84">
        <f t="shared" si="869"/>
        <v>36</v>
      </c>
      <c r="AJ982" s="877" t="s">
        <v>1526</v>
      </c>
    </row>
    <row r="983" spans="1:36" x14ac:dyDescent="0.2">
      <c r="A983" s="492">
        <f>INDEX(Country!$F$31:$G$76, MATCH(AI983, Country!$O$31:$O$76, 0), 1)</f>
        <v>4.0299999999999994</v>
      </c>
      <c r="B983" s="2" t="str">
        <f>INDEX(Country!$F$31:$G$76, MATCH(AI983, Country!$O$31:$O$76, 0), 2)</f>
        <v>Carbon offsets future potential</v>
      </c>
      <c r="C983" s="436" t="str">
        <f>INDEX(Country!$K$31:$K$76, MATCH(AI983, Country!$O$31:$O$76, 0), 1)</f>
        <v>Potential</v>
      </c>
      <c r="D983" s="4" t="str">
        <f t="shared" si="857"/>
        <v>Trinidad &amp; Tobago</v>
      </c>
      <c r="E983" s="47"/>
      <c r="F983" s="47"/>
      <c r="G983" s="47"/>
      <c r="H983" s="47"/>
      <c r="I983" s="47"/>
      <c r="J983" s="47"/>
      <c r="K983" s="45"/>
      <c r="L983" s="457">
        <f t="shared" si="858"/>
        <v>52.149176733312075</v>
      </c>
      <c r="M983" s="458">
        <f t="shared" si="859"/>
        <v>52.149176733312075</v>
      </c>
      <c r="N983" s="458">
        <f t="shared" si="860"/>
        <v>52.149176733312075</v>
      </c>
      <c r="O983" s="458">
        <f t="shared" si="861"/>
        <v>52.149176733312075</v>
      </c>
      <c r="P983" s="458">
        <f t="shared" si="862"/>
        <v>52.149176733312075</v>
      </c>
      <c r="Q983" s="458">
        <f t="shared" si="863"/>
        <v>52.149176733312075</v>
      </c>
      <c r="R983" s="459">
        <f t="shared" si="864"/>
        <v>52.149176733312075</v>
      </c>
      <c r="S983" s="455"/>
      <c r="T983" s="456"/>
      <c r="U983" s="456"/>
      <c r="V983" s="456"/>
      <c r="W983" s="456"/>
      <c r="X983" s="456"/>
      <c r="Y983" s="821"/>
      <c r="Z983" s="78">
        <f t="shared" si="866"/>
        <v>2.085967069332483</v>
      </c>
      <c r="AA983" s="78">
        <f t="shared" si="866"/>
        <v>2.085967069332483</v>
      </c>
      <c r="AB983" s="78">
        <f t="shared" si="866"/>
        <v>2.085967069332483</v>
      </c>
      <c r="AC983" s="78">
        <f t="shared" si="866"/>
        <v>2.085967069332483</v>
      </c>
      <c r="AD983" s="78">
        <f t="shared" si="866"/>
        <v>2.085967069332483</v>
      </c>
      <c r="AE983" s="78">
        <f t="shared" si="866"/>
        <v>2.085967069332483</v>
      </c>
      <c r="AF983" s="78">
        <v>2.085967069332483</v>
      </c>
      <c r="AG983" s="33" t="str">
        <f t="shared" si="867"/>
        <v>4.03 &gt; Trinidad &amp; Tobago</v>
      </c>
      <c r="AH983" s="84">
        <f t="shared" si="868"/>
        <v>969</v>
      </c>
      <c r="AI983" s="84">
        <f t="shared" si="869"/>
        <v>36</v>
      </c>
      <c r="AJ983" s="877" t="s">
        <v>1526</v>
      </c>
    </row>
    <row r="984" spans="1:36" x14ac:dyDescent="0.2">
      <c r="A984" s="492">
        <f>INDEX(Country!$F$31:$G$76, MATCH(AI984, Country!$O$31:$O$76, 0), 1)</f>
        <v>4.0299999999999994</v>
      </c>
      <c r="B984" s="2" t="str">
        <f>INDEX(Country!$F$31:$G$76, MATCH(AI984, Country!$O$31:$O$76, 0), 2)</f>
        <v>Carbon offsets future potential</v>
      </c>
      <c r="C984" s="436" t="str">
        <f>INDEX(Country!$K$31:$K$76, MATCH(AI984, Country!$O$31:$O$76, 0), 1)</f>
        <v>Potential</v>
      </c>
      <c r="D984" s="4" t="str">
        <f t="shared" si="857"/>
        <v>Uruguay</v>
      </c>
      <c r="E984" s="47"/>
      <c r="F984" s="47"/>
      <c r="G984" s="47"/>
      <c r="H984" s="47"/>
      <c r="I984" s="47"/>
      <c r="J984" s="47"/>
      <c r="K984" s="45"/>
      <c r="L984" s="457">
        <f t="shared" si="858"/>
        <v>50.359065385168769</v>
      </c>
      <c r="M984" s="458">
        <f t="shared" si="859"/>
        <v>50.359065385168769</v>
      </c>
      <c r="N984" s="458">
        <f t="shared" si="860"/>
        <v>50.359065385168769</v>
      </c>
      <c r="O984" s="458">
        <f t="shared" si="861"/>
        <v>50.359065385168769</v>
      </c>
      <c r="P984" s="458">
        <f t="shared" si="862"/>
        <v>50.359065385168769</v>
      </c>
      <c r="Q984" s="458">
        <f t="shared" si="863"/>
        <v>50.359065385168769</v>
      </c>
      <c r="R984" s="459">
        <f t="shared" si="864"/>
        <v>50.359065385168769</v>
      </c>
      <c r="S984" s="455"/>
      <c r="T984" s="456"/>
      <c r="U984" s="456"/>
      <c r="V984" s="456"/>
      <c r="W984" s="456"/>
      <c r="X984" s="456"/>
      <c r="Y984" s="821"/>
      <c r="Z984" s="78">
        <f t="shared" si="866"/>
        <v>2.0143626154067507</v>
      </c>
      <c r="AA984" s="78">
        <f t="shared" si="866"/>
        <v>2.0143626154067507</v>
      </c>
      <c r="AB984" s="78">
        <f t="shared" si="866"/>
        <v>2.0143626154067507</v>
      </c>
      <c r="AC984" s="78">
        <f t="shared" si="866"/>
        <v>2.0143626154067507</v>
      </c>
      <c r="AD984" s="78">
        <f t="shared" si="866"/>
        <v>2.0143626154067507</v>
      </c>
      <c r="AE984" s="78">
        <f t="shared" si="866"/>
        <v>2.0143626154067507</v>
      </c>
      <c r="AF984" s="78">
        <v>2.0143626154067507</v>
      </c>
      <c r="AG984" s="33" t="str">
        <f t="shared" si="867"/>
        <v>4.03 &gt; Uruguay</v>
      </c>
      <c r="AH984" s="84">
        <f t="shared" si="868"/>
        <v>970</v>
      </c>
      <c r="AI984" s="84">
        <f t="shared" si="869"/>
        <v>36</v>
      </c>
      <c r="AJ984" s="877" t="s">
        <v>1526</v>
      </c>
    </row>
    <row r="985" spans="1:36" x14ac:dyDescent="0.2">
      <c r="A985" s="491">
        <f>INDEX(Country!$F$31:$G$76, MATCH(AI985, Country!$O$31:$O$76, 0), 1)</f>
        <v>4.0299999999999994</v>
      </c>
      <c r="B985" s="386" t="str">
        <f>INDEX(Country!$F$31:$G$76, MATCH(AI985, Country!$O$31:$O$76, 0), 2)</f>
        <v>Carbon offsets future potential</v>
      </c>
      <c r="C985" s="437" t="str">
        <f>INDEX(Country!$K$31:$K$76, MATCH(AI985, Country!$O$31:$O$76, 0), 1)</f>
        <v>Potential</v>
      </c>
      <c r="D985" s="86" t="str">
        <f t="shared" si="857"/>
        <v>Venezuela</v>
      </c>
      <c r="E985" s="363"/>
      <c r="F985" s="363"/>
      <c r="G985" s="363"/>
      <c r="H985" s="363"/>
      <c r="I985" s="363"/>
      <c r="J985" s="363"/>
      <c r="K985" s="400"/>
      <c r="L985" s="460">
        <f t="shared" si="858"/>
        <v>24.310465759898726</v>
      </c>
      <c r="M985" s="461">
        <f t="shared" si="859"/>
        <v>24.310465759898726</v>
      </c>
      <c r="N985" s="461">
        <f t="shared" si="860"/>
        <v>24.310465759898726</v>
      </c>
      <c r="O985" s="461">
        <f t="shared" si="861"/>
        <v>24.310465759898726</v>
      </c>
      <c r="P985" s="461">
        <f t="shared" si="862"/>
        <v>24.310465759898726</v>
      </c>
      <c r="Q985" s="461">
        <f t="shared" si="863"/>
        <v>24.310465759898726</v>
      </c>
      <c r="R985" s="462">
        <f t="shared" si="864"/>
        <v>24.310465759898726</v>
      </c>
      <c r="S985" s="455"/>
      <c r="T985" s="456"/>
      <c r="U985" s="456"/>
      <c r="V985" s="456"/>
      <c r="W985" s="456"/>
      <c r="X985" s="456"/>
      <c r="Y985" s="822"/>
      <c r="Z985" s="78">
        <f t="shared" si="866"/>
        <v>0.972418630395949</v>
      </c>
      <c r="AA985" s="78">
        <f t="shared" si="866"/>
        <v>0.972418630395949</v>
      </c>
      <c r="AB985" s="78">
        <f t="shared" si="866"/>
        <v>0.972418630395949</v>
      </c>
      <c r="AC985" s="78">
        <f t="shared" si="866"/>
        <v>0.972418630395949</v>
      </c>
      <c r="AD985" s="78">
        <f t="shared" si="866"/>
        <v>0.972418630395949</v>
      </c>
      <c r="AE985" s="78">
        <f t="shared" si="866"/>
        <v>0.972418630395949</v>
      </c>
      <c r="AF985" s="78">
        <v>0.972418630395949</v>
      </c>
      <c r="AG985" s="90" t="str">
        <f t="shared" si="867"/>
        <v>4.03 &gt; Venezuela</v>
      </c>
      <c r="AH985" s="392">
        <f t="shared" si="868"/>
        <v>971</v>
      </c>
      <c r="AI985" s="392">
        <f t="shared" si="869"/>
        <v>36</v>
      </c>
      <c r="AJ985" s="878" t="s">
        <v>1526</v>
      </c>
    </row>
    <row r="986" spans="1:36" x14ac:dyDescent="0.2">
      <c r="A986" s="489">
        <f>INDEX(Country!$F$31:$G$76, MATCH(AI986, Country!$O$31:$O$76, 0), 1)</f>
        <v>4.0299999999999994</v>
      </c>
      <c r="B986" s="387" t="str">
        <f>INDEX(Country!$F$31:$G$76, MATCH(AI986, Country!$O$31:$O$76, 0), 2)</f>
        <v>Carbon offsets future potential</v>
      </c>
      <c r="C986" s="439" t="str">
        <f>INDEX(Country!$K$31:$K$76, MATCH(AI986, Country!$O$31:$O$76, 0), 1)</f>
        <v>Potential</v>
      </c>
      <c r="D986" s="385" t="str">
        <f t="shared" si="857"/>
        <v>Benchmark</v>
      </c>
      <c r="E986" s="362">
        <f>IFERROR(MAX(E960:E985), 0)</f>
        <v>0</v>
      </c>
      <c r="F986" s="362">
        <f>IFERROR(MAX(F960:F985), 0)</f>
        <v>0</v>
      </c>
      <c r="G986" s="362">
        <f>IFERROR(MAX(G960:G985), 0)</f>
        <v>0</v>
      </c>
      <c r="H986" s="362">
        <f>IFERROR(MAX(H960:H985), 0)</f>
        <v>0</v>
      </c>
      <c r="I986" s="362">
        <f>IFERROR(MAX(I960:I985), 0)</f>
        <v>0</v>
      </c>
      <c r="J986" s="362">
        <f t="shared" ref="J986:K986" si="870">IFERROR(MAX(J960:J985), 0)</f>
        <v>0</v>
      </c>
      <c r="K986" s="584">
        <f t="shared" si="870"/>
        <v>0</v>
      </c>
      <c r="L986" s="585">
        <f t="shared" si="858"/>
        <v>100</v>
      </c>
      <c r="M986" s="463">
        <f t="shared" si="859"/>
        <v>100</v>
      </c>
      <c r="N986" s="463">
        <f t="shared" si="860"/>
        <v>100</v>
      </c>
      <c r="O986" s="463">
        <f t="shared" si="861"/>
        <v>100</v>
      </c>
      <c r="P986" s="463">
        <f t="shared" si="862"/>
        <v>100</v>
      </c>
      <c r="Q986" s="463">
        <f t="shared" si="863"/>
        <v>100</v>
      </c>
      <c r="R986" s="586">
        <f t="shared" si="864"/>
        <v>100</v>
      </c>
      <c r="S986" s="393"/>
      <c r="T986" s="394"/>
      <c r="U986" s="376"/>
      <c r="V986" s="376"/>
      <c r="W986" s="376"/>
      <c r="X986" s="376"/>
      <c r="Y986" s="376"/>
      <c r="Z986" s="423">
        <v>4</v>
      </c>
      <c r="AA986" s="365">
        <v>4</v>
      </c>
      <c r="AB986" s="365">
        <v>4</v>
      </c>
      <c r="AC986" s="365">
        <v>4</v>
      </c>
      <c r="AD986" s="365">
        <v>4</v>
      </c>
      <c r="AE986" s="365">
        <v>4</v>
      </c>
      <c r="AF986" s="395">
        <v>4</v>
      </c>
      <c r="AG986" s="406" t="str">
        <f t="shared" si="867"/>
        <v>4.03 &gt; Benchmark</v>
      </c>
      <c r="AH986" s="407">
        <f t="shared" si="868"/>
        <v>972</v>
      </c>
      <c r="AI986" s="407">
        <f t="shared" si="869"/>
        <v>36</v>
      </c>
      <c r="AJ986" s="880" t="s">
        <v>1526</v>
      </c>
    </row>
    <row r="987" spans="1:36" x14ac:dyDescent="0.2">
      <c r="A987" s="587">
        <f>INDEX(Country!$F$31:$G$76, MATCH(AI987, Country!$O$31:$O$76, 0), 1)</f>
        <v>4.0399999999999991</v>
      </c>
      <c r="B987" s="588" t="str">
        <f>INDEX(Country!$F$31:$G$76, MATCH(AI987, Country!$O$31:$O$76, 0), 2)</f>
        <v>GHG emissions reduction target</v>
      </c>
      <c r="C987" s="589" t="str">
        <f>INDEX(Country!$K$31:$K$76, MATCH(AI987, Country!$O$31:$O$76, 0), 1)</f>
        <v>Target</v>
      </c>
      <c r="D987" s="590" t="str">
        <f t="shared" ref="D987:D1050" si="871">D960</f>
        <v>Argentina</v>
      </c>
      <c r="E987" s="614"/>
      <c r="F987" s="614"/>
      <c r="G987" s="614"/>
      <c r="H987" s="47"/>
      <c r="I987" s="47"/>
      <c r="J987" s="47"/>
      <c r="K987" s="615">
        <v>0</v>
      </c>
      <c r="L987" s="580">
        <f t="shared" ref="L987:L1013" si="872">(Z987/5)*dbl_BenchmarkMax</f>
        <v>0</v>
      </c>
      <c r="M987" s="581">
        <f t="shared" ref="M987:M1013" si="873">(AA987/5)*dbl_BenchmarkMax</f>
        <v>0</v>
      </c>
      <c r="N987" s="581">
        <f t="shared" ref="N987:N1013" si="874">(AB987/5)*dbl_BenchmarkMax</f>
        <v>0</v>
      </c>
      <c r="O987" s="581">
        <f t="shared" ref="O987:O1013" si="875">(AC987/5)*dbl_BenchmarkMax</f>
        <v>0</v>
      </c>
      <c r="P987" s="581">
        <f t="shared" ref="P987:P1013" si="876">(AD987/5)*dbl_BenchmarkMax</f>
        <v>0</v>
      </c>
      <c r="Q987" s="581">
        <f t="shared" ref="Q987:Q1013" si="877">(AE987/5)*dbl_BenchmarkMax</f>
        <v>0</v>
      </c>
      <c r="R987" s="582">
        <f t="shared" ref="R987:R1013" si="878">(AF987/5)*dbl_BenchmarkMax</f>
        <v>0</v>
      </c>
      <c r="S987" s="455"/>
      <c r="T987" s="456"/>
      <c r="U987" s="456"/>
      <c r="V987" s="456"/>
      <c r="W987" s="456"/>
      <c r="X987" s="456"/>
      <c r="Y987" s="456"/>
      <c r="Z987" s="472">
        <f>AA987</f>
        <v>0</v>
      </c>
      <c r="AA987" s="378">
        <f t="shared" ref="AA987:AE987" si="879">AB987</f>
        <v>0</v>
      </c>
      <c r="AB987" s="378">
        <f t="shared" si="879"/>
        <v>0</v>
      </c>
      <c r="AC987" s="78">
        <f t="shared" si="879"/>
        <v>0</v>
      </c>
      <c r="AD987" s="78">
        <f t="shared" si="879"/>
        <v>0</v>
      </c>
      <c r="AE987" s="78">
        <f t="shared" si="879"/>
        <v>0</v>
      </c>
      <c r="AF987" s="388">
        <v>0</v>
      </c>
      <c r="AG987" s="396" t="str">
        <f t="shared" si="867"/>
        <v>4.04 &gt; Argentina</v>
      </c>
      <c r="AH987" s="397">
        <f t="shared" si="868"/>
        <v>973</v>
      </c>
      <c r="AI987" s="397">
        <f t="shared" si="869"/>
        <v>37</v>
      </c>
      <c r="AJ987" s="879" t="s">
        <v>1526</v>
      </c>
    </row>
    <row r="988" spans="1:36" x14ac:dyDescent="0.2">
      <c r="A988" s="492">
        <f>INDEX(Country!$F$31:$G$76, MATCH(AI988, Country!$O$31:$O$76, 0), 1)</f>
        <v>4.0399999999999991</v>
      </c>
      <c r="B988" s="2" t="str">
        <f>INDEX(Country!$F$31:$G$76, MATCH(AI988, Country!$O$31:$O$76, 0), 2)</f>
        <v>GHG emissions reduction target</v>
      </c>
      <c r="C988" s="436" t="str">
        <f>INDEX(Country!$K$31:$K$76, MATCH(AI988, Country!$O$31:$O$76, 0), 1)</f>
        <v>Target</v>
      </c>
      <c r="D988" s="4" t="str">
        <f t="shared" si="871"/>
        <v>Bahamas</v>
      </c>
      <c r="E988" s="47"/>
      <c r="F988" s="47"/>
      <c r="G988" s="47"/>
      <c r="H988" s="47"/>
      <c r="I988" s="47"/>
      <c r="J988" s="47"/>
      <c r="K988" s="45">
        <v>0</v>
      </c>
      <c r="L988" s="457">
        <f t="shared" si="872"/>
        <v>0</v>
      </c>
      <c r="M988" s="458">
        <f t="shared" si="873"/>
        <v>0</v>
      </c>
      <c r="N988" s="458">
        <f t="shared" si="874"/>
        <v>0</v>
      </c>
      <c r="O988" s="458">
        <f t="shared" si="875"/>
        <v>0</v>
      </c>
      <c r="P988" s="458">
        <f t="shared" si="876"/>
        <v>0</v>
      </c>
      <c r="Q988" s="458">
        <f t="shared" si="877"/>
        <v>0</v>
      </c>
      <c r="R988" s="459">
        <f t="shared" si="878"/>
        <v>0</v>
      </c>
      <c r="S988" s="455"/>
      <c r="T988" s="456"/>
      <c r="U988" s="456"/>
      <c r="V988" s="456"/>
      <c r="W988" s="456"/>
      <c r="X988" s="456"/>
      <c r="Y988" s="456"/>
      <c r="Z988" s="79">
        <f t="shared" ref="Z988:AE988" si="880">AA988</f>
        <v>0</v>
      </c>
      <c r="AA988" s="78">
        <f t="shared" si="880"/>
        <v>0</v>
      </c>
      <c r="AB988" s="78">
        <f t="shared" si="880"/>
        <v>0</v>
      </c>
      <c r="AC988" s="78">
        <f t="shared" si="880"/>
        <v>0</v>
      </c>
      <c r="AD988" s="78">
        <f t="shared" si="880"/>
        <v>0</v>
      </c>
      <c r="AE988" s="78">
        <f t="shared" si="880"/>
        <v>0</v>
      </c>
      <c r="AF988" s="6">
        <v>0</v>
      </c>
      <c r="AG988" s="33" t="str">
        <f t="shared" si="867"/>
        <v>4.04 &gt; Bahamas</v>
      </c>
      <c r="AH988" s="84">
        <f t="shared" si="868"/>
        <v>974</v>
      </c>
      <c r="AI988" s="84">
        <f t="shared" si="869"/>
        <v>37</v>
      </c>
      <c r="AJ988" s="877" t="s">
        <v>1526</v>
      </c>
    </row>
    <row r="989" spans="1:36" x14ac:dyDescent="0.2">
      <c r="A989" s="492">
        <f>INDEX(Country!$F$31:$G$76, MATCH(AI989, Country!$O$31:$O$76, 0), 1)</f>
        <v>4.0399999999999991</v>
      </c>
      <c r="B989" s="2" t="str">
        <f>INDEX(Country!$F$31:$G$76, MATCH(AI989, Country!$O$31:$O$76, 0), 2)</f>
        <v>GHG emissions reduction target</v>
      </c>
      <c r="C989" s="436" t="str">
        <f>INDEX(Country!$K$31:$K$76, MATCH(AI989, Country!$O$31:$O$76, 0), 1)</f>
        <v>Target</v>
      </c>
      <c r="D989" s="4" t="str">
        <f t="shared" si="871"/>
        <v>Barbados</v>
      </c>
      <c r="E989" s="47"/>
      <c r="F989" s="47"/>
      <c r="G989" s="47"/>
      <c r="H989" s="47"/>
      <c r="I989" s="47"/>
      <c r="J989" s="47"/>
      <c r="K989" s="45">
        <v>0</v>
      </c>
      <c r="L989" s="457">
        <f t="shared" si="872"/>
        <v>0</v>
      </c>
      <c r="M989" s="458">
        <f t="shared" si="873"/>
        <v>0</v>
      </c>
      <c r="N989" s="458">
        <f t="shared" si="874"/>
        <v>0</v>
      </c>
      <c r="O989" s="458">
        <f t="shared" si="875"/>
        <v>0</v>
      </c>
      <c r="P989" s="458">
        <f t="shared" si="876"/>
        <v>0</v>
      </c>
      <c r="Q989" s="458">
        <f t="shared" si="877"/>
        <v>0</v>
      </c>
      <c r="R989" s="459">
        <f t="shared" si="878"/>
        <v>0</v>
      </c>
      <c r="S989" s="455"/>
      <c r="T989" s="456"/>
      <c r="U989" s="456"/>
      <c r="V989" s="456"/>
      <c r="W989" s="456"/>
      <c r="X989" s="456"/>
      <c r="Y989" s="456"/>
      <c r="Z989" s="79">
        <f t="shared" ref="Z989:AE989" si="881">AA989</f>
        <v>0</v>
      </c>
      <c r="AA989" s="78">
        <f t="shared" si="881"/>
        <v>0</v>
      </c>
      <c r="AB989" s="78">
        <f t="shared" si="881"/>
        <v>0</v>
      </c>
      <c r="AC989" s="78">
        <f t="shared" si="881"/>
        <v>0</v>
      </c>
      <c r="AD989" s="78">
        <f t="shared" si="881"/>
        <v>0</v>
      </c>
      <c r="AE989" s="78">
        <f t="shared" si="881"/>
        <v>0</v>
      </c>
      <c r="AF989" s="6">
        <v>0</v>
      </c>
      <c r="AG989" s="33" t="str">
        <f t="shared" si="867"/>
        <v>4.04 &gt; Barbados</v>
      </c>
      <c r="AH989" s="84">
        <f t="shared" si="868"/>
        <v>975</v>
      </c>
      <c r="AI989" s="84">
        <f t="shared" si="869"/>
        <v>37</v>
      </c>
      <c r="AJ989" s="877" t="s">
        <v>1526</v>
      </c>
    </row>
    <row r="990" spans="1:36" x14ac:dyDescent="0.2">
      <c r="A990" s="492">
        <f>INDEX(Country!$F$31:$G$76, MATCH(AI990, Country!$O$31:$O$76, 0), 1)</f>
        <v>4.0399999999999991</v>
      </c>
      <c r="B990" s="2" t="str">
        <f>INDEX(Country!$F$31:$G$76, MATCH(AI990, Country!$O$31:$O$76, 0), 2)</f>
        <v>GHG emissions reduction target</v>
      </c>
      <c r="C990" s="436" t="str">
        <f>INDEX(Country!$K$31:$K$76, MATCH(AI990, Country!$O$31:$O$76, 0), 1)</f>
        <v>Target</v>
      </c>
      <c r="D990" s="4" t="str">
        <f t="shared" si="871"/>
        <v>Belize</v>
      </c>
      <c r="E990" s="47"/>
      <c r="F990" s="47"/>
      <c r="G990" s="47"/>
      <c r="H990" s="47"/>
      <c r="I990" s="47"/>
      <c r="J990" s="47"/>
      <c r="K990" s="45">
        <v>0</v>
      </c>
      <c r="L990" s="457">
        <f t="shared" si="872"/>
        <v>0</v>
      </c>
      <c r="M990" s="458">
        <f t="shared" si="873"/>
        <v>0</v>
      </c>
      <c r="N990" s="458">
        <f t="shared" si="874"/>
        <v>0</v>
      </c>
      <c r="O990" s="458">
        <f t="shared" si="875"/>
        <v>0</v>
      </c>
      <c r="P990" s="458">
        <f t="shared" si="876"/>
        <v>0</v>
      </c>
      <c r="Q990" s="458">
        <f t="shared" si="877"/>
        <v>0</v>
      </c>
      <c r="R990" s="459">
        <f t="shared" si="878"/>
        <v>0</v>
      </c>
      <c r="S990" s="455"/>
      <c r="T990" s="456"/>
      <c r="U990" s="456"/>
      <c r="V990" s="456"/>
      <c r="W990" s="456"/>
      <c r="X990" s="456"/>
      <c r="Y990" s="456"/>
      <c r="Z990" s="79">
        <f t="shared" ref="Z990:AE990" si="882">AA990</f>
        <v>0</v>
      </c>
      <c r="AA990" s="78">
        <f t="shared" si="882"/>
        <v>0</v>
      </c>
      <c r="AB990" s="78">
        <f t="shared" si="882"/>
        <v>0</v>
      </c>
      <c r="AC990" s="78">
        <f t="shared" si="882"/>
        <v>0</v>
      </c>
      <c r="AD990" s="78">
        <f t="shared" si="882"/>
        <v>0</v>
      </c>
      <c r="AE990" s="78">
        <f t="shared" si="882"/>
        <v>0</v>
      </c>
      <c r="AF990" s="6">
        <v>0</v>
      </c>
      <c r="AG990" s="33" t="str">
        <f t="shared" si="867"/>
        <v>4.04 &gt; Belize</v>
      </c>
      <c r="AH990" s="84">
        <f t="shared" si="868"/>
        <v>976</v>
      </c>
      <c r="AI990" s="84">
        <f t="shared" si="869"/>
        <v>37</v>
      </c>
      <c r="AJ990" s="877" t="s">
        <v>1526</v>
      </c>
    </row>
    <row r="991" spans="1:36" x14ac:dyDescent="0.2">
      <c r="A991" s="492">
        <f>INDEX(Country!$F$31:$G$76, MATCH(AI991, Country!$O$31:$O$76, 0), 1)</f>
        <v>4.0399999999999991</v>
      </c>
      <c r="B991" s="2" t="str">
        <f>INDEX(Country!$F$31:$G$76, MATCH(AI991, Country!$O$31:$O$76, 0), 2)</f>
        <v>GHG emissions reduction target</v>
      </c>
      <c r="C991" s="436" t="str">
        <f>INDEX(Country!$K$31:$K$76, MATCH(AI991, Country!$O$31:$O$76, 0), 1)</f>
        <v>Target</v>
      </c>
      <c r="D991" s="4" t="str">
        <f t="shared" si="871"/>
        <v>Bolivia</v>
      </c>
      <c r="E991" s="47"/>
      <c r="F991" s="47"/>
      <c r="G991" s="47"/>
      <c r="H991" s="47"/>
      <c r="I991" s="47"/>
      <c r="J991" s="47"/>
      <c r="K991" s="45">
        <v>0</v>
      </c>
      <c r="L991" s="457">
        <f t="shared" si="872"/>
        <v>0</v>
      </c>
      <c r="M991" s="458">
        <f t="shared" si="873"/>
        <v>0</v>
      </c>
      <c r="N991" s="458">
        <f t="shared" si="874"/>
        <v>0</v>
      </c>
      <c r="O991" s="458">
        <f t="shared" si="875"/>
        <v>0</v>
      </c>
      <c r="P991" s="458">
        <f t="shared" si="876"/>
        <v>0</v>
      </c>
      <c r="Q991" s="458">
        <f t="shared" si="877"/>
        <v>0</v>
      </c>
      <c r="R991" s="459">
        <f t="shared" si="878"/>
        <v>0</v>
      </c>
      <c r="S991" s="455"/>
      <c r="T991" s="456"/>
      <c r="U991" s="456"/>
      <c r="V991" s="456"/>
      <c r="W991" s="456"/>
      <c r="X991" s="456"/>
      <c r="Y991" s="456"/>
      <c r="Z991" s="79">
        <f t="shared" ref="Z991:AE991" si="883">AA991</f>
        <v>0</v>
      </c>
      <c r="AA991" s="78">
        <f t="shared" si="883"/>
        <v>0</v>
      </c>
      <c r="AB991" s="78">
        <f t="shared" si="883"/>
        <v>0</v>
      </c>
      <c r="AC991" s="78">
        <f t="shared" si="883"/>
        <v>0</v>
      </c>
      <c r="AD991" s="78">
        <f t="shared" si="883"/>
        <v>0</v>
      </c>
      <c r="AE991" s="78">
        <f t="shared" si="883"/>
        <v>0</v>
      </c>
      <c r="AF991" s="6">
        <v>0</v>
      </c>
      <c r="AG991" s="33" t="str">
        <f t="shared" si="867"/>
        <v>4.04 &gt; Bolivia</v>
      </c>
      <c r="AH991" s="84">
        <f t="shared" si="868"/>
        <v>977</v>
      </c>
      <c r="AI991" s="84">
        <f t="shared" si="869"/>
        <v>37</v>
      </c>
      <c r="AJ991" s="877" t="s">
        <v>1526</v>
      </c>
    </row>
    <row r="992" spans="1:36" x14ac:dyDescent="0.2">
      <c r="A992" s="492">
        <f>INDEX(Country!$F$31:$G$76, MATCH(AI992, Country!$O$31:$O$76, 0), 1)</f>
        <v>4.0399999999999991</v>
      </c>
      <c r="B992" s="2" t="str">
        <f>INDEX(Country!$F$31:$G$76, MATCH(AI992, Country!$O$31:$O$76, 0), 2)</f>
        <v>GHG emissions reduction target</v>
      </c>
      <c r="C992" s="436" t="str">
        <f>INDEX(Country!$K$31:$K$76, MATCH(AI992, Country!$O$31:$O$76, 0), 1)</f>
        <v>Target</v>
      </c>
      <c r="D992" s="4" t="str">
        <f t="shared" si="871"/>
        <v>Brazil</v>
      </c>
      <c r="E992" s="47"/>
      <c r="F992" s="47"/>
      <c r="G992" s="47"/>
      <c r="H992" s="47"/>
      <c r="I992" s="47"/>
      <c r="J992" s="47"/>
      <c r="K992" s="45">
        <v>1</v>
      </c>
      <c r="L992" s="457">
        <f t="shared" si="872"/>
        <v>60</v>
      </c>
      <c r="M992" s="458">
        <f t="shared" si="873"/>
        <v>60</v>
      </c>
      <c r="N992" s="458">
        <f t="shared" si="874"/>
        <v>60</v>
      </c>
      <c r="O992" s="458">
        <f t="shared" si="875"/>
        <v>60</v>
      </c>
      <c r="P992" s="458">
        <f t="shared" si="876"/>
        <v>60</v>
      </c>
      <c r="Q992" s="458">
        <f t="shared" si="877"/>
        <v>60</v>
      </c>
      <c r="R992" s="459">
        <f t="shared" si="878"/>
        <v>60</v>
      </c>
      <c r="S992" s="455"/>
      <c r="T992" s="456"/>
      <c r="U992" s="456"/>
      <c r="V992" s="456"/>
      <c r="W992" s="456"/>
      <c r="X992" s="456"/>
      <c r="Y992" s="456"/>
      <c r="Z992" s="79">
        <f t="shared" ref="Z992:AE992" si="884">AA992</f>
        <v>3</v>
      </c>
      <c r="AA992" s="78">
        <f t="shared" si="884"/>
        <v>3</v>
      </c>
      <c r="AB992" s="78">
        <f t="shared" si="884"/>
        <v>3</v>
      </c>
      <c r="AC992" s="78">
        <f t="shared" si="884"/>
        <v>3</v>
      </c>
      <c r="AD992" s="78">
        <f t="shared" si="884"/>
        <v>3</v>
      </c>
      <c r="AE992" s="78">
        <f t="shared" si="884"/>
        <v>3</v>
      </c>
      <c r="AF992" s="6">
        <v>3</v>
      </c>
      <c r="AG992" s="33" t="str">
        <f t="shared" si="867"/>
        <v>4.04 &gt; Brazil</v>
      </c>
      <c r="AH992" s="84">
        <f t="shared" si="868"/>
        <v>978</v>
      </c>
      <c r="AI992" s="84">
        <f t="shared" si="869"/>
        <v>37</v>
      </c>
      <c r="AJ992" s="877" t="s">
        <v>1526</v>
      </c>
    </row>
    <row r="993" spans="1:36" x14ac:dyDescent="0.2">
      <c r="A993" s="492">
        <f>INDEX(Country!$F$31:$G$76, MATCH(AI993, Country!$O$31:$O$76, 0), 1)</f>
        <v>4.0399999999999991</v>
      </c>
      <c r="B993" s="2" t="str">
        <f>INDEX(Country!$F$31:$G$76, MATCH(AI993, Country!$O$31:$O$76, 0), 2)</f>
        <v>GHG emissions reduction target</v>
      </c>
      <c r="C993" s="436" t="str">
        <f>INDEX(Country!$K$31:$K$76, MATCH(AI993, Country!$O$31:$O$76, 0), 1)</f>
        <v>Target</v>
      </c>
      <c r="D993" s="4" t="str">
        <f t="shared" si="871"/>
        <v>Chile</v>
      </c>
      <c r="E993" s="47"/>
      <c r="F993" s="47"/>
      <c r="G993" s="47"/>
      <c r="H993" s="47"/>
      <c r="I993" s="47"/>
      <c r="J993" s="47"/>
      <c r="K993" s="45">
        <v>1</v>
      </c>
      <c r="L993" s="457">
        <f t="shared" si="872"/>
        <v>60</v>
      </c>
      <c r="M993" s="458">
        <f t="shared" si="873"/>
        <v>60</v>
      </c>
      <c r="N993" s="458">
        <f t="shared" si="874"/>
        <v>60</v>
      </c>
      <c r="O993" s="458">
        <f t="shared" si="875"/>
        <v>60</v>
      </c>
      <c r="P993" s="458">
        <f t="shared" si="876"/>
        <v>60</v>
      </c>
      <c r="Q993" s="458">
        <f t="shared" si="877"/>
        <v>60</v>
      </c>
      <c r="R993" s="459">
        <f t="shared" si="878"/>
        <v>60</v>
      </c>
      <c r="S993" s="455"/>
      <c r="T993" s="456"/>
      <c r="U993" s="456"/>
      <c r="V993" s="456"/>
      <c r="W993" s="456"/>
      <c r="X993" s="456"/>
      <c r="Y993" s="456"/>
      <c r="Z993" s="79">
        <f t="shared" ref="Z993:AE993" si="885">AA993</f>
        <v>3</v>
      </c>
      <c r="AA993" s="78">
        <f t="shared" si="885"/>
        <v>3</v>
      </c>
      <c r="AB993" s="78">
        <f t="shared" si="885"/>
        <v>3</v>
      </c>
      <c r="AC993" s="78">
        <f t="shared" si="885"/>
        <v>3</v>
      </c>
      <c r="AD993" s="78">
        <f t="shared" si="885"/>
        <v>3</v>
      </c>
      <c r="AE993" s="78">
        <f t="shared" si="885"/>
        <v>3</v>
      </c>
      <c r="AF993" s="6">
        <v>3</v>
      </c>
      <c r="AG993" s="33" t="str">
        <f t="shared" si="867"/>
        <v>4.04 &gt; Chile</v>
      </c>
      <c r="AH993" s="84">
        <f t="shared" si="868"/>
        <v>979</v>
      </c>
      <c r="AI993" s="84">
        <f t="shared" si="869"/>
        <v>37</v>
      </c>
      <c r="AJ993" s="877" t="s">
        <v>1526</v>
      </c>
    </row>
    <row r="994" spans="1:36" x14ac:dyDescent="0.2">
      <c r="A994" s="492">
        <f>INDEX(Country!$F$31:$G$76, MATCH(AI994, Country!$O$31:$O$76, 0), 1)</f>
        <v>4.0399999999999991</v>
      </c>
      <c r="B994" s="2" t="str">
        <f>INDEX(Country!$F$31:$G$76, MATCH(AI994, Country!$O$31:$O$76, 0), 2)</f>
        <v>GHG emissions reduction target</v>
      </c>
      <c r="C994" s="436" t="str">
        <f>INDEX(Country!$K$31:$K$76, MATCH(AI994, Country!$O$31:$O$76, 0), 1)</f>
        <v>Target</v>
      </c>
      <c r="D994" s="4" t="str">
        <f t="shared" si="871"/>
        <v>Colombia</v>
      </c>
      <c r="E994" s="47"/>
      <c r="F994" s="47"/>
      <c r="G994" s="47"/>
      <c r="H994" s="47"/>
      <c r="I994" s="47"/>
      <c r="J994" s="47"/>
      <c r="K994" s="45">
        <v>0</v>
      </c>
      <c r="L994" s="457">
        <f t="shared" si="872"/>
        <v>0</v>
      </c>
      <c r="M994" s="458">
        <f t="shared" si="873"/>
        <v>0</v>
      </c>
      <c r="N994" s="458">
        <f t="shared" si="874"/>
        <v>0</v>
      </c>
      <c r="O994" s="458">
        <f t="shared" si="875"/>
        <v>0</v>
      </c>
      <c r="P994" s="458">
        <f t="shared" si="876"/>
        <v>0</v>
      </c>
      <c r="Q994" s="458">
        <f t="shared" si="877"/>
        <v>0</v>
      </c>
      <c r="R994" s="459">
        <f t="shared" si="878"/>
        <v>0</v>
      </c>
      <c r="S994" s="455"/>
      <c r="T994" s="456"/>
      <c r="U994" s="456"/>
      <c r="V994" s="456"/>
      <c r="W994" s="456"/>
      <c r="X994" s="456"/>
      <c r="Y994" s="456"/>
      <c r="Z994" s="79">
        <f t="shared" ref="Z994:AE994" si="886">AA994</f>
        <v>0</v>
      </c>
      <c r="AA994" s="78">
        <f t="shared" si="886"/>
        <v>0</v>
      </c>
      <c r="AB994" s="78">
        <f t="shared" si="886"/>
        <v>0</v>
      </c>
      <c r="AC994" s="78">
        <f t="shared" si="886"/>
        <v>0</v>
      </c>
      <c r="AD994" s="78">
        <f t="shared" si="886"/>
        <v>0</v>
      </c>
      <c r="AE994" s="78">
        <f t="shared" si="886"/>
        <v>0</v>
      </c>
      <c r="AF994" s="6">
        <v>0</v>
      </c>
      <c r="AG994" s="33" t="str">
        <f t="shared" si="867"/>
        <v>4.04 &gt; Colombia</v>
      </c>
      <c r="AH994" s="84">
        <f t="shared" si="868"/>
        <v>980</v>
      </c>
      <c r="AI994" s="84">
        <f t="shared" si="869"/>
        <v>37</v>
      </c>
      <c r="AJ994" s="877" t="s">
        <v>1526</v>
      </c>
    </row>
    <row r="995" spans="1:36" x14ac:dyDescent="0.2">
      <c r="A995" s="492">
        <f>INDEX(Country!$F$31:$G$76, MATCH(AI995, Country!$O$31:$O$76, 0), 1)</f>
        <v>4.0399999999999991</v>
      </c>
      <c r="B995" s="2" t="str">
        <f>INDEX(Country!$F$31:$G$76, MATCH(AI995, Country!$O$31:$O$76, 0), 2)</f>
        <v>GHG emissions reduction target</v>
      </c>
      <c r="C995" s="436" t="str">
        <f>INDEX(Country!$K$31:$K$76, MATCH(AI995, Country!$O$31:$O$76, 0), 1)</f>
        <v>Target</v>
      </c>
      <c r="D995" s="4" t="str">
        <f t="shared" si="871"/>
        <v>Costa Rica</v>
      </c>
      <c r="E995" s="47"/>
      <c r="F995" s="47"/>
      <c r="G995" s="47"/>
      <c r="H995" s="47"/>
      <c r="I995" s="47"/>
      <c r="J995" s="47"/>
      <c r="K995" s="45">
        <v>1</v>
      </c>
      <c r="L995" s="457">
        <f t="shared" si="872"/>
        <v>60</v>
      </c>
      <c r="M995" s="458">
        <f t="shared" si="873"/>
        <v>60</v>
      </c>
      <c r="N995" s="458">
        <f t="shared" si="874"/>
        <v>60</v>
      </c>
      <c r="O995" s="458">
        <f t="shared" si="875"/>
        <v>60</v>
      </c>
      <c r="P995" s="458">
        <f t="shared" si="876"/>
        <v>60</v>
      </c>
      <c r="Q995" s="458">
        <f t="shared" si="877"/>
        <v>60</v>
      </c>
      <c r="R995" s="459">
        <f t="shared" si="878"/>
        <v>60</v>
      </c>
      <c r="S995" s="455"/>
      <c r="T995" s="456"/>
      <c r="U995" s="456"/>
      <c r="V995" s="456"/>
      <c r="W995" s="456"/>
      <c r="X995" s="456"/>
      <c r="Y995" s="456"/>
      <c r="Z995" s="79">
        <f t="shared" ref="Z995:AE995" si="887">AA995</f>
        <v>3</v>
      </c>
      <c r="AA995" s="78">
        <f t="shared" si="887"/>
        <v>3</v>
      </c>
      <c r="AB995" s="78">
        <f t="shared" si="887"/>
        <v>3</v>
      </c>
      <c r="AC995" s="78">
        <f t="shared" si="887"/>
        <v>3</v>
      </c>
      <c r="AD995" s="78">
        <f t="shared" si="887"/>
        <v>3</v>
      </c>
      <c r="AE995" s="78">
        <f t="shared" si="887"/>
        <v>3</v>
      </c>
      <c r="AF995" s="6">
        <v>3</v>
      </c>
      <c r="AG995" s="33" t="str">
        <f t="shared" si="867"/>
        <v>4.04 &gt; Costa Rica</v>
      </c>
      <c r="AH995" s="84">
        <f t="shared" si="868"/>
        <v>981</v>
      </c>
      <c r="AI995" s="84">
        <f t="shared" si="869"/>
        <v>37</v>
      </c>
      <c r="AJ995" s="877" t="s">
        <v>1526</v>
      </c>
    </row>
    <row r="996" spans="1:36" x14ac:dyDescent="0.2">
      <c r="A996" s="492">
        <f>INDEX(Country!$F$31:$G$76, MATCH(AI996, Country!$O$31:$O$76, 0), 1)</f>
        <v>4.0399999999999991</v>
      </c>
      <c r="B996" s="2" t="str">
        <f>INDEX(Country!$F$31:$G$76, MATCH(AI996, Country!$O$31:$O$76, 0), 2)</f>
        <v>GHG emissions reduction target</v>
      </c>
      <c r="C996" s="436" t="str">
        <f>INDEX(Country!$K$31:$K$76, MATCH(AI996, Country!$O$31:$O$76, 0), 1)</f>
        <v>Target</v>
      </c>
      <c r="D996" s="4" t="str">
        <f t="shared" si="871"/>
        <v>Dominican Republic</v>
      </c>
      <c r="E996" s="47"/>
      <c r="F996" s="47"/>
      <c r="G996" s="47"/>
      <c r="H996" s="47"/>
      <c r="I996" s="47"/>
      <c r="J996" s="47"/>
      <c r="K996" s="45">
        <v>1</v>
      </c>
      <c r="L996" s="457">
        <f t="shared" si="872"/>
        <v>60</v>
      </c>
      <c r="M996" s="458">
        <f t="shared" si="873"/>
        <v>60</v>
      </c>
      <c r="N996" s="458">
        <f t="shared" si="874"/>
        <v>60</v>
      </c>
      <c r="O996" s="458">
        <f t="shared" si="875"/>
        <v>60</v>
      </c>
      <c r="P996" s="458">
        <f t="shared" si="876"/>
        <v>60</v>
      </c>
      <c r="Q996" s="458">
        <f t="shared" si="877"/>
        <v>60</v>
      </c>
      <c r="R996" s="459">
        <f t="shared" si="878"/>
        <v>60</v>
      </c>
      <c r="S996" s="455"/>
      <c r="T996" s="456"/>
      <c r="U996" s="456"/>
      <c r="V996" s="456"/>
      <c r="W996" s="456"/>
      <c r="X996" s="456"/>
      <c r="Y996" s="456"/>
      <c r="Z996" s="79">
        <f t="shared" ref="Z996:AE996" si="888">AA996</f>
        <v>3</v>
      </c>
      <c r="AA996" s="78">
        <f t="shared" si="888"/>
        <v>3</v>
      </c>
      <c r="AB996" s="78">
        <f t="shared" si="888"/>
        <v>3</v>
      </c>
      <c r="AC996" s="78">
        <f t="shared" si="888"/>
        <v>3</v>
      </c>
      <c r="AD996" s="78">
        <f t="shared" si="888"/>
        <v>3</v>
      </c>
      <c r="AE996" s="78">
        <f t="shared" si="888"/>
        <v>3</v>
      </c>
      <c r="AF996" s="6">
        <v>3</v>
      </c>
      <c r="AG996" s="33" t="str">
        <f t="shared" si="867"/>
        <v>4.04 &gt; Dominican Republic</v>
      </c>
      <c r="AH996" s="84">
        <f t="shared" si="868"/>
        <v>982</v>
      </c>
      <c r="AI996" s="84">
        <f t="shared" si="869"/>
        <v>37</v>
      </c>
      <c r="AJ996" s="877" t="s">
        <v>1526</v>
      </c>
    </row>
    <row r="997" spans="1:36" x14ac:dyDescent="0.2">
      <c r="A997" s="492">
        <f>INDEX(Country!$F$31:$G$76, MATCH(AI997, Country!$O$31:$O$76, 0), 1)</f>
        <v>4.0399999999999991</v>
      </c>
      <c r="B997" s="2" t="str">
        <f>INDEX(Country!$F$31:$G$76, MATCH(AI997, Country!$O$31:$O$76, 0), 2)</f>
        <v>GHG emissions reduction target</v>
      </c>
      <c r="C997" s="436" t="str">
        <f>INDEX(Country!$K$31:$K$76, MATCH(AI997, Country!$O$31:$O$76, 0), 1)</f>
        <v>Target</v>
      </c>
      <c r="D997" s="4" t="str">
        <f t="shared" si="871"/>
        <v>Ecuador</v>
      </c>
      <c r="E997" s="47"/>
      <c r="F997" s="47"/>
      <c r="G997" s="47"/>
      <c r="H997" s="47"/>
      <c r="I997" s="47"/>
      <c r="J997" s="47"/>
      <c r="K997" s="45">
        <v>0</v>
      </c>
      <c r="L997" s="457">
        <f t="shared" si="872"/>
        <v>0</v>
      </c>
      <c r="M997" s="458">
        <f t="shared" si="873"/>
        <v>0</v>
      </c>
      <c r="N997" s="458">
        <f t="shared" si="874"/>
        <v>0</v>
      </c>
      <c r="O997" s="458">
        <f t="shared" si="875"/>
        <v>0</v>
      </c>
      <c r="P997" s="458">
        <f t="shared" si="876"/>
        <v>0</v>
      </c>
      <c r="Q997" s="458">
        <f t="shared" si="877"/>
        <v>0</v>
      </c>
      <c r="R997" s="459">
        <f t="shared" si="878"/>
        <v>0</v>
      </c>
      <c r="S997" s="455"/>
      <c r="T997" s="456"/>
      <c r="U997" s="456"/>
      <c r="V997" s="456"/>
      <c r="W997" s="456"/>
      <c r="X997" s="456"/>
      <c r="Y997" s="456"/>
      <c r="Z997" s="79">
        <f t="shared" ref="Z997:AE997" si="889">AA997</f>
        <v>0</v>
      </c>
      <c r="AA997" s="78">
        <f t="shared" si="889"/>
        <v>0</v>
      </c>
      <c r="AB997" s="78">
        <f t="shared" si="889"/>
        <v>0</v>
      </c>
      <c r="AC997" s="78">
        <f t="shared" si="889"/>
        <v>0</v>
      </c>
      <c r="AD997" s="78">
        <f t="shared" si="889"/>
        <v>0</v>
      </c>
      <c r="AE997" s="78">
        <f t="shared" si="889"/>
        <v>0</v>
      </c>
      <c r="AF997" s="6">
        <v>0</v>
      </c>
      <c r="AG997" s="33" t="str">
        <f t="shared" si="867"/>
        <v>4.04 &gt; Ecuador</v>
      </c>
      <c r="AH997" s="84">
        <f t="shared" si="868"/>
        <v>983</v>
      </c>
      <c r="AI997" s="84">
        <f t="shared" si="869"/>
        <v>37</v>
      </c>
      <c r="AJ997" s="877" t="s">
        <v>1526</v>
      </c>
    </row>
    <row r="998" spans="1:36" x14ac:dyDescent="0.2">
      <c r="A998" s="492">
        <f>INDEX(Country!$F$31:$G$76, MATCH(AI998, Country!$O$31:$O$76, 0), 1)</f>
        <v>4.0399999999999991</v>
      </c>
      <c r="B998" s="2" t="str">
        <f>INDEX(Country!$F$31:$G$76, MATCH(AI998, Country!$O$31:$O$76, 0), 2)</f>
        <v>GHG emissions reduction target</v>
      </c>
      <c r="C998" s="436" t="str">
        <f>INDEX(Country!$K$31:$K$76, MATCH(AI998, Country!$O$31:$O$76, 0), 1)</f>
        <v>Target</v>
      </c>
      <c r="D998" s="4" t="str">
        <f t="shared" si="871"/>
        <v>El Salvador</v>
      </c>
      <c r="E998" s="47"/>
      <c r="F998" s="47"/>
      <c r="G998" s="47"/>
      <c r="H998" s="47"/>
      <c r="I998" s="47"/>
      <c r="J998" s="47"/>
      <c r="K998" s="45">
        <v>0</v>
      </c>
      <c r="L998" s="457">
        <f t="shared" si="872"/>
        <v>0</v>
      </c>
      <c r="M998" s="458">
        <f t="shared" si="873"/>
        <v>0</v>
      </c>
      <c r="N998" s="458">
        <f t="shared" si="874"/>
        <v>0</v>
      </c>
      <c r="O998" s="458">
        <f t="shared" si="875"/>
        <v>0</v>
      </c>
      <c r="P998" s="458">
        <f t="shared" si="876"/>
        <v>0</v>
      </c>
      <c r="Q998" s="458">
        <f t="shared" si="877"/>
        <v>0</v>
      </c>
      <c r="R998" s="459">
        <f t="shared" si="878"/>
        <v>0</v>
      </c>
      <c r="S998" s="455"/>
      <c r="T998" s="456"/>
      <c r="U998" s="456"/>
      <c r="V998" s="456"/>
      <c r="W998" s="456"/>
      <c r="X998" s="456"/>
      <c r="Y998" s="456"/>
      <c r="Z998" s="79">
        <f t="shared" ref="Z998:AE998" si="890">AA998</f>
        <v>0</v>
      </c>
      <c r="AA998" s="78">
        <f t="shared" si="890"/>
        <v>0</v>
      </c>
      <c r="AB998" s="78">
        <f t="shared" si="890"/>
        <v>0</v>
      </c>
      <c r="AC998" s="78">
        <f t="shared" si="890"/>
        <v>0</v>
      </c>
      <c r="AD998" s="78">
        <f t="shared" si="890"/>
        <v>0</v>
      </c>
      <c r="AE998" s="78">
        <f t="shared" si="890"/>
        <v>0</v>
      </c>
      <c r="AF998" s="6">
        <v>0</v>
      </c>
      <c r="AG998" s="33" t="str">
        <f t="shared" si="867"/>
        <v>4.04 &gt; El Salvador</v>
      </c>
      <c r="AH998" s="84">
        <f t="shared" si="868"/>
        <v>984</v>
      </c>
      <c r="AI998" s="84">
        <f t="shared" si="869"/>
        <v>37</v>
      </c>
      <c r="AJ998" s="877" t="s">
        <v>1526</v>
      </c>
    </row>
    <row r="999" spans="1:36" x14ac:dyDescent="0.2">
      <c r="A999" s="492">
        <f>INDEX(Country!$F$31:$G$76, MATCH(AI999, Country!$O$31:$O$76, 0), 1)</f>
        <v>4.0399999999999991</v>
      </c>
      <c r="B999" s="2" t="str">
        <f>INDEX(Country!$F$31:$G$76, MATCH(AI999, Country!$O$31:$O$76, 0), 2)</f>
        <v>GHG emissions reduction target</v>
      </c>
      <c r="C999" s="436" t="str">
        <f>INDEX(Country!$K$31:$K$76, MATCH(AI999, Country!$O$31:$O$76, 0), 1)</f>
        <v>Target</v>
      </c>
      <c r="D999" s="4" t="str">
        <f t="shared" si="871"/>
        <v>Guatemala</v>
      </c>
      <c r="E999" s="47"/>
      <c r="F999" s="47"/>
      <c r="G999" s="47"/>
      <c r="H999" s="47"/>
      <c r="I999" s="47"/>
      <c r="J999" s="47"/>
      <c r="K999" s="45">
        <v>0</v>
      </c>
      <c r="L999" s="457">
        <f t="shared" si="872"/>
        <v>0</v>
      </c>
      <c r="M999" s="458">
        <f t="shared" si="873"/>
        <v>0</v>
      </c>
      <c r="N999" s="458">
        <f t="shared" si="874"/>
        <v>0</v>
      </c>
      <c r="O999" s="458">
        <f t="shared" si="875"/>
        <v>0</v>
      </c>
      <c r="P999" s="458">
        <f t="shared" si="876"/>
        <v>0</v>
      </c>
      <c r="Q999" s="458">
        <f t="shared" si="877"/>
        <v>0</v>
      </c>
      <c r="R999" s="459">
        <f t="shared" si="878"/>
        <v>0</v>
      </c>
      <c r="S999" s="455"/>
      <c r="T999" s="456"/>
      <c r="U999" s="456"/>
      <c r="V999" s="456"/>
      <c r="W999" s="456"/>
      <c r="X999" s="456"/>
      <c r="Y999" s="456"/>
      <c r="Z999" s="79">
        <f t="shared" ref="Z999:AE999" si="891">AA999</f>
        <v>0</v>
      </c>
      <c r="AA999" s="78">
        <f t="shared" si="891"/>
        <v>0</v>
      </c>
      <c r="AB999" s="78">
        <f t="shared" si="891"/>
        <v>0</v>
      </c>
      <c r="AC999" s="78">
        <f t="shared" si="891"/>
        <v>0</v>
      </c>
      <c r="AD999" s="78">
        <f t="shared" si="891"/>
        <v>0</v>
      </c>
      <c r="AE999" s="78">
        <f t="shared" si="891"/>
        <v>0</v>
      </c>
      <c r="AF999" s="6">
        <v>0</v>
      </c>
      <c r="AG999" s="33" t="str">
        <f t="shared" si="867"/>
        <v>4.04 &gt; Guatemala</v>
      </c>
      <c r="AH999" s="84">
        <f t="shared" si="868"/>
        <v>985</v>
      </c>
      <c r="AI999" s="84">
        <f t="shared" si="869"/>
        <v>37</v>
      </c>
      <c r="AJ999" s="877" t="s">
        <v>1526</v>
      </c>
    </row>
    <row r="1000" spans="1:36" x14ac:dyDescent="0.2">
      <c r="A1000" s="492">
        <f>INDEX(Country!$F$31:$G$76, MATCH(AI1000, Country!$O$31:$O$76, 0), 1)</f>
        <v>4.0399999999999991</v>
      </c>
      <c r="B1000" s="2" t="str">
        <f>INDEX(Country!$F$31:$G$76, MATCH(AI1000, Country!$O$31:$O$76, 0), 2)</f>
        <v>GHG emissions reduction target</v>
      </c>
      <c r="C1000" s="436" t="str">
        <f>INDEX(Country!$K$31:$K$76, MATCH(AI1000, Country!$O$31:$O$76, 0), 1)</f>
        <v>Target</v>
      </c>
      <c r="D1000" s="4" t="str">
        <f t="shared" si="871"/>
        <v>Guyana</v>
      </c>
      <c r="E1000" s="47"/>
      <c r="F1000" s="47"/>
      <c r="G1000" s="47"/>
      <c r="H1000" s="47"/>
      <c r="I1000" s="47"/>
      <c r="J1000" s="47"/>
      <c r="K1000" s="45">
        <v>0</v>
      </c>
      <c r="L1000" s="457">
        <f t="shared" si="872"/>
        <v>0</v>
      </c>
      <c r="M1000" s="458">
        <f t="shared" si="873"/>
        <v>0</v>
      </c>
      <c r="N1000" s="458">
        <f t="shared" si="874"/>
        <v>0</v>
      </c>
      <c r="O1000" s="458">
        <f t="shared" si="875"/>
        <v>0</v>
      </c>
      <c r="P1000" s="458">
        <f t="shared" si="876"/>
        <v>0</v>
      </c>
      <c r="Q1000" s="458">
        <f t="shared" si="877"/>
        <v>0</v>
      </c>
      <c r="R1000" s="459">
        <f t="shared" si="878"/>
        <v>0</v>
      </c>
      <c r="S1000" s="455"/>
      <c r="T1000" s="456"/>
      <c r="U1000" s="456"/>
      <c r="V1000" s="456"/>
      <c r="W1000" s="456"/>
      <c r="X1000" s="456"/>
      <c r="Y1000" s="456"/>
      <c r="Z1000" s="79">
        <f t="shared" ref="Z1000:AE1000" si="892">AA1000</f>
        <v>0</v>
      </c>
      <c r="AA1000" s="78">
        <f t="shared" si="892"/>
        <v>0</v>
      </c>
      <c r="AB1000" s="78">
        <f t="shared" si="892"/>
        <v>0</v>
      </c>
      <c r="AC1000" s="78">
        <f t="shared" si="892"/>
        <v>0</v>
      </c>
      <c r="AD1000" s="78">
        <f t="shared" si="892"/>
        <v>0</v>
      </c>
      <c r="AE1000" s="78">
        <f t="shared" si="892"/>
        <v>0</v>
      </c>
      <c r="AF1000" s="6">
        <v>0</v>
      </c>
      <c r="AG1000" s="33" t="str">
        <f t="shared" si="867"/>
        <v>4.04 &gt; Guyana</v>
      </c>
      <c r="AH1000" s="84">
        <f t="shared" si="868"/>
        <v>986</v>
      </c>
      <c r="AI1000" s="84">
        <f t="shared" si="869"/>
        <v>37</v>
      </c>
      <c r="AJ1000" s="877" t="s">
        <v>1526</v>
      </c>
    </row>
    <row r="1001" spans="1:36" x14ac:dyDescent="0.2">
      <c r="A1001" s="492">
        <f>INDEX(Country!$F$31:$G$76, MATCH(AI1001, Country!$O$31:$O$76, 0), 1)</f>
        <v>4.0399999999999991</v>
      </c>
      <c r="B1001" s="2" t="str">
        <f>INDEX(Country!$F$31:$G$76, MATCH(AI1001, Country!$O$31:$O$76, 0), 2)</f>
        <v>GHG emissions reduction target</v>
      </c>
      <c r="C1001" s="436" t="str">
        <f>INDEX(Country!$K$31:$K$76, MATCH(AI1001, Country!$O$31:$O$76, 0), 1)</f>
        <v>Target</v>
      </c>
      <c r="D1001" s="4" t="str">
        <f t="shared" si="871"/>
        <v>Haiti</v>
      </c>
      <c r="E1001" s="47"/>
      <c r="F1001" s="47"/>
      <c r="G1001" s="47"/>
      <c r="H1001" s="47"/>
      <c r="I1001" s="47"/>
      <c r="J1001" s="47"/>
      <c r="K1001" s="45">
        <v>0</v>
      </c>
      <c r="L1001" s="457">
        <f t="shared" si="872"/>
        <v>0</v>
      </c>
      <c r="M1001" s="458">
        <f t="shared" si="873"/>
        <v>0</v>
      </c>
      <c r="N1001" s="458">
        <f t="shared" si="874"/>
        <v>0</v>
      </c>
      <c r="O1001" s="458">
        <f t="shared" si="875"/>
        <v>0</v>
      </c>
      <c r="P1001" s="458">
        <f t="shared" si="876"/>
        <v>0</v>
      </c>
      <c r="Q1001" s="458">
        <f t="shared" si="877"/>
        <v>0</v>
      </c>
      <c r="R1001" s="459">
        <f t="shared" si="878"/>
        <v>0</v>
      </c>
      <c r="S1001" s="455"/>
      <c r="T1001" s="456"/>
      <c r="U1001" s="456"/>
      <c r="V1001" s="456"/>
      <c r="W1001" s="456"/>
      <c r="X1001" s="456"/>
      <c r="Y1001" s="456"/>
      <c r="Z1001" s="79">
        <f t="shared" ref="Z1001:AE1001" si="893">AA1001</f>
        <v>0</v>
      </c>
      <c r="AA1001" s="78">
        <f t="shared" si="893"/>
        <v>0</v>
      </c>
      <c r="AB1001" s="78">
        <f t="shared" si="893"/>
        <v>0</v>
      </c>
      <c r="AC1001" s="78">
        <f t="shared" si="893"/>
        <v>0</v>
      </c>
      <c r="AD1001" s="78">
        <f t="shared" si="893"/>
        <v>0</v>
      </c>
      <c r="AE1001" s="78">
        <f t="shared" si="893"/>
        <v>0</v>
      </c>
      <c r="AF1001" s="6">
        <v>0</v>
      </c>
      <c r="AG1001" s="33" t="str">
        <f t="shared" si="867"/>
        <v>4.04 &gt; Haiti</v>
      </c>
      <c r="AH1001" s="84">
        <f t="shared" si="868"/>
        <v>987</v>
      </c>
      <c r="AI1001" s="84">
        <f t="shared" si="869"/>
        <v>37</v>
      </c>
      <c r="AJ1001" s="877" t="s">
        <v>1526</v>
      </c>
    </row>
    <row r="1002" spans="1:36" x14ac:dyDescent="0.2">
      <c r="A1002" s="492">
        <f>INDEX(Country!$F$31:$G$76, MATCH(AI1002, Country!$O$31:$O$76, 0), 1)</f>
        <v>4.0399999999999991</v>
      </c>
      <c r="B1002" s="2" t="str">
        <f>INDEX(Country!$F$31:$G$76, MATCH(AI1002, Country!$O$31:$O$76, 0), 2)</f>
        <v>GHG emissions reduction target</v>
      </c>
      <c r="C1002" s="436" t="str">
        <f>INDEX(Country!$K$31:$K$76, MATCH(AI1002, Country!$O$31:$O$76, 0), 1)</f>
        <v>Target</v>
      </c>
      <c r="D1002" s="4" t="str">
        <f t="shared" si="871"/>
        <v>Honduras</v>
      </c>
      <c r="E1002" s="47"/>
      <c r="F1002" s="47"/>
      <c r="G1002" s="47"/>
      <c r="H1002" s="47"/>
      <c r="I1002" s="47"/>
      <c r="J1002" s="47"/>
      <c r="K1002" s="45">
        <v>0</v>
      </c>
      <c r="L1002" s="457">
        <f t="shared" si="872"/>
        <v>0</v>
      </c>
      <c r="M1002" s="458">
        <f t="shared" si="873"/>
        <v>0</v>
      </c>
      <c r="N1002" s="458">
        <f t="shared" si="874"/>
        <v>0</v>
      </c>
      <c r="O1002" s="458">
        <f t="shared" si="875"/>
        <v>0</v>
      </c>
      <c r="P1002" s="458">
        <f t="shared" si="876"/>
        <v>0</v>
      </c>
      <c r="Q1002" s="458">
        <f t="shared" si="877"/>
        <v>0</v>
      </c>
      <c r="R1002" s="459">
        <f t="shared" si="878"/>
        <v>0</v>
      </c>
      <c r="S1002" s="455"/>
      <c r="T1002" s="456"/>
      <c r="U1002" s="456"/>
      <c r="V1002" s="456"/>
      <c r="W1002" s="456"/>
      <c r="X1002" s="456"/>
      <c r="Y1002" s="456"/>
      <c r="Z1002" s="79">
        <f t="shared" ref="Z1002:AE1002" si="894">AA1002</f>
        <v>0</v>
      </c>
      <c r="AA1002" s="78">
        <f t="shared" si="894"/>
        <v>0</v>
      </c>
      <c r="AB1002" s="78">
        <f t="shared" si="894"/>
        <v>0</v>
      </c>
      <c r="AC1002" s="78">
        <f t="shared" si="894"/>
        <v>0</v>
      </c>
      <c r="AD1002" s="78">
        <f t="shared" si="894"/>
        <v>0</v>
      </c>
      <c r="AE1002" s="78">
        <f t="shared" si="894"/>
        <v>0</v>
      </c>
      <c r="AF1002" s="6">
        <v>0</v>
      </c>
      <c r="AG1002" s="33" t="str">
        <f t="shared" si="867"/>
        <v>4.04 &gt; Honduras</v>
      </c>
      <c r="AH1002" s="84">
        <f t="shared" si="868"/>
        <v>988</v>
      </c>
      <c r="AI1002" s="84">
        <f t="shared" si="869"/>
        <v>37</v>
      </c>
      <c r="AJ1002" s="877" t="s">
        <v>1526</v>
      </c>
    </row>
    <row r="1003" spans="1:36" x14ac:dyDescent="0.2">
      <c r="A1003" s="492">
        <f>INDEX(Country!$F$31:$G$76, MATCH(AI1003, Country!$O$31:$O$76, 0), 1)</f>
        <v>4.0399999999999991</v>
      </c>
      <c r="B1003" s="2" t="str">
        <f>INDEX(Country!$F$31:$G$76, MATCH(AI1003, Country!$O$31:$O$76, 0), 2)</f>
        <v>GHG emissions reduction target</v>
      </c>
      <c r="C1003" s="436" t="str">
        <f>INDEX(Country!$K$31:$K$76, MATCH(AI1003, Country!$O$31:$O$76, 0), 1)</f>
        <v>Target</v>
      </c>
      <c r="D1003" s="4" t="str">
        <f t="shared" si="871"/>
        <v>Jamaica</v>
      </c>
      <c r="E1003" s="47"/>
      <c r="F1003" s="47"/>
      <c r="G1003" s="47"/>
      <c r="H1003" s="47"/>
      <c r="I1003" s="47"/>
      <c r="J1003" s="47"/>
      <c r="K1003" s="45">
        <v>0</v>
      </c>
      <c r="L1003" s="457">
        <f t="shared" si="872"/>
        <v>0</v>
      </c>
      <c r="M1003" s="458">
        <f t="shared" si="873"/>
        <v>0</v>
      </c>
      <c r="N1003" s="458">
        <f t="shared" si="874"/>
        <v>0</v>
      </c>
      <c r="O1003" s="458">
        <f t="shared" si="875"/>
        <v>0</v>
      </c>
      <c r="P1003" s="458">
        <f t="shared" si="876"/>
        <v>0</v>
      </c>
      <c r="Q1003" s="458">
        <f t="shared" si="877"/>
        <v>0</v>
      </c>
      <c r="R1003" s="459">
        <f t="shared" si="878"/>
        <v>0</v>
      </c>
      <c r="S1003" s="455"/>
      <c r="T1003" s="456"/>
      <c r="U1003" s="456"/>
      <c r="V1003" s="456"/>
      <c r="W1003" s="456"/>
      <c r="X1003" s="456"/>
      <c r="Y1003" s="456"/>
      <c r="Z1003" s="79">
        <f t="shared" ref="Z1003:AE1003" si="895">AA1003</f>
        <v>0</v>
      </c>
      <c r="AA1003" s="78">
        <f t="shared" si="895"/>
        <v>0</v>
      </c>
      <c r="AB1003" s="78">
        <f t="shared" si="895"/>
        <v>0</v>
      </c>
      <c r="AC1003" s="78">
        <f t="shared" si="895"/>
        <v>0</v>
      </c>
      <c r="AD1003" s="78">
        <f t="shared" si="895"/>
        <v>0</v>
      </c>
      <c r="AE1003" s="78">
        <f t="shared" si="895"/>
        <v>0</v>
      </c>
      <c r="AF1003" s="6">
        <v>0</v>
      </c>
      <c r="AG1003" s="33" t="str">
        <f t="shared" si="867"/>
        <v>4.04 &gt; Jamaica</v>
      </c>
      <c r="AH1003" s="84">
        <f t="shared" si="868"/>
        <v>989</v>
      </c>
      <c r="AI1003" s="84">
        <f t="shared" si="869"/>
        <v>37</v>
      </c>
      <c r="AJ1003" s="877" t="s">
        <v>1526</v>
      </c>
    </row>
    <row r="1004" spans="1:36" x14ac:dyDescent="0.2">
      <c r="A1004" s="492">
        <f>INDEX(Country!$F$31:$G$76, MATCH(AI1004, Country!$O$31:$O$76, 0), 1)</f>
        <v>4.0399999999999991</v>
      </c>
      <c r="B1004" s="2" t="str">
        <f>INDEX(Country!$F$31:$G$76, MATCH(AI1004, Country!$O$31:$O$76, 0), 2)</f>
        <v>GHG emissions reduction target</v>
      </c>
      <c r="C1004" s="436" t="str">
        <f>INDEX(Country!$K$31:$K$76, MATCH(AI1004, Country!$O$31:$O$76, 0), 1)</f>
        <v>Target</v>
      </c>
      <c r="D1004" s="4" t="str">
        <f t="shared" si="871"/>
        <v>Mexico</v>
      </c>
      <c r="E1004" s="47"/>
      <c r="F1004" s="47"/>
      <c r="G1004" s="47"/>
      <c r="H1004" s="47"/>
      <c r="I1004" s="47"/>
      <c r="J1004" s="47"/>
      <c r="K1004" s="45">
        <v>1</v>
      </c>
      <c r="L1004" s="457">
        <f t="shared" si="872"/>
        <v>60</v>
      </c>
      <c r="M1004" s="458">
        <f t="shared" si="873"/>
        <v>60</v>
      </c>
      <c r="N1004" s="458">
        <f t="shared" si="874"/>
        <v>60</v>
      </c>
      <c r="O1004" s="458">
        <f t="shared" si="875"/>
        <v>60</v>
      </c>
      <c r="P1004" s="458">
        <f t="shared" si="876"/>
        <v>60</v>
      </c>
      <c r="Q1004" s="458">
        <f t="shared" si="877"/>
        <v>60</v>
      </c>
      <c r="R1004" s="459">
        <f t="shared" si="878"/>
        <v>60</v>
      </c>
      <c r="S1004" s="455"/>
      <c r="T1004" s="456"/>
      <c r="U1004" s="456"/>
      <c r="V1004" s="456"/>
      <c r="W1004" s="456"/>
      <c r="X1004" s="456"/>
      <c r="Y1004" s="456"/>
      <c r="Z1004" s="79">
        <f t="shared" ref="Z1004:AE1004" si="896">AA1004</f>
        <v>3</v>
      </c>
      <c r="AA1004" s="78">
        <f t="shared" si="896"/>
        <v>3</v>
      </c>
      <c r="AB1004" s="78">
        <f t="shared" si="896"/>
        <v>3</v>
      </c>
      <c r="AC1004" s="78">
        <f t="shared" si="896"/>
        <v>3</v>
      </c>
      <c r="AD1004" s="78">
        <f t="shared" si="896"/>
        <v>3</v>
      </c>
      <c r="AE1004" s="78">
        <f t="shared" si="896"/>
        <v>3</v>
      </c>
      <c r="AF1004" s="6">
        <v>3</v>
      </c>
      <c r="AG1004" s="33" t="str">
        <f t="shared" si="867"/>
        <v>4.04 &gt; Mexico</v>
      </c>
      <c r="AH1004" s="84">
        <f t="shared" si="868"/>
        <v>990</v>
      </c>
      <c r="AI1004" s="84">
        <f t="shared" si="869"/>
        <v>37</v>
      </c>
      <c r="AJ1004" s="877" t="s">
        <v>1526</v>
      </c>
    </row>
    <row r="1005" spans="1:36" x14ac:dyDescent="0.2">
      <c r="A1005" s="492">
        <f>INDEX(Country!$F$31:$G$76, MATCH(AI1005, Country!$O$31:$O$76, 0), 1)</f>
        <v>4.0399999999999991</v>
      </c>
      <c r="B1005" s="2" t="str">
        <f>INDEX(Country!$F$31:$G$76, MATCH(AI1005, Country!$O$31:$O$76, 0), 2)</f>
        <v>GHG emissions reduction target</v>
      </c>
      <c r="C1005" s="436" t="str">
        <f>INDEX(Country!$K$31:$K$76, MATCH(AI1005, Country!$O$31:$O$76, 0), 1)</f>
        <v>Target</v>
      </c>
      <c r="D1005" s="4" t="str">
        <f t="shared" si="871"/>
        <v>Nicaragua</v>
      </c>
      <c r="E1005" s="47"/>
      <c r="F1005" s="47"/>
      <c r="G1005" s="47"/>
      <c r="H1005" s="47"/>
      <c r="I1005" s="47"/>
      <c r="J1005" s="47"/>
      <c r="K1005" s="45">
        <v>0</v>
      </c>
      <c r="L1005" s="457">
        <f t="shared" si="872"/>
        <v>0</v>
      </c>
      <c r="M1005" s="458">
        <f t="shared" si="873"/>
        <v>0</v>
      </c>
      <c r="N1005" s="458">
        <f t="shared" si="874"/>
        <v>0</v>
      </c>
      <c r="O1005" s="458">
        <f t="shared" si="875"/>
        <v>0</v>
      </c>
      <c r="P1005" s="458">
        <f t="shared" si="876"/>
        <v>0</v>
      </c>
      <c r="Q1005" s="458">
        <f t="shared" si="877"/>
        <v>0</v>
      </c>
      <c r="R1005" s="459">
        <f t="shared" si="878"/>
        <v>0</v>
      </c>
      <c r="S1005" s="455"/>
      <c r="T1005" s="456"/>
      <c r="U1005" s="456"/>
      <c r="V1005" s="456"/>
      <c r="W1005" s="456"/>
      <c r="X1005" s="456"/>
      <c r="Y1005" s="456"/>
      <c r="Z1005" s="79">
        <f t="shared" ref="Z1005:AE1005" si="897">AA1005</f>
        <v>0</v>
      </c>
      <c r="AA1005" s="78">
        <f t="shared" si="897"/>
        <v>0</v>
      </c>
      <c r="AB1005" s="78">
        <f t="shared" si="897"/>
        <v>0</v>
      </c>
      <c r="AC1005" s="78">
        <f t="shared" si="897"/>
        <v>0</v>
      </c>
      <c r="AD1005" s="78">
        <f t="shared" si="897"/>
        <v>0</v>
      </c>
      <c r="AE1005" s="78">
        <f t="shared" si="897"/>
        <v>0</v>
      </c>
      <c r="AF1005" s="6">
        <v>0</v>
      </c>
      <c r="AG1005" s="33" t="str">
        <f t="shared" si="867"/>
        <v>4.04 &gt; Nicaragua</v>
      </c>
      <c r="AH1005" s="84">
        <f t="shared" si="868"/>
        <v>991</v>
      </c>
      <c r="AI1005" s="84">
        <f t="shared" si="869"/>
        <v>37</v>
      </c>
      <c r="AJ1005" s="877" t="s">
        <v>1526</v>
      </c>
    </row>
    <row r="1006" spans="1:36" x14ac:dyDescent="0.2">
      <c r="A1006" s="492">
        <f>INDEX(Country!$F$31:$G$76, MATCH(AI1006, Country!$O$31:$O$76, 0), 1)</f>
        <v>4.0399999999999991</v>
      </c>
      <c r="B1006" s="2" t="str">
        <f>INDEX(Country!$F$31:$G$76, MATCH(AI1006, Country!$O$31:$O$76, 0), 2)</f>
        <v>GHG emissions reduction target</v>
      </c>
      <c r="C1006" s="436" t="str">
        <f>INDEX(Country!$K$31:$K$76, MATCH(AI1006, Country!$O$31:$O$76, 0), 1)</f>
        <v>Target</v>
      </c>
      <c r="D1006" s="4" t="str">
        <f t="shared" si="871"/>
        <v>Panama</v>
      </c>
      <c r="E1006" s="47"/>
      <c r="F1006" s="47"/>
      <c r="G1006" s="47"/>
      <c r="H1006" s="47"/>
      <c r="I1006" s="47"/>
      <c r="J1006" s="47"/>
      <c r="K1006" s="45">
        <v>0</v>
      </c>
      <c r="L1006" s="457">
        <f t="shared" si="872"/>
        <v>0</v>
      </c>
      <c r="M1006" s="458">
        <f t="shared" si="873"/>
        <v>0</v>
      </c>
      <c r="N1006" s="458">
        <f t="shared" si="874"/>
        <v>0</v>
      </c>
      <c r="O1006" s="458">
        <f t="shared" si="875"/>
        <v>0</v>
      </c>
      <c r="P1006" s="458">
        <f t="shared" si="876"/>
        <v>0</v>
      </c>
      <c r="Q1006" s="458">
        <f t="shared" si="877"/>
        <v>0</v>
      </c>
      <c r="R1006" s="459">
        <f t="shared" si="878"/>
        <v>0</v>
      </c>
      <c r="S1006" s="455"/>
      <c r="T1006" s="456"/>
      <c r="U1006" s="456"/>
      <c r="V1006" s="456"/>
      <c r="W1006" s="456"/>
      <c r="X1006" s="456"/>
      <c r="Y1006" s="456"/>
      <c r="Z1006" s="79">
        <f t="shared" ref="Z1006:AE1006" si="898">AA1006</f>
        <v>0</v>
      </c>
      <c r="AA1006" s="78">
        <f t="shared" si="898"/>
        <v>0</v>
      </c>
      <c r="AB1006" s="78">
        <f t="shared" si="898"/>
        <v>0</v>
      </c>
      <c r="AC1006" s="78">
        <f t="shared" si="898"/>
        <v>0</v>
      </c>
      <c r="AD1006" s="78">
        <f t="shared" si="898"/>
        <v>0</v>
      </c>
      <c r="AE1006" s="78">
        <f t="shared" si="898"/>
        <v>0</v>
      </c>
      <c r="AF1006" s="6">
        <v>0</v>
      </c>
      <c r="AG1006" s="33" t="str">
        <f t="shared" si="867"/>
        <v>4.04 &gt; Panama</v>
      </c>
      <c r="AH1006" s="84">
        <f t="shared" si="868"/>
        <v>992</v>
      </c>
      <c r="AI1006" s="84">
        <f t="shared" si="869"/>
        <v>37</v>
      </c>
      <c r="AJ1006" s="877" t="s">
        <v>1526</v>
      </c>
    </row>
    <row r="1007" spans="1:36" x14ac:dyDescent="0.2">
      <c r="A1007" s="492">
        <f>INDEX(Country!$F$31:$G$76, MATCH(AI1007, Country!$O$31:$O$76, 0), 1)</f>
        <v>4.0399999999999991</v>
      </c>
      <c r="B1007" s="2" t="str">
        <f>INDEX(Country!$F$31:$G$76, MATCH(AI1007, Country!$O$31:$O$76, 0), 2)</f>
        <v>GHG emissions reduction target</v>
      </c>
      <c r="C1007" s="436" t="str">
        <f>INDEX(Country!$K$31:$K$76, MATCH(AI1007, Country!$O$31:$O$76, 0), 1)</f>
        <v>Target</v>
      </c>
      <c r="D1007" s="4" t="str">
        <f t="shared" si="871"/>
        <v>Paraguay</v>
      </c>
      <c r="E1007" s="47"/>
      <c r="F1007" s="47"/>
      <c r="G1007" s="47"/>
      <c r="H1007" s="47"/>
      <c r="I1007" s="47"/>
      <c r="J1007" s="47"/>
      <c r="K1007" s="45">
        <v>0</v>
      </c>
      <c r="L1007" s="457">
        <f t="shared" si="872"/>
        <v>0</v>
      </c>
      <c r="M1007" s="458">
        <f t="shared" si="873"/>
        <v>0</v>
      </c>
      <c r="N1007" s="458">
        <f t="shared" si="874"/>
        <v>0</v>
      </c>
      <c r="O1007" s="458">
        <f t="shared" si="875"/>
        <v>0</v>
      </c>
      <c r="P1007" s="458">
        <f t="shared" si="876"/>
        <v>0</v>
      </c>
      <c r="Q1007" s="458">
        <f t="shared" si="877"/>
        <v>0</v>
      </c>
      <c r="R1007" s="459">
        <f t="shared" si="878"/>
        <v>0</v>
      </c>
      <c r="S1007" s="455"/>
      <c r="T1007" s="456"/>
      <c r="U1007" s="456"/>
      <c r="V1007" s="456"/>
      <c r="W1007" s="456"/>
      <c r="X1007" s="456"/>
      <c r="Y1007" s="456"/>
      <c r="Z1007" s="79">
        <f t="shared" ref="Z1007:AE1007" si="899">AA1007</f>
        <v>0</v>
      </c>
      <c r="AA1007" s="78">
        <f t="shared" si="899"/>
        <v>0</v>
      </c>
      <c r="AB1007" s="78">
        <f t="shared" si="899"/>
        <v>0</v>
      </c>
      <c r="AC1007" s="78">
        <f t="shared" si="899"/>
        <v>0</v>
      </c>
      <c r="AD1007" s="78">
        <f t="shared" si="899"/>
        <v>0</v>
      </c>
      <c r="AE1007" s="78">
        <f t="shared" si="899"/>
        <v>0</v>
      </c>
      <c r="AF1007" s="6">
        <v>0</v>
      </c>
      <c r="AG1007" s="33" t="str">
        <f t="shared" si="867"/>
        <v>4.04 &gt; Paraguay</v>
      </c>
      <c r="AH1007" s="84">
        <f t="shared" si="868"/>
        <v>993</v>
      </c>
      <c r="AI1007" s="84">
        <f t="shared" si="869"/>
        <v>37</v>
      </c>
      <c r="AJ1007" s="877" t="s">
        <v>1526</v>
      </c>
    </row>
    <row r="1008" spans="1:36" x14ac:dyDescent="0.2">
      <c r="A1008" s="492">
        <f>INDEX(Country!$F$31:$G$76, MATCH(AI1008, Country!$O$31:$O$76, 0), 1)</f>
        <v>4.0399999999999991</v>
      </c>
      <c r="B1008" s="2" t="str">
        <f>INDEX(Country!$F$31:$G$76, MATCH(AI1008, Country!$O$31:$O$76, 0), 2)</f>
        <v>GHG emissions reduction target</v>
      </c>
      <c r="C1008" s="436" t="str">
        <f>INDEX(Country!$K$31:$K$76, MATCH(AI1008, Country!$O$31:$O$76, 0), 1)</f>
        <v>Target</v>
      </c>
      <c r="D1008" s="4" t="str">
        <f t="shared" si="871"/>
        <v>Peru</v>
      </c>
      <c r="E1008" s="47"/>
      <c r="F1008" s="47"/>
      <c r="G1008" s="47"/>
      <c r="H1008" s="47"/>
      <c r="I1008" s="47"/>
      <c r="J1008" s="47"/>
      <c r="K1008" s="45">
        <v>0</v>
      </c>
      <c r="L1008" s="457">
        <f t="shared" si="872"/>
        <v>0</v>
      </c>
      <c r="M1008" s="458">
        <f t="shared" si="873"/>
        <v>0</v>
      </c>
      <c r="N1008" s="458">
        <f t="shared" si="874"/>
        <v>0</v>
      </c>
      <c r="O1008" s="458">
        <f t="shared" si="875"/>
        <v>0</v>
      </c>
      <c r="P1008" s="458">
        <f t="shared" si="876"/>
        <v>0</v>
      </c>
      <c r="Q1008" s="458">
        <f t="shared" si="877"/>
        <v>0</v>
      </c>
      <c r="R1008" s="459">
        <f t="shared" si="878"/>
        <v>0</v>
      </c>
      <c r="S1008" s="455"/>
      <c r="T1008" s="456"/>
      <c r="U1008" s="456"/>
      <c r="V1008" s="456"/>
      <c r="W1008" s="456"/>
      <c r="X1008" s="456"/>
      <c r="Y1008" s="456"/>
      <c r="Z1008" s="79">
        <f t="shared" ref="Z1008:AE1008" si="900">AA1008</f>
        <v>0</v>
      </c>
      <c r="AA1008" s="78">
        <f t="shared" si="900"/>
        <v>0</v>
      </c>
      <c r="AB1008" s="78">
        <f t="shared" si="900"/>
        <v>0</v>
      </c>
      <c r="AC1008" s="78">
        <f t="shared" si="900"/>
        <v>0</v>
      </c>
      <c r="AD1008" s="78">
        <f t="shared" si="900"/>
        <v>0</v>
      </c>
      <c r="AE1008" s="78">
        <f t="shared" si="900"/>
        <v>0</v>
      </c>
      <c r="AF1008" s="6">
        <v>0</v>
      </c>
      <c r="AG1008" s="33" t="str">
        <f t="shared" si="867"/>
        <v>4.04 &gt; Peru</v>
      </c>
      <c r="AH1008" s="84">
        <f t="shared" si="868"/>
        <v>994</v>
      </c>
      <c r="AI1008" s="84">
        <f t="shared" si="869"/>
        <v>37</v>
      </c>
      <c r="AJ1008" s="877" t="s">
        <v>1526</v>
      </c>
    </row>
    <row r="1009" spans="1:36" x14ac:dyDescent="0.2">
      <c r="A1009" s="492">
        <f>INDEX(Country!$F$31:$G$76, MATCH(AI1009, Country!$O$31:$O$76, 0), 1)</f>
        <v>4.0399999999999991</v>
      </c>
      <c r="B1009" s="2" t="str">
        <f>INDEX(Country!$F$31:$G$76, MATCH(AI1009, Country!$O$31:$O$76, 0), 2)</f>
        <v>GHG emissions reduction target</v>
      </c>
      <c r="C1009" s="436" t="str">
        <f>INDEX(Country!$K$31:$K$76, MATCH(AI1009, Country!$O$31:$O$76, 0), 1)</f>
        <v>Target</v>
      </c>
      <c r="D1009" s="4" t="str">
        <f t="shared" si="871"/>
        <v>Suriname</v>
      </c>
      <c r="E1009" s="47"/>
      <c r="F1009" s="47"/>
      <c r="G1009" s="47"/>
      <c r="H1009" s="47"/>
      <c r="I1009" s="47"/>
      <c r="J1009" s="47"/>
      <c r="K1009" s="45">
        <v>0</v>
      </c>
      <c r="L1009" s="457">
        <f t="shared" si="872"/>
        <v>0</v>
      </c>
      <c r="M1009" s="458">
        <f t="shared" si="873"/>
        <v>0</v>
      </c>
      <c r="N1009" s="458">
        <f t="shared" si="874"/>
        <v>0</v>
      </c>
      <c r="O1009" s="458">
        <f t="shared" si="875"/>
        <v>0</v>
      </c>
      <c r="P1009" s="458">
        <f t="shared" si="876"/>
        <v>0</v>
      </c>
      <c r="Q1009" s="458">
        <f t="shared" si="877"/>
        <v>0</v>
      </c>
      <c r="R1009" s="459">
        <f t="shared" si="878"/>
        <v>0</v>
      </c>
      <c r="S1009" s="455"/>
      <c r="T1009" s="456"/>
      <c r="U1009" s="456"/>
      <c r="V1009" s="456"/>
      <c r="W1009" s="456"/>
      <c r="X1009" s="456"/>
      <c r="Y1009" s="456"/>
      <c r="Z1009" s="79">
        <f t="shared" ref="Z1009:AE1009" si="901">AA1009</f>
        <v>0</v>
      </c>
      <c r="AA1009" s="78">
        <f t="shared" si="901"/>
        <v>0</v>
      </c>
      <c r="AB1009" s="78">
        <f t="shared" si="901"/>
        <v>0</v>
      </c>
      <c r="AC1009" s="78">
        <f t="shared" si="901"/>
        <v>0</v>
      </c>
      <c r="AD1009" s="78">
        <f t="shared" si="901"/>
        <v>0</v>
      </c>
      <c r="AE1009" s="78">
        <f t="shared" si="901"/>
        <v>0</v>
      </c>
      <c r="AF1009" s="6">
        <v>0</v>
      </c>
      <c r="AG1009" s="33" t="str">
        <f t="shared" si="867"/>
        <v>4.04 &gt; Suriname</v>
      </c>
      <c r="AH1009" s="84">
        <f t="shared" si="868"/>
        <v>995</v>
      </c>
      <c r="AI1009" s="84">
        <f t="shared" si="869"/>
        <v>37</v>
      </c>
      <c r="AJ1009" s="877" t="s">
        <v>1526</v>
      </c>
    </row>
    <row r="1010" spans="1:36" x14ac:dyDescent="0.2">
      <c r="A1010" s="492">
        <f>INDEX(Country!$F$31:$G$76, MATCH(AI1010, Country!$O$31:$O$76, 0), 1)</f>
        <v>4.0399999999999991</v>
      </c>
      <c r="B1010" s="2" t="str">
        <f>INDEX(Country!$F$31:$G$76, MATCH(AI1010, Country!$O$31:$O$76, 0), 2)</f>
        <v>GHG emissions reduction target</v>
      </c>
      <c r="C1010" s="436" t="str">
        <f>INDEX(Country!$K$31:$K$76, MATCH(AI1010, Country!$O$31:$O$76, 0), 1)</f>
        <v>Target</v>
      </c>
      <c r="D1010" s="4" t="str">
        <f t="shared" si="871"/>
        <v>Trinidad &amp; Tobago</v>
      </c>
      <c r="E1010" s="47"/>
      <c r="F1010" s="47"/>
      <c r="G1010" s="47"/>
      <c r="H1010" s="47"/>
      <c r="I1010" s="47"/>
      <c r="J1010" s="47"/>
      <c r="K1010" s="45">
        <v>0</v>
      </c>
      <c r="L1010" s="457">
        <f t="shared" si="872"/>
        <v>0</v>
      </c>
      <c r="M1010" s="458">
        <f t="shared" si="873"/>
        <v>0</v>
      </c>
      <c r="N1010" s="458">
        <f t="shared" si="874"/>
        <v>0</v>
      </c>
      <c r="O1010" s="458">
        <f t="shared" si="875"/>
        <v>0</v>
      </c>
      <c r="P1010" s="458">
        <f t="shared" si="876"/>
        <v>0</v>
      </c>
      <c r="Q1010" s="458">
        <f t="shared" si="877"/>
        <v>0</v>
      </c>
      <c r="R1010" s="459">
        <f t="shared" si="878"/>
        <v>0</v>
      </c>
      <c r="S1010" s="455"/>
      <c r="T1010" s="456"/>
      <c r="U1010" s="456"/>
      <c r="V1010" s="456"/>
      <c r="W1010" s="456"/>
      <c r="X1010" s="456"/>
      <c r="Y1010" s="456"/>
      <c r="Z1010" s="79">
        <f t="shared" ref="Z1010:AE1010" si="902">AA1010</f>
        <v>0</v>
      </c>
      <c r="AA1010" s="78">
        <f t="shared" si="902"/>
        <v>0</v>
      </c>
      <c r="AB1010" s="78">
        <f t="shared" si="902"/>
        <v>0</v>
      </c>
      <c r="AC1010" s="78">
        <f t="shared" si="902"/>
        <v>0</v>
      </c>
      <c r="AD1010" s="78">
        <f t="shared" si="902"/>
        <v>0</v>
      </c>
      <c r="AE1010" s="78">
        <f t="shared" si="902"/>
        <v>0</v>
      </c>
      <c r="AF1010" s="6">
        <v>0</v>
      </c>
      <c r="AG1010" s="33" t="str">
        <f t="shared" si="867"/>
        <v>4.04 &gt; Trinidad &amp; Tobago</v>
      </c>
      <c r="AH1010" s="84">
        <f t="shared" si="868"/>
        <v>996</v>
      </c>
      <c r="AI1010" s="84">
        <f t="shared" si="869"/>
        <v>37</v>
      </c>
      <c r="AJ1010" s="877" t="s">
        <v>1526</v>
      </c>
    </row>
    <row r="1011" spans="1:36" x14ac:dyDescent="0.2">
      <c r="A1011" s="492">
        <f>INDEX(Country!$F$31:$G$76, MATCH(AI1011, Country!$O$31:$O$76, 0), 1)</f>
        <v>4.0399999999999991</v>
      </c>
      <c r="B1011" s="2" t="str">
        <f>INDEX(Country!$F$31:$G$76, MATCH(AI1011, Country!$O$31:$O$76, 0), 2)</f>
        <v>GHG emissions reduction target</v>
      </c>
      <c r="C1011" s="436" t="str">
        <f>INDEX(Country!$K$31:$K$76, MATCH(AI1011, Country!$O$31:$O$76, 0), 1)</f>
        <v>Target</v>
      </c>
      <c r="D1011" s="4" t="str">
        <f t="shared" si="871"/>
        <v>Uruguay</v>
      </c>
      <c r="E1011" s="47"/>
      <c r="F1011" s="47"/>
      <c r="G1011" s="47"/>
      <c r="H1011" s="47"/>
      <c r="I1011" s="47"/>
      <c r="J1011" s="47"/>
      <c r="K1011" s="45">
        <v>0</v>
      </c>
      <c r="L1011" s="457">
        <f t="shared" si="872"/>
        <v>0</v>
      </c>
      <c r="M1011" s="458">
        <f t="shared" si="873"/>
        <v>0</v>
      </c>
      <c r="N1011" s="458">
        <f t="shared" si="874"/>
        <v>0</v>
      </c>
      <c r="O1011" s="458">
        <f t="shared" si="875"/>
        <v>0</v>
      </c>
      <c r="P1011" s="458">
        <f t="shared" si="876"/>
        <v>0</v>
      </c>
      <c r="Q1011" s="458">
        <f t="shared" si="877"/>
        <v>0</v>
      </c>
      <c r="R1011" s="459">
        <f t="shared" si="878"/>
        <v>0</v>
      </c>
      <c r="S1011" s="455"/>
      <c r="T1011" s="456"/>
      <c r="U1011" s="456"/>
      <c r="V1011" s="456"/>
      <c r="W1011" s="456"/>
      <c r="X1011" s="456"/>
      <c r="Y1011" s="456"/>
      <c r="Z1011" s="79">
        <f t="shared" ref="Z1011:AE1011" si="903">AA1011</f>
        <v>0</v>
      </c>
      <c r="AA1011" s="78">
        <f t="shared" si="903"/>
        <v>0</v>
      </c>
      <c r="AB1011" s="78">
        <f t="shared" si="903"/>
        <v>0</v>
      </c>
      <c r="AC1011" s="78">
        <f t="shared" si="903"/>
        <v>0</v>
      </c>
      <c r="AD1011" s="78">
        <f t="shared" si="903"/>
        <v>0</v>
      </c>
      <c r="AE1011" s="78">
        <f t="shared" si="903"/>
        <v>0</v>
      </c>
      <c r="AF1011" s="6">
        <v>0</v>
      </c>
      <c r="AG1011" s="33" t="str">
        <f t="shared" si="867"/>
        <v>4.04 &gt; Uruguay</v>
      </c>
      <c r="AH1011" s="84">
        <f t="shared" si="868"/>
        <v>997</v>
      </c>
      <c r="AI1011" s="84">
        <f t="shared" si="869"/>
        <v>37</v>
      </c>
      <c r="AJ1011" s="877" t="s">
        <v>1526</v>
      </c>
    </row>
    <row r="1012" spans="1:36" x14ac:dyDescent="0.2">
      <c r="A1012" s="491">
        <f>INDEX(Country!$F$31:$G$76, MATCH(AI1012, Country!$O$31:$O$76, 0), 1)</f>
        <v>4.0399999999999991</v>
      </c>
      <c r="B1012" s="386" t="str">
        <f>INDEX(Country!$F$31:$G$76, MATCH(AI1012, Country!$O$31:$O$76, 0), 2)</f>
        <v>GHG emissions reduction target</v>
      </c>
      <c r="C1012" s="437" t="str">
        <f>INDEX(Country!$K$31:$K$76, MATCH(AI1012, Country!$O$31:$O$76, 0), 1)</f>
        <v>Target</v>
      </c>
      <c r="D1012" s="86" t="str">
        <f t="shared" si="871"/>
        <v>Venezuela</v>
      </c>
      <c r="E1012" s="363"/>
      <c r="F1012" s="363"/>
      <c r="G1012" s="363"/>
      <c r="H1012" s="363"/>
      <c r="I1012" s="363"/>
      <c r="J1012" s="363"/>
      <c r="K1012" s="400">
        <v>0</v>
      </c>
      <c r="L1012" s="460">
        <f t="shared" si="872"/>
        <v>0</v>
      </c>
      <c r="M1012" s="461">
        <f t="shared" si="873"/>
        <v>0</v>
      </c>
      <c r="N1012" s="461">
        <f t="shared" si="874"/>
        <v>0</v>
      </c>
      <c r="O1012" s="461">
        <f t="shared" si="875"/>
        <v>0</v>
      </c>
      <c r="P1012" s="461">
        <f t="shared" si="876"/>
        <v>0</v>
      </c>
      <c r="Q1012" s="461">
        <f t="shared" si="877"/>
        <v>0</v>
      </c>
      <c r="R1012" s="462">
        <f t="shared" si="878"/>
        <v>0</v>
      </c>
      <c r="S1012" s="455"/>
      <c r="T1012" s="456"/>
      <c r="U1012" s="456"/>
      <c r="V1012" s="456"/>
      <c r="W1012" s="456"/>
      <c r="X1012" s="456"/>
      <c r="Y1012" s="456"/>
      <c r="Z1012" s="93">
        <f t="shared" ref="Z1012:AE1012" si="904">AA1012</f>
        <v>0</v>
      </c>
      <c r="AA1012" s="379">
        <f t="shared" si="904"/>
        <v>0</v>
      </c>
      <c r="AB1012" s="379">
        <f t="shared" si="904"/>
        <v>0</v>
      </c>
      <c r="AC1012" s="379">
        <f t="shared" si="904"/>
        <v>0</v>
      </c>
      <c r="AD1012" s="379">
        <f t="shared" si="904"/>
        <v>0</v>
      </c>
      <c r="AE1012" s="379">
        <f t="shared" si="904"/>
        <v>0</v>
      </c>
      <c r="AF1012" s="390">
        <v>0</v>
      </c>
      <c r="AG1012" s="90" t="str">
        <f t="shared" si="867"/>
        <v>4.04 &gt; Venezuela</v>
      </c>
      <c r="AH1012" s="392">
        <f t="shared" si="868"/>
        <v>998</v>
      </c>
      <c r="AI1012" s="392">
        <f t="shared" si="869"/>
        <v>37</v>
      </c>
      <c r="AJ1012" s="878" t="s">
        <v>1526</v>
      </c>
    </row>
    <row r="1013" spans="1:36" x14ac:dyDescent="0.2">
      <c r="A1013" s="490">
        <f>INDEX(Country!$F$31:$G$76, MATCH(AI1013, Country!$O$31:$O$76, 0), 1)</f>
        <v>4.0399999999999991</v>
      </c>
      <c r="B1013" s="387" t="str">
        <f>INDEX(Country!$F$31:$G$76, MATCH(AI1013, Country!$O$31:$O$76, 0), 2)</f>
        <v>GHG emissions reduction target</v>
      </c>
      <c r="C1013" s="438" t="str">
        <f>INDEX(Country!$K$31:$K$76, MATCH(AI1013, Country!$O$31:$O$76, 0), 1)</f>
        <v>Target</v>
      </c>
      <c r="D1013" s="32" t="str">
        <f t="shared" si="871"/>
        <v>Benchmark</v>
      </c>
      <c r="E1013" s="362">
        <f t="shared" ref="E1013:J1013" si="905">IFERROR(MAX(E987:E1012), 0)</f>
        <v>0</v>
      </c>
      <c r="F1013" s="362">
        <f t="shared" si="905"/>
        <v>0</v>
      </c>
      <c r="G1013" s="362">
        <f t="shared" si="905"/>
        <v>0</v>
      </c>
      <c r="H1013" s="362">
        <f t="shared" si="905"/>
        <v>0</v>
      </c>
      <c r="I1013" s="362">
        <f t="shared" si="905"/>
        <v>0</v>
      </c>
      <c r="J1013" s="362">
        <f t="shared" si="905"/>
        <v>0</v>
      </c>
      <c r="K1013" s="584">
        <v>0</v>
      </c>
      <c r="L1013" s="585">
        <f t="shared" si="872"/>
        <v>100</v>
      </c>
      <c r="M1013" s="463">
        <f t="shared" si="873"/>
        <v>100</v>
      </c>
      <c r="N1013" s="463">
        <f t="shared" si="874"/>
        <v>100</v>
      </c>
      <c r="O1013" s="463">
        <f t="shared" si="875"/>
        <v>100</v>
      </c>
      <c r="P1013" s="463">
        <f t="shared" si="876"/>
        <v>100</v>
      </c>
      <c r="Q1013" s="463">
        <f t="shared" si="877"/>
        <v>100</v>
      </c>
      <c r="R1013" s="586">
        <f t="shared" si="878"/>
        <v>100</v>
      </c>
      <c r="S1013" s="393"/>
      <c r="T1013" s="394"/>
      <c r="U1013" s="376"/>
      <c r="V1013" s="376"/>
      <c r="W1013" s="376"/>
      <c r="X1013" s="376"/>
      <c r="Y1013" s="376"/>
      <c r="Z1013" s="423">
        <v>5</v>
      </c>
      <c r="AA1013" s="365">
        <v>5</v>
      </c>
      <c r="AB1013" s="365">
        <v>5</v>
      </c>
      <c r="AC1013" s="365">
        <v>5</v>
      </c>
      <c r="AD1013" s="365">
        <v>5</v>
      </c>
      <c r="AE1013" s="365">
        <v>5</v>
      </c>
      <c r="AF1013" s="365">
        <v>5</v>
      </c>
      <c r="AG1013" s="34" t="str">
        <f t="shared" si="867"/>
        <v>4.04 &gt; Benchmark</v>
      </c>
      <c r="AH1013" s="85">
        <f t="shared" si="868"/>
        <v>999</v>
      </c>
      <c r="AI1013" s="85">
        <f t="shared" si="869"/>
        <v>37</v>
      </c>
      <c r="AJ1013" s="871" t="s">
        <v>1526</v>
      </c>
    </row>
    <row r="1014" spans="1:36" x14ac:dyDescent="0.2">
      <c r="A1014" s="587">
        <f>INDEX(Country!$F$31:$G$76, MATCH(AI1014, Country!$O$31:$O$76, 0), 1)</f>
        <v>4.0499999999999989</v>
      </c>
      <c r="B1014" s="588" t="str">
        <f>INDEX(Country!$F$31:$G$76, MATCH(AI1014, Country!$O$31:$O$76, 0), 2)</f>
        <v>GHG country registry</v>
      </c>
      <c r="C1014" s="589" t="str">
        <f>INDEX(Country!$K$31:$K$76, MATCH(AI1014, Country!$O$31:$O$76, 0), 1)</f>
        <v>Registry</v>
      </c>
      <c r="D1014" s="590" t="str">
        <f t="shared" si="871"/>
        <v>Argentina</v>
      </c>
      <c r="E1014" s="614"/>
      <c r="F1014" s="614"/>
      <c r="G1014" s="614"/>
      <c r="H1014" s="47"/>
      <c r="I1014" s="47"/>
      <c r="J1014" s="47"/>
      <c r="K1014" s="615"/>
      <c r="L1014" s="580">
        <f t="shared" ref="L1014:L1040" si="906">(Z1014/3)*dbl_BenchmarkMax</f>
        <v>16.666666666666664</v>
      </c>
      <c r="M1014" s="581">
        <f t="shared" ref="M1014:M1040" si="907">(AA1014/3)*dbl_BenchmarkMax</f>
        <v>16.666666666666664</v>
      </c>
      <c r="N1014" s="581">
        <f t="shared" ref="N1014:N1040" si="908">(AB1014/3)*dbl_BenchmarkMax</f>
        <v>16.666666666666664</v>
      </c>
      <c r="O1014" s="581">
        <f t="shared" ref="O1014:O1040" si="909">(AC1014/3)*dbl_BenchmarkMax</f>
        <v>16.666666666666664</v>
      </c>
      <c r="P1014" s="581">
        <f t="shared" ref="P1014:P1040" si="910">(AD1014/3)*dbl_BenchmarkMax</f>
        <v>16.666666666666664</v>
      </c>
      <c r="Q1014" s="581">
        <f t="shared" ref="Q1014:Q1040" si="911">(AE1014/3)*dbl_BenchmarkMax</f>
        <v>16.666666666666664</v>
      </c>
      <c r="R1014" s="582">
        <f t="shared" ref="R1014:R1040" si="912">(AF1014/3)*dbl_BenchmarkMax</f>
        <v>16.666666666666664</v>
      </c>
      <c r="S1014" s="455"/>
      <c r="T1014" s="456"/>
      <c r="U1014" s="456"/>
      <c r="V1014" s="456"/>
      <c r="W1014" s="456"/>
      <c r="X1014" s="456"/>
      <c r="Y1014" s="456"/>
      <c r="Z1014" s="472">
        <f t="shared" ref="Z1014:AE1014" si="913">AA1014</f>
        <v>0.5</v>
      </c>
      <c r="AA1014" s="378">
        <f t="shared" si="913"/>
        <v>0.5</v>
      </c>
      <c r="AB1014" s="378">
        <f t="shared" si="913"/>
        <v>0.5</v>
      </c>
      <c r="AC1014" s="78">
        <f t="shared" si="913"/>
        <v>0.5</v>
      </c>
      <c r="AD1014" s="78">
        <f t="shared" si="913"/>
        <v>0.5</v>
      </c>
      <c r="AE1014" s="78">
        <f t="shared" si="913"/>
        <v>0.5</v>
      </c>
      <c r="AF1014" s="388">
        <v>0.5</v>
      </c>
      <c r="AG1014" s="396" t="str">
        <f t="shared" si="867"/>
        <v>4.05 &gt; Argentina</v>
      </c>
      <c r="AH1014" s="397">
        <f t="shared" si="868"/>
        <v>1000</v>
      </c>
      <c r="AI1014" s="397">
        <f t="shared" si="869"/>
        <v>38</v>
      </c>
      <c r="AJ1014" s="879" t="s">
        <v>1526</v>
      </c>
    </row>
    <row r="1015" spans="1:36" x14ac:dyDescent="0.2">
      <c r="A1015" s="492">
        <f>INDEX(Country!$F$31:$G$76, MATCH(AI1015, Country!$O$31:$O$76, 0), 1)</f>
        <v>4.0499999999999989</v>
      </c>
      <c r="B1015" s="2" t="str">
        <f>INDEX(Country!$F$31:$G$76, MATCH(AI1015, Country!$O$31:$O$76, 0), 2)</f>
        <v>GHG country registry</v>
      </c>
      <c r="C1015" s="436" t="str">
        <f>INDEX(Country!$K$31:$K$76, MATCH(AI1015, Country!$O$31:$O$76, 0), 1)</f>
        <v>Registry</v>
      </c>
      <c r="D1015" s="4" t="str">
        <f t="shared" si="871"/>
        <v>Bahamas</v>
      </c>
      <c r="E1015" s="47"/>
      <c r="F1015" s="47"/>
      <c r="G1015" s="47"/>
      <c r="H1015" s="47"/>
      <c r="I1015" s="47"/>
      <c r="J1015" s="47"/>
      <c r="K1015" s="45"/>
      <c r="L1015" s="457">
        <f t="shared" si="906"/>
        <v>0</v>
      </c>
      <c r="M1015" s="458">
        <f t="shared" si="907"/>
        <v>0</v>
      </c>
      <c r="N1015" s="458">
        <f t="shared" si="908"/>
        <v>0</v>
      </c>
      <c r="O1015" s="458">
        <f t="shared" si="909"/>
        <v>0</v>
      </c>
      <c r="P1015" s="458">
        <f t="shared" si="910"/>
        <v>0</v>
      </c>
      <c r="Q1015" s="458">
        <f t="shared" si="911"/>
        <v>0</v>
      </c>
      <c r="R1015" s="459">
        <f t="shared" si="912"/>
        <v>0</v>
      </c>
      <c r="S1015" s="455"/>
      <c r="T1015" s="456"/>
      <c r="U1015" s="456"/>
      <c r="V1015" s="456"/>
      <c r="W1015" s="456"/>
      <c r="X1015" s="456"/>
      <c r="Y1015" s="456"/>
      <c r="Z1015" s="79">
        <f t="shared" ref="Z1015:AE1015" si="914">AA1015</f>
        <v>0</v>
      </c>
      <c r="AA1015" s="78">
        <f t="shared" si="914"/>
        <v>0</v>
      </c>
      <c r="AB1015" s="78">
        <f t="shared" si="914"/>
        <v>0</v>
      </c>
      <c r="AC1015" s="78">
        <f t="shared" si="914"/>
        <v>0</v>
      </c>
      <c r="AD1015" s="78">
        <f t="shared" si="914"/>
        <v>0</v>
      </c>
      <c r="AE1015" s="78">
        <f t="shared" si="914"/>
        <v>0</v>
      </c>
      <c r="AF1015" s="6">
        <v>0</v>
      </c>
      <c r="AG1015" s="33" t="str">
        <f t="shared" si="867"/>
        <v>4.05 &gt; Bahamas</v>
      </c>
      <c r="AH1015" s="84">
        <f t="shared" si="868"/>
        <v>1001</v>
      </c>
      <c r="AI1015" s="84">
        <f t="shared" si="869"/>
        <v>38</v>
      </c>
      <c r="AJ1015" s="877" t="s">
        <v>1526</v>
      </c>
    </row>
    <row r="1016" spans="1:36" x14ac:dyDescent="0.2">
      <c r="A1016" s="492">
        <f>INDEX(Country!$F$31:$G$76, MATCH(AI1016, Country!$O$31:$O$76, 0), 1)</f>
        <v>4.0499999999999989</v>
      </c>
      <c r="B1016" s="2" t="str">
        <f>INDEX(Country!$F$31:$G$76, MATCH(AI1016, Country!$O$31:$O$76, 0), 2)</f>
        <v>GHG country registry</v>
      </c>
      <c r="C1016" s="436" t="str">
        <f>INDEX(Country!$K$31:$K$76, MATCH(AI1016, Country!$O$31:$O$76, 0), 1)</f>
        <v>Registry</v>
      </c>
      <c r="D1016" s="4" t="str">
        <f t="shared" si="871"/>
        <v>Barbados</v>
      </c>
      <c r="E1016" s="47"/>
      <c r="F1016" s="47"/>
      <c r="G1016" s="47"/>
      <c r="H1016" s="47"/>
      <c r="I1016" s="47"/>
      <c r="J1016" s="47"/>
      <c r="K1016" s="45"/>
      <c r="L1016" s="457">
        <f t="shared" si="906"/>
        <v>0</v>
      </c>
      <c r="M1016" s="458">
        <f t="shared" si="907"/>
        <v>0</v>
      </c>
      <c r="N1016" s="458">
        <f t="shared" si="908"/>
        <v>0</v>
      </c>
      <c r="O1016" s="458">
        <f t="shared" si="909"/>
        <v>0</v>
      </c>
      <c r="P1016" s="458">
        <f t="shared" si="910"/>
        <v>0</v>
      </c>
      <c r="Q1016" s="458">
        <f t="shared" si="911"/>
        <v>0</v>
      </c>
      <c r="R1016" s="459">
        <f t="shared" si="912"/>
        <v>0</v>
      </c>
      <c r="S1016" s="455"/>
      <c r="T1016" s="456"/>
      <c r="U1016" s="456"/>
      <c r="V1016" s="456"/>
      <c r="W1016" s="456"/>
      <c r="X1016" s="456"/>
      <c r="Y1016" s="456"/>
      <c r="Z1016" s="79">
        <f t="shared" ref="Z1016:AE1016" si="915">AA1016</f>
        <v>0</v>
      </c>
      <c r="AA1016" s="78">
        <f t="shared" si="915"/>
        <v>0</v>
      </c>
      <c r="AB1016" s="78">
        <f t="shared" si="915"/>
        <v>0</v>
      </c>
      <c r="AC1016" s="78">
        <f t="shared" si="915"/>
        <v>0</v>
      </c>
      <c r="AD1016" s="78">
        <f t="shared" si="915"/>
        <v>0</v>
      </c>
      <c r="AE1016" s="78">
        <f t="shared" si="915"/>
        <v>0</v>
      </c>
      <c r="AF1016" s="6">
        <v>0</v>
      </c>
      <c r="AG1016" s="33" t="str">
        <f t="shared" si="867"/>
        <v>4.05 &gt; Barbados</v>
      </c>
      <c r="AH1016" s="84">
        <f t="shared" si="868"/>
        <v>1002</v>
      </c>
      <c r="AI1016" s="84">
        <f t="shared" si="869"/>
        <v>38</v>
      </c>
      <c r="AJ1016" s="877" t="s">
        <v>1526</v>
      </c>
    </row>
    <row r="1017" spans="1:36" x14ac:dyDescent="0.2">
      <c r="A1017" s="492">
        <f>INDEX(Country!$F$31:$G$76, MATCH(AI1017, Country!$O$31:$O$76, 0), 1)</f>
        <v>4.0499999999999989</v>
      </c>
      <c r="B1017" s="2" t="str">
        <f>INDEX(Country!$F$31:$G$76, MATCH(AI1017, Country!$O$31:$O$76, 0), 2)</f>
        <v>GHG country registry</v>
      </c>
      <c r="C1017" s="436" t="str">
        <f>INDEX(Country!$K$31:$K$76, MATCH(AI1017, Country!$O$31:$O$76, 0), 1)</f>
        <v>Registry</v>
      </c>
      <c r="D1017" s="4" t="str">
        <f t="shared" si="871"/>
        <v>Belize</v>
      </c>
      <c r="E1017" s="47"/>
      <c r="F1017" s="47"/>
      <c r="G1017" s="47"/>
      <c r="H1017" s="47"/>
      <c r="I1017" s="47"/>
      <c r="J1017" s="47"/>
      <c r="K1017" s="45"/>
      <c r="L1017" s="457">
        <f t="shared" si="906"/>
        <v>0</v>
      </c>
      <c r="M1017" s="458">
        <f t="shared" si="907"/>
        <v>0</v>
      </c>
      <c r="N1017" s="458">
        <f t="shared" si="908"/>
        <v>0</v>
      </c>
      <c r="O1017" s="458">
        <f t="shared" si="909"/>
        <v>0</v>
      </c>
      <c r="P1017" s="458">
        <f t="shared" si="910"/>
        <v>0</v>
      </c>
      <c r="Q1017" s="458">
        <f t="shared" si="911"/>
        <v>0</v>
      </c>
      <c r="R1017" s="459">
        <f t="shared" si="912"/>
        <v>0</v>
      </c>
      <c r="S1017" s="455"/>
      <c r="T1017" s="456"/>
      <c r="U1017" s="456"/>
      <c r="V1017" s="456"/>
      <c r="W1017" s="456"/>
      <c r="X1017" s="456"/>
      <c r="Y1017" s="456"/>
      <c r="Z1017" s="79">
        <f t="shared" ref="Z1017:AE1017" si="916">AA1017</f>
        <v>0</v>
      </c>
      <c r="AA1017" s="78">
        <f t="shared" si="916"/>
        <v>0</v>
      </c>
      <c r="AB1017" s="78">
        <f t="shared" si="916"/>
        <v>0</v>
      </c>
      <c r="AC1017" s="78">
        <f t="shared" si="916"/>
        <v>0</v>
      </c>
      <c r="AD1017" s="78">
        <f t="shared" si="916"/>
        <v>0</v>
      </c>
      <c r="AE1017" s="78">
        <f t="shared" si="916"/>
        <v>0</v>
      </c>
      <c r="AF1017" s="6">
        <v>0</v>
      </c>
      <c r="AG1017" s="33" t="str">
        <f t="shared" si="867"/>
        <v>4.05 &gt; Belize</v>
      </c>
      <c r="AH1017" s="84">
        <f t="shared" si="868"/>
        <v>1003</v>
      </c>
      <c r="AI1017" s="84">
        <f t="shared" si="869"/>
        <v>38</v>
      </c>
      <c r="AJ1017" s="877" t="s">
        <v>1526</v>
      </c>
    </row>
    <row r="1018" spans="1:36" x14ac:dyDescent="0.2">
      <c r="A1018" s="492">
        <f>INDEX(Country!$F$31:$G$76, MATCH(AI1018, Country!$O$31:$O$76, 0), 1)</f>
        <v>4.0499999999999989</v>
      </c>
      <c r="B1018" s="2" t="str">
        <f>INDEX(Country!$F$31:$G$76, MATCH(AI1018, Country!$O$31:$O$76, 0), 2)</f>
        <v>GHG country registry</v>
      </c>
      <c r="C1018" s="436" t="str">
        <f>INDEX(Country!$K$31:$K$76, MATCH(AI1018, Country!$O$31:$O$76, 0), 1)</f>
        <v>Registry</v>
      </c>
      <c r="D1018" s="4" t="str">
        <f t="shared" si="871"/>
        <v>Bolivia</v>
      </c>
      <c r="E1018" s="47"/>
      <c r="F1018" s="47"/>
      <c r="G1018" s="47"/>
      <c r="H1018" s="47"/>
      <c r="I1018" s="47"/>
      <c r="J1018" s="47"/>
      <c r="K1018" s="45"/>
      <c r="L1018" s="457">
        <f t="shared" si="906"/>
        <v>0</v>
      </c>
      <c r="M1018" s="458">
        <f t="shared" si="907"/>
        <v>0</v>
      </c>
      <c r="N1018" s="458">
        <f t="shared" si="908"/>
        <v>0</v>
      </c>
      <c r="O1018" s="458">
        <f t="shared" si="909"/>
        <v>0</v>
      </c>
      <c r="P1018" s="458">
        <f t="shared" si="910"/>
        <v>0</v>
      </c>
      <c r="Q1018" s="458">
        <f t="shared" si="911"/>
        <v>0</v>
      </c>
      <c r="R1018" s="459">
        <f t="shared" si="912"/>
        <v>0</v>
      </c>
      <c r="S1018" s="455"/>
      <c r="T1018" s="456"/>
      <c r="U1018" s="456"/>
      <c r="V1018" s="456"/>
      <c r="W1018" s="456"/>
      <c r="X1018" s="456"/>
      <c r="Y1018" s="456"/>
      <c r="Z1018" s="79">
        <f t="shared" ref="Z1018:AE1018" si="917">AA1018</f>
        <v>0</v>
      </c>
      <c r="AA1018" s="78">
        <f t="shared" si="917"/>
        <v>0</v>
      </c>
      <c r="AB1018" s="78">
        <f t="shared" si="917"/>
        <v>0</v>
      </c>
      <c r="AC1018" s="78">
        <f t="shared" si="917"/>
        <v>0</v>
      </c>
      <c r="AD1018" s="78">
        <f t="shared" si="917"/>
        <v>0</v>
      </c>
      <c r="AE1018" s="78">
        <f t="shared" si="917"/>
        <v>0</v>
      </c>
      <c r="AF1018" s="6">
        <v>0</v>
      </c>
      <c r="AG1018" s="33" t="str">
        <f t="shared" si="867"/>
        <v>4.05 &gt; Bolivia</v>
      </c>
      <c r="AH1018" s="84">
        <f t="shared" si="868"/>
        <v>1004</v>
      </c>
      <c r="AI1018" s="84">
        <f t="shared" si="869"/>
        <v>38</v>
      </c>
      <c r="AJ1018" s="877" t="s">
        <v>1526</v>
      </c>
    </row>
    <row r="1019" spans="1:36" x14ac:dyDescent="0.2">
      <c r="A1019" s="492">
        <f>INDEX(Country!$F$31:$G$76, MATCH(AI1019, Country!$O$31:$O$76, 0), 1)</f>
        <v>4.0499999999999989</v>
      </c>
      <c r="B1019" s="2" t="str">
        <f>INDEX(Country!$F$31:$G$76, MATCH(AI1019, Country!$O$31:$O$76, 0), 2)</f>
        <v>GHG country registry</v>
      </c>
      <c r="C1019" s="436" t="str">
        <f>INDEX(Country!$K$31:$K$76, MATCH(AI1019, Country!$O$31:$O$76, 0), 1)</f>
        <v>Registry</v>
      </c>
      <c r="D1019" s="4" t="str">
        <f t="shared" si="871"/>
        <v>Brazil</v>
      </c>
      <c r="E1019" s="47"/>
      <c r="F1019" s="47"/>
      <c r="G1019" s="47"/>
      <c r="H1019" s="47"/>
      <c r="I1019" s="47"/>
      <c r="J1019" s="47"/>
      <c r="K1019" s="45"/>
      <c r="L1019" s="457">
        <f t="shared" si="906"/>
        <v>66.666666666666657</v>
      </c>
      <c r="M1019" s="458">
        <f t="shared" si="907"/>
        <v>66.666666666666657</v>
      </c>
      <c r="N1019" s="458">
        <f t="shared" si="908"/>
        <v>66.666666666666657</v>
      </c>
      <c r="O1019" s="458">
        <f t="shared" si="909"/>
        <v>66.666666666666657</v>
      </c>
      <c r="P1019" s="458">
        <f t="shared" si="910"/>
        <v>66.666666666666657</v>
      </c>
      <c r="Q1019" s="458">
        <f t="shared" si="911"/>
        <v>66.666666666666657</v>
      </c>
      <c r="R1019" s="459">
        <f t="shared" si="912"/>
        <v>66.666666666666657</v>
      </c>
      <c r="S1019" s="455"/>
      <c r="T1019" s="456"/>
      <c r="U1019" s="456"/>
      <c r="V1019" s="456"/>
      <c r="W1019" s="456"/>
      <c r="X1019" s="456"/>
      <c r="Y1019" s="456"/>
      <c r="Z1019" s="79">
        <f t="shared" ref="Z1019:AE1019" si="918">AA1019</f>
        <v>2</v>
      </c>
      <c r="AA1019" s="78">
        <f t="shared" si="918"/>
        <v>2</v>
      </c>
      <c r="AB1019" s="78">
        <f t="shared" si="918"/>
        <v>2</v>
      </c>
      <c r="AC1019" s="78">
        <f t="shared" si="918"/>
        <v>2</v>
      </c>
      <c r="AD1019" s="78">
        <f t="shared" si="918"/>
        <v>2</v>
      </c>
      <c r="AE1019" s="78">
        <f t="shared" si="918"/>
        <v>2</v>
      </c>
      <c r="AF1019" s="6">
        <v>2</v>
      </c>
      <c r="AG1019" s="33" t="str">
        <f t="shared" si="867"/>
        <v>4.05 &gt; Brazil</v>
      </c>
      <c r="AH1019" s="84">
        <f t="shared" si="868"/>
        <v>1005</v>
      </c>
      <c r="AI1019" s="84">
        <f t="shared" si="869"/>
        <v>38</v>
      </c>
      <c r="AJ1019" s="877" t="s">
        <v>1526</v>
      </c>
    </row>
    <row r="1020" spans="1:36" x14ac:dyDescent="0.2">
      <c r="A1020" s="492">
        <f>INDEX(Country!$F$31:$G$76, MATCH(AI1020, Country!$O$31:$O$76, 0), 1)</f>
        <v>4.0499999999999989</v>
      </c>
      <c r="B1020" s="2" t="str">
        <f>INDEX(Country!$F$31:$G$76, MATCH(AI1020, Country!$O$31:$O$76, 0), 2)</f>
        <v>GHG country registry</v>
      </c>
      <c r="C1020" s="436" t="str">
        <f>INDEX(Country!$K$31:$K$76, MATCH(AI1020, Country!$O$31:$O$76, 0), 1)</f>
        <v>Registry</v>
      </c>
      <c r="D1020" s="4" t="str">
        <f t="shared" si="871"/>
        <v>Chile</v>
      </c>
      <c r="E1020" s="47"/>
      <c r="F1020" s="47"/>
      <c r="G1020" s="47"/>
      <c r="H1020" s="47"/>
      <c r="I1020" s="47"/>
      <c r="J1020" s="47"/>
      <c r="K1020" s="45"/>
      <c r="L1020" s="457">
        <f t="shared" si="906"/>
        <v>16.666666666666664</v>
      </c>
      <c r="M1020" s="458">
        <f t="shared" si="907"/>
        <v>16.666666666666664</v>
      </c>
      <c r="N1020" s="458">
        <f t="shared" si="908"/>
        <v>16.666666666666664</v>
      </c>
      <c r="O1020" s="458">
        <f t="shared" si="909"/>
        <v>16.666666666666664</v>
      </c>
      <c r="P1020" s="458">
        <f t="shared" si="910"/>
        <v>16.666666666666664</v>
      </c>
      <c r="Q1020" s="458">
        <f t="shared" si="911"/>
        <v>16.666666666666664</v>
      </c>
      <c r="R1020" s="459">
        <f t="shared" si="912"/>
        <v>16.666666666666664</v>
      </c>
      <c r="S1020" s="455"/>
      <c r="T1020" s="456"/>
      <c r="U1020" s="456"/>
      <c r="V1020" s="456"/>
      <c r="W1020" s="456"/>
      <c r="X1020" s="456"/>
      <c r="Y1020" s="456"/>
      <c r="Z1020" s="79">
        <f t="shared" ref="Z1020:AE1020" si="919">AA1020</f>
        <v>0.5</v>
      </c>
      <c r="AA1020" s="78">
        <f t="shared" si="919"/>
        <v>0.5</v>
      </c>
      <c r="AB1020" s="78">
        <f t="shared" si="919"/>
        <v>0.5</v>
      </c>
      <c r="AC1020" s="78">
        <f t="shared" si="919"/>
        <v>0.5</v>
      </c>
      <c r="AD1020" s="78">
        <f t="shared" si="919"/>
        <v>0.5</v>
      </c>
      <c r="AE1020" s="78">
        <f t="shared" si="919"/>
        <v>0.5</v>
      </c>
      <c r="AF1020" s="6">
        <v>0.5</v>
      </c>
      <c r="AG1020" s="33" t="str">
        <f t="shared" si="867"/>
        <v>4.05 &gt; Chile</v>
      </c>
      <c r="AH1020" s="84">
        <f t="shared" si="868"/>
        <v>1006</v>
      </c>
      <c r="AI1020" s="84">
        <f t="shared" si="869"/>
        <v>38</v>
      </c>
      <c r="AJ1020" s="877" t="s">
        <v>1526</v>
      </c>
    </row>
    <row r="1021" spans="1:36" x14ac:dyDescent="0.2">
      <c r="A1021" s="492">
        <f>INDEX(Country!$F$31:$G$76, MATCH(AI1021, Country!$O$31:$O$76, 0), 1)</f>
        <v>4.0499999999999989</v>
      </c>
      <c r="B1021" s="2" t="str">
        <f>INDEX(Country!$F$31:$G$76, MATCH(AI1021, Country!$O$31:$O$76, 0), 2)</f>
        <v>GHG country registry</v>
      </c>
      <c r="C1021" s="436" t="str">
        <f>INDEX(Country!$K$31:$K$76, MATCH(AI1021, Country!$O$31:$O$76, 0), 1)</f>
        <v>Registry</v>
      </c>
      <c r="D1021" s="4" t="str">
        <f t="shared" si="871"/>
        <v>Colombia</v>
      </c>
      <c r="E1021" s="47"/>
      <c r="F1021" s="47"/>
      <c r="G1021" s="47"/>
      <c r="H1021" s="47"/>
      <c r="I1021" s="47"/>
      <c r="J1021" s="47"/>
      <c r="K1021" s="45"/>
      <c r="L1021" s="457">
        <f t="shared" si="906"/>
        <v>16.666666666666664</v>
      </c>
      <c r="M1021" s="458">
        <f t="shared" si="907"/>
        <v>16.666666666666664</v>
      </c>
      <c r="N1021" s="458">
        <f t="shared" si="908"/>
        <v>16.666666666666664</v>
      </c>
      <c r="O1021" s="458">
        <f t="shared" si="909"/>
        <v>16.666666666666664</v>
      </c>
      <c r="P1021" s="458">
        <f t="shared" si="910"/>
        <v>16.666666666666664</v>
      </c>
      <c r="Q1021" s="458">
        <f t="shared" si="911"/>
        <v>16.666666666666664</v>
      </c>
      <c r="R1021" s="459">
        <f t="shared" si="912"/>
        <v>16.666666666666664</v>
      </c>
      <c r="S1021" s="455"/>
      <c r="T1021" s="456"/>
      <c r="U1021" s="456"/>
      <c r="V1021" s="456"/>
      <c r="W1021" s="456"/>
      <c r="X1021" s="456"/>
      <c r="Y1021" s="456"/>
      <c r="Z1021" s="79">
        <f t="shared" ref="Z1021:AE1021" si="920">AA1021</f>
        <v>0.5</v>
      </c>
      <c r="AA1021" s="78">
        <f t="shared" si="920"/>
        <v>0.5</v>
      </c>
      <c r="AB1021" s="78">
        <f t="shared" si="920"/>
        <v>0.5</v>
      </c>
      <c r="AC1021" s="78">
        <f t="shared" si="920"/>
        <v>0.5</v>
      </c>
      <c r="AD1021" s="78">
        <f t="shared" si="920"/>
        <v>0.5</v>
      </c>
      <c r="AE1021" s="78">
        <f t="shared" si="920"/>
        <v>0.5</v>
      </c>
      <c r="AF1021" s="6">
        <v>0.5</v>
      </c>
      <c r="AG1021" s="33" t="str">
        <f t="shared" si="867"/>
        <v>4.05 &gt; Colombia</v>
      </c>
      <c r="AH1021" s="84">
        <f t="shared" si="868"/>
        <v>1007</v>
      </c>
      <c r="AI1021" s="84">
        <f t="shared" si="869"/>
        <v>38</v>
      </c>
      <c r="AJ1021" s="877" t="s">
        <v>1526</v>
      </c>
    </row>
    <row r="1022" spans="1:36" x14ac:dyDescent="0.2">
      <c r="A1022" s="492">
        <f>INDEX(Country!$F$31:$G$76, MATCH(AI1022, Country!$O$31:$O$76, 0), 1)</f>
        <v>4.0499999999999989</v>
      </c>
      <c r="B1022" s="2" t="str">
        <f>INDEX(Country!$F$31:$G$76, MATCH(AI1022, Country!$O$31:$O$76, 0), 2)</f>
        <v>GHG country registry</v>
      </c>
      <c r="C1022" s="436" t="str">
        <f>INDEX(Country!$K$31:$K$76, MATCH(AI1022, Country!$O$31:$O$76, 0), 1)</f>
        <v>Registry</v>
      </c>
      <c r="D1022" s="4" t="str">
        <f t="shared" si="871"/>
        <v>Costa Rica</v>
      </c>
      <c r="E1022" s="47"/>
      <c r="F1022" s="47"/>
      <c r="G1022" s="47"/>
      <c r="H1022" s="47"/>
      <c r="I1022" s="47"/>
      <c r="J1022" s="47"/>
      <c r="K1022" s="45"/>
      <c r="L1022" s="457">
        <f t="shared" si="906"/>
        <v>0</v>
      </c>
      <c r="M1022" s="458">
        <f t="shared" si="907"/>
        <v>0</v>
      </c>
      <c r="N1022" s="458">
        <f t="shared" si="908"/>
        <v>0</v>
      </c>
      <c r="O1022" s="458">
        <f t="shared" si="909"/>
        <v>0</v>
      </c>
      <c r="P1022" s="458">
        <f t="shared" si="910"/>
        <v>0</v>
      </c>
      <c r="Q1022" s="458">
        <f t="shared" si="911"/>
        <v>0</v>
      </c>
      <c r="R1022" s="459">
        <f t="shared" si="912"/>
        <v>0</v>
      </c>
      <c r="S1022" s="455"/>
      <c r="T1022" s="456"/>
      <c r="U1022" s="456"/>
      <c r="V1022" s="456"/>
      <c r="W1022" s="456"/>
      <c r="X1022" s="456"/>
      <c r="Y1022" s="456"/>
      <c r="Z1022" s="79">
        <f t="shared" ref="Z1022:AE1022" si="921">AA1022</f>
        <v>0</v>
      </c>
      <c r="AA1022" s="78">
        <f t="shared" si="921"/>
        <v>0</v>
      </c>
      <c r="AB1022" s="78">
        <f t="shared" si="921"/>
        <v>0</v>
      </c>
      <c r="AC1022" s="78">
        <f t="shared" si="921"/>
        <v>0</v>
      </c>
      <c r="AD1022" s="78">
        <f t="shared" si="921"/>
        <v>0</v>
      </c>
      <c r="AE1022" s="78">
        <f t="shared" si="921"/>
        <v>0</v>
      </c>
      <c r="AF1022" s="6">
        <v>0</v>
      </c>
      <c r="AG1022" s="33" t="str">
        <f t="shared" si="867"/>
        <v>4.05 &gt; Costa Rica</v>
      </c>
      <c r="AH1022" s="84">
        <f t="shared" si="868"/>
        <v>1008</v>
      </c>
      <c r="AI1022" s="84">
        <f t="shared" si="869"/>
        <v>38</v>
      </c>
      <c r="AJ1022" s="877" t="s">
        <v>1526</v>
      </c>
    </row>
    <row r="1023" spans="1:36" x14ac:dyDescent="0.2">
      <c r="A1023" s="492">
        <f>INDEX(Country!$F$31:$G$76, MATCH(AI1023, Country!$O$31:$O$76, 0), 1)</f>
        <v>4.0499999999999989</v>
      </c>
      <c r="B1023" s="2" t="str">
        <f>INDEX(Country!$F$31:$G$76, MATCH(AI1023, Country!$O$31:$O$76, 0), 2)</f>
        <v>GHG country registry</v>
      </c>
      <c r="C1023" s="436" t="str">
        <f>INDEX(Country!$K$31:$K$76, MATCH(AI1023, Country!$O$31:$O$76, 0), 1)</f>
        <v>Registry</v>
      </c>
      <c r="D1023" s="4" t="str">
        <f t="shared" si="871"/>
        <v>Dominican Republic</v>
      </c>
      <c r="E1023" s="47"/>
      <c r="F1023" s="47"/>
      <c r="G1023" s="47"/>
      <c r="H1023" s="47"/>
      <c r="I1023" s="47"/>
      <c r="J1023" s="47"/>
      <c r="K1023" s="45"/>
      <c r="L1023" s="457">
        <f t="shared" si="906"/>
        <v>0</v>
      </c>
      <c r="M1023" s="458">
        <f t="shared" si="907"/>
        <v>0</v>
      </c>
      <c r="N1023" s="458">
        <f t="shared" si="908"/>
        <v>0</v>
      </c>
      <c r="O1023" s="458">
        <f t="shared" si="909"/>
        <v>0</v>
      </c>
      <c r="P1023" s="458">
        <f t="shared" si="910"/>
        <v>0</v>
      </c>
      <c r="Q1023" s="458">
        <f t="shared" si="911"/>
        <v>0</v>
      </c>
      <c r="R1023" s="459">
        <f t="shared" si="912"/>
        <v>0</v>
      </c>
      <c r="S1023" s="455"/>
      <c r="T1023" s="456"/>
      <c r="U1023" s="456"/>
      <c r="V1023" s="456"/>
      <c r="W1023" s="456"/>
      <c r="X1023" s="456"/>
      <c r="Y1023" s="456"/>
      <c r="Z1023" s="79">
        <f t="shared" ref="Z1023:AE1023" si="922">AA1023</f>
        <v>0</v>
      </c>
      <c r="AA1023" s="78">
        <f t="shared" si="922"/>
        <v>0</v>
      </c>
      <c r="AB1023" s="78">
        <f t="shared" si="922"/>
        <v>0</v>
      </c>
      <c r="AC1023" s="78">
        <f t="shared" si="922"/>
        <v>0</v>
      </c>
      <c r="AD1023" s="78">
        <f t="shared" si="922"/>
        <v>0</v>
      </c>
      <c r="AE1023" s="78">
        <f t="shared" si="922"/>
        <v>0</v>
      </c>
      <c r="AF1023" s="6">
        <v>0</v>
      </c>
      <c r="AG1023" s="33" t="str">
        <f t="shared" si="867"/>
        <v>4.05 &gt; Dominican Republic</v>
      </c>
      <c r="AH1023" s="84">
        <f t="shared" si="868"/>
        <v>1009</v>
      </c>
      <c r="AI1023" s="84">
        <f t="shared" si="869"/>
        <v>38</v>
      </c>
      <c r="AJ1023" s="877" t="s">
        <v>1526</v>
      </c>
    </row>
    <row r="1024" spans="1:36" x14ac:dyDescent="0.2">
      <c r="A1024" s="492">
        <f>INDEX(Country!$F$31:$G$76, MATCH(AI1024, Country!$O$31:$O$76, 0), 1)</f>
        <v>4.0499999999999989</v>
      </c>
      <c r="B1024" s="2" t="str">
        <f>INDEX(Country!$F$31:$G$76, MATCH(AI1024, Country!$O$31:$O$76, 0), 2)</f>
        <v>GHG country registry</v>
      </c>
      <c r="C1024" s="436" t="str">
        <f>INDEX(Country!$K$31:$K$76, MATCH(AI1024, Country!$O$31:$O$76, 0), 1)</f>
        <v>Registry</v>
      </c>
      <c r="D1024" s="4" t="str">
        <f t="shared" si="871"/>
        <v>Ecuador</v>
      </c>
      <c r="E1024" s="47"/>
      <c r="F1024" s="47"/>
      <c r="G1024" s="47"/>
      <c r="H1024" s="47"/>
      <c r="I1024" s="47"/>
      <c r="J1024" s="47"/>
      <c r="K1024" s="45"/>
      <c r="L1024" s="457">
        <f t="shared" si="906"/>
        <v>0</v>
      </c>
      <c r="M1024" s="458">
        <f t="shared" si="907"/>
        <v>0</v>
      </c>
      <c r="N1024" s="458">
        <f t="shared" si="908"/>
        <v>0</v>
      </c>
      <c r="O1024" s="458">
        <f t="shared" si="909"/>
        <v>0</v>
      </c>
      <c r="P1024" s="458">
        <f t="shared" si="910"/>
        <v>0</v>
      </c>
      <c r="Q1024" s="458">
        <f t="shared" si="911"/>
        <v>0</v>
      </c>
      <c r="R1024" s="459">
        <f t="shared" si="912"/>
        <v>0</v>
      </c>
      <c r="S1024" s="455"/>
      <c r="T1024" s="456"/>
      <c r="U1024" s="456"/>
      <c r="V1024" s="456"/>
      <c r="W1024" s="456"/>
      <c r="X1024" s="456"/>
      <c r="Y1024" s="456"/>
      <c r="Z1024" s="79">
        <f t="shared" ref="Z1024:AE1024" si="923">AA1024</f>
        <v>0</v>
      </c>
      <c r="AA1024" s="78">
        <f t="shared" si="923"/>
        <v>0</v>
      </c>
      <c r="AB1024" s="78">
        <f t="shared" si="923"/>
        <v>0</v>
      </c>
      <c r="AC1024" s="78">
        <f t="shared" si="923"/>
        <v>0</v>
      </c>
      <c r="AD1024" s="78">
        <f t="shared" si="923"/>
        <v>0</v>
      </c>
      <c r="AE1024" s="78">
        <f t="shared" si="923"/>
        <v>0</v>
      </c>
      <c r="AF1024" s="6">
        <v>0</v>
      </c>
      <c r="AG1024" s="33" t="str">
        <f t="shared" si="867"/>
        <v>4.05 &gt; Ecuador</v>
      </c>
      <c r="AH1024" s="84">
        <f t="shared" si="868"/>
        <v>1010</v>
      </c>
      <c r="AI1024" s="84">
        <f t="shared" si="869"/>
        <v>38</v>
      </c>
      <c r="AJ1024" s="877" t="s">
        <v>1526</v>
      </c>
    </row>
    <row r="1025" spans="1:36" x14ac:dyDescent="0.2">
      <c r="A1025" s="492">
        <f>INDEX(Country!$F$31:$G$76, MATCH(AI1025, Country!$O$31:$O$76, 0), 1)</f>
        <v>4.0499999999999989</v>
      </c>
      <c r="B1025" s="2" t="str">
        <f>INDEX(Country!$F$31:$G$76, MATCH(AI1025, Country!$O$31:$O$76, 0), 2)</f>
        <v>GHG country registry</v>
      </c>
      <c r="C1025" s="436" t="str">
        <f>INDEX(Country!$K$31:$K$76, MATCH(AI1025, Country!$O$31:$O$76, 0), 1)</f>
        <v>Registry</v>
      </c>
      <c r="D1025" s="4" t="str">
        <f t="shared" si="871"/>
        <v>El Salvador</v>
      </c>
      <c r="E1025" s="47"/>
      <c r="F1025" s="47"/>
      <c r="G1025" s="47"/>
      <c r="H1025" s="47"/>
      <c r="I1025" s="47"/>
      <c r="J1025" s="47"/>
      <c r="K1025" s="45"/>
      <c r="L1025" s="457">
        <f t="shared" si="906"/>
        <v>0</v>
      </c>
      <c r="M1025" s="458">
        <f t="shared" si="907"/>
        <v>0</v>
      </c>
      <c r="N1025" s="458">
        <f t="shared" si="908"/>
        <v>0</v>
      </c>
      <c r="O1025" s="458">
        <f t="shared" si="909"/>
        <v>0</v>
      </c>
      <c r="P1025" s="458">
        <f t="shared" si="910"/>
        <v>0</v>
      </c>
      <c r="Q1025" s="458">
        <f t="shared" si="911"/>
        <v>0</v>
      </c>
      <c r="R1025" s="459">
        <f t="shared" si="912"/>
        <v>0</v>
      </c>
      <c r="S1025" s="455"/>
      <c r="T1025" s="456"/>
      <c r="U1025" s="456"/>
      <c r="V1025" s="456"/>
      <c r="W1025" s="456"/>
      <c r="X1025" s="456"/>
      <c r="Y1025" s="456"/>
      <c r="Z1025" s="79">
        <f t="shared" ref="Z1025:AE1025" si="924">AA1025</f>
        <v>0</v>
      </c>
      <c r="AA1025" s="78">
        <f t="shared" si="924"/>
        <v>0</v>
      </c>
      <c r="AB1025" s="78">
        <f t="shared" si="924"/>
        <v>0</v>
      </c>
      <c r="AC1025" s="78">
        <f t="shared" si="924"/>
        <v>0</v>
      </c>
      <c r="AD1025" s="78">
        <f t="shared" si="924"/>
        <v>0</v>
      </c>
      <c r="AE1025" s="78">
        <f t="shared" si="924"/>
        <v>0</v>
      </c>
      <c r="AF1025" s="6">
        <v>0</v>
      </c>
      <c r="AG1025" s="33" t="str">
        <f t="shared" si="867"/>
        <v>4.05 &gt; El Salvador</v>
      </c>
      <c r="AH1025" s="84">
        <f t="shared" si="868"/>
        <v>1011</v>
      </c>
      <c r="AI1025" s="84">
        <f t="shared" si="869"/>
        <v>38</v>
      </c>
      <c r="AJ1025" s="877" t="s">
        <v>1526</v>
      </c>
    </row>
    <row r="1026" spans="1:36" x14ac:dyDescent="0.2">
      <c r="A1026" s="492">
        <f>INDEX(Country!$F$31:$G$76, MATCH(AI1026, Country!$O$31:$O$76, 0), 1)</f>
        <v>4.0499999999999989</v>
      </c>
      <c r="B1026" s="2" t="str">
        <f>INDEX(Country!$F$31:$G$76, MATCH(AI1026, Country!$O$31:$O$76, 0), 2)</f>
        <v>GHG country registry</v>
      </c>
      <c r="C1026" s="436" t="str">
        <f>INDEX(Country!$K$31:$K$76, MATCH(AI1026, Country!$O$31:$O$76, 0), 1)</f>
        <v>Registry</v>
      </c>
      <c r="D1026" s="4" t="str">
        <f t="shared" si="871"/>
        <v>Guatemala</v>
      </c>
      <c r="E1026" s="47"/>
      <c r="F1026" s="47"/>
      <c r="G1026" s="47"/>
      <c r="H1026" s="47"/>
      <c r="I1026" s="47"/>
      <c r="J1026" s="47"/>
      <c r="K1026" s="45"/>
      <c r="L1026" s="457">
        <f t="shared" si="906"/>
        <v>0</v>
      </c>
      <c r="M1026" s="458">
        <f t="shared" si="907"/>
        <v>0</v>
      </c>
      <c r="N1026" s="458">
        <f t="shared" si="908"/>
        <v>0</v>
      </c>
      <c r="O1026" s="458">
        <f t="shared" si="909"/>
        <v>0</v>
      </c>
      <c r="P1026" s="458">
        <f t="shared" si="910"/>
        <v>0</v>
      </c>
      <c r="Q1026" s="458">
        <f t="shared" si="911"/>
        <v>0</v>
      </c>
      <c r="R1026" s="459">
        <f t="shared" si="912"/>
        <v>0</v>
      </c>
      <c r="S1026" s="455"/>
      <c r="T1026" s="456"/>
      <c r="U1026" s="456"/>
      <c r="V1026" s="456"/>
      <c r="W1026" s="456"/>
      <c r="X1026" s="456"/>
      <c r="Y1026" s="456"/>
      <c r="Z1026" s="79">
        <f t="shared" ref="Z1026:AE1026" si="925">AA1026</f>
        <v>0</v>
      </c>
      <c r="AA1026" s="78">
        <f t="shared" si="925"/>
        <v>0</v>
      </c>
      <c r="AB1026" s="78">
        <f t="shared" si="925"/>
        <v>0</v>
      </c>
      <c r="AC1026" s="78">
        <f t="shared" si="925"/>
        <v>0</v>
      </c>
      <c r="AD1026" s="78">
        <f t="shared" si="925"/>
        <v>0</v>
      </c>
      <c r="AE1026" s="78">
        <f t="shared" si="925"/>
        <v>0</v>
      </c>
      <c r="AF1026" s="6">
        <v>0</v>
      </c>
      <c r="AG1026" s="33" t="str">
        <f t="shared" si="867"/>
        <v>4.05 &gt; Guatemala</v>
      </c>
      <c r="AH1026" s="84">
        <f t="shared" si="868"/>
        <v>1012</v>
      </c>
      <c r="AI1026" s="84">
        <f t="shared" si="869"/>
        <v>38</v>
      </c>
      <c r="AJ1026" s="877" t="s">
        <v>1526</v>
      </c>
    </row>
    <row r="1027" spans="1:36" x14ac:dyDescent="0.2">
      <c r="A1027" s="492">
        <f>INDEX(Country!$F$31:$G$76, MATCH(AI1027, Country!$O$31:$O$76, 0), 1)</f>
        <v>4.0499999999999989</v>
      </c>
      <c r="B1027" s="2" t="str">
        <f>INDEX(Country!$F$31:$G$76, MATCH(AI1027, Country!$O$31:$O$76, 0), 2)</f>
        <v>GHG country registry</v>
      </c>
      <c r="C1027" s="436" t="str">
        <f>INDEX(Country!$K$31:$K$76, MATCH(AI1027, Country!$O$31:$O$76, 0), 1)</f>
        <v>Registry</v>
      </c>
      <c r="D1027" s="4" t="str">
        <f t="shared" si="871"/>
        <v>Guyana</v>
      </c>
      <c r="E1027" s="47"/>
      <c r="F1027" s="47"/>
      <c r="G1027" s="47"/>
      <c r="H1027" s="47"/>
      <c r="I1027" s="47"/>
      <c r="J1027" s="47"/>
      <c r="K1027" s="45"/>
      <c r="L1027" s="457">
        <f t="shared" si="906"/>
        <v>0</v>
      </c>
      <c r="M1027" s="458">
        <f t="shared" si="907"/>
        <v>0</v>
      </c>
      <c r="N1027" s="458">
        <f t="shared" si="908"/>
        <v>0</v>
      </c>
      <c r="O1027" s="458">
        <f t="shared" si="909"/>
        <v>0</v>
      </c>
      <c r="P1027" s="458">
        <f t="shared" si="910"/>
        <v>0</v>
      </c>
      <c r="Q1027" s="458">
        <f t="shared" si="911"/>
        <v>0</v>
      </c>
      <c r="R1027" s="459">
        <f t="shared" si="912"/>
        <v>0</v>
      </c>
      <c r="S1027" s="455"/>
      <c r="T1027" s="456"/>
      <c r="U1027" s="456"/>
      <c r="V1027" s="456"/>
      <c r="W1027" s="456"/>
      <c r="X1027" s="456"/>
      <c r="Y1027" s="456"/>
      <c r="Z1027" s="79">
        <f t="shared" ref="Z1027:AE1027" si="926">AA1027</f>
        <v>0</v>
      </c>
      <c r="AA1027" s="78">
        <f t="shared" si="926"/>
        <v>0</v>
      </c>
      <c r="AB1027" s="78">
        <f t="shared" si="926"/>
        <v>0</v>
      </c>
      <c r="AC1027" s="78">
        <f t="shared" si="926"/>
        <v>0</v>
      </c>
      <c r="AD1027" s="78">
        <f t="shared" si="926"/>
        <v>0</v>
      </c>
      <c r="AE1027" s="78">
        <f t="shared" si="926"/>
        <v>0</v>
      </c>
      <c r="AF1027" s="6">
        <v>0</v>
      </c>
      <c r="AG1027" s="33" t="str">
        <f t="shared" si="867"/>
        <v>4.05 &gt; Guyana</v>
      </c>
      <c r="AH1027" s="84">
        <f t="shared" si="868"/>
        <v>1013</v>
      </c>
      <c r="AI1027" s="84">
        <f t="shared" si="869"/>
        <v>38</v>
      </c>
      <c r="AJ1027" s="877" t="s">
        <v>1526</v>
      </c>
    </row>
    <row r="1028" spans="1:36" x14ac:dyDescent="0.2">
      <c r="A1028" s="492">
        <f>INDEX(Country!$F$31:$G$76, MATCH(AI1028, Country!$O$31:$O$76, 0), 1)</f>
        <v>4.0499999999999989</v>
      </c>
      <c r="B1028" s="2" t="str">
        <f>INDEX(Country!$F$31:$G$76, MATCH(AI1028, Country!$O$31:$O$76, 0), 2)</f>
        <v>GHG country registry</v>
      </c>
      <c r="C1028" s="436" t="str">
        <f>INDEX(Country!$K$31:$K$76, MATCH(AI1028, Country!$O$31:$O$76, 0), 1)</f>
        <v>Registry</v>
      </c>
      <c r="D1028" s="4" t="str">
        <f t="shared" si="871"/>
        <v>Haiti</v>
      </c>
      <c r="E1028" s="47"/>
      <c r="F1028" s="47"/>
      <c r="G1028" s="47"/>
      <c r="H1028" s="47"/>
      <c r="I1028" s="47"/>
      <c r="J1028" s="47"/>
      <c r="K1028" s="45"/>
      <c r="L1028" s="457">
        <f t="shared" si="906"/>
        <v>0</v>
      </c>
      <c r="M1028" s="458">
        <f t="shared" si="907"/>
        <v>0</v>
      </c>
      <c r="N1028" s="458">
        <f t="shared" si="908"/>
        <v>0</v>
      </c>
      <c r="O1028" s="458">
        <f t="shared" si="909"/>
        <v>0</v>
      </c>
      <c r="P1028" s="458">
        <f t="shared" si="910"/>
        <v>0</v>
      </c>
      <c r="Q1028" s="458">
        <f t="shared" si="911"/>
        <v>0</v>
      </c>
      <c r="R1028" s="459">
        <f t="shared" si="912"/>
        <v>0</v>
      </c>
      <c r="S1028" s="455"/>
      <c r="T1028" s="456"/>
      <c r="U1028" s="456"/>
      <c r="V1028" s="456"/>
      <c r="W1028" s="456"/>
      <c r="X1028" s="456"/>
      <c r="Y1028" s="456"/>
      <c r="Z1028" s="79">
        <f t="shared" ref="Z1028:AE1028" si="927">AA1028</f>
        <v>0</v>
      </c>
      <c r="AA1028" s="78">
        <f t="shared" si="927"/>
        <v>0</v>
      </c>
      <c r="AB1028" s="78">
        <f t="shared" si="927"/>
        <v>0</v>
      </c>
      <c r="AC1028" s="78">
        <f t="shared" si="927"/>
        <v>0</v>
      </c>
      <c r="AD1028" s="78">
        <f t="shared" si="927"/>
        <v>0</v>
      </c>
      <c r="AE1028" s="78">
        <f t="shared" si="927"/>
        <v>0</v>
      </c>
      <c r="AF1028" s="6">
        <v>0</v>
      </c>
      <c r="AG1028" s="33" t="str">
        <f t="shared" si="867"/>
        <v>4.05 &gt; Haiti</v>
      </c>
      <c r="AH1028" s="84">
        <f t="shared" si="868"/>
        <v>1014</v>
      </c>
      <c r="AI1028" s="84">
        <f t="shared" si="869"/>
        <v>38</v>
      </c>
      <c r="AJ1028" s="877" t="s">
        <v>1526</v>
      </c>
    </row>
    <row r="1029" spans="1:36" x14ac:dyDescent="0.2">
      <c r="A1029" s="492">
        <f>INDEX(Country!$F$31:$G$76, MATCH(AI1029, Country!$O$31:$O$76, 0), 1)</f>
        <v>4.0499999999999989</v>
      </c>
      <c r="B1029" s="2" t="str">
        <f>INDEX(Country!$F$31:$G$76, MATCH(AI1029, Country!$O$31:$O$76, 0), 2)</f>
        <v>GHG country registry</v>
      </c>
      <c r="C1029" s="436" t="str">
        <f>INDEX(Country!$K$31:$K$76, MATCH(AI1029, Country!$O$31:$O$76, 0), 1)</f>
        <v>Registry</v>
      </c>
      <c r="D1029" s="4" t="str">
        <f t="shared" si="871"/>
        <v>Honduras</v>
      </c>
      <c r="E1029" s="47"/>
      <c r="F1029" s="47"/>
      <c r="G1029" s="47"/>
      <c r="H1029" s="47"/>
      <c r="I1029" s="47"/>
      <c r="J1029" s="47"/>
      <c r="K1029" s="45"/>
      <c r="L1029" s="457">
        <f t="shared" si="906"/>
        <v>0</v>
      </c>
      <c r="M1029" s="458">
        <f t="shared" si="907"/>
        <v>0</v>
      </c>
      <c r="N1029" s="458">
        <f t="shared" si="908"/>
        <v>0</v>
      </c>
      <c r="O1029" s="458">
        <f t="shared" si="909"/>
        <v>0</v>
      </c>
      <c r="P1029" s="458">
        <f t="shared" si="910"/>
        <v>0</v>
      </c>
      <c r="Q1029" s="458">
        <f t="shared" si="911"/>
        <v>0</v>
      </c>
      <c r="R1029" s="459">
        <f t="shared" si="912"/>
        <v>0</v>
      </c>
      <c r="S1029" s="455"/>
      <c r="T1029" s="456"/>
      <c r="U1029" s="456"/>
      <c r="V1029" s="456"/>
      <c r="W1029" s="456"/>
      <c r="X1029" s="456"/>
      <c r="Y1029" s="456"/>
      <c r="Z1029" s="79">
        <f t="shared" ref="Z1029:AE1029" si="928">AA1029</f>
        <v>0</v>
      </c>
      <c r="AA1029" s="78">
        <f t="shared" si="928"/>
        <v>0</v>
      </c>
      <c r="AB1029" s="78">
        <f t="shared" si="928"/>
        <v>0</v>
      </c>
      <c r="AC1029" s="78">
        <f t="shared" si="928"/>
        <v>0</v>
      </c>
      <c r="AD1029" s="78">
        <f t="shared" si="928"/>
        <v>0</v>
      </c>
      <c r="AE1029" s="78">
        <f t="shared" si="928"/>
        <v>0</v>
      </c>
      <c r="AF1029" s="6">
        <v>0</v>
      </c>
      <c r="AG1029" s="33" t="str">
        <f t="shared" si="867"/>
        <v>4.05 &gt; Honduras</v>
      </c>
      <c r="AH1029" s="84">
        <f t="shared" si="868"/>
        <v>1015</v>
      </c>
      <c r="AI1029" s="84">
        <f t="shared" si="869"/>
        <v>38</v>
      </c>
      <c r="AJ1029" s="877" t="s">
        <v>1526</v>
      </c>
    </row>
    <row r="1030" spans="1:36" x14ac:dyDescent="0.2">
      <c r="A1030" s="492">
        <f>INDEX(Country!$F$31:$G$76, MATCH(AI1030, Country!$O$31:$O$76, 0), 1)</f>
        <v>4.0499999999999989</v>
      </c>
      <c r="B1030" s="2" t="str">
        <f>INDEX(Country!$F$31:$G$76, MATCH(AI1030, Country!$O$31:$O$76, 0), 2)</f>
        <v>GHG country registry</v>
      </c>
      <c r="C1030" s="436" t="str">
        <f>INDEX(Country!$K$31:$K$76, MATCH(AI1030, Country!$O$31:$O$76, 0), 1)</f>
        <v>Registry</v>
      </c>
      <c r="D1030" s="4" t="str">
        <f t="shared" si="871"/>
        <v>Jamaica</v>
      </c>
      <c r="E1030" s="47"/>
      <c r="F1030" s="47"/>
      <c r="G1030" s="47"/>
      <c r="H1030" s="47"/>
      <c r="I1030" s="47"/>
      <c r="J1030" s="47"/>
      <c r="K1030" s="45"/>
      <c r="L1030" s="457">
        <f t="shared" si="906"/>
        <v>0</v>
      </c>
      <c r="M1030" s="458">
        <f t="shared" si="907"/>
        <v>0</v>
      </c>
      <c r="N1030" s="458">
        <f t="shared" si="908"/>
        <v>0</v>
      </c>
      <c r="O1030" s="458">
        <f t="shared" si="909"/>
        <v>0</v>
      </c>
      <c r="P1030" s="458">
        <f t="shared" si="910"/>
        <v>0</v>
      </c>
      <c r="Q1030" s="458">
        <f t="shared" si="911"/>
        <v>0</v>
      </c>
      <c r="R1030" s="459">
        <f t="shared" si="912"/>
        <v>0</v>
      </c>
      <c r="S1030" s="455"/>
      <c r="T1030" s="456"/>
      <c r="U1030" s="456"/>
      <c r="V1030" s="456"/>
      <c r="W1030" s="456"/>
      <c r="X1030" s="456"/>
      <c r="Y1030" s="456"/>
      <c r="Z1030" s="79">
        <f t="shared" ref="Z1030:AE1030" si="929">AA1030</f>
        <v>0</v>
      </c>
      <c r="AA1030" s="78">
        <f t="shared" si="929"/>
        <v>0</v>
      </c>
      <c r="AB1030" s="78">
        <f t="shared" si="929"/>
        <v>0</v>
      </c>
      <c r="AC1030" s="78">
        <f t="shared" si="929"/>
        <v>0</v>
      </c>
      <c r="AD1030" s="78">
        <f t="shared" si="929"/>
        <v>0</v>
      </c>
      <c r="AE1030" s="78">
        <f t="shared" si="929"/>
        <v>0</v>
      </c>
      <c r="AF1030" s="6">
        <v>0</v>
      </c>
      <c r="AG1030" s="33" t="str">
        <f t="shared" si="867"/>
        <v>4.05 &gt; Jamaica</v>
      </c>
      <c r="AH1030" s="84">
        <f t="shared" si="868"/>
        <v>1016</v>
      </c>
      <c r="AI1030" s="84">
        <f t="shared" si="869"/>
        <v>38</v>
      </c>
      <c r="AJ1030" s="877" t="s">
        <v>1526</v>
      </c>
    </row>
    <row r="1031" spans="1:36" x14ac:dyDescent="0.2">
      <c r="A1031" s="492">
        <f>INDEX(Country!$F$31:$G$76, MATCH(AI1031, Country!$O$31:$O$76, 0), 1)</f>
        <v>4.0499999999999989</v>
      </c>
      <c r="B1031" s="2" t="str">
        <f>INDEX(Country!$F$31:$G$76, MATCH(AI1031, Country!$O$31:$O$76, 0), 2)</f>
        <v>GHG country registry</v>
      </c>
      <c r="C1031" s="436" t="str">
        <f>INDEX(Country!$K$31:$K$76, MATCH(AI1031, Country!$O$31:$O$76, 0), 1)</f>
        <v>Registry</v>
      </c>
      <c r="D1031" s="4" t="str">
        <f t="shared" si="871"/>
        <v>Mexico</v>
      </c>
      <c r="E1031" s="47"/>
      <c r="F1031" s="47"/>
      <c r="G1031" s="47"/>
      <c r="H1031" s="47"/>
      <c r="I1031" s="47"/>
      <c r="J1031" s="47"/>
      <c r="K1031" s="45"/>
      <c r="L1031" s="457">
        <f t="shared" si="906"/>
        <v>66.666666666666657</v>
      </c>
      <c r="M1031" s="458">
        <f t="shared" si="907"/>
        <v>66.666666666666657</v>
      </c>
      <c r="N1031" s="458">
        <f t="shared" si="908"/>
        <v>66.666666666666657</v>
      </c>
      <c r="O1031" s="458">
        <f t="shared" si="909"/>
        <v>66.666666666666657</v>
      </c>
      <c r="P1031" s="458">
        <f t="shared" si="910"/>
        <v>66.666666666666657</v>
      </c>
      <c r="Q1031" s="458">
        <f t="shared" si="911"/>
        <v>66.666666666666657</v>
      </c>
      <c r="R1031" s="459">
        <f t="shared" si="912"/>
        <v>66.666666666666657</v>
      </c>
      <c r="S1031" s="455"/>
      <c r="T1031" s="456"/>
      <c r="U1031" s="456"/>
      <c r="V1031" s="456"/>
      <c r="W1031" s="456"/>
      <c r="X1031" s="456"/>
      <c r="Y1031" s="456"/>
      <c r="Z1031" s="79">
        <f t="shared" ref="Z1031:AE1031" si="930">AA1031</f>
        <v>2</v>
      </c>
      <c r="AA1031" s="78">
        <f t="shared" si="930"/>
        <v>2</v>
      </c>
      <c r="AB1031" s="78">
        <f t="shared" si="930"/>
        <v>2</v>
      </c>
      <c r="AC1031" s="78">
        <f t="shared" si="930"/>
        <v>2</v>
      </c>
      <c r="AD1031" s="78">
        <f t="shared" si="930"/>
        <v>2</v>
      </c>
      <c r="AE1031" s="78">
        <f t="shared" si="930"/>
        <v>2</v>
      </c>
      <c r="AF1031" s="6">
        <v>2</v>
      </c>
      <c r="AG1031" s="33" t="str">
        <f t="shared" si="867"/>
        <v>4.05 &gt; Mexico</v>
      </c>
      <c r="AH1031" s="84">
        <f t="shared" si="868"/>
        <v>1017</v>
      </c>
      <c r="AI1031" s="84">
        <f t="shared" si="869"/>
        <v>38</v>
      </c>
      <c r="AJ1031" s="877" t="s">
        <v>1526</v>
      </c>
    </row>
    <row r="1032" spans="1:36" x14ac:dyDescent="0.2">
      <c r="A1032" s="492">
        <f>INDEX(Country!$F$31:$G$76, MATCH(AI1032, Country!$O$31:$O$76, 0), 1)</f>
        <v>4.0499999999999989</v>
      </c>
      <c r="B1032" s="2" t="str">
        <f>INDEX(Country!$F$31:$G$76, MATCH(AI1032, Country!$O$31:$O$76, 0), 2)</f>
        <v>GHG country registry</v>
      </c>
      <c r="C1032" s="436" t="str">
        <f>INDEX(Country!$K$31:$K$76, MATCH(AI1032, Country!$O$31:$O$76, 0), 1)</f>
        <v>Registry</v>
      </c>
      <c r="D1032" s="4" t="str">
        <f t="shared" si="871"/>
        <v>Nicaragua</v>
      </c>
      <c r="E1032" s="47"/>
      <c r="F1032" s="47"/>
      <c r="G1032" s="47"/>
      <c r="H1032" s="47"/>
      <c r="I1032" s="47"/>
      <c r="J1032" s="47"/>
      <c r="K1032" s="45"/>
      <c r="L1032" s="457">
        <f t="shared" si="906"/>
        <v>0</v>
      </c>
      <c r="M1032" s="458">
        <f t="shared" si="907"/>
        <v>0</v>
      </c>
      <c r="N1032" s="458">
        <f t="shared" si="908"/>
        <v>0</v>
      </c>
      <c r="O1032" s="458">
        <f t="shared" si="909"/>
        <v>0</v>
      </c>
      <c r="P1032" s="458">
        <f t="shared" si="910"/>
        <v>0</v>
      </c>
      <c r="Q1032" s="458">
        <f t="shared" si="911"/>
        <v>0</v>
      </c>
      <c r="R1032" s="459">
        <f t="shared" si="912"/>
        <v>0</v>
      </c>
      <c r="S1032" s="455"/>
      <c r="T1032" s="456"/>
      <c r="U1032" s="456"/>
      <c r="V1032" s="456"/>
      <c r="W1032" s="456"/>
      <c r="X1032" s="456"/>
      <c r="Y1032" s="456"/>
      <c r="Z1032" s="79">
        <f t="shared" ref="Z1032:AE1032" si="931">AA1032</f>
        <v>0</v>
      </c>
      <c r="AA1032" s="78">
        <f t="shared" si="931"/>
        <v>0</v>
      </c>
      <c r="AB1032" s="78">
        <f t="shared" si="931"/>
        <v>0</v>
      </c>
      <c r="AC1032" s="78">
        <f t="shared" si="931"/>
        <v>0</v>
      </c>
      <c r="AD1032" s="78">
        <f t="shared" si="931"/>
        <v>0</v>
      </c>
      <c r="AE1032" s="78">
        <f t="shared" si="931"/>
        <v>0</v>
      </c>
      <c r="AF1032" s="6">
        <v>0</v>
      </c>
      <c r="AG1032" s="33" t="str">
        <f t="shared" si="867"/>
        <v>4.05 &gt; Nicaragua</v>
      </c>
      <c r="AH1032" s="84">
        <f t="shared" si="868"/>
        <v>1018</v>
      </c>
      <c r="AI1032" s="84">
        <f t="shared" si="869"/>
        <v>38</v>
      </c>
      <c r="AJ1032" s="877" t="s">
        <v>1526</v>
      </c>
    </row>
    <row r="1033" spans="1:36" x14ac:dyDescent="0.2">
      <c r="A1033" s="492">
        <f>INDEX(Country!$F$31:$G$76, MATCH(AI1033, Country!$O$31:$O$76, 0), 1)</f>
        <v>4.0499999999999989</v>
      </c>
      <c r="B1033" s="2" t="str">
        <f>INDEX(Country!$F$31:$G$76, MATCH(AI1033, Country!$O$31:$O$76, 0), 2)</f>
        <v>GHG country registry</v>
      </c>
      <c r="C1033" s="436" t="str">
        <f>INDEX(Country!$K$31:$K$76, MATCH(AI1033, Country!$O$31:$O$76, 0), 1)</f>
        <v>Registry</v>
      </c>
      <c r="D1033" s="4" t="str">
        <f t="shared" si="871"/>
        <v>Panama</v>
      </c>
      <c r="E1033" s="47"/>
      <c r="F1033" s="47"/>
      <c r="G1033" s="47"/>
      <c r="H1033" s="47"/>
      <c r="I1033" s="47"/>
      <c r="J1033" s="47"/>
      <c r="K1033" s="45"/>
      <c r="L1033" s="457">
        <f t="shared" si="906"/>
        <v>0</v>
      </c>
      <c r="M1033" s="458">
        <f t="shared" si="907"/>
        <v>0</v>
      </c>
      <c r="N1033" s="458">
        <f t="shared" si="908"/>
        <v>0</v>
      </c>
      <c r="O1033" s="458">
        <f t="shared" si="909"/>
        <v>0</v>
      </c>
      <c r="P1033" s="458">
        <f t="shared" si="910"/>
        <v>0</v>
      </c>
      <c r="Q1033" s="458">
        <f t="shared" si="911"/>
        <v>0</v>
      </c>
      <c r="R1033" s="459">
        <f t="shared" si="912"/>
        <v>0</v>
      </c>
      <c r="S1033" s="455"/>
      <c r="T1033" s="456"/>
      <c r="U1033" s="456"/>
      <c r="V1033" s="456"/>
      <c r="W1033" s="456"/>
      <c r="X1033" s="456"/>
      <c r="Y1033" s="456"/>
      <c r="Z1033" s="79">
        <f t="shared" ref="Z1033:AE1033" si="932">AA1033</f>
        <v>0</v>
      </c>
      <c r="AA1033" s="78">
        <f t="shared" si="932"/>
        <v>0</v>
      </c>
      <c r="AB1033" s="78">
        <f t="shared" si="932"/>
        <v>0</v>
      </c>
      <c r="AC1033" s="78">
        <f t="shared" si="932"/>
        <v>0</v>
      </c>
      <c r="AD1033" s="78">
        <f t="shared" si="932"/>
        <v>0</v>
      </c>
      <c r="AE1033" s="78">
        <f t="shared" si="932"/>
        <v>0</v>
      </c>
      <c r="AF1033" s="6">
        <v>0</v>
      </c>
      <c r="AG1033" s="33" t="str">
        <f t="shared" si="867"/>
        <v>4.05 &gt; Panama</v>
      </c>
      <c r="AH1033" s="84">
        <f t="shared" si="868"/>
        <v>1019</v>
      </c>
      <c r="AI1033" s="84">
        <f t="shared" si="869"/>
        <v>38</v>
      </c>
      <c r="AJ1033" s="877" t="s">
        <v>1526</v>
      </c>
    </row>
    <row r="1034" spans="1:36" x14ac:dyDescent="0.2">
      <c r="A1034" s="492">
        <f>INDEX(Country!$F$31:$G$76, MATCH(AI1034, Country!$O$31:$O$76, 0), 1)</f>
        <v>4.0499999999999989</v>
      </c>
      <c r="B1034" s="2" t="str">
        <f>INDEX(Country!$F$31:$G$76, MATCH(AI1034, Country!$O$31:$O$76, 0), 2)</f>
        <v>GHG country registry</v>
      </c>
      <c r="C1034" s="436" t="str">
        <f>INDEX(Country!$K$31:$K$76, MATCH(AI1034, Country!$O$31:$O$76, 0), 1)</f>
        <v>Registry</v>
      </c>
      <c r="D1034" s="4" t="str">
        <f t="shared" si="871"/>
        <v>Paraguay</v>
      </c>
      <c r="E1034" s="47"/>
      <c r="F1034" s="47"/>
      <c r="G1034" s="47"/>
      <c r="H1034" s="47"/>
      <c r="I1034" s="47"/>
      <c r="J1034" s="47"/>
      <c r="K1034" s="45"/>
      <c r="L1034" s="457">
        <f t="shared" si="906"/>
        <v>0</v>
      </c>
      <c r="M1034" s="458">
        <f t="shared" si="907"/>
        <v>0</v>
      </c>
      <c r="N1034" s="458">
        <f t="shared" si="908"/>
        <v>0</v>
      </c>
      <c r="O1034" s="458">
        <f t="shared" si="909"/>
        <v>0</v>
      </c>
      <c r="P1034" s="458">
        <f t="shared" si="910"/>
        <v>0</v>
      </c>
      <c r="Q1034" s="458">
        <f t="shared" si="911"/>
        <v>0</v>
      </c>
      <c r="R1034" s="459">
        <f t="shared" si="912"/>
        <v>0</v>
      </c>
      <c r="S1034" s="455"/>
      <c r="T1034" s="456"/>
      <c r="U1034" s="456"/>
      <c r="V1034" s="456"/>
      <c r="W1034" s="456"/>
      <c r="X1034" s="456"/>
      <c r="Y1034" s="456"/>
      <c r="Z1034" s="79">
        <f t="shared" ref="Z1034:AE1034" si="933">AA1034</f>
        <v>0</v>
      </c>
      <c r="AA1034" s="78">
        <f t="shared" si="933"/>
        <v>0</v>
      </c>
      <c r="AB1034" s="78">
        <f t="shared" si="933"/>
        <v>0</v>
      </c>
      <c r="AC1034" s="78">
        <f t="shared" si="933"/>
        <v>0</v>
      </c>
      <c r="AD1034" s="78">
        <f t="shared" si="933"/>
        <v>0</v>
      </c>
      <c r="AE1034" s="78">
        <f t="shared" si="933"/>
        <v>0</v>
      </c>
      <c r="AF1034" s="6">
        <v>0</v>
      </c>
      <c r="AG1034" s="33" t="str">
        <f t="shared" si="867"/>
        <v>4.05 &gt; Paraguay</v>
      </c>
      <c r="AH1034" s="84">
        <f t="shared" si="868"/>
        <v>1020</v>
      </c>
      <c r="AI1034" s="84">
        <f t="shared" si="869"/>
        <v>38</v>
      </c>
      <c r="AJ1034" s="877" t="s">
        <v>1526</v>
      </c>
    </row>
    <row r="1035" spans="1:36" x14ac:dyDescent="0.2">
      <c r="A1035" s="492">
        <f>INDEX(Country!$F$31:$G$76, MATCH(AI1035, Country!$O$31:$O$76, 0), 1)</f>
        <v>4.0499999999999989</v>
      </c>
      <c r="B1035" s="2" t="str">
        <f>INDEX(Country!$F$31:$G$76, MATCH(AI1035, Country!$O$31:$O$76, 0), 2)</f>
        <v>GHG country registry</v>
      </c>
      <c r="C1035" s="436" t="str">
        <f>INDEX(Country!$K$31:$K$76, MATCH(AI1035, Country!$O$31:$O$76, 0), 1)</f>
        <v>Registry</v>
      </c>
      <c r="D1035" s="4" t="str">
        <f t="shared" si="871"/>
        <v>Peru</v>
      </c>
      <c r="E1035" s="47"/>
      <c r="F1035" s="47"/>
      <c r="G1035" s="47"/>
      <c r="H1035" s="47"/>
      <c r="I1035" s="47"/>
      <c r="J1035" s="47"/>
      <c r="K1035" s="45"/>
      <c r="L1035" s="457">
        <f t="shared" si="906"/>
        <v>0</v>
      </c>
      <c r="M1035" s="458">
        <f t="shared" si="907"/>
        <v>0</v>
      </c>
      <c r="N1035" s="458">
        <f t="shared" si="908"/>
        <v>0</v>
      </c>
      <c r="O1035" s="458">
        <f t="shared" si="909"/>
        <v>0</v>
      </c>
      <c r="P1035" s="458">
        <f t="shared" si="910"/>
        <v>0</v>
      </c>
      <c r="Q1035" s="458">
        <f t="shared" si="911"/>
        <v>0</v>
      </c>
      <c r="R1035" s="459">
        <f t="shared" si="912"/>
        <v>0</v>
      </c>
      <c r="S1035" s="455"/>
      <c r="T1035" s="456"/>
      <c r="U1035" s="456"/>
      <c r="V1035" s="456"/>
      <c r="W1035" s="456"/>
      <c r="X1035" s="456"/>
      <c r="Y1035" s="456"/>
      <c r="Z1035" s="79">
        <f t="shared" ref="Z1035:AE1035" si="934">AA1035</f>
        <v>0</v>
      </c>
      <c r="AA1035" s="78">
        <f t="shared" si="934"/>
        <v>0</v>
      </c>
      <c r="AB1035" s="78">
        <f t="shared" si="934"/>
        <v>0</v>
      </c>
      <c r="AC1035" s="78">
        <f t="shared" si="934"/>
        <v>0</v>
      </c>
      <c r="AD1035" s="78">
        <f t="shared" si="934"/>
        <v>0</v>
      </c>
      <c r="AE1035" s="78">
        <f t="shared" si="934"/>
        <v>0</v>
      </c>
      <c r="AF1035" s="6">
        <v>0</v>
      </c>
      <c r="AG1035" s="33" t="str">
        <f t="shared" si="867"/>
        <v>4.05 &gt; Peru</v>
      </c>
      <c r="AH1035" s="84">
        <f t="shared" si="868"/>
        <v>1021</v>
      </c>
      <c r="AI1035" s="84">
        <f t="shared" si="869"/>
        <v>38</v>
      </c>
      <c r="AJ1035" s="877" t="s">
        <v>1526</v>
      </c>
    </row>
    <row r="1036" spans="1:36" x14ac:dyDescent="0.2">
      <c r="A1036" s="492">
        <f>INDEX(Country!$F$31:$G$76, MATCH(AI1036, Country!$O$31:$O$76, 0), 1)</f>
        <v>4.0499999999999989</v>
      </c>
      <c r="B1036" s="2" t="str">
        <f>INDEX(Country!$F$31:$G$76, MATCH(AI1036, Country!$O$31:$O$76, 0), 2)</f>
        <v>GHG country registry</v>
      </c>
      <c r="C1036" s="436" t="str">
        <f>INDEX(Country!$K$31:$K$76, MATCH(AI1036, Country!$O$31:$O$76, 0), 1)</f>
        <v>Registry</v>
      </c>
      <c r="D1036" s="4" t="str">
        <f t="shared" si="871"/>
        <v>Suriname</v>
      </c>
      <c r="E1036" s="47"/>
      <c r="F1036" s="47"/>
      <c r="G1036" s="47"/>
      <c r="H1036" s="47"/>
      <c r="I1036" s="47"/>
      <c r="J1036" s="47"/>
      <c r="K1036" s="45"/>
      <c r="L1036" s="457">
        <f t="shared" si="906"/>
        <v>0</v>
      </c>
      <c r="M1036" s="458">
        <f t="shared" si="907"/>
        <v>0</v>
      </c>
      <c r="N1036" s="458">
        <f t="shared" si="908"/>
        <v>0</v>
      </c>
      <c r="O1036" s="458">
        <f t="shared" si="909"/>
        <v>0</v>
      </c>
      <c r="P1036" s="458">
        <f t="shared" si="910"/>
        <v>0</v>
      </c>
      <c r="Q1036" s="458">
        <f t="shared" si="911"/>
        <v>0</v>
      </c>
      <c r="R1036" s="459">
        <f t="shared" si="912"/>
        <v>0</v>
      </c>
      <c r="S1036" s="455"/>
      <c r="T1036" s="456"/>
      <c r="U1036" s="456"/>
      <c r="V1036" s="456"/>
      <c r="W1036" s="456"/>
      <c r="X1036" s="456"/>
      <c r="Y1036" s="456"/>
      <c r="Z1036" s="79">
        <f t="shared" ref="Z1036:AE1036" si="935">AA1036</f>
        <v>0</v>
      </c>
      <c r="AA1036" s="78">
        <f t="shared" si="935"/>
        <v>0</v>
      </c>
      <c r="AB1036" s="78">
        <f t="shared" si="935"/>
        <v>0</v>
      </c>
      <c r="AC1036" s="78">
        <f t="shared" si="935"/>
        <v>0</v>
      </c>
      <c r="AD1036" s="78">
        <f t="shared" si="935"/>
        <v>0</v>
      </c>
      <c r="AE1036" s="78">
        <f t="shared" si="935"/>
        <v>0</v>
      </c>
      <c r="AF1036" s="6">
        <v>0</v>
      </c>
      <c r="AG1036" s="33" t="str">
        <f t="shared" si="867"/>
        <v>4.05 &gt; Suriname</v>
      </c>
      <c r="AH1036" s="84">
        <f t="shared" si="868"/>
        <v>1022</v>
      </c>
      <c r="AI1036" s="84">
        <f t="shared" si="869"/>
        <v>38</v>
      </c>
      <c r="AJ1036" s="877" t="s">
        <v>1526</v>
      </c>
    </row>
    <row r="1037" spans="1:36" x14ac:dyDescent="0.2">
      <c r="A1037" s="492">
        <f>INDEX(Country!$F$31:$G$76, MATCH(AI1037, Country!$O$31:$O$76, 0), 1)</f>
        <v>4.0499999999999989</v>
      </c>
      <c r="B1037" s="2" t="str">
        <f>INDEX(Country!$F$31:$G$76, MATCH(AI1037, Country!$O$31:$O$76, 0), 2)</f>
        <v>GHG country registry</v>
      </c>
      <c r="C1037" s="436" t="str">
        <f>INDEX(Country!$K$31:$K$76, MATCH(AI1037, Country!$O$31:$O$76, 0), 1)</f>
        <v>Registry</v>
      </c>
      <c r="D1037" s="4" t="str">
        <f t="shared" si="871"/>
        <v>Trinidad &amp; Tobago</v>
      </c>
      <c r="E1037" s="47"/>
      <c r="F1037" s="47"/>
      <c r="G1037" s="47"/>
      <c r="H1037" s="47"/>
      <c r="I1037" s="47"/>
      <c r="J1037" s="47"/>
      <c r="K1037" s="45"/>
      <c r="L1037" s="457">
        <f t="shared" si="906"/>
        <v>0</v>
      </c>
      <c r="M1037" s="458">
        <f t="shared" si="907"/>
        <v>0</v>
      </c>
      <c r="N1037" s="458">
        <f t="shared" si="908"/>
        <v>0</v>
      </c>
      <c r="O1037" s="458">
        <f t="shared" si="909"/>
        <v>0</v>
      </c>
      <c r="P1037" s="458">
        <f t="shared" si="910"/>
        <v>0</v>
      </c>
      <c r="Q1037" s="458">
        <f t="shared" si="911"/>
        <v>0</v>
      </c>
      <c r="R1037" s="459">
        <f t="shared" si="912"/>
        <v>0</v>
      </c>
      <c r="S1037" s="455"/>
      <c r="T1037" s="456"/>
      <c r="U1037" s="456"/>
      <c r="V1037" s="456"/>
      <c r="W1037" s="456"/>
      <c r="X1037" s="456"/>
      <c r="Y1037" s="456"/>
      <c r="Z1037" s="79">
        <f t="shared" ref="Z1037:AE1037" si="936">AA1037</f>
        <v>0</v>
      </c>
      <c r="AA1037" s="78">
        <f t="shared" si="936"/>
        <v>0</v>
      </c>
      <c r="AB1037" s="78">
        <f t="shared" si="936"/>
        <v>0</v>
      </c>
      <c r="AC1037" s="78">
        <f t="shared" si="936"/>
        <v>0</v>
      </c>
      <c r="AD1037" s="78">
        <f t="shared" si="936"/>
        <v>0</v>
      </c>
      <c r="AE1037" s="78">
        <f t="shared" si="936"/>
        <v>0</v>
      </c>
      <c r="AF1037" s="6">
        <v>0</v>
      </c>
      <c r="AG1037" s="33" t="str">
        <f t="shared" si="867"/>
        <v>4.05 &gt; Trinidad &amp; Tobago</v>
      </c>
      <c r="AH1037" s="84">
        <f t="shared" si="868"/>
        <v>1023</v>
      </c>
      <c r="AI1037" s="84">
        <f t="shared" si="869"/>
        <v>38</v>
      </c>
      <c r="AJ1037" s="877" t="s">
        <v>1526</v>
      </c>
    </row>
    <row r="1038" spans="1:36" x14ac:dyDescent="0.2">
      <c r="A1038" s="492">
        <f>INDEX(Country!$F$31:$G$76, MATCH(AI1038, Country!$O$31:$O$76, 0), 1)</f>
        <v>4.0499999999999989</v>
      </c>
      <c r="B1038" s="2" t="str">
        <f>INDEX(Country!$F$31:$G$76, MATCH(AI1038, Country!$O$31:$O$76, 0), 2)</f>
        <v>GHG country registry</v>
      </c>
      <c r="C1038" s="436" t="str">
        <f>INDEX(Country!$K$31:$K$76, MATCH(AI1038, Country!$O$31:$O$76, 0), 1)</f>
        <v>Registry</v>
      </c>
      <c r="D1038" s="4" t="str">
        <f t="shared" si="871"/>
        <v>Uruguay</v>
      </c>
      <c r="E1038" s="47"/>
      <c r="F1038" s="47"/>
      <c r="G1038" s="47"/>
      <c r="H1038" s="47"/>
      <c r="I1038" s="47"/>
      <c r="J1038" s="47"/>
      <c r="K1038" s="45"/>
      <c r="L1038" s="457">
        <f t="shared" si="906"/>
        <v>0</v>
      </c>
      <c r="M1038" s="458">
        <f t="shared" si="907"/>
        <v>0</v>
      </c>
      <c r="N1038" s="458">
        <f t="shared" si="908"/>
        <v>0</v>
      </c>
      <c r="O1038" s="458">
        <f t="shared" si="909"/>
        <v>0</v>
      </c>
      <c r="P1038" s="458">
        <f t="shared" si="910"/>
        <v>0</v>
      </c>
      <c r="Q1038" s="458">
        <f t="shared" si="911"/>
        <v>0</v>
      </c>
      <c r="R1038" s="459">
        <f t="shared" si="912"/>
        <v>0</v>
      </c>
      <c r="S1038" s="455"/>
      <c r="T1038" s="456"/>
      <c r="U1038" s="456"/>
      <c r="V1038" s="456"/>
      <c r="W1038" s="456"/>
      <c r="X1038" s="456"/>
      <c r="Y1038" s="456"/>
      <c r="Z1038" s="79">
        <f t="shared" ref="Z1038:AE1038" si="937">AA1038</f>
        <v>0</v>
      </c>
      <c r="AA1038" s="78">
        <f t="shared" si="937"/>
        <v>0</v>
      </c>
      <c r="AB1038" s="78">
        <f t="shared" si="937"/>
        <v>0</v>
      </c>
      <c r="AC1038" s="78">
        <f t="shared" si="937"/>
        <v>0</v>
      </c>
      <c r="AD1038" s="78">
        <f t="shared" si="937"/>
        <v>0</v>
      </c>
      <c r="AE1038" s="78">
        <f t="shared" si="937"/>
        <v>0</v>
      </c>
      <c r="AF1038" s="6">
        <v>0</v>
      </c>
      <c r="AG1038" s="33" t="str">
        <f t="shared" si="867"/>
        <v>4.05 &gt; Uruguay</v>
      </c>
      <c r="AH1038" s="84">
        <f t="shared" si="868"/>
        <v>1024</v>
      </c>
      <c r="AI1038" s="84">
        <f t="shared" si="869"/>
        <v>38</v>
      </c>
      <c r="AJ1038" s="877" t="s">
        <v>1526</v>
      </c>
    </row>
    <row r="1039" spans="1:36" x14ac:dyDescent="0.2">
      <c r="A1039" s="491">
        <f>INDEX(Country!$F$31:$G$76, MATCH(AI1039, Country!$O$31:$O$76, 0), 1)</f>
        <v>4.0499999999999989</v>
      </c>
      <c r="B1039" s="386" t="str">
        <f>INDEX(Country!$F$31:$G$76, MATCH(AI1039, Country!$O$31:$O$76, 0), 2)</f>
        <v>GHG country registry</v>
      </c>
      <c r="C1039" s="437" t="str">
        <f>INDEX(Country!$K$31:$K$76, MATCH(AI1039, Country!$O$31:$O$76, 0), 1)</f>
        <v>Registry</v>
      </c>
      <c r="D1039" s="86" t="str">
        <f t="shared" si="871"/>
        <v>Venezuela</v>
      </c>
      <c r="E1039" s="363"/>
      <c r="F1039" s="363"/>
      <c r="G1039" s="363"/>
      <c r="H1039" s="363"/>
      <c r="I1039" s="363"/>
      <c r="J1039" s="363"/>
      <c r="K1039" s="400"/>
      <c r="L1039" s="460">
        <f t="shared" si="906"/>
        <v>0</v>
      </c>
      <c r="M1039" s="461">
        <f t="shared" si="907"/>
        <v>0</v>
      </c>
      <c r="N1039" s="461">
        <f t="shared" si="908"/>
        <v>0</v>
      </c>
      <c r="O1039" s="461">
        <f t="shared" si="909"/>
        <v>0</v>
      </c>
      <c r="P1039" s="461">
        <f t="shared" si="910"/>
        <v>0</v>
      </c>
      <c r="Q1039" s="461">
        <f t="shared" si="911"/>
        <v>0</v>
      </c>
      <c r="R1039" s="462">
        <f t="shared" si="912"/>
        <v>0</v>
      </c>
      <c r="S1039" s="455"/>
      <c r="T1039" s="456"/>
      <c r="U1039" s="456"/>
      <c r="V1039" s="456"/>
      <c r="W1039" s="456"/>
      <c r="X1039" s="456"/>
      <c r="Y1039" s="456"/>
      <c r="Z1039" s="93">
        <f t="shared" ref="Z1039:AE1039" si="938">AA1039</f>
        <v>0</v>
      </c>
      <c r="AA1039" s="379">
        <f t="shared" si="938"/>
        <v>0</v>
      </c>
      <c r="AB1039" s="379">
        <f t="shared" si="938"/>
        <v>0</v>
      </c>
      <c r="AC1039" s="379">
        <f t="shared" si="938"/>
        <v>0</v>
      </c>
      <c r="AD1039" s="379">
        <f t="shared" si="938"/>
        <v>0</v>
      </c>
      <c r="AE1039" s="379">
        <f t="shared" si="938"/>
        <v>0</v>
      </c>
      <c r="AF1039" s="390">
        <v>0</v>
      </c>
      <c r="AG1039" s="90" t="str">
        <f t="shared" ref="AG1039:AG1102" si="939">A1039&amp;" &gt; " &amp;D1039</f>
        <v>4.05 &gt; Venezuela</v>
      </c>
      <c r="AH1039" s="392">
        <f t="shared" si="868"/>
        <v>1025</v>
      </c>
      <c r="AI1039" s="392">
        <f t="shared" si="869"/>
        <v>38</v>
      </c>
      <c r="AJ1039" s="878" t="s">
        <v>1526</v>
      </c>
    </row>
    <row r="1040" spans="1:36" x14ac:dyDescent="0.2">
      <c r="A1040" s="490">
        <f>INDEX(Country!$F$31:$G$76, MATCH(AI1040, Country!$O$31:$O$76, 0), 1)</f>
        <v>4.0499999999999989</v>
      </c>
      <c r="B1040" s="387" t="str">
        <f>INDEX(Country!$F$31:$G$76, MATCH(AI1040, Country!$O$31:$O$76, 0), 2)</f>
        <v>GHG country registry</v>
      </c>
      <c r="C1040" s="438" t="str">
        <f>INDEX(Country!$K$31:$K$76, MATCH(AI1040, Country!$O$31:$O$76, 0), 1)</f>
        <v>Registry</v>
      </c>
      <c r="D1040" s="32" t="str">
        <f t="shared" si="871"/>
        <v>Benchmark</v>
      </c>
      <c r="E1040" s="362">
        <f t="shared" ref="E1040:K1040" si="940">IFERROR(MAX(E1014:E1039), 0)</f>
        <v>0</v>
      </c>
      <c r="F1040" s="362">
        <f t="shared" si="940"/>
        <v>0</v>
      </c>
      <c r="G1040" s="362">
        <f t="shared" si="940"/>
        <v>0</v>
      </c>
      <c r="H1040" s="362">
        <f t="shared" si="940"/>
        <v>0</v>
      </c>
      <c r="I1040" s="362">
        <f t="shared" si="940"/>
        <v>0</v>
      </c>
      <c r="J1040" s="362">
        <f t="shared" si="940"/>
        <v>0</v>
      </c>
      <c r="K1040" s="584">
        <f t="shared" si="940"/>
        <v>0</v>
      </c>
      <c r="L1040" s="585">
        <f t="shared" si="906"/>
        <v>100</v>
      </c>
      <c r="M1040" s="463">
        <f t="shared" si="907"/>
        <v>100</v>
      </c>
      <c r="N1040" s="463">
        <f t="shared" si="908"/>
        <v>100</v>
      </c>
      <c r="O1040" s="463">
        <f t="shared" si="909"/>
        <v>100</v>
      </c>
      <c r="P1040" s="463">
        <f t="shared" si="910"/>
        <v>100</v>
      </c>
      <c r="Q1040" s="463">
        <f t="shared" si="911"/>
        <v>100</v>
      </c>
      <c r="R1040" s="586">
        <f t="shared" si="912"/>
        <v>100</v>
      </c>
      <c r="S1040" s="393"/>
      <c r="T1040" s="394"/>
      <c r="U1040" s="376"/>
      <c r="V1040" s="376"/>
      <c r="W1040" s="376"/>
      <c r="X1040" s="376"/>
      <c r="Y1040" s="376"/>
      <c r="Z1040" s="423">
        <v>3</v>
      </c>
      <c r="AA1040" s="365">
        <v>3</v>
      </c>
      <c r="AB1040" s="365">
        <v>3</v>
      </c>
      <c r="AC1040" s="365">
        <v>3</v>
      </c>
      <c r="AD1040" s="365">
        <v>3</v>
      </c>
      <c r="AE1040" s="365">
        <v>3</v>
      </c>
      <c r="AF1040" s="365">
        <v>3</v>
      </c>
      <c r="AG1040" s="34" t="str">
        <f t="shared" si="939"/>
        <v>4.05 &gt; Benchmark</v>
      </c>
      <c r="AH1040" s="85">
        <f t="shared" si="868"/>
        <v>1026</v>
      </c>
      <c r="AI1040" s="85">
        <f t="shared" si="869"/>
        <v>38</v>
      </c>
      <c r="AJ1040" s="871" t="s">
        <v>1526</v>
      </c>
    </row>
    <row r="1041" spans="1:36" x14ac:dyDescent="0.2">
      <c r="A1041" s="587">
        <f>INDEX(Country!$F$31:$G$76, MATCH(AI1041, Country!$O$31:$O$76, 0), 1)</f>
        <v>4.0599999999999987</v>
      </c>
      <c r="B1041" s="588" t="str">
        <f>INDEX(Country!$F$31:$G$76, MATCH(AI1041, Country!$O$31:$O$76, 0), 2)</f>
        <v>GHG market-based instruments</v>
      </c>
      <c r="C1041" s="589" t="str">
        <f>INDEX(Country!$K$31:$K$76, MATCH(AI1041, Country!$O$31:$O$76, 0), 1)</f>
        <v>Program</v>
      </c>
      <c r="D1041" s="590" t="str">
        <f t="shared" si="871"/>
        <v>Argentina</v>
      </c>
      <c r="E1041" s="614"/>
      <c r="F1041" s="614"/>
      <c r="G1041" s="614"/>
      <c r="H1041" s="47"/>
      <c r="I1041" s="47"/>
      <c r="J1041" s="47"/>
      <c r="K1041" s="615"/>
      <c r="L1041" s="580">
        <f t="shared" ref="L1041:L1066" si="941">(Z1041/1)*dbl_BenchmarkMax</f>
        <v>0</v>
      </c>
      <c r="M1041" s="581">
        <f t="shared" ref="M1041:M1066" si="942">(AA1041/1)*dbl_BenchmarkMax</f>
        <v>0</v>
      </c>
      <c r="N1041" s="581">
        <f t="shared" ref="N1041:N1066" si="943">(AB1041/1)*dbl_BenchmarkMax</f>
        <v>0</v>
      </c>
      <c r="O1041" s="581">
        <f t="shared" ref="O1041:O1066" si="944">(AC1041/1)*dbl_BenchmarkMax</f>
        <v>0</v>
      </c>
      <c r="P1041" s="581">
        <f t="shared" ref="P1041:P1066" si="945">(AD1041/1)*dbl_BenchmarkMax</f>
        <v>0</v>
      </c>
      <c r="Q1041" s="581">
        <f t="shared" ref="Q1041:Q1066" si="946">(AE1041/1)*dbl_BenchmarkMax</f>
        <v>0</v>
      </c>
      <c r="R1041" s="582">
        <f t="shared" ref="R1041:R1066" si="947">(AF1041/1)*dbl_BenchmarkMax</f>
        <v>0</v>
      </c>
      <c r="S1041" s="455"/>
      <c r="T1041" s="456"/>
      <c r="U1041" s="456"/>
      <c r="V1041" s="456"/>
      <c r="W1041" s="456"/>
      <c r="X1041" s="456"/>
      <c r="Y1041" s="456"/>
      <c r="Z1041" s="472">
        <f t="shared" ref="Z1041:AE1041" si="948">AA1041</f>
        <v>0</v>
      </c>
      <c r="AA1041" s="378">
        <f t="shared" si="948"/>
        <v>0</v>
      </c>
      <c r="AB1041" s="378">
        <f t="shared" si="948"/>
        <v>0</v>
      </c>
      <c r="AC1041" s="78">
        <f t="shared" si="948"/>
        <v>0</v>
      </c>
      <c r="AD1041" s="78">
        <f t="shared" si="948"/>
        <v>0</v>
      </c>
      <c r="AE1041" s="78">
        <f t="shared" si="948"/>
        <v>0</v>
      </c>
      <c r="AF1041" s="388">
        <v>0</v>
      </c>
      <c r="AG1041" s="396" t="str">
        <f t="shared" si="939"/>
        <v>4.06 &gt; Argentina</v>
      </c>
      <c r="AH1041" s="397">
        <f t="shared" ref="AH1041:AH1104" si="949">AH1040+1</f>
        <v>1027</v>
      </c>
      <c r="AI1041" s="397">
        <f t="shared" ref="AI1041:AI1104" si="950">ROUNDUP(AH1041/COUNTA($D$15:$D$41),0)</f>
        <v>39</v>
      </c>
      <c r="AJ1041" s="879" t="s">
        <v>1526</v>
      </c>
    </row>
    <row r="1042" spans="1:36" x14ac:dyDescent="0.2">
      <c r="A1042" s="492">
        <f>INDEX(Country!$F$31:$G$76, MATCH(AI1042, Country!$O$31:$O$76, 0), 1)</f>
        <v>4.0599999999999987</v>
      </c>
      <c r="B1042" s="2" t="str">
        <f>INDEX(Country!$F$31:$G$76, MATCH(AI1042, Country!$O$31:$O$76, 0), 2)</f>
        <v>GHG market-based instruments</v>
      </c>
      <c r="C1042" s="436" t="str">
        <f>INDEX(Country!$K$31:$K$76, MATCH(AI1042, Country!$O$31:$O$76, 0), 1)</f>
        <v>Program</v>
      </c>
      <c r="D1042" s="4" t="str">
        <f t="shared" si="871"/>
        <v>Bahamas</v>
      </c>
      <c r="E1042" s="47"/>
      <c r="F1042" s="47"/>
      <c r="G1042" s="47"/>
      <c r="H1042" s="47"/>
      <c r="I1042" s="47"/>
      <c r="J1042" s="47"/>
      <c r="K1042" s="45"/>
      <c r="L1042" s="457">
        <f t="shared" si="941"/>
        <v>0</v>
      </c>
      <c r="M1042" s="458">
        <f t="shared" si="942"/>
        <v>0</v>
      </c>
      <c r="N1042" s="458">
        <f t="shared" si="943"/>
        <v>0</v>
      </c>
      <c r="O1042" s="458">
        <f t="shared" si="944"/>
        <v>0</v>
      </c>
      <c r="P1042" s="458">
        <f t="shared" si="945"/>
        <v>0</v>
      </c>
      <c r="Q1042" s="458">
        <f t="shared" si="946"/>
        <v>0</v>
      </c>
      <c r="R1042" s="459">
        <f t="shared" si="947"/>
        <v>0</v>
      </c>
      <c r="S1042" s="455"/>
      <c r="T1042" s="456"/>
      <c r="U1042" s="456"/>
      <c r="V1042" s="456"/>
      <c r="W1042" s="456"/>
      <c r="X1042" s="456"/>
      <c r="Y1042" s="456"/>
      <c r="Z1042" s="79">
        <f t="shared" ref="Z1042:AE1042" si="951">AA1042</f>
        <v>0</v>
      </c>
      <c r="AA1042" s="78">
        <f t="shared" si="951"/>
        <v>0</v>
      </c>
      <c r="AB1042" s="78">
        <f t="shared" si="951"/>
        <v>0</v>
      </c>
      <c r="AC1042" s="78">
        <f t="shared" si="951"/>
        <v>0</v>
      </c>
      <c r="AD1042" s="78">
        <f t="shared" si="951"/>
        <v>0</v>
      </c>
      <c r="AE1042" s="78">
        <f t="shared" si="951"/>
        <v>0</v>
      </c>
      <c r="AF1042" s="6">
        <v>0</v>
      </c>
      <c r="AG1042" s="33" t="str">
        <f t="shared" si="939"/>
        <v>4.06 &gt; Bahamas</v>
      </c>
      <c r="AH1042" s="84">
        <f t="shared" si="949"/>
        <v>1028</v>
      </c>
      <c r="AI1042" s="84">
        <f t="shared" si="950"/>
        <v>39</v>
      </c>
      <c r="AJ1042" s="877" t="s">
        <v>1526</v>
      </c>
    </row>
    <row r="1043" spans="1:36" x14ac:dyDescent="0.2">
      <c r="A1043" s="492">
        <f>INDEX(Country!$F$31:$G$76, MATCH(AI1043, Country!$O$31:$O$76, 0), 1)</f>
        <v>4.0599999999999987</v>
      </c>
      <c r="B1043" s="2" t="str">
        <f>INDEX(Country!$F$31:$G$76, MATCH(AI1043, Country!$O$31:$O$76, 0), 2)</f>
        <v>GHG market-based instruments</v>
      </c>
      <c r="C1043" s="436" t="str">
        <f>INDEX(Country!$K$31:$K$76, MATCH(AI1043, Country!$O$31:$O$76, 0), 1)</f>
        <v>Program</v>
      </c>
      <c r="D1043" s="4" t="str">
        <f t="shared" si="871"/>
        <v>Barbados</v>
      </c>
      <c r="E1043" s="47"/>
      <c r="F1043" s="47"/>
      <c r="G1043" s="47"/>
      <c r="H1043" s="47"/>
      <c r="I1043" s="47"/>
      <c r="J1043" s="47"/>
      <c r="K1043" s="45"/>
      <c r="L1043" s="457">
        <f t="shared" si="941"/>
        <v>0</v>
      </c>
      <c r="M1043" s="458">
        <f t="shared" si="942"/>
        <v>0</v>
      </c>
      <c r="N1043" s="458">
        <f t="shared" si="943"/>
        <v>0</v>
      </c>
      <c r="O1043" s="458">
        <f t="shared" si="944"/>
        <v>0</v>
      </c>
      <c r="P1043" s="458">
        <f t="shared" si="945"/>
        <v>0</v>
      </c>
      <c r="Q1043" s="458">
        <f t="shared" si="946"/>
        <v>0</v>
      </c>
      <c r="R1043" s="459">
        <f t="shared" si="947"/>
        <v>0</v>
      </c>
      <c r="S1043" s="455"/>
      <c r="T1043" s="456"/>
      <c r="U1043" s="456"/>
      <c r="V1043" s="456"/>
      <c r="W1043" s="456"/>
      <c r="X1043" s="456"/>
      <c r="Y1043" s="456"/>
      <c r="Z1043" s="79">
        <f t="shared" ref="Z1043:AE1043" si="952">AA1043</f>
        <v>0</v>
      </c>
      <c r="AA1043" s="78">
        <f t="shared" si="952"/>
        <v>0</v>
      </c>
      <c r="AB1043" s="78">
        <f t="shared" si="952"/>
        <v>0</v>
      </c>
      <c r="AC1043" s="78">
        <f t="shared" si="952"/>
        <v>0</v>
      </c>
      <c r="AD1043" s="78">
        <f t="shared" si="952"/>
        <v>0</v>
      </c>
      <c r="AE1043" s="78">
        <f t="shared" si="952"/>
        <v>0</v>
      </c>
      <c r="AF1043" s="6">
        <v>0</v>
      </c>
      <c r="AG1043" s="33" t="str">
        <f t="shared" si="939"/>
        <v>4.06 &gt; Barbados</v>
      </c>
      <c r="AH1043" s="84">
        <f t="shared" si="949"/>
        <v>1029</v>
      </c>
      <c r="AI1043" s="84">
        <f t="shared" si="950"/>
        <v>39</v>
      </c>
      <c r="AJ1043" s="877" t="s">
        <v>1526</v>
      </c>
    </row>
    <row r="1044" spans="1:36" x14ac:dyDescent="0.2">
      <c r="A1044" s="492">
        <f>INDEX(Country!$F$31:$G$76, MATCH(AI1044, Country!$O$31:$O$76, 0), 1)</f>
        <v>4.0599999999999987</v>
      </c>
      <c r="B1044" s="2" t="str">
        <f>INDEX(Country!$F$31:$G$76, MATCH(AI1044, Country!$O$31:$O$76, 0), 2)</f>
        <v>GHG market-based instruments</v>
      </c>
      <c r="C1044" s="436" t="str">
        <f>INDEX(Country!$K$31:$K$76, MATCH(AI1044, Country!$O$31:$O$76, 0), 1)</f>
        <v>Program</v>
      </c>
      <c r="D1044" s="4" t="str">
        <f t="shared" si="871"/>
        <v>Belize</v>
      </c>
      <c r="E1044" s="47"/>
      <c r="F1044" s="47"/>
      <c r="G1044" s="47"/>
      <c r="H1044" s="47"/>
      <c r="I1044" s="47"/>
      <c r="J1044" s="47"/>
      <c r="K1044" s="45"/>
      <c r="L1044" s="457">
        <f t="shared" si="941"/>
        <v>0</v>
      </c>
      <c r="M1044" s="458">
        <f t="shared" si="942"/>
        <v>0</v>
      </c>
      <c r="N1044" s="458">
        <f t="shared" si="943"/>
        <v>0</v>
      </c>
      <c r="O1044" s="458">
        <f t="shared" si="944"/>
        <v>0</v>
      </c>
      <c r="P1044" s="458">
        <f t="shared" si="945"/>
        <v>0</v>
      </c>
      <c r="Q1044" s="458">
        <f t="shared" si="946"/>
        <v>0</v>
      </c>
      <c r="R1044" s="459">
        <f t="shared" si="947"/>
        <v>0</v>
      </c>
      <c r="S1044" s="455"/>
      <c r="T1044" s="456"/>
      <c r="U1044" s="456"/>
      <c r="V1044" s="456"/>
      <c r="W1044" s="456"/>
      <c r="X1044" s="456"/>
      <c r="Y1044" s="456"/>
      <c r="Z1044" s="79">
        <f t="shared" ref="Z1044:AE1044" si="953">AA1044</f>
        <v>0</v>
      </c>
      <c r="AA1044" s="78">
        <f t="shared" si="953"/>
        <v>0</v>
      </c>
      <c r="AB1044" s="78">
        <f t="shared" si="953"/>
        <v>0</v>
      </c>
      <c r="AC1044" s="78">
        <f t="shared" si="953"/>
        <v>0</v>
      </c>
      <c r="AD1044" s="78">
        <f t="shared" si="953"/>
        <v>0</v>
      </c>
      <c r="AE1044" s="78">
        <f t="shared" si="953"/>
        <v>0</v>
      </c>
      <c r="AF1044" s="6">
        <v>0</v>
      </c>
      <c r="AG1044" s="33" t="str">
        <f t="shared" si="939"/>
        <v>4.06 &gt; Belize</v>
      </c>
      <c r="AH1044" s="84">
        <f t="shared" si="949"/>
        <v>1030</v>
      </c>
      <c r="AI1044" s="84">
        <f t="shared" si="950"/>
        <v>39</v>
      </c>
      <c r="AJ1044" s="877" t="s">
        <v>1526</v>
      </c>
    </row>
    <row r="1045" spans="1:36" x14ac:dyDescent="0.2">
      <c r="A1045" s="492">
        <f>INDEX(Country!$F$31:$G$76, MATCH(AI1045, Country!$O$31:$O$76, 0), 1)</f>
        <v>4.0599999999999987</v>
      </c>
      <c r="B1045" s="2" t="str">
        <f>INDEX(Country!$F$31:$G$76, MATCH(AI1045, Country!$O$31:$O$76, 0), 2)</f>
        <v>GHG market-based instruments</v>
      </c>
      <c r="C1045" s="436" t="str">
        <f>INDEX(Country!$K$31:$K$76, MATCH(AI1045, Country!$O$31:$O$76, 0), 1)</f>
        <v>Program</v>
      </c>
      <c r="D1045" s="4" t="str">
        <f t="shared" si="871"/>
        <v>Bolivia</v>
      </c>
      <c r="E1045" s="47"/>
      <c r="F1045" s="47"/>
      <c r="G1045" s="47"/>
      <c r="H1045" s="47"/>
      <c r="I1045" s="47"/>
      <c r="J1045" s="47"/>
      <c r="K1045" s="45"/>
      <c r="L1045" s="457">
        <f t="shared" si="941"/>
        <v>0</v>
      </c>
      <c r="M1045" s="458">
        <f t="shared" si="942"/>
        <v>0</v>
      </c>
      <c r="N1045" s="458">
        <f t="shared" si="943"/>
        <v>0</v>
      </c>
      <c r="O1045" s="458">
        <f t="shared" si="944"/>
        <v>0</v>
      </c>
      <c r="P1045" s="458">
        <f t="shared" si="945"/>
        <v>0</v>
      </c>
      <c r="Q1045" s="458">
        <f t="shared" si="946"/>
        <v>0</v>
      </c>
      <c r="R1045" s="459">
        <f t="shared" si="947"/>
        <v>0</v>
      </c>
      <c r="S1045" s="455"/>
      <c r="T1045" s="456"/>
      <c r="U1045" s="456"/>
      <c r="V1045" s="456"/>
      <c r="W1045" s="456"/>
      <c r="X1045" s="456"/>
      <c r="Y1045" s="456"/>
      <c r="Z1045" s="79">
        <f t="shared" ref="Z1045:AE1045" si="954">AA1045</f>
        <v>0</v>
      </c>
      <c r="AA1045" s="78">
        <f t="shared" si="954"/>
        <v>0</v>
      </c>
      <c r="AB1045" s="78">
        <f t="shared" si="954"/>
        <v>0</v>
      </c>
      <c r="AC1045" s="78">
        <f t="shared" si="954"/>
        <v>0</v>
      </c>
      <c r="AD1045" s="78">
        <f t="shared" si="954"/>
        <v>0</v>
      </c>
      <c r="AE1045" s="78">
        <f t="shared" si="954"/>
        <v>0</v>
      </c>
      <c r="AF1045" s="6">
        <v>0</v>
      </c>
      <c r="AG1045" s="33" t="str">
        <f t="shared" si="939"/>
        <v>4.06 &gt; Bolivia</v>
      </c>
      <c r="AH1045" s="84">
        <f t="shared" si="949"/>
        <v>1031</v>
      </c>
      <c r="AI1045" s="84">
        <f t="shared" si="950"/>
        <v>39</v>
      </c>
      <c r="AJ1045" s="877" t="s">
        <v>1526</v>
      </c>
    </row>
    <row r="1046" spans="1:36" x14ac:dyDescent="0.2">
      <c r="A1046" s="492">
        <f>INDEX(Country!$F$31:$G$76, MATCH(AI1046, Country!$O$31:$O$76, 0), 1)</f>
        <v>4.0599999999999987</v>
      </c>
      <c r="B1046" s="2" t="str">
        <f>INDEX(Country!$F$31:$G$76, MATCH(AI1046, Country!$O$31:$O$76, 0), 2)</f>
        <v>GHG market-based instruments</v>
      </c>
      <c r="C1046" s="436" t="str">
        <f>INDEX(Country!$K$31:$K$76, MATCH(AI1046, Country!$O$31:$O$76, 0), 1)</f>
        <v>Program</v>
      </c>
      <c r="D1046" s="4" t="str">
        <f t="shared" si="871"/>
        <v>Brazil</v>
      </c>
      <c r="E1046" s="47"/>
      <c r="F1046" s="47"/>
      <c r="G1046" s="47"/>
      <c r="H1046" s="47"/>
      <c r="I1046" s="47"/>
      <c r="J1046" s="47"/>
      <c r="K1046" s="45"/>
      <c r="L1046" s="457">
        <f t="shared" si="941"/>
        <v>0</v>
      </c>
      <c r="M1046" s="458">
        <f t="shared" si="942"/>
        <v>0</v>
      </c>
      <c r="N1046" s="458">
        <f t="shared" si="943"/>
        <v>0</v>
      </c>
      <c r="O1046" s="458">
        <f t="shared" si="944"/>
        <v>0</v>
      </c>
      <c r="P1046" s="458">
        <f t="shared" si="945"/>
        <v>0</v>
      </c>
      <c r="Q1046" s="458">
        <f t="shared" si="946"/>
        <v>0</v>
      </c>
      <c r="R1046" s="459">
        <f t="shared" si="947"/>
        <v>0</v>
      </c>
      <c r="S1046" s="455"/>
      <c r="T1046" s="456"/>
      <c r="U1046" s="456"/>
      <c r="V1046" s="456"/>
      <c r="W1046" s="456"/>
      <c r="X1046" s="456"/>
      <c r="Y1046" s="456"/>
      <c r="Z1046" s="79">
        <f t="shared" ref="Z1046:AE1046" si="955">AA1046</f>
        <v>0</v>
      </c>
      <c r="AA1046" s="78">
        <f t="shared" si="955"/>
        <v>0</v>
      </c>
      <c r="AB1046" s="78">
        <f t="shared" si="955"/>
        <v>0</v>
      </c>
      <c r="AC1046" s="78">
        <f t="shared" si="955"/>
        <v>0</v>
      </c>
      <c r="AD1046" s="78">
        <f t="shared" si="955"/>
        <v>0</v>
      </c>
      <c r="AE1046" s="78">
        <f t="shared" si="955"/>
        <v>0</v>
      </c>
      <c r="AF1046" s="6">
        <v>0</v>
      </c>
      <c r="AG1046" s="33" t="str">
        <f t="shared" si="939"/>
        <v>4.06 &gt; Brazil</v>
      </c>
      <c r="AH1046" s="84">
        <f t="shared" si="949"/>
        <v>1032</v>
      </c>
      <c r="AI1046" s="84">
        <f t="shared" si="950"/>
        <v>39</v>
      </c>
      <c r="AJ1046" s="877" t="s">
        <v>1526</v>
      </c>
    </row>
    <row r="1047" spans="1:36" x14ac:dyDescent="0.2">
      <c r="A1047" s="492">
        <f>INDEX(Country!$F$31:$G$76, MATCH(AI1047, Country!$O$31:$O$76, 0), 1)</f>
        <v>4.0599999999999987</v>
      </c>
      <c r="B1047" s="2" t="str">
        <f>INDEX(Country!$F$31:$G$76, MATCH(AI1047, Country!$O$31:$O$76, 0), 2)</f>
        <v>GHG market-based instruments</v>
      </c>
      <c r="C1047" s="436" t="str">
        <f>INDEX(Country!$K$31:$K$76, MATCH(AI1047, Country!$O$31:$O$76, 0), 1)</f>
        <v>Program</v>
      </c>
      <c r="D1047" s="4" t="str">
        <f t="shared" si="871"/>
        <v>Chile</v>
      </c>
      <c r="E1047" s="47"/>
      <c r="F1047" s="47"/>
      <c r="G1047" s="47"/>
      <c r="H1047" s="47"/>
      <c r="I1047" s="47"/>
      <c r="J1047" s="47"/>
      <c r="K1047" s="45"/>
      <c r="L1047" s="457">
        <f t="shared" si="941"/>
        <v>50</v>
      </c>
      <c r="M1047" s="458">
        <f t="shared" si="942"/>
        <v>50</v>
      </c>
      <c r="N1047" s="458">
        <f t="shared" si="943"/>
        <v>50</v>
      </c>
      <c r="O1047" s="458">
        <f t="shared" si="944"/>
        <v>50</v>
      </c>
      <c r="P1047" s="458">
        <f t="shared" si="945"/>
        <v>50</v>
      </c>
      <c r="Q1047" s="458">
        <f t="shared" si="946"/>
        <v>50</v>
      </c>
      <c r="R1047" s="459">
        <f t="shared" si="947"/>
        <v>50</v>
      </c>
      <c r="S1047" s="455"/>
      <c r="T1047" s="456"/>
      <c r="U1047" s="456"/>
      <c r="V1047" s="456"/>
      <c r="W1047" s="456"/>
      <c r="X1047" s="456"/>
      <c r="Y1047" s="456"/>
      <c r="Z1047" s="79">
        <f t="shared" ref="Z1047:AE1047" si="956">AA1047</f>
        <v>0.5</v>
      </c>
      <c r="AA1047" s="78">
        <f t="shared" si="956"/>
        <v>0.5</v>
      </c>
      <c r="AB1047" s="78">
        <f t="shared" si="956"/>
        <v>0.5</v>
      </c>
      <c r="AC1047" s="78">
        <f t="shared" si="956"/>
        <v>0.5</v>
      </c>
      <c r="AD1047" s="78">
        <f t="shared" si="956"/>
        <v>0.5</v>
      </c>
      <c r="AE1047" s="78">
        <f t="shared" si="956"/>
        <v>0.5</v>
      </c>
      <c r="AF1047" s="6">
        <v>0.5</v>
      </c>
      <c r="AG1047" s="33" t="str">
        <f t="shared" si="939"/>
        <v>4.06 &gt; Chile</v>
      </c>
      <c r="AH1047" s="84">
        <f t="shared" si="949"/>
        <v>1033</v>
      </c>
      <c r="AI1047" s="84">
        <f t="shared" si="950"/>
        <v>39</v>
      </c>
      <c r="AJ1047" s="877" t="s">
        <v>1526</v>
      </c>
    </row>
    <row r="1048" spans="1:36" x14ac:dyDescent="0.2">
      <c r="A1048" s="492">
        <f>INDEX(Country!$F$31:$G$76, MATCH(AI1048, Country!$O$31:$O$76, 0), 1)</f>
        <v>4.0599999999999987</v>
      </c>
      <c r="B1048" s="2" t="str">
        <f>INDEX(Country!$F$31:$G$76, MATCH(AI1048, Country!$O$31:$O$76, 0), 2)</f>
        <v>GHG market-based instruments</v>
      </c>
      <c r="C1048" s="436" t="str">
        <f>INDEX(Country!$K$31:$K$76, MATCH(AI1048, Country!$O$31:$O$76, 0), 1)</f>
        <v>Program</v>
      </c>
      <c r="D1048" s="4" t="str">
        <f t="shared" si="871"/>
        <v>Colombia</v>
      </c>
      <c r="E1048" s="47"/>
      <c r="F1048" s="47"/>
      <c r="G1048" s="47"/>
      <c r="H1048" s="47"/>
      <c r="I1048" s="47"/>
      <c r="J1048" s="47"/>
      <c r="K1048" s="45"/>
      <c r="L1048" s="457">
        <f t="shared" si="941"/>
        <v>0</v>
      </c>
      <c r="M1048" s="458">
        <f t="shared" si="942"/>
        <v>0</v>
      </c>
      <c r="N1048" s="458">
        <f t="shared" si="943"/>
        <v>0</v>
      </c>
      <c r="O1048" s="458">
        <f t="shared" si="944"/>
        <v>0</v>
      </c>
      <c r="P1048" s="458">
        <f t="shared" si="945"/>
        <v>0</v>
      </c>
      <c r="Q1048" s="458">
        <f t="shared" si="946"/>
        <v>0</v>
      </c>
      <c r="R1048" s="459">
        <f t="shared" si="947"/>
        <v>0</v>
      </c>
      <c r="S1048" s="455"/>
      <c r="T1048" s="456"/>
      <c r="U1048" s="456"/>
      <c r="V1048" s="456"/>
      <c r="W1048" s="456"/>
      <c r="X1048" s="456"/>
      <c r="Y1048" s="456"/>
      <c r="Z1048" s="79">
        <f t="shared" ref="Z1048:AE1048" si="957">AA1048</f>
        <v>0</v>
      </c>
      <c r="AA1048" s="78">
        <f t="shared" si="957"/>
        <v>0</v>
      </c>
      <c r="AB1048" s="78">
        <f t="shared" si="957"/>
        <v>0</v>
      </c>
      <c r="AC1048" s="78">
        <f t="shared" si="957"/>
        <v>0</v>
      </c>
      <c r="AD1048" s="78">
        <f t="shared" si="957"/>
        <v>0</v>
      </c>
      <c r="AE1048" s="78">
        <f t="shared" si="957"/>
        <v>0</v>
      </c>
      <c r="AF1048" s="6">
        <v>0</v>
      </c>
      <c r="AG1048" s="33" t="str">
        <f t="shared" si="939"/>
        <v>4.06 &gt; Colombia</v>
      </c>
      <c r="AH1048" s="84">
        <f t="shared" si="949"/>
        <v>1034</v>
      </c>
      <c r="AI1048" s="84">
        <f t="shared" si="950"/>
        <v>39</v>
      </c>
      <c r="AJ1048" s="877" t="s">
        <v>1526</v>
      </c>
    </row>
    <row r="1049" spans="1:36" x14ac:dyDescent="0.2">
      <c r="A1049" s="492">
        <f>INDEX(Country!$F$31:$G$76, MATCH(AI1049, Country!$O$31:$O$76, 0), 1)</f>
        <v>4.0599999999999987</v>
      </c>
      <c r="B1049" s="2" t="str">
        <f>INDEX(Country!$F$31:$G$76, MATCH(AI1049, Country!$O$31:$O$76, 0), 2)</f>
        <v>GHG market-based instruments</v>
      </c>
      <c r="C1049" s="436" t="str">
        <f>INDEX(Country!$K$31:$K$76, MATCH(AI1049, Country!$O$31:$O$76, 0), 1)</f>
        <v>Program</v>
      </c>
      <c r="D1049" s="4" t="str">
        <f t="shared" si="871"/>
        <v>Costa Rica</v>
      </c>
      <c r="E1049" s="47"/>
      <c r="F1049" s="47"/>
      <c r="G1049" s="47"/>
      <c r="H1049" s="47"/>
      <c r="I1049" s="47"/>
      <c r="J1049" s="47"/>
      <c r="K1049" s="45"/>
      <c r="L1049" s="457">
        <f t="shared" si="941"/>
        <v>50</v>
      </c>
      <c r="M1049" s="458">
        <f t="shared" si="942"/>
        <v>50</v>
      </c>
      <c r="N1049" s="458">
        <f t="shared" si="943"/>
        <v>50</v>
      </c>
      <c r="O1049" s="458">
        <f t="shared" si="944"/>
        <v>50</v>
      </c>
      <c r="P1049" s="458">
        <f t="shared" si="945"/>
        <v>50</v>
      </c>
      <c r="Q1049" s="458">
        <f t="shared" si="946"/>
        <v>50</v>
      </c>
      <c r="R1049" s="459">
        <f t="shared" si="947"/>
        <v>50</v>
      </c>
      <c r="S1049" s="455"/>
      <c r="T1049" s="456"/>
      <c r="U1049" s="456"/>
      <c r="V1049" s="456"/>
      <c r="W1049" s="456"/>
      <c r="X1049" s="456"/>
      <c r="Y1049" s="456"/>
      <c r="Z1049" s="79">
        <f t="shared" ref="Z1049:AE1049" si="958">AA1049</f>
        <v>0.5</v>
      </c>
      <c r="AA1049" s="78">
        <f t="shared" si="958"/>
        <v>0.5</v>
      </c>
      <c r="AB1049" s="78">
        <f t="shared" si="958"/>
        <v>0.5</v>
      </c>
      <c r="AC1049" s="78">
        <f t="shared" si="958"/>
        <v>0.5</v>
      </c>
      <c r="AD1049" s="78">
        <f t="shared" si="958"/>
        <v>0.5</v>
      </c>
      <c r="AE1049" s="78">
        <f t="shared" si="958"/>
        <v>0.5</v>
      </c>
      <c r="AF1049" s="6">
        <v>0.5</v>
      </c>
      <c r="AG1049" s="33" t="str">
        <f t="shared" si="939"/>
        <v>4.06 &gt; Costa Rica</v>
      </c>
      <c r="AH1049" s="84">
        <f t="shared" si="949"/>
        <v>1035</v>
      </c>
      <c r="AI1049" s="84">
        <f t="shared" si="950"/>
        <v>39</v>
      </c>
      <c r="AJ1049" s="877" t="s">
        <v>1526</v>
      </c>
    </row>
    <row r="1050" spans="1:36" x14ac:dyDescent="0.2">
      <c r="A1050" s="492">
        <f>INDEX(Country!$F$31:$G$76, MATCH(AI1050, Country!$O$31:$O$76, 0), 1)</f>
        <v>4.0599999999999987</v>
      </c>
      <c r="B1050" s="2" t="str">
        <f>INDEX(Country!$F$31:$G$76, MATCH(AI1050, Country!$O$31:$O$76, 0), 2)</f>
        <v>GHG market-based instruments</v>
      </c>
      <c r="C1050" s="436" t="str">
        <f>INDEX(Country!$K$31:$K$76, MATCH(AI1050, Country!$O$31:$O$76, 0), 1)</f>
        <v>Program</v>
      </c>
      <c r="D1050" s="4" t="str">
        <f t="shared" si="871"/>
        <v>Dominican Republic</v>
      </c>
      <c r="E1050" s="47"/>
      <c r="F1050" s="47"/>
      <c r="G1050" s="47"/>
      <c r="H1050" s="47"/>
      <c r="I1050" s="47"/>
      <c r="J1050" s="47"/>
      <c r="K1050" s="45"/>
      <c r="L1050" s="457">
        <f t="shared" si="941"/>
        <v>0</v>
      </c>
      <c r="M1050" s="458">
        <f t="shared" si="942"/>
        <v>0</v>
      </c>
      <c r="N1050" s="458">
        <f t="shared" si="943"/>
        <v>0</v>
      </c>
      <c r="O1050" s="458">
        <f t="shared" si="944"/>
        <v>0</v>
      </c>
      <c r="P1050" s="458">
        <f t="shared" si="945"/>
        <v>0</v>
      </c>
      <c r="Q1050" s="458">
        <f t="shared" si="946"/>
        <v>0</v>
      </c>
      <c r="R1050" s="459">
        <f t="shared" si="947"/>
        <v>0</v>
      </c>
      <c r="S1050" s="455"/>
      <c r="T1050" s="456"/>
      <c r="U1050" s="456"/>
      <c r="V1050" s="456"/>
      <c r="W1050" s="456"/>
      <c r="X1050" s="456"/>
      <c r="Y1050" s="456"/>
      <c r="Z1050" s="79">
        <f t="shared" ref="Z1050:AE1050" si="959">AA1050</f>
        <v>0</v>
      </c>
      <c r="AA1050" s="78">
        <f t="shared" si="959"/>
        <v>0</v>
      </c>
      <c r="AB1050" s="78">
        <f t="shared" si="959"/>
        <v>0</v>
      </c>
      <c r="AC1050" s="78">
        <f t="shared" si="959"/>
        <v>0</v>
      </c>
      <c r="AD1050" s="78">
        <f t="shared" si="959"/>
        <v>0</v>
      </c>
      <c r="AE1050" s="78">
        <f t="shared" si="959"/>
        <v>0</v>
      </c>
      <c r="AF1050" s="6">
        <v>0</v>
      </c>
      <c r="AG1050" s="33" t="str">
        <f t="shared" si="939"/>
        <v>4.06 &gt; Dominican Republic</v>
      </c>
      <c r="AH1050" s="84">
        <f t="shared" si="949"/>
        <v>1036</v>
      </c>
      <c r="AI1050" s="84">
        <f t="shared" si="950"/>
        <v>39</v>
      </c>
      <c r="AJ1050" s="877" t="s">
        <v>1526</v>
      </c>
    </row>
    <row r="1051" spans="1:36" x14ac:dyDescent="0.2">
      <c r="A1051" s="492">
        <f>INDEX(Country!$F$31:$G$76, MATCH(AI1051, Country!$O$31:$O$76, 0), 1)</f>
        <v>4.0599999999999987</v>
      </c>
      <c r="B1051" s="2" t="str">
        <f>INDEX(Country!$F$31:$G$76, MATCH(AI1051, Country!$O$31:$O$76, 0), 2)</f>
        <v>GHG market-based instruments</v>
      </c>
      <c r="C1051" s="436" t="str">
        <f>INDEX(Country!$K$31:$K$76, MATCH(AI1051, Country!$O$31:$O$76, 0), 1)</f>
        <v>Program</v>
      </c>
      <c r="D1051" s="4" t="str">
        <f t="shared" ref="D1051:D1067" si="960">D1024</f>
        <v>Ecuador</v>
      </c>
      <c r="E1051" s="47"/>
      <c r="F1051" s="47"/>
      <c r="G1051" s="47"/>
      <c r="H1051" s="47"/>
      <c r="I1051" s="47"/>
      <c r="J1051" s="47"/>
      <c r="K1051" s="45"/>
      <c r="L1051" s="457">
        <f t="shared" si="941"/>
        <v>0</v>
      </c>
      <c r="M1051" s="458">
        <f t="shared" si="942"/>
        <v>0</v>
      </c>
      <c r="N1051" s="458">
        <f t="shared" si="943"/>
        <v>0</v>
      </c>
      <c r="O1051" s="458">
        <f t="shared" si="944"/>
        <v>0</v>
      </c>
      <c r="P1051" s="458">
        <f t="shared" si="945"/>
        <v>0</v>
      </c>
      <c r="Q1051" s="458">
        <f t="shared" si="946"/>
        <v>0</v>
      </c>
      <c r="R1051" s="459">
        <f t="shared" si="947"/>
        <v>0</v>
      </c>
      <c r="S1051" s="455"/>
      <c r="T1051" s="456"/>
      <c r="U1051" s="456"/>
      <c r="V1051" s="456"/>
      <c r="W1051" s="456"/>
      <c r="X1051" s="456"/>
      <c r="Y1051" s="456"/>
      <c r="Z1051" s="79">
        <f t="shared" ref="Z1051:AE1051" si="961">AA1051</f>
        <v>0</v>
      </c>
      <c r="AA1051" s="78">
        <f t="shared" si="961"/>
        <v>0</v>
      </c>
      <c r="AB1051" s="78">
        <f t="shared" si="961"/>
        <v>0</v>
      </c>
      <c r="AC1051" s="78">
        <f t="shared" si="961"/>
        <v>0</v>
      </c>
      <c r="AD1051" s="78">
        <f t="shared" si="961"/>
        <v>0</v>
      </c>
      <c r="AE1051" s="78">
        <f t="shared" si="961"/>
        <v>0</v>
      </c>
      <c r="AF1051" s="6">
        <v>0</v>
      </c>
      <c r="AG1051" s="33" t="str">
        <f t="shared" si="939"/>
        <v>4.06 &gt; Ecuador</v>
      </c>
      <c r="AH1051" s="84">
        <f t="shared" si="949"/>
        <v>1037</v>
      </c>
      <c r="AI1051" s="84">
        <f t="shared" si="950"/>
        <v>39</v>
      </c>
      <c r="AJ1051" s="877" t="s">
        <v>1526</v>
      </c>
    </row>
    <row r="1052" spans="1:36" x14ac:dyDescent="0.2">
      <c r="A1052" s="492">
        <f>INDEX(Country!$F$31:$G$76, MATCH(AI1052, Country!$O$31:$O$76, 0), 1)</f>
        <v>4.0599999999999987</v>
      </c>
      <c r="B1052" s="2" t="str">
        <f>INDEX(Country!$F$31:$G$76, MATCH(AI1052, Country!$O$31:$O$76, 0), 2)</f>
        <v>GHG market-based instruments</v>
      </c>
      <c r="C1052" s="436" t="str">
        <f>INDEX(Country!$K$31:$K$76, MATCH(AI1052, Country!$O$31:$O$76, 0), 1)</f>
        <v>Program</v>
      </c>
      <c r="D1052" s="4" t="str">
        <f t="shared" si="960"/>
        <v>El Salvador</v>
      </c>
      <c r="E1052" s="47"/>
      <c r="F1052" s="47"/>
      <c r="G1052" s="47"/>
      <c r="H1052" s="47"/>
      <c r="I1052" s="47"/>
      <c r="J1052" s="47"/>
      <c r="K1052" s="45"/>
      <c r="L1052" s="457">
        <f t="shared" si="941"/>
        <v>0</v>
      </c>
      <c r="M1052" s="458">
        <f t="shared" si="942"/>
        <v>0</v>
      </c>
      <c r="N1052" s="458">
        <f t="shared" si="943"/>
        <v>0</v>
      </c>
      <c r="O1052" s="458">
        <f t="shared" si="944"/>
        <v>0</v>
      </c>
      <c r="P1052" s="458">
        <f t="shared" si="945"/>
        <v>0</v>
      </c>
      <c r="Q1052" s="458">
        <f t="shared" si="946"/>
        <v>0</v>
      </c>
      <c r="R1052" s="459">
        <f t="shared" si="947"/>
        <v>0</v>
      </c>
      <c r="S1052" s="455"/>
      <c r="T1052" s="456"/>
      <c r="U1052" s="456"/>
      <c r="V1052" s="456"/>
      <c r="W1052" s="456"/>
      <c r="X1052" s="456"/>
      <c r="Y1052" s="456"/>
      <c r="Z1052" s="79">
        <f t="shared" ref="Z1052:AE1052" si="962">AA1052</f>
        <v>0</v>
      </c>
      <c r="AA1052" s="78">
        <f t="shared" si="962"/>
        <v>0</v>
      </c>
      <c r="AB1052" s="78">
        <f t="shared" si="962"/>
        <v>0</v>
      </c>
      <c r="AC1052" s="78">
        <f t="shared" si="962"/>
        <v>0</v>
      </c>
      <c r="AD1052" s="78">
        <f t="shared" si="962"/>
        <v>0</v>
      </c>
      <c r="AE1052" s="78">
        <f t="shared" si="962"/>
        <v>0</v>
      </c>
      <c r="AF1052" s="6">
        <v>0</v>
      </c>
      <c r="AG1052" s="33" t="str">
        <f t="shared" si="939"/>
        <v>4.06 &gt; El Salvador</v>
      </c>
      <c r="AH1052" s="84">
        <f t="shared" si="949"/>
        <v>1038</v>
      </c>
      <c r="AI1052" s="84">
        <f t="shared" si="950"/>
        <v>39</v>
      </c>
      <c r="AJ1052" s="877" t="s">
        <v>1526</v>
      </c>
    </row>
    <row r="1053" spans="1:36" x14ac:dyDescent="0.2">
      <c r="A1053" s="492">
        <f>INDEX(Country!$F$31:$G$76, MATCH(AI1053, Country!$O$31:$O$76, 0), 1)</f>
        <v>4.0599999999999987</v>
      </c>
      <c r="B1053" s="2" t="str">
        <f>INDEX(Country!$F$31:$G$76, MATCH(AI1053, Country!$O$31:$O$76, 0), 2)</f>
        <v>GHG market-based instruments</v>
      </c>
      <c r="C1053" s="436" t="str">
        <f>INDEX(Country!$K$31:$K$76, MATCH(AI1053, Country!$O$31:$O$76, 0), 1)</f>
        <v>Program</v>
      </c>
      <c r="D1053" s="4" t="str">
        <f t="shared" si="960"/>
        <v>Guatemala</v>
      </c>
      <c r="E1053" s="47"/>
      <c r="F1053" s="47"/>
      <c r="G1053" s="47"/>
      <c r="H1053" s="47"/>
      <c r="I1053" s="47"/>
      <c r="J1053" s="47"/>
      <c r="K1053" s="45"/>
      <c r="L1053" s="457">
        <f t="shared" si="941"/>
        <v>0</v>
      </c>
      <c r="M1053" s="458">
        <f t="shared" si="942"/>
        <v>0</v>
      </c>
      <c r="N1053" s="458">
        <f t="shared" si="943"/>
        <v>0</v>
      </c>
      <c r="O1053" s="458">
        <f t="shared" si="944"/>
        <v>0</v>
      </c>
      <c r="P1053" s="458">
        <f t="shared" si="945"/>
        <v>0</v>
      </c>
      <c r="Q1053" s="458">
        <f t="shared" si="946"/>
        <v>0</v>
      </c>
      <c r="R1053" s="459">
        <f t="shared" si="947"/>
        <v>0</v>
      </c>
      <c r="S1053" s="455"/>
      <c r="T1053" s="456"/>
      <c r="U1053" s="456"/>
      <c r="V1053" s="456"/>
      <c r="W1053" s="456"/>
      <c r="X1053" s="456"/>
      <c r="Y1053" s="456"/>
      <c r="Z1053" s="79">
        <f t="shared" ref="Z1053:AE1053" si="963">AA1053</f>
        <v>0</v>
      </c>
      <c r="AA1053" s="78">
        <f t="shared" si="963"/>
        <v>0</v>
      </c>
      <c r="AB1053" s="78">
        <f t="shared" si="963"/>
        <v>0</v>
      </c>
      <c r="AC1053" s="78">
        <f t="shared" si="963"/>
        <v>0</v>
      </c>
      <c r="AD1053" s="78">
        <f t="shared" si="963"/>
        <v>0</v>
      </c>
      <c r="AE1053" s="78">
        <f t="shared" si="963"/>
        <v>0</v>
      </c>
      <c r="AF1053" s="6">
        <v>0</v>
      </c>
      <c r="AG1053" s="33" t="str">
        <f t="shared" si="939"/>
        <v>4.06 &gt; Guatemala</v>
      </c>
      <c r="AH1053" s="84">
        <f t="shared" si="949"/>
        <v>1039</v>
      </c>
      <c r="AI1053" s="84">
        <f t="shared" si="950"/>
        <v>39</v>
      </c>
      <c r="AJ1053" s="877" t="s">
        <v>1526</v>
      </c>
    </row>
    <row r="1054" spans="1:36" x14ac:dyDescent="0.2">
      <c r="A1054" s="492">
        <f>INDEX(Country!$F$31:$G$76, MATCH(AI1054, Country!$O$31:$O$76, 0), 1)</f>
        <v>4.0599999999999987</v>
      </c>
      <c r="B1054" s="2" t="str">
        <f>INDEX(Country!$F$31:$G$76, MATCH(AI1054, Country!$O$31:$O$76, 0), 2)</f>
        <v>GHG market-based instruments</v>
      </c>
      <c r="C1054" s="436" t="str">
        <f>INDEX(Country!$K$31:$K$76, MATCH(AI1054, Country!$O$31:$O$76, 0), 1)</f>
        <v>Program</v>
      </c>
      <c r="D1054" s="4" t="str">
        <f t="shared" si="960"/>
        <v>Guyana</v>
      </c>
      <c r="E1054" s="47"/>
      <c r="F1054" s="47"/>
      <c r="G1054" s="47"/>
      <c r="H1054" s="47"/>
      <c r="I1054" s="47"/>
      <c r="J1054" s="47"/>
      <c r="K1054" s="45"/>
      <c r="L1054" s="457">
        <f t="shared" si="941"/>
        <v>0</v>
      </c>
      <c r="M1054" s="458">
        <f t="shared" si="942"/>
        <v>0</v>
      </c>
      <c r="N1054" s="458">
        <f t="shared" si="943"/>
        <v>0</v>
      </c>
      <c r="O1054" s="458">
        <f t="shared" si="944"/>
        <v>0</v>
      </c>
      <c r="P1054" s="458">
        <f t="shared" si="945"/>
        <v>0</v>
      </c>
      <c r="Q1054" s="458">
        <f t="shared" si="946"/>
        <v>0</v>
      </c>
      <c r="R1054" s="459">
        <f t="shared" si="947"/>
        <v>0</v>
      </c>
      <c r="S1054" s="455"/>
      <c r="T1054" s="456"/>
      <c r="U1054" s="456"/>
      <c r="V1054" s="456"/>
      <c r="W1054" s="456"/>
      <c r="X1054" s="456"/>
      <c r="Y1054" s="456"/>
      <c r="Z1054" s="79">
        <f t="shared" ref="Z1054:AE1054" si="964">AA1054</f>
        <v>0</v>
      </c>
      <c r="AA1054" s="78">
        <f t="shared" si="964"/>
        <v>0</v>
      </c>
      <c r="AB1054" s="78">
        <f t="shared" si="964"/>
        <v>0</v>
      </c>
      <c r="AC1054" s="78">
        <f t="shared" si="964"/>
        <v>0</v>
      </c>
      <c r="AD1054" s="78">
        <f t="shared" si="964"/>
        <v>0</v>
      </c>
      <c r="AE1054" s="78">
        <f t="shared" si="964"/>
        <v>0</v>
      </c>
      <c r="AF1054" s="6">
        <v>0</v>
      </c>
      <c r="AG1054" s="33" t="str">
        <f t="shared" si="939"/>
        <v>4.06 &gt; Guyana</v>
      </c>
      <c r="AH1054" s="84">
        <f t="shared" si="949"/>
        <v>1040</v>
      </c>
      <c r="AI1054" s="84">
        <f t="shared" si="950"/>
        <v>39</v>
      </c>
      <c r="AJ1054" s="877" t="s">
        <v>1526</v>
      </c>
    </row>
    <row r="1055" spans="1:36" x14ac:dyDescent="0.2">
      <c r="A1055" s="492">
        <f>INDEX(Country!$F$31:$G$76, MATCH(AI1055, Country!$O$31:$O$76, 0), 1)</f>
        <v>4.0599999999999987</v>
      </c>
      <c r="B1055" s="2" t="str">
        <f>INDEX(Country!$F$31:$G$76, MATCH(AI1055, Country!$O$31:$O$76, 0), 2)</f>
        <v>GHG market-based instruments</v>
      </c>
      <c r="C1055" s="436" t="str">
        <f>INDEX(Country!$K$31:$K$76, MATCH(AI1055, Country!$O$31:$O$76, 0), 1)</f>
        <v>Program</v>
      </c>
      <c r="D1055" s="4" t="str">
        <f t="shared" si="960"/>
        <v>Haiti</v>
      </c>
      <c r="E1055" s="47"/>
      <c r="F1055" s="47"/>
      <c r="G1055" s="47"/>
      <c r="H1055" s="47"/>
      <c r="I1055" s="47"/>
      <c r="J1055" s="47"/>
      <c r="K1055" s="45"/>
      <c r="L1055" s="457">
        <f t="shared" si="941"/>
        <v>0</v>
      </c>
      <c r="M1055" s="458">
        <f t="shared" si="942"/>
        <v>0</v>
      </c>
      <c r="N1055" s="458">
        <f t="shared" si="943"/>
        <v>0</v>
      </c>
      <c r="O1055" s="458">
        <f t="shared" si="944"/>
        <v>0</v>
      </c>
      <c r="P1055" s="458">
        <f t="shared" si="945"/>
        <v>0</v>
      </c>
      <c r="Q1055" s="458">
        <f t="shared" si="946"/>
        <v>0</v>
      </c>
      <c r="R1055" s="459">
        <f t="shared" si="947"/>
        <v>0</v>
      </c>
      <c r="S1055" s="455"/>
      <c r="T1055" s="456"/>
      <c r="U1055" s="456"/>
      <c r="V1055" s="456"/>
      <c r="W1055" s="456"/>
      <c r="X1055" s="456"/>
      <c r="Y1055" s="456"/>
      <c r="Z1055" s="79">
        <f t="shared" ref="Z1055:AE1055" si="965">AA1055</f>
        <v>0</v>
      </c>
      <c r="AA1055" s="78">
        <f t="shared" si="965"/>
        <v>0</v>
      </c>
      <c r="AB1055" s="78">
        <f t="shared" si="965"/>
        <v>0</v>
      </c>
      <c r="AC1055" s="78">
        <f t="shared" si="965"/>
        <v>0</v>
      </c>
      <c r="AD1055" s="78">
        <f t="shared" si="965"/>
        <v>0</v>
      </c>
      <c r="AE1055" s="78">
        <f t="shared" si="965"/>
        <v>0</v>
      </c>
      <c r="AF1055" s="6">
        <v>0</v>
      </c>
      <c r="AG1055" s="33" t="str">
        <f t="shared" si="939"/>
        <v>4.06 &gt; Haiti</v>
      </c>
      <c r="AH1055" s="84">
        <f t="shared" si="949"/>
        <v>1041</v>
      </c>
      <c r="AI1055" s="84">
        <f t="shared" si="950"/>
        <v>39</v>
      </c>
      <c r="AJ1055" s="877" t="s">
        <v>1526</v>
      </c>
    </row>
    <row r="1056" spans="1:36" x14ac:dyDescent="0.2">
      <c r="A1056" s="492">
        <f>INDEX(Country!$F$31:$G$76, MATCH(AI1056, Country!$O$31:$O$76, 0), 1)</f>
        <v>4.0599999999999987</v>
      </c>
      <c r="B1056" s="2" t="str">
        <f>INDEX(Country!$F$31:$G$76, MATCH(AI1056, Country!$O$31:$O$76, 0), 2)</f>
        <v>GHG market-based instruments</v>
      </c>
      <c r="C1056" s="436" t="str">
        <f>INDEX(Country!$K$31:$K$76, MATCH(AI1056, Country!$O$31:$O$76, 0), 1)</f>
        <v>Program</v>
      </c>
      <c r="D1056" s="4" t="str">
        <f t="shared" si="960"/>
        <v>Honduras</v>
      </c>
      <c r="E1056" s="47"/>
      <c r="F1056" s="47"/>
      <c r="G1056" s="47"/>
      <c r="H1056" s="47"/>
      <c r="I1056" s="47"/>
      <c r="J1056" s="47"/>
      <c r="K1056" s="45"/>
      <c r="L1056" s="457">
        <f t="shared" si="941"/>
        <v>0</v>
      </c>
      <c r="M1056" s="458">
        <f t="shared" si="942"/>
        <v>0</v>
      </c>
      <c r="N1056" s="458">
        <f t="shared" si="943"/>
        <v>0</v>
      </c>
      <c r="O1056" s="458">
        <f t="shared" si="944"/>
        <v>0</v>
      </c>
      <c r="P1056" s="458">
        <f t="shared" si="945"/>
        <v>0</v>
      </c>
      <c r="Q1056" s="458">
        <f t="shared" si="946"/>
        <v>0</v>
      </c>
      <c r="R1056" s="459">
        <f t="shared" si="947"/>
        <v>0</v>
      </c>
      <c r="S1056" s="455"/>
      <c r="T1056" s="456"/>
      <c r="U1056" s="456"/>
      <c r="V1056" s="456"/>
      <c r="W1056" s="456"/>
      <c r="X1056" s="456"/>
      <c r="Y1056" s="456"/>
      <c r="Z1056" s="79">
        <f t="shared" ref="Z1056:AE1056" si="966">AA1056</f>
        <v>0</v>
      </c>
      <c r="AA1056" s="78">
        <f t="shared" si="966"/>
        <v>0</v>
      </c>
      <c r="AB1056" s="78">
        <f t="shared" si="966"/>
        <v>0</v>
      </c>
      <c r="AC1056" s="78">
        <f t="shared" si="966"/>
        <v>0</v>
      </c>
      <c r="AD1056" s="78">
        <f t="shared" si="966"/>
        <v>0</v>
      </c>
      <c r="AE1056" s="78">
        <f t="shared" si="966"/>
        <v>0</v>
      </c>
      <c r="AF1056" s="6">
        <v>0</v>
      </c>
      <c r="AG1056" s="33" t="str">
        <f t="shared" si="939"/>
        <v>4.06 &gt; Honduras</v>
      </c>
      <c r="AH1056" s="84">
        <f t="shared" si="949"/>
        <v>1042</v>
      </c>
      <c r="AI1056" s="84">
        <f t="shared" si="950"/>
        <v>39</v>
      </c>
      <c r="AJ1056" s="877" t="s">
        <v>1526</v>
      </c>
    </row>
    <row r="1057" spans="1:36" x14ac:dyDescent="0.2">
      <c r="A1057" s="492">
        <f>INDEX(Country!$F$31:$G$76, MATCH(AI1057, Country!$O$31:$O$76, 0), 1)</f>
        <v>4.0599999999999987</v>
      </c>
      <c r="B1057" s="2" t="str">
        <f>INDEX(Country!$F$31:$G$76, MATCH(AI1057, Country!$O$31:$O$76, 0), 2)</f>
        <v>GHG market-based instruments</v>
      </c>
      <c r="C1057" s="436" t="str">
        <f>INDEX(Country!$K$31:$K$76, MATCH(AI1057, Country!$O$31:$O$76, 0), 1)</f>
        <v>Program</v>
      </c>
      <c r="D1057" s="4" t="str">
        <f t="shared" si="960"/>
        <v>Jamaica</v>
      </c>
      <c r="E1057" s="47"/>
      <c r="F1057" s="47"/>
      <c r="G1057" s="47"/>
      <c r="H1057" s="47"/>
      <c r="I1057" s="47"/>
      <c r="J1057" s="47"/>
      <c r="K1057" s="45"/>
      <c r="L1057" s="457">
        <f t="shared" si="941"/>
        <v>0</v>
      </c>
      <c r="M1057" s="458">
        <f t="shared" si="942"/>
        <v>0</v>
      </c>
      <c r="N1057" s="458">
        <f t="shared" si="943"/>
        <v>0</v>
      </c>
      <c r="O1057" s="458">
        <f t="shared" si="944"/>
        <v>0</v>
      </c>
      <c r="P1057" s="458">
        <f t="shared" si="945"/>
        <v>0</v>
      </c>
      <c r="Q1057" s="458">
        <f t="shared" si="946"/>
        <v>0</v>
      </c>
      <c r="R1057" s="459">
        <f t="shared" si="947"/>
        <v>0</v>
      </c>
      <c r="S1057" s="455"/>
      <c r="T1057" s="456"/>
      <c r="U1057" s="456"/>
      <c r="V1057" s="456"/>
      <c r="W1057" s="456"/>
      <c r="X1057" s="456"/>
      <c r="Y1057" s="456"/>
      <c r="Z1057" s="79">
        <f t="shared" ref="Z1057:AE1057" si="967">AA1057</f>
        <v>0</v>
      </c>
      <c r="AA1057" s="78">
        <f t="shared" si="967"/>
        <v>0</v>
      </c>
      <c r="AB1057" s="78">
        <f t="shared" si="967"/>
        <v>0</v>
      </c>
      <c r="AC1057" s="78">
        <f t="shared" si="967"/>
        <v>0</v>
      </c>
      <c r="AD1057" s="78">
        <f t="shared" si="967"/>
        <v>0</v>
      </c>
      <c r="AE1057" s="78">
        <f t="shared" si="967"/>
        <v>0</v>
      </c>
      <c r="AF1057" s="6">
        <v>0</v>
      </c>
      <c r="AG1057" s="33" t="str">
        <f t="shared" si="939"/>
        <v>4.06 &gt; Jamaica</v>
      </c>
      <c r="AH1057" s="84">
        <f t="shared" si="949"/>
        <v>1043</v>
      </c>
      <c r="AI1057" s="84">
        <f t="shared" si="950"/>
        <v>39</v>
      </c>
      <c r="AJ1057" s="877" t="s">
        <v>1526</v>
      </c>
    </row>
    <row r="1058" spans="1:36" x14ac:dyDescent="0.2">
      <c r="A1058" s="492">
        <f>INDEX(Country!$F$31:$G$76, MATCH(AI1058, Country!$O$31:$O$76, 0), 1)</f>
        <v>4.0599999999999987</v>
      </c>
      <c r="B1058" s="2" t="str">
        <f>INDEX(Country!$F$31:$G$76, MATCH(AI1058, Country!$O$31:$O$76, 0), 2)</f>
        <v>GHG market-based instruments</v>
      </c>
      <c r="C1058" s="436" t="str">
        <f>INDEX(Country!$K$31:$K$76, MATCH(AI1058, Country!$O$31:$O$76, 0), 1)</f>
        <v>Program</v>
      </c>
      <c r="D1058" s="4" t="str">
        <f t="shared" si="960"/>
        <v>Mexico</v>
      </c>
      <c r="E1058" s="47"/>
      <c r="F1058" s="47"/>
      <c r="G1058" s="47"/>
      <c r="H1058" s="47"/>
      <c r="I1058" s="47"/>
      <c r="J1058" s="47"/>
      <c r="K1058" s="45"/>
      <c r="L1058" s="457">
        <f t="shared" si="941"/>
        <v>50</v>
      </c>
      <c r="M1058" s="458">
        <f t="shared" si="942"/>
        <v>50</v>
      </c>
      <c r="N1058" s="458">
        <f t="shared" si="943"/>
        <v>50</v>
      </c>
      <c r="O1058" s="458">
        <f t="shared" si="944"/>
        <v>50</v>
      </c>
      <c r="P1058" s="458">
        <f t="shared" si="945"/>
        <v>50</v>
      </c>
      <c r="Q1058" s="458">
        <f t="shared" si="946"/>
        <v>50</v>
      </c>
      <c r="R1058" s="459">
        <f t="shared" si="947"/>
        <v>50</v>
      </c>
      <c r="S1058" s="455"/>
      <c r="T1058" s="456"/>
      <c r="U1058" s="456"/>
      <c r="V1058" s="456"/>
      <c r="W1058" s="456"/>
      <c r="X1058" s="456"/>
      <c r="Y1058" s="456"/>
      <c r="Z1058" s="79">
        <f t="shared" ref="Z1058:AE1058" si="968">AA1058</f>
        <v>0.5</v>
      </c>
      <c r="AA1058" s="78">
        <f t="shared" si="968"/>
        <v>0.5</v>
      </c>
      <c r="AB1058" s="78">
        <f t="shared" si="968"/>
        <v>0.5</v>
      </c>
      <c r="AC1058" s="78">
        <f t="shared" si="968"/>
        <v>0.5</v>
      </c>
      <c r="AD1058" s="78">
        <f t="shared" si="968"/>
        <v>0.5</v>
      </c>
      <c r="AE1058" s="78">
        <f t="shared" si="968"/>
        <v>0.5</v>
      </c>
      <c r="AF1058" s="6">
        <v>0.5</v>
      </c>
      <c r="AG1058" s="33" t="str">
        <f t="shared" si="939"/>
        <v>4.06 &gt; Mexico</v>
      </c>
      <c r="AH1058" s="84">
        <f t="shared" si="949"/>
        <v>1044</v>
      </c>
      <c r="AI1058" s="84">
        <f t="shared" si="950"/>
        <v>39</v>
      </c>
      <c r="AJ1058" s="877" t="s">
        <v>1526</v>
      </c>
    </row>
    <row r="1059" spans="1:36" x14ac:dyDescent="0.2">
      <c r="A1059" s="492">
        <f>INDEX(Country!$F$31:$G$76, MATCH(AI1059, Country!$O$31:$O$76, 0), 1)</f>
        <v>4.0599999999999987</v>
      </c>
      <c r="B1059" s="2" t="str">
        <f>INDEX(Country!$F$31:$G$76, MATCH(AI1059, Country!$O$31:$O$76, 0), 2)</f>
        <v>GHG market-based instruments</v>
      </c>
      <c r="C1059" s="436" t="str">
        <f>INDEX(Country!$K$31:$K$76, MATCH(AI1059, Country!$O$31:$O$76, 0), 1)</f>
        <v>Program</v>
      </c>
      <c r="D1059" s="4" t="str">
        <f t="shared" si="960"/>
        <v>Nicaragua</v>
      </c>
      <c r="E1059" s="47"/>
      <c r="F1059" s="47"/>
      <c r="G1059" s="47"/>
      <c r="H1059" s="47"/>
      <c r="I1059" s="47"/>
      <c r="J1059" s="47"/>
      <c r="K1059" s="45"/>
      <c r="L1059" s="457">
        <f t="shared" si="941"/>
        <v>0</v>
      </c>
      <c r="M1059" s="458">
        <f t="shared" si="942"/>
        <v>0</v>
      </c>
      <c r="N1059" s="458">
        <f t="shared" si="943"/>
        <v>0</v>
      </c>
      <c r="O1059" s="458">
        <f t="shared" si="944"/>
        <v>0</v>
      </c>
      <c r="P1059" s="458">
        <f t="shared" si="945"/>
        <v>0</v>
      </c>
      <c r="Q1059" s="458">
        <f t="shared" si="946"/>
        <v>0</v>
      </c>
      <c r="R1059" s="459">
        <f t="shared" si="947"/>
        <v>0</v>
      </c>
      <c r="S1059" s="455"/>
      <c r="T1059" s="456"/>
      <c r="U1059" s="456"/>
      <c r="V1059" s="456"/>
      <c r="W1059" s="456"/>
      <c r="X1059" s="456"/>
      <c r="Y1059" s="456"/>
      <c r="Z1059" s="79">
        <f t="shared" ref="Z1059:AE1059" si="969">AA1059</f>
        <v>0</v>
      </c>
      <c r="AA1059" s="78">
        <f t="shared" si="969"/>
        <v>0</v>
      </c>
      <c r="AB1059" s="78">
        <f t="shared" si="969"/>
        <v>0</v>
      </c>
      <c r="AC1059" s="78">
        <f t="shared" si="969"/>
        <v>0</v>
      </c>
      <c r="AD1059" s="78">
        <f t="shared" si="969"/>
        <v>0</v>
      </c>
      <c r="AE1059" s="78">
        <f t="shared" si="969"/>
        <v>0</v>
      </c>
      <c r="AF1059" s="6">
        <v>0</v>
      </c>
      <c r="AG1059" s="33" t="str">
        <f t="shared" si="939"/>
        <v>4.06 &gt; Nicaragua</v>
      </c>
      <c r="AH1059" s="84">
        <f t="shared" si="949"/>
        <v>1045</v>
      </c>
      <c r="AI1059" s="84">
        <f t="shared" si="950"/>
        <v>39</v>
      </c>
      <c r="AJ1059" s="877" t="s">
        <v>1526</v>
      </c>
    </row>
    <row r="1060" spans="1:36" x14ac:dyDescent="0.2">
      <c r="A1060" s="492">
        <f>INDEX(Country!$F$31:$G$76, MATCH(AI1060, Country!$O$31:$O$76, 0), 1)</f>
        <v>4.0599999999999987</v>
      </c>
      <c r="B1060" s="2" t="str">
        <f>INDEX(Country!$F$31:$G$76, MATCH(AI1060, Country!$O$31:$O$76, 0), 2)</f>
        <v>GHG market-based instruments</v>
      </c>
      <c r="C1060" s="436" t="str">
        <f>INDEX(Country!$K$31:$K$76, MATCH(AI1060, Country!$O$31:$O$76, 0), 1)</f>
        <v>Program</v>
      </c>
      <c r="D1060" s="4" t="str">
        <f t="shared" si="960"/>
        <v>Panama</v>
      </c>
      <c r="E1060" s="47"/>
      <c r="F1060" s="47"/>
      <c r="G1060" s="47"/>
      <c r="H1060" s="47"/>
      <c r="I1060" s="47"/>
      <c r="J1060" s="47"/>
      <c r="K1060" s="45"/>
      <c r="L1060" s="457">
        <f t="shared" si="941"/>
        <v>0</v>
      </c>
      <c r="M1060" s="458">
        <f t="shared" si="942"/>
        <v>0</v>
      </c>
      <c r="N1060" s="458">
        <f t="shared" si="943"/>
        <v>0</v>
      </c>
      <c r="O1060" s="458">
        <f t="shared" si="944"/>
        <v>0</v>
      </c>
      <c r="P1060" s="458">
        <f t="shared" si="945"/>
        <v>0</v>
      </c>
      <c r="Q1060" s="458">
        <f t="shared" si="946"/>
        <v>0</v>
      </c>
      <c r="R1060" s="459">
        <f t="shared" si="947"/>
        <v>0</v>
      </c>
      <c r="S1060" s="455"/>
      <c r="T1060" s="456"/>
      <c r="U1060" s="456"/>
      <c r="V1060" s="456"/>
      <c r="W1060" s="456"/>
      <c r="X1060" s="456"/>
      <c r="Y1060" s="456"/>
      <c r="Z1060" s="79">
        <f t="shared" ref="Z1060:AE1060" si="970">AA1060</f>
        <v>0</v>
      </c>
      <c r="AA1060" s="78">
        <f t="shared" si="970"/>
        <v>0</v>
      </c>
      <c r="AB1060" s="78">
        <f t="shared" si="970"/>
        <v>0</v>
      </c>
      <c r="AC1060" s="78">
        <f t="shared" si="970"/>
        <v>0</v>
      </c>
      <c r="AD1060" s="78">
        <f t="shared" si="970"/>
        <v>0</v>
      </c>
      <c r="AE1060" s="78">
        <f t="shared" si="970"/>
        <v>0</v>
      </c>
      <c r="AF1060" s="6">
        <v>0</v>
      </c>
      <c r="AG1060" s="33" t="str">
        <f t="shared" si="939"/>
        <v>4.06 &gt; Panama</v>
      </c>
      <c r="AH1060" s="84">
        <f t="shared" si="949"/>
        <v>1046</v>
      </c>
      <c r="AI1060" s="84">
        <f t="shared" si="950"/>
        <v>39</v>
      </c>
      <c r="AJ1060" s="877" t="s">
        <v>1526</v>
      </c>
    </row>
    <row r="1061" spans="1:36" x14ac:dyDescent="0.2">
      <c r="A1061" s="492">
        <f>INDEX(Country!$F$31:$G$76, MATCH(AI1061, Country!$O$31:$O$76, 0), 1)</f>
        <v>4.0599999999999987</v>
      </c>
      <c r="B1061" s="2" t="str">
        <f>INDEX(Country!$F$31:$G$76, MATCH(AI1061, Country!$O$31:$O$76, 0), 2)</f>
        <v>GHG market-based instruments</v>
      </c>
      <c r="C1061" s="436" t="str">
        <f>INDEX(Country!$K$31:$K$76, MATCH(AI1061, Country!$O$31:$O$76, 0), 1)</f>
        <v>Program</v>
      </c>
      <c r="D1061" s="4" t="str">
        <f t="shared" si="960"/>
        <v>Paraguay</v>
      </c>
      <c r="E1061" s="47"/>
      <c r="F1061" s="47"/>
      <c r="G1061" s="47"/>
      <c r="H1061" s="47"/>
      <c r="I1061" s="47"/>
      <c r="J1061" s="47"/>
      <c r="K1061" s="45"/>
      <c r="L1061" s="457">
        <f t="shared" si="941"/>
        <v>0</v>
      </c>
      <c r="M1061" s="458">
        <f t="shared" si="942"/>
        <v>0</v>
      </c>
      <c r="N1061" s="458">
        <f t="shared" si="943"/>
        <v>0</v>
      </c>
      <c r="O1061" s="458">
        <f t="shared" si="944"/>
        <v>0</v>
      </c>
      <c r="P1061" s="458">
        <f t="shared" si="945"/>
        <v>0</v>
      </c>
      <c r="Q1061" s="458">
        <f t="shared" si="946"/>
        <v>0</v>
      </c>
      <c r="R1061" s="459">
        <f t="shared" si="947"/>
        <v>0</v>
      </c>
      <c r="S1061" s="455"/>
      <c r="T1061" s="456"/>
      <c r="U1061" s="456"/>
      <c r="V1061" s="456"/>
      <c r="W1061" s="456"/>
      <c r="X1061" s="456"/>
      <c r="Y1061" s="456"/>
      <c r="Z1061" s="79">
        <f t="shared" ref="Z1061:AE1061" si="971">AA1061</f>
        <v>0</v>
      </c>
      <c r="AA1061" s="78">
        <f t="shared" si="971"/>
        <v>0</v>
      </c>
      <c r="AB1061" s="78">
        <f t="shared" si="971"/>
        <v>0</v>
      </c>
      <c r="AC1061" s="78">
        <f t="shared" si="971"/>
        <v>0</v>
      </c>
      <c r="AD1061" s="78">
        <f t="shared" si="971"/>
        <v>0</v>
      </c>
      <c r="AE1061" s="78">
        <f t="shared" si="971"/>
        <v>0</v>
      </c>
      <c r="AF1061" s="6">
        <v>0</v>
      </c>
      <c r="AG1061" s="33" t="str">
        <f t="shared" si="939"/>
        <v>4.06 &gt; Paraguay</v>
      </c>
      <c r="AH1061" s="84">
        <f t="shared" si="949"/>
        <v>1047</v>
      </c>
      <c r="AI1061" s="84">
        <f t="shared" si="950"/>
        <v>39</v>
      </c>
      <c r="AJ1061" s="877" t="s">
        <v>1526</v>
      </c>
    </row>
    <row r="1062" spans="1:36" x14ac:dyDescent="0.2">
      <c r="A1062" s="492">
        <f>INDEX(Country!$F$31:$G$76, MATCH(AI1062, Country!$O$31:$O$76, 0), 1)</f>
        <v>4.0599999999999987</v>
      </c>
      <c r="B1062" s="2" t="str">
        <f>INDEX(Country!$F$31:$G$76, MATCH(AI1062, Country!$O$31:$O$76, 0), 2)</f>
        <v>GHG market-based instruments</v>
      </c>
      <c r="C1062" s="436" t="str">
        <f>INDEX(Country!$K$31:$K$76, MATCH(AI1062, Country!$O$31:$O$76, 0), 1)</f>
        <v>Program</v>
      </c>
      <c r="D1062" s="4" t="str">
        <f t="shared" si="960"/>
        <v>Peru</v>
      </c>
      <c r="E1062" s="47"/>
      <c r="F1062" s="47"/>
      <c r="G1062" s="47"/>
      <c r="H1062" s="47"/>
      <c r="I1062" s="47"/>
      <c r="J1062" s="47"/>
      <c r="K1062" s="45"/>
      <c r="L1062" s="457">
        <f t="shared" si="941"/>
        <v>0</v>
      </c>
      <c r="M1062" s="458">
        <f t="shared" si="942"/>
        <v>0</v>
      </c>
      <c r="N1062" s="458">
        <f t="shared" si="943"/>
        <v>0</v>
      </c>
      <c r="O1062" s="458">
        <f t="shared" si="944"/>
        <v>0</v>
      </c>
      <c r="P1062" s="458">
        <f t="shared" si="945"/>
        <v>0</v>
      </c>
      <c r="Q1062" s="458">
        <f t="shared" si="946"/>
        <v>0</v>
      </c>
      <c r="R1062" s="459">
        <f t="shared" si="947"/>
        <v>0</v>
      </c>
      <c r="S1062" s="455"/>
      <c r="T1062" s="456"/>
      <c r="U1062" s="456"/>
      <c r="V1062" s="456"/>
      <c r="W1062" s="456"/>
      <c r="X1062" s="456"/>
      <c r="Y1062" s="456"/>
      <c r="Z1062" s="79">
        <f t="shared" ref="Z1062:AE1062" si="972">AA1062</f>
        <v>0</v>
      </c>
      <c r="AA1062" s="78">
        <f t="shared" si="972"/>
        <v>0</v>
      </c>
      <c r="AB1062" s="78">
        <f t="shared" si="972"/>
        <v>0</v>
      </c>
      <c r="AC1062" s="78">
        <f t="shared" si="972"/>
        <v>0</v>
      </c>
      <c r="AD1062" s="78">
        <f t="shared" si="972"/>
        <v>0</v>
      </c>
      <c r="AE1062" s="78">
        <f t="shared" si="972"/>
        <v>0</v>
      </c>
      <c r="AF1062" s="6">
        <v>0</v>
      </c>
      <c r="AG1062" s="33" t="str">
        <f t="shared" si="939"/>
        <v>4.06 &gt; Peru</v>
      </c>
      <c r="AH1062" s="84">
        <f t="shared" si="949"/>
        <v>1048</v>
      </c>
      <c r="AI1062" s="84">
        <f t="shared" si="950"/>
        <v>39</v>
      </c>
      <c r="AJ1062" s="877" t="s">
        <v>1526</v>
      </c>
    </row>
    <row r="1063" spans="1:36" x14ac:dyDescent="0.2">
      <c r="A1063" s="492">
        <f>INDEX(Country!$F$31:$G$76, MATCH(AI1063, Country!$O$31:$O$76, 0), 1)</f>
        <v>4.0599999999999987</v>
      </c>
      <c r="B1063" s="2" t="str">
        <f>INDEX(Country!$F$31:$G$76, MATCH(AI1063, Country!$O$31:$O$76, 0), 2)</f>
        <v>GHG market-based instruments</v>
      </c>
      <c r="C1063" s="436" t="str">
        <f>INDEX(Country!$K$31:$K$76, MATCH(AI1063, Country!$O$31:$O$76, 0), 1)</f>
        <v>Program</v>
      </c>
      <c r="D1063" s="4" t="str">
        <f t="shared" si="960"/>
        <v>Suriname</v>
      </c>
      <c r="E1063" s="47"/>
      <c r="F1063" s="47"/>
      <c r="G1063" s="47"/>
      <c r="H1063" s="47"/>
      <c r="I1063" s="47"/>
      <c r="J1063" s="47"/>
      <c r="K1063" s="45"/>
      <c r="L1063" s="457">
        <f t="shared" si="941"/>
        <v>0</v>
      </c>
      <c r="M1063" s="458">
        <f t="shared" si="942"/>
        <v>0</v>
      </c>
      <c r="N1063" s="458">
        <f t="shared" si="943"/>
        <v>0</v>
      </c>
      <c r="O1063" s="458">
        <f t="shared" si="944"/>
        <v>0</v>
      </c>
      <c r="P1063" s="458">
        <f t="shared" si="945"/>
        <v>0</v>
      </c>
      <c r="Q1063" s="458">
        <f t="shared" si="946"/>
        <v>0</v>
      </c>
      <c r="R1063" s="459">
        <f t="shared" si="947"/>
        <v>0</v>
      </c>
      <c r="S1063" s="455"/>
      <c r="T1063" s="456"/>
      <c r="U1063" s="456"/>
      <c r="V1063" s="456"/>
      <c r="W1063" s="456"/>
      <c r="X1063" s="456"/>
      <c r="Y1063" s="456"/>
      <c r="Z1063" s="79">
        <f t="shared" ref="Z1063:AE1063" si="973">AA1063</f>
        <v>0</v>
      </c>
      <c r="AA1063" s="78">
        <f t="shared" si="973"/>
        <v>0</v>
      </c>
      <c r="AB1063" s="78">
        <f t="shared" si="973"/>
        <v>0</v>
      </c>
      <c r="AC1063" s="78">
        <f t="shared" si="973"/>
        <v>0</v>
      </c>
      <c r="AD1063" s="78">
        <f t="shared" si="973"/>
        <v>0</v>
      </c>
      <c r="AE1063" s="78">
        <f t="shared" si="973"/>
        <v>0</v>
      </c>
      <c r="AF1063" s="6">
        <v>0</v>
      </c>
      <c r="AG1063" s="33" t="str">
        <f t="shared" si="939"/>
        <v>4.06 &gt; Suriname</v>
      </c>
      <c r="AH1063" s="84">
        <f t="shared" si="949"/>
        <v>1049</v>
      </c>
      <c r="AI1063" s="84">
        <f t="shared" si="950"/>
        <v>39</v>
      </c>
      <c r="AJ1063" s="877" t="s">
        <v>1526</v>
      </c>
    </row>
    <row r="1064" spans="1:36" x14ac:dyDescent="0.2">
      <c r="A1064" s="492">
        <f>INDEX(Country!$F$31:$G$76, MATCH(AI1064, Country!$O$31:$O$76, 0), 1)</f>
        <v>4.0599999999999987</v>
      </c>
      <c r="B1064" s="2" t="str">
        <f>INDEX(Country!$F$31:$G$76, MATCH(AI1064, Country!$O$31:$O$76, 0), 2)</f>
        <v>GHG market-based instruments</v>
      </c>
      <c r="C1064" s="436" t="str">
        <f>INDEX(Country!$K$31:$K$76, MATCH(AI1064, Country!$O$31:$O$76, 0), 1)</f>
        <v>Program</v>
      </c>
      <c r="D1064" s="4" t="str">
        <f t="shared" si="960"/>
        <v>Trinidad &amp; Tobago</v>
      </c>
      <c r="E1064" s="47"/>
      <c r="F1064" s="47"/>
      <c r="G1064" s="47"/>
      <c r="H1064" s="47"/>
      <c r="I1064" s="47"/>
      <c r="J1064" s="47"/>
      <c r="K1064" s="45"/>
      <c r="L1064" s="457">
        <f t="shared" si="941"/>
        <v>0</v>
      </c>
      <c r="M1064" s="458">
        <f t="shared" si="942"/>
        <v>0</v>
      </c>
      <c r="N1064" s="458">
        <f t="shared" si="943"/>
        <v>0</v>
      </c>
      <c r="O1064" s="458">
        <f t="shared" si="944"/>
        <v>0</v>
      </c>
      <c r="P1064" s="458">
        <f t="shared" si="945"/>
        <v>0</v>
      </c>
      <c r="Q1064" s="458">
        <f t="shared" si="946"/>
        <v>0</v>
      </c>
      <c r="R1064" s="459">
        <f t="shared" si="947"/>
        <v>0</v>
      </c>
      <c r="S1064" s="455"/>
      <c r="T1064" s="456"/>
      <c r="U1064" s="456"/>
      <c r="V1064" s="456"/>
      <c r="W1064" s="456"/>
      <c r="X1064" s="456"/>
      <c r="Y1064" s="456"/>
      <c r="Z1064" s="79">
        <f t="shared" ref="Z1064:AE1064" si="974">AA1064</f>
        <v>0</v>
      </c>
      <c r="AA1064" s="78">
        <f t="shared" si="974"/>
        <v>0</v>
      </c>
      <c r="AB1064" s="78">
        <f t="shared" si="974"/>
        <v>0</v>
      </c>
      <c r="AC1064" s="78">
        <f t="shared" si="974"/>
        <v>0</v>
      </c>
      <c r="AD1064" s="78">
        <f t="shared" si="974"/>
        <v>0</v>
      </c>
      <c r="AE1064" s="78">
        <f t="shared" si="974"/>
        <v>0</v>
      </c>
      <c r="AF1064" s="6">
        <v>0</v>
      </c>
      <c r="AG1064" s="33" t="str">
        <f t="shared" si="939"/>
        <v>4.06 &gt; Trinidad &amp; Tobago</v>
      </c>
      <c r="AH1064" s="84">
        <f t="shared" si="949"/>
        <v>1050</v>
      </c>
      <c r="AI1064" s="84">
        <f t="shared" si="950"/>
        <v>39</v>
      </c>
      <c r="AJ1064" s="877" t="s">
        <v>1526</v>
      </c>
    </row>
    <row r="1065" spans="1:36" x14ac:dyDescent="0.2">
      <c r="A1065" s="492">
        <f>INDEX(Country!$F$31:$G$76, MATCH(AI1065, Country!$O$31:$O$76, 0), 1)</f>
        <v>4.0599999999999987</v>
      </c>
      <c r="B1065" s="2" t="str">
        <f>INDEX(Country!$F$31:$G$76, MATCH(AI1065, Country!$O$31:$O$76, 0), 2)</f>
        <v>GHG market-based instruments</v>
      </c>
      <c r="C1065" s="436" t="str">
        <f>INDEX(Country!$K$31:$K$76, MATCH(AI1065, Country!$O$31:$O$76, 0), 1)</f>
        <v>Program</v>
      </c>
      <c r="D1065" s="4" t="str">
        <f t="shared" si="960"/>
        <v>Uruguay</v>
      </c>
      <c r="E1065" s="47"/>
      <c r="F1065" s="47"/>
      <c r="G1065" s="47"/>
      <c r="H1065" s="47"/>
      <c r="I1065" s="47"/>
      <c r="J1065" s="47"/>
      <c r="K1065" s="45"/>
      <c r="L1065" s="457">
        <f t="shared" si="941"/>
        <v>0</v>
      </c>
      <c r="M1065" s="458">
        <f t="shared" si="942"/>
        <v>0</v>
      </c>
      <c r="N1065" s="458">
        <f t="shared" si="943"/>
        <v>0</v>
      </c>
      <c r="O1065" s="458">
        <f t="shared" si="944"/>
        <v>0</v>
      </c>
      <c r="P1065" s="458">
        <f t="shared" si="945"/>
        <v>0</v>
      </c>
      <c r="Q1065" s="458">
        <f t="shared" si="946"/>
        <v>0</v>
      </c>
      <c r="R1065" s="459">
        <f t="shared" si="947"/>
        <v>0</v>
      </c>
      <c r="S1065" s="455"/>
      <c r="T1065" s="456"/>
      <c r="U1065" s="456"/>
      <c r="V1065" s="456"/>
      <c r="W1065" s="456"/>
      <c r="X1065" s="456"/>
      <c r="Y1065" s="456"/>
      <c r="Z1065" s="79">
        <f t="shared" ref="Z1065:AE1065" si="975">AA1065</f>
        <v>0</v>
      </c>
      <c r="AA1065" s="78">
        <f t="shared" si="975"/>
        <v>0</v>
      </c>
      <c r="AB1065" s="78">
        <f t="shared" si="975"/>
        <v>0</v>
      </c>
      <c r="AC1065" s="78">
        <f t="shared" si="975"/>
        <v>0</v>
      </c>
      <c r="AD1065" s="78">
        <f t="shared" si="975"/>
        <v>0</v>
      </c>
      <c r="AE1065" s="78">
        <f t="shared" si="975"/>
        <v>0</v>
      </c>
      <c r="AF1065" s="6">
        <v>0</v>
      </c>
      <c r="AG1065" s="33" t="str">
        <f t="shared" si="939"/>
        <v>4.06 &gt; Uruguay</v>
      </c>
      <c r="AH1065" s="84">
        <f t="shared" si="949"/>
        <v>1051</v>
      </c>
      <c r="AI1065" s="84">
        <f t="shared" si="950"/>
        <v>39</v>
      </c>
      <c r="AJ1065" s="877" t="s">
        <v>1526</v>
      </c>
    </row>
    <row r="1066" spans="1:36" x14ac:dyDescent="0.2">
      <c r="A1066" s="491">
        <f>INDEX(Country!$F$31:$G$76, MATCH(AI1066, Country!$O$31:$O$76, 0), 1)</f>
        <v>4.0599999999999987</v>
      </c>
      <c r="B1066" s="386" t="str">
        <f>INDEX(Country!$F$31:$G$76, MATCH(AI1066, Country!$O$31:$O$76, 0), 2)</f>
        <v>GHG market-based instruments</v>
      </c>
      <c r="C1066" s="437" t="str">
        <f>INDEX(Country!$K$31:$K$76, MATCH(AI1066, Country!$O$31:$O$76, 0), 1)</f>
        <v>Program</v>
      </c>
      <c r="D1066" s="86" t="str">
        <f t="shared" si="960"/>
        <v>Venezuela</v>
      </c>
      <c r="E1066" s="363"/>
      <c r="F1066" s="363"/>
      <c r="G1066" s="363"/>
      <c r="H1066" s="363"/>
      <c r="I1066" s="363"/>
      <c r="J1066" s="363"/>
      <c r="K1066" s="400"/>
      <c r="L1066" s="460">
        <f t="shared" si="941"/>
        <v>0</v>
      </c>
      <c r="M1066" s="461">
        <f t="shared" si="942"/>
        <v>0</v>
      </c>
      <c r="N1066" s="461">
        <f t="shared" si="943"/>
        <v>0</v>
      </c>
      <c r="O1066" s="461">
        <f t="shared" si="944"/>
        <v>0</v>
      </c>
      <c r="P1066" s="461">
        <f t="shared" si="945"/>
        <v>0</v>
      </c>
      <c r="Q1066" s="461">
        <f t="shared" si="946"/>
        <v>0</v>
      </c>
      <c r="R1066" s="462">
        <f t="shared" si="947"/>
        <v>0</v>
      </c>
      <c r="S1066" s="455"/>
      <c r="T1066" s="456"/>
      <c r="U1066" s="456"/>
      <c r="V1066" s="456"/>
      <c r="W1066" s="456"/>
      <c r="X1066" s="456"/>
      <c r="Y1066" s="456"/>
      <c r="Z1066" s="93">
        <f t="shared" ref="Z1066:AE1066" si="976">AA1066</f>
        <v>0</v>
      </c>
      <c r="AA1066" s="379">
        <f t="shared" si="976"/>
        <v>0</v>
      </c>
      <c r="AB1066" s="379">
        <f t="shared" si="976"/>
        <v>0</v>
      </c>
      <c r="AC1066" s="379">
        <f t="shared" si="976"/>
        <v>0</v>
      </c>
      <c r="AD1066" s="379">
        <f t="shared" si="976"/>
        <v>0</v>
      </c>
      <c r="AE1066" s="379">
        <f t="shared" si="976"/>
        <v>0</v>
      </c>
      <c r="AF1066" s="390">
        <v>0</v>
      </c>
      <c r="AG1066" s="90" t="str">
        <f t="shared" si="939"/>
        <v>4.06 &gt; Venezuela</v>
      </c>
      <c r="AH1066" s="392">
        <f t="shared" si="949"/>
        <v>1052</v>
      </c>
      <c r="AI1066" s="392">
        <f t="shared" si="950"/>
        <v>39</v>
      </c>
      <c r="AJ1066" s="878" t="s">
        <v>1526</v>
      </c>
    </row>
    <row r="1067" spans="1:36" x14ac:dyDescent="0.2">
      <c r="A1067" s="490">
        <f>INDEX(Country!$F$31:$G$76, MATCH(AI1067, Country!$O$31:$O$76, 0), 1)</f>
        <v>4.0599999999999987</v>
      </c>
      <c r="B1067" s="387" t="str">
        <f>INDEX(Country!$F$31:$G$76, MATCH(AI1067, Country!$O$31:$O$76, 0), 2)</f>
        <v>GHG market-based instruments</v>
      </c>
      <c r="C1067" s="438" t="str">
        <f>INDEX(Country!$K$31:$K$76, MATCH(AI1067, Country!$O$31:$O$76, 0), 1)</f>
        <v>Program</v>
      </c>
      <c r="D1067" s="32" t="str">
        <f t="shared" si="960"/>
        <v>Benchmark</v>
      </c>
      <c r="E1067" s="362">
        <f t="shared" ref="E1067:K1067" si="977">IFERROR(MAX(E1041:E1066), 0)</f>
        <v>0</v>
      </c>
      <c r="F1067" s="362">
        <f t="shared" si="977"/>
        <v>0</v>
      </c>
      <c r="G1067" s="362">
        <f t="shared" si="977"/>
        <v>0</v>
      </c>
      <c r="H1067" s="362">
        <f t="shared" si="977"/>
        <v>0</v>
      </c>
      <c r="I1067" s="362">
        <f t="shared" si="977"/>
        <v>0</v>
      </c>
      <c r="J1067" s="362">
        <f t="shared" si="977"/>
        <v>0</v>
      </c>
      <c r="K1067" s="584">
        <f t="shared" si="977"/>
        <v>0</v>
      </c>
      <c r="L1067" s="585">
        <f t="shared" ref="L1067:R1067" si="978">(Z1067)*dbl_BenchmarkMax</f>
        <v>100</v>
      </c>
      <c r="M1067" s="463">
        <f t="shared" si="978"/>
        <v>100</v>
      </c>
      <c r="N1067" s="463">
        <f t="shared" si="978"/>
        <v>100</v>
      </c>
      <c r="O1067" s="463">
        <f t="shared" si="978"/>
        <v>100</v>
      </c>
      <c r="P1067" s="463">
        <f t="shared" si="978"/>
        <v>100</v>
      </c>
      <c r="Q1067" s="463">
        <f t="shared" si="978"/>
        <v>100</v>
      </c>
      <c r="R1067" s="586">
        <f t="shared" si="978"/>
        <v>100</v>
      </c>
      <c r="S1067" s="393"/>
      <c r="T1067" s="394"/>
      <c r="U1067" s="376"/>
      <c r="V1067" s="376"/>
      <c r="W1067" s="376"/>
      <c r="X1067" s="376"/>
      <c r="Y1067" s="376"/>
      <c r="Z1067" s="423">
        <v>1</v>
      </c>
      <c r="AA1067" s="365">
        <v>1</v>
      </c>
      <c r="AB1067" s="365">
        <v>1</v>
      </c>
      <c r="AC1067" s="365">
        <v>1</v>
      </c>
      <c r="AD1067" s="365">
        <v>1</v>
      </c>
      <c r="AE1067" s="365">
        <v>1</v>
      </c>
      <c r="AF1067" s="365">
        <v>1</v>
      </c>
      <c r="AG1067" s="34" t="str">
        <f t="shared" si="939"/>
        <v>4.06 &gt; Benchmark</v>
      </c>
      <c r="AH1067" s="85">
        <f t="shared" si="949"/>
        <v>1053</v>
      </c>
      <c r="AI1067" s="85">
        <f t="shared" si="950"/>
        <v>39</v>
      </c>
      <c r="AJ1067" s="871" t="s">
        <v>1526</v>
      </c>
    </row>
    <row r="1068" spans="1:36" x14ac:dyDescent="0.2">
      <c r="A1068" s="587">
        <f>INDEX(Country!$F$31:$G$76, MATCH(AI1068, Country!$O$31:$O$76, 0), 1)</f>
        <v>4.0699999999999985</v>
      </c>
      <c r="B1068" s="588" t="str">
        <f>INDEX(Country!$F$31:$G$76, MATCH(AI1068, Country!$O$31:$O$76, 0), 2)</f>
        <v>PMR &amp; NAMA</v>
      </c>
      <c r="C1068" s="589" t="str">
        <f>INDEX(Country!$K$31:$K$76, MATCH(AI1068, Country!$O$31:$O$76, 0), 1)</f>
        <v>PMR &amp; NAMA</v>
      </c>
      <c r="D1068" s="590" t="str">
        <f t="shared" ref="D1068:D1099" si="979">D1014</f>
        <v>Argentina</v>
      </c>
      <c r="E1068" s="614"/>
      <c r="F1068" s="614"/>
      <c r="G1068" s="614"/>
      <c r="H1068" s="47"/>
      <c r="I1068" s="47"/>
      <c r="J1068" s="47"/>
      <c r="K1068" s="615"/>
      <c r="L1068" s="580">
        <f t="shared" ref="L1068:L1094" si="980">(Z1068/4)*dbl_BenchmarkMax</f>
        <v>0</v>
      </c>
      <c r="M1068" s="581">
        <f t="shared" ref="M1068:M1094" si="981">(AA1068/4)*dbl_BenchmarkMax</f>
        <v>0</v>
      </c>
      <c r="N1068" s="581">
        <f t="shared" ref="N1068:N1094" si="982">(AB1068/4)*dbl_BenchmarkMax</f>
        <v>0</v>
      </c>
      <c r="O1068" s="581">
        <f t="shared" ref="O1068:O1094" si="983">(AC1068/4)*dbl_BenchmarkMax</f>
        <v>0</v>
      </c>
      <c r="P1068" s="581">
        <f t="shared" ref="P1068:P1094" si="984">(AD1068/4)*dbl_BenchmarkMax</f>
        <v>0</v>
      </c>
      <c r="Q1068" s="581">
        <f t="shared" ref="Q1068:Q1094" si="985">(AE1068/4)*dbl_BenchmarkMax</f>
        <v>0</v>
      </c>
      <c r="R1068" s="582">
        <f t="shared" ref="R1068:R1094" si="986">(AF1068/4)*dbl_BenchmarkMax</f>
        <v>0</v>
      </c>
      <c r="S1068" s="455"/>
      <c r="T1068" s="456"/>
      <c r="U1068" s="456"/>
      <c r="V1068" s="456"/>
      <c r="W1068" s="456"/>
      <c r="X1068" s="456"/>
      <c r="Y1068" s="456"/>
      <c r="Z1068" s="472">
        <f t="shared" ref="Z1068:AE1068" si="987">AA1068</f>
        <v>0</v>
      </c>
      <c r="AA1068" s="378">
        <f t="shared" si="987"/>
        <v>0</v>
      </c>
      <c r="AB1068" s="378">
        <f t="shared" si="987"/>
        <v>0</v>
      </c>
      <c r="AC1068" s="78">
        <f t="shared" si="987"/>
        <v>0</v>
      </c>
      <c r="AD1068" s="78">
        <f t="shared" si="987"/>
        <v>0</v>
      </c>
      <c r="AE1068" s="78">
        <f t="shared" si="987"/>
        <v>0</v>
      </c>
      <c r="AF1068" s="388">
        <v>0</v>
      </c>
      <c r="AG1068" s="396" t="str">
        <f t="shared" si="939"/>
        <v>4.07 &gt; Argentina</v>
      </c>
      <c r="AH1068" s="397">
        <f t="shared" si="949"/>
        <v>1054</v>
      </c>
      <c r="AI1068" s="397">
        <f t="shared" si="950"/>
        <v>40</v>
      </c>
      <c r="AJ1068" s="879" t="s">
        <v>1526</v>
      </c>
    </row>
    <row r="1069" spans="1:36" x14ac:dyDescent="0.2">
      <c r="A1069" s="492">
        <f>INDEX(Country!$F$31:$G$76, MATCH(AI1069, Country!$O$31:$O$76, 0), 1)</f>
        <v>4.0699999999999985</v>
      </c>
      <c r="B1069" s="2" t="str">
        <f>INDEX(Country!$F$31:$G$76, MATCH(AI1069, Country!$O$31:$O$76, 0), 2)</f>
        <v>PMR &amp; NAMA</v>
      </c>
      <c r="C1069" s="436" t="str">
        <f>INDEX(Country!$K$31:$K$76, MATCH(AI1069, Country!$O$31:$O$76, 0), 1)</f>
        <v>PMR &amp; NAMA</v>
      </c>
      <c r="D1069" s="4" t="str">
        <f t="shared" si="979"/>
        <v>Bahamas</v>
      </c>
      <c r="E1069" s="47"/>
      <c r="F1069" s="47"/>
      <c r="G1069" s="47"/>
      <c r="H1069" s="47"/>
      <c r="I1069" s="47"/>
      <c r="J1069" s="47"/>
      <c r="K1069" s="45"/>
      <c r="L1069" s="457">
        <f t="shared" si="980"/>
        <v>0</v>
      </c>
      <c r="M1069" s="458">
        <f t="shared" si="981"/>
        <v>0</v>
      </c>
      <c r="N1069" s="458">
        <f t="shared" si="982"/>
        <v>0</v>
      </c>
      <c r="O1069" s="458">
        <f t="shared" si="983"/>
        <v>0</v>
      </c>
      <c r="P1069" s="458">
        <f t="shared" si="984"/>
        <v>0</v>
      </c>
      <c r="Q1069" s="458">
        <f t="shared" si="985"/>
        <v>0</v>
      </c>
      <c r="R1069" s="459">
        <f t="shared" si="986"/>
        <v>0</v>
      </c>
      <c r="S1069" s="455"/>
      <c r="T1069" s="456"/>
      <c r="U1069" s="456"/>
      <c r="V1069" s="456"/>
      <c r="W1069" s="456"/>
      <c r="X1069" s="456"/>
      <c r="Y1069" s="456"/>
      <c r="Z1069" s="79">
        <f t="shared" ref="Z1069:AE1069" si="988">AA1069</f>
        <v>0</v>
      </c>
      <c r="AA1069" s="78">
        <f t="shared" si="988"/>
        <v>0</v>
      </c>
      <c r="AB1069" s="78">
        <f t="shared" si="988"/>
        <v>0</v>
      </c>
      <c r="AC1069" s="78">
        <f t="shared" si="988"/>
        <v>0</v>
      </c>
      <c r="AD1069" s="78">
        <f t="shared" si="988"/>
        <v>0</v>
      </c>
      <c r="AE1069" s="78">
        <f t="shared" si="988"/>
        <v>0</v>
      </c>
      <c r="AF1069" s="6">
        <v>0</v>
      </c>
      <c r="AG1069" s="33" t="str">
        <f t="shared" si="939"/>
        <v>4.07 &gt; Bahamas</v>
      </c>
      <c r="AH1069" s="84">
        <f t="shared" si="949"/>
        <v>1055</v>
      </c>
      <c r="AI1069" s="84">
        <f t="shared" si="950"/>
        <v>40</v>
      </c>
      <c r="AJ1069" s="877" t="s">
        <v>1526</v>
      </c>
    </row>
    <row r="1070" spans="1:36" x14ac:dyDescent="0.2">
      <c r="A1070" s="492">
        <f>INDEX(Country!$F$31:$G$76, MATCH(AI1070, Country!$O$31:$O$76, 0), 1)</f>
        <v>4.0699999999999985</v>
      </c>
      <c r="B1070" s="2" t="str">
        <f>INDEX(Country!$F$31:$G$76, MATCH(AI1070, Country!$O$31:$O$76, 0), 2)</f>
        <v>PMR &amp; NAMA</v>
      </c>
      <c r="C1070" s="436" t="str">
        <f>INDEX(Country!$K$31:$K$76, MATCH(AI1070, Country!$O$31:$O$76, 0), 1)</f>
        <v>PMR &amp; NAMA</v>
      </c>
      <c r="D1070" s="4" t="str">
        <f t="shared" si="979"/>
        <v>Barbados</v>
      </c>
      <c r="E1070" s="47"/>
      <c r="F1070" s="47"/>
      <c r="G1070" s="47"/>
      <c r="H1070" s="47"/>
      <c r="I1070" s="47"/>
      <c r="J1070" s="47"/>
      <c r="K1070" s="45"/>
      <c r="L1070" s="457">
        <f t="shared" si="980"/>
        <v>25</v>
      </c>
      <c r="M1070" s="458">
        <f t="shared" si="981"/>
        <v>25</v>
      </c>
      <c r="N1070" s="458">
        <f t="shared" si="982"/>
        <v>25</v>
      </c>
      <c r="O1070" s="458">
        <f t="shared" si="983"/>
        <v>25</v>
      </c>
      <c r="P1070" s="458">
        <f t="shared" si="984"/>
        <v>25</v>
      </c>
      <c r="Q1070" s="458">
        <f t="shared" si="985"/>
        <v>25</v>
      </c>
      <c r="R1070" s="459">
        <f t="shared" si="986"/>
        <v>25</v>
      </c>
      <c r="S1070" s="455"/>
      <c r="T1070" s="456"/>
      <c r="U1070" s="456"/>
      <c r="V1070" s="456"/>
      <c r="W1070" s="456"/>
      <c r="X1070" s="456"/>
      <c r="Y1070" s="456"/>
      <c r="Z1070" s="79">
        <f t="shared" ref="Z1070:AE1070" si="989">AA1070</f>
        <v>1</v>
      </c>
      <c r="AA1070" s="78">
        <f t="shared" si="989"/>
        <v>1</v>
      </c>
      <c r="AB1070" s="78">
        <f t="shared" si="989"/>
        <v>1</v>
      </c>
      <c r="AC1070" s="78">
        <f t="shared" si="989"/>
        <v>1</v>
      </c>
      <c r="AD1070" s="78">
        <f t="shared" si="989"/>
        <v>1</v>
      </c>
      <c r="AE1070" s="78">
        <f t="shared" si="989"/>
        <v>1</v>
      </c>
      <c r="AF1070" s="6">
        <v>1</v>
      </c>
      <c r="AG1070" s="33" t="str">
        <f t="shared" si="939"/>
        <v>4.07 &gt; Barbados</v>
      </c>
      <c r="AH1070" s="84">
        <f t="shared" si="949"/>
        <v>1056</v>
      </c>
      <c r="AI1070" s="84">
        <f t="shared" si="950"/>
        <v>40</v>
      </c>
      <c r="AJ1070" s="877" t="s">
        <v>1526</v>
      </c>
    </row>
    <row r="1071" spans="1:36" x14ac:dyDescent="0.2">
      <c r="A1071" s="492">
        <f>INDEX(Country!$F$31:$G$76, MATCH(AI1071, Country!$O$31:$O$76, 0), 1)</f>
        <v>4.0699999999999985</v>
      </c>
      <c r="B1071" s="2" t="str">
        <f>INDEX(Country!$F$31:$G$76, MATCH(AI1071, Country!$O$31:$O$76, 0), 2)</f>
        <v>PMR &amp; NAMA</v>
      </c>
      <c r="C1071" s="436" t="str">
        <f>INDEX(Country!$K$31:$K$76, MATCH(AI1071, Country!$O$31:$O$76, 0), 1)</f>
        <v>PMR &amp; NAMA</v>
      </c>
      <c r="D1071" s="4" t="str">
        <f t="shared" si="979"/>
        <v>Belize</v>
      </c>
      <c r="E1071" s="47"/>
      <c r="F1071" s="47"/>
      <c r="G1071" s="47"/>
      <c r="H1071" s="47"/>
      <c r="I1071" s="47"/>
      <c r="J1071" s="47"/>
      <c r="K1071" s="45"/>
      <c r="L1071" s="457">
        <f t="shared" si="980"/>
        <v>0</v>
      </c>
      <c r="M1071" s="458">
        <f t="shared" si="981"/>
        <v>0</v>
      </c>
      <c r="N1071" s="458">
        <f t="shared" si="982"/>
        <v>0</v>
      </c>
      <c r="O1071" s="458">
        <f t="shared" si="983"/>
        <v>0</v>
      </c>
      <c r="P1071" s="458">
        <f t="shared" si="984"/>
        <v>0</v>
      </c>
      <c r="Q1071" s="458">
        <f t="shared" si="985"/>
        <v>0</v>
      </c>
      <c r="R1071" s="459">
        <f t="shared" si="986"/>
        <v>0</v>
      </c>
      <c r="S1071" s="455"/>
      <c r="T1071" s="456"/>
      <c r="U1071" s="456"/>
      <c r="V1071" s="456"/>
      <c r="W1071" s="456"/>
      <c r="X1071" s="456"/>
      <c r="Y1071" s="456"/>
      <c r="Z1071" s="79">
        <f t="shared" ref="Z1071:AE1071" si="990">AA1071</f>
        <v>0</v>
      </c>
      <c r="AA1071" s="78">
        <f t="shared" si="990"/>
        <v>0</v>
      </c>
      <c r="AB1071" s="78">
        <f t="shared" si="990"/>
        <v>0</v>
      </c>
      <c r="AC1071" s="78">
        <f t="shared" si="990"/>
        <v>0</v>
      </c>
      <c r="AD1071" s="78">
        <f t="shared" si="990"/>
        <v>0</v>
      </c>
      <c r="AE1071" s="78">
        <f t="shared" si="990"/>
        <v>0</v>
      </c>
      <c r="AF1071" s="6">
        <v>0</v>
      </c>
      <c r="AG1071" s="33" t="str">
        <f t="shared" si="939"/>
        <v>4.07 &gt; Belize</v>
      </c>
      <c r="AH1071" s="84">
        <f t="shared" si="949"/>
        <v>1057</v>
      </c>
      <c r="AI1071" s="84">
        <f t="shared" si="950"/>
        <v>40</v>
      </c>
      <c r="AJ1071" s="877" t="s">
        <v>1526</v>
      </c>
    </row>
    <row r="1072" spans="1:36" x14ac:dyDescent="0.2">
      <c r="A1072" s="492">
        <f>INDEX(Country!$F$31:$G$76, MATCH(AI1072, Country!$O$31:$O$76, 0), 1)</f>
        <v>4.0699999999999985</v>
      </c>
      <c r="B1072" s="2" t="str">
        <f>INDEX(Country!$F$31:$G$76, MATCH(AI1072, Country!$O$31:$O$76, 0), 2)</f>
        <v>PMR &amp; NAMA</v>
      </c>
      <c r="C1072" s="436" t="str">
        <f>INDEX(Country!$K$31:$K$76, MATCH(AI1072, Country!$O$31:$O$76, 0), 1)</f>
        <v>PMR &amp; NAMA</v>
      </c>
      <c r="D1072" s="4" t="str">
        <f t="shared" si="979"/>
        <v>Bolivia</v>
      </c>
      <c r="E1072" s="47"/>
      <c r="F1072" s="47"/>
      <c r="G1072" s="47"/>
      <c r="H1072" s="47"/>
      <c r="I1072" s="47"/>
      <c r="J1072" s="47"/>
      <c r="K1072" s="45"/>
      <c r="L1072" s="457">
        <f t="shared" si="980"/>
        <v>0</v>
      </c>
      <c r="M1072" s="458">
        <f t="shared" si="981"/>
        <v>0</v>
      </c>
      <c r="N1072" s="458">
        <f t="shared" si="982"/>
        <v>0</v>
      </c>
      <c r="O1072" s="458">
        <f t="shared" si="983"/>
        <v>0</v>
      </c>
      <c r="P1072" s="458">
        <f t="shared" si="984"/>
        <v>0</v>
      </c>
      <c r="Q1072" s="458">
        <f t="shared" si="985"/>
        <v>0</v>
      </c>
      <c r="R1072" s="459">
        <f t="shared" si="986"/>
        <v>0</v>
      </c>
      <c r="S1072" s="455"/>
      <c r="T1072" s="456"/>
      <c r="U1072" s="456"/>
      <c r="V1072" s="456"/>
      <c r="W1072" s="456"/>
      <c r="X1072" s="456"/>
      <c r="Y1072" s="456"/>
      <c r="Z1072" s="79">
        <f t="shared" ref="Z1072:AE1072" si="991">AA1072</f>
        <v>0</v>
      </c>
      <c r="AA1072" s="78">
        <f t="shared" si="991"/>
        <v>0</v>
      </c>
      <c r="AB1072" s="78">
        <f t="shared" si="991"/>
        <v>0</v>
      </c>
      <c r="AC1072" s="78">
        <f t="shared" si="991"/>
        <v>0</v>
      </c>
      <c r="AD1072" s="78">
        <f t="shared" si="991"/>
        <v>0</v>
      </c>
      <c r="AE1072" s="78">
        <f t="shared" si="991"/>
        <v>0</v>
      </c>
      <c r="AF1072" s="6">
        <v>0</v>
      </c>
      <c r="AG1072" s="33" t="str">
        <f t="shared" si="939"/>
        <v>4.07 &gt; Bolivia</v>
      </c>
      <c r="AH1072" s="84">
        <f t="shared" si="949"/>
        <v>1058</v>
      </c>
      <c r="AI1072" s="84">
        <f t="shared" si="950"/>
        <v>40</v>
      </c>
      <c r="AJ1072" s="877" t="s">
        <v>1526</v>
      </c>
    </row>
    <row r="1073" spans="1:36" x14ac:dyDescent="0.2">
      <c r="A1073" s="492">
        <f>INDEX(Country!$F$31:$G$76, MATCH(AI1073, Country!$O$31:$O$76, 0), 1)</f>
        <v>4.0699999999999985</v>
      </c>
      <c r="B1073" s="2" t="str">
        <f>INDEX(Country!$F$31:$G$76, MATCH(AI1073, Country!$O$31:$O$76, 0), 2)</f>
        <v>PMR &amp; NAMA</v>
      </c>
      <c r="C1073" s="436" t="str">
        <f>INDEX(Country!$K$31:$K$76, MATCH(AI1073, Country!$O$31:$O$76, 0), 1)</f>
        <v>PMR &amp; NAMA</v>
      </c>
      <c r="D1073" s="4" t="str">
        <f t="shared" si="979"/>
        <v>Brazil</v>
      </c>
      <c r="E1073" s="47"/>
      <c r="F1073" s="47"/>
      <c r="G1073" s="47"/>
      <c r="H1073" s="47"/>
      <c r="I1073" s="47"/>
      <c r="J1073" s="47"/>
      <c r="K1073" s="45"/>
      <c r="L1073" s="457">
        <f t="shared" si="980"/>
        <v>25</v>
      </c>
      <c r="M1073" s="458">
        <f t="shared" si="981"/>
        <v>25</v>
      </c>
      <c r="N1073" s="458">
        <f t="shared" si="982"/>
        <v>25</v>
      </c>
      <c r="O1073" s="458">
        <f t="shared" si="983"/>
        <v>25</v>
      </c>
      <c r="P1073" s="458">
        <f t="shared" si="984"/>
        <v>25</v>
      </c>
      <c r="Q1073" s="458">
        <f t="shared" si="985"/>
        <v>25</v>
      </c>
      <c r="R1073" s="459">
        <f t="shared" si="986"/>
        <v>25</v>
      </c>
      <c r="S1073" s="455"/>
      <c r="T1073" s="456"/>
      <c r="U1073" s="456"/>
      <c r="V1073" s="456"/>
      <c r="W1073" s="456"/>
      <c r="X1073" s="456"/>
      <c r="Y1073" s="456"/>
      <c r="Z1073" s="79">
        <f t="shared" ref="Z1073:AE1073" si="992">AA1073</f>
        <v>1</v>
      </c>
      <c r="AA1073" s="78">
        <f t="shared" si="992"/>
        <v>1</v>
      </c>
      <c r="AB1073" s="78">
        <f t="shared" si="992"/>
        <v>1</v>
      </c>
      <c r="AC1073" s="78">
        <f t="shared" si="992"/>
        <v>1</v>
      </c>
      <c r="AD1073" s="78">
        <f t="shared" si="992"/>
        <v>1</v>
      </c>
      <c r="AE1073" s="78">
        <f t="shared" si="992"/>
        <v>1</v>
      </c>
      <c r="AF1073" s="6">
        <v>1</v>
      </c>
      <c r="AG1073" s="33" t="str">
        <f t="shared" si="939"/>
        <v>4.07 &gt; Brazil</v>
      </c>
      <c r="AH1073" s="84">
        <f t="shared" si="949"/>
        <v>1059</v>
      </c>
      <c r="AI1073" s="84">
        <f t="shared" si="950"/>
        <v>40</v>
      </c>
      <c r="AJ1073" s="877" t="s">
        <v>1526</v>
      </c>
    </row>
    <row r="1074" spans="1:36" x14ac:dyDescent="0.2">
      <c r="A1074" s="492">
        <f>INDEX(Country!$F$31:$G$76, MATCH(AI1074, Country!$O$31:$O$76, 0), 1)</f>
        <v>4.0699999999999985</v>
      </c>
      <c r="B1074" s="2" t="str">
        <f>INDEX(Country!$F$31:$G$76, MATCH(AI1074, Country!$O$31:$O$76, 0), 2)</f>
        <v>PMR &amp; NAMA</v>
      </c>
      <c r="C1074" s="436" t="str">
        <f>INDEX(Country!$K$31:$K$76, MATCH(AI1074, Country!$O$31:$O$76, 0), 1)</f>
        <v>PMR &amp; NAMA</v>
      </c>
      <c r="D1074" s="4" t="str">
        <f t="shared" si="979"/>
        <v>Chile</v>
      </c>
      <c r="E1074" s="47"/>
      <c r="F1074" s="47"/>
      <c r="G1074" s="47"/>
      <c r="H1074" s="47"/>
      <c r="I1074" s="47"/>
      <c r="J1074" s="47"/>
      <c r="K1074" s="45"/>
      <c r="L1074" s="457">
        <f t="shared" si="980"/>
        <v>50</v>
      </c>
      <c r="M1074" s="458">
        <f t="shared" si="981"/>
        <v>50</v>
      </c>
      <c r="N1074" s="458">
        <f t="shared" si="982"/>
        <v>50</v>
      </c>
      <c r="O1074" s="458">
        <f t="shared" si="983"/>
        <v>50</v>
      </c>
      <c r="P1074" s="458">
        <f t="shared" si="984"/>
        <v>50</v>
      </c>
      <c r="Q1074" s="458">
        <f t="shared" si="985"/>
        <v>50</v>
      </c>
      <c r="R1074" s="459">
        <f t="shared" si="986"/>
        <v>50</v>
      </c>
      <c r="S1074" s="455"/>
      <c r="T1074" s="456"/>
      <c r="U1074" s="456"/>
      <c r="V1074" s="456"/>
      <c r="W1074" s="456"/>
      <c r="X1074" s="456"/>
      <c r="Y1074" s="456"/>
      <c r="Z1074" s="79">
        <f t="shared" ref="Z1074:AE1074" si="993">AA1074</f>
        <v>2</v>
      </c>
      <c r="AA1074" s="78">
        <f t="shared" si="993"/>
        <v>2</v>
      </c>
      <c r="AB1074" s="78">
        <f t="shared" si="993"/>
        <v>2</v>
      </c>
      <c r="AC1074" s="78">
        <f t="shared" si="993"/>
        <v>2</v>
      </c>
      <c r="AD1074" s="78">
        <f t="shared" si="993"/>
        <v>2</v>
      </c>
      <c r="AE1074" s="78">
        <f t="shared" si="993"/>
        <v>2</v>
      </c>
      <c r="AF1074" s="6">
        <v>2</v>
      </c>
      <c r="AG1074" s="33" t="str">
        <f t="shared" si="939"/>
        <v>4.07 &gt; Chile</v>
      </c>
      <c r="AH1074" s="84">
        <f t="shared" si="949"/>
        <v>1060</v>
      </c>
      <c r="AI1074" s="84">
        <f t="shared" si="950"/>
        <v>40</v>
      </c>
      <c r="AJ1074" s="877" t="s">
        <v>1526</v>
      </c>
    </row>
    <row r="1075" spans="1:36" x14ac:dyDescent="0.2">
      <c r="A1075" s="492">
        <f>INDEX(Country!$F$31:$G$76, MATCH(AI1075, Country!$O$31:$O$76, 0), 1)</f>
        <v>4.0699999999999985</v>
      </c>
      <c r="B1075" s="2" t="str">
        <f>INDEX(Country!$F$31:$G$76, MATCH(AI1075, Country!$O$31:$O$76, 0), 2)</f>
        <v>PMR &amp; NAMA</v>
      </c>
      <c r="C1075" s="436" t="str">
        <f>INDEX(Country!$K$31:$K$76, MATCH(AI1075, Country!$O$31:$O$76, 0), 1)</f>
        <v>PMR &amp; NAMA</v>
      </c>
      <c r="D1075" s="4" t="str">
        <f t="shared" si="979"/>
        <v>Colombia</v>
      </c>
      <c r="E1075" s="47"/>
      <c r="F1075" s="47"/>
      <c r="G1075" s="47"/>
      <c r="H1075" s="47"/>
      <c r="I1075" s="47"/>
      <c r="J1075" s="47"/>
      <c r="K1075" s="45"/>
      <c r="L1075" s="457">
        <f t="shared" si="980"/>
        <v>50</v>
      </c>
      <c r="M1075" s="458">
        <f t="shared" si="981"/>
        <v>50</v>
      </c>
      <c r="N1075" s="458">
        <f t="shared" si="982"/>
        <v>50</v>
      </c>
      <c r="O1075" s="458">
        <f t="shared" si="983"/>
        <v>50</v>
      </c>
      <c r="P1075" s="458">
        <f t="shared" si="984"/>
        <v>50</v>
      </c>
      <c r="Q1075" s="458">
        <f t="shared" si="985"/>
        <v>50</v>
      </c>
      <c r="R1075" s="459">
        <f t="shared" si="986"/>
        <v>50</v>
      </c>
      <c r="S1075" s="455"/>
      <c r="T1075" s="456"/>
      <c r="U1075" s="456"/>
      <c r="V1075" s="456"/>
      <c r="W1075" s="456"/>
      <c r="X1075" s="456"/>
      <c r="Y1075" s="456"/>
      <c r="Z1075" s="79">
        <f t="shared" ref="Z1075:AE1075" si="994">AA1075</f>
        <v>2</v>
      </c>
      <c r="AA1075" s="78">
        <f t="shared" si="994"/>
        <v>2</v>
      </c>
      <c r="AB1075" s="78">
        <f t="shared" si="994"/>
        <v>2</v>
      </c>
      <c r="AC1075" s="78">
        <f t="shared" si="994"/>
        <v>2</v>
      </c>
      <c r="AD1075" s="78">
        <f t="shared" si="994"/>
        <v>2</v>
      </c>
      <c r="AE1075" s="78">
        <f t="shared" si="994"/>
        <v>2</v>
      </c>
      <c r="AF1075" s="6">
        <v>2</v>
      </c>
      <c r="AG1075" s="33" t="str">
        <f t="shared" si="939"/>
        <v>4.07 &gt; Colombia</v>
      </c>
      <c r="AH1075" s="84">
        <f t="shared" si="949"/>
        <v>1061</v>
      </c>
      <c r="AI1075" s="84">
        <f t="shared" si="950"/>
        <v>40</v>
      </c>
      <c r="AJ1075" s="877" t="s">
        <v>1526</v>
      </c>
    </row>
    <row r="1076" spans="1:36" x14ac:dyDescent="0.2">
      <c r="A1076" s="492">
        <f>INDEX(Country!$F$31:$G$76, MATCH(AI1076, Country!$O$31:$O$76, 0), 1)</f>
        <v>4.0699999999999985</v>
      </c>
      <c r="B1076" s="2" t="str">
        <f>INDEX(Country!$F$31:$G$76, MATCH(AI1076, Country!$O$31:$O$76, 0), 2)</f>
        <v>PMR &amp; NAMA</v>
      </c>
      <c r="C1076" s="436" t="str">
        <f>INDEX(Country!$K$31:$K$76, MATCH(AI1076, Country!$O$31:$O$76, 0), 1)</f>
        <v>PMR &amp; NAMA</v>
      </c>
      <c r="D1076" s="4" t="str">
        <f t="shared" si="979"/>
        <v>Costa Rica</v>
      </c>
      <c r="E1076" s="47"/>
      <c r="F1076" s="47"/>
      <c r="G1076" s="47"/>
      <c r="H1076" s="47"/>
      <c r="I1076" s="47"/>
      <c r="J1076" s="47"/>
      <c r="K1076" s="45"/>
      <c r="L1076" s="457">
        <f t="shared" si="980"/>
        <v>50</v>
      </c>
      <c r="M1076" s="458">
        <f t="shared" si="981"/>
        <v>50</v>
      </c>
      <c r="N1076" s="458">
        <f t="shared" si="982"/>
        <v>50</v>
      </c>
      <c r="O1076" s="458">
        <f t="shared" si="983"/>
        <v>50</v>
      </c>
      <c r="P1076" s="458">
        <f t="shared" si="984"/>
        <v>50</v>
      </c>
      <c r="Q1076" s="458">
        <f t="shared" si="985"/>
        <v>50</v>
      </c>
      <c r="R1076" s="459">
        <f t="shared" si="986"/>
        <v>50</v>
      </c>
      <c r="S1076" s="455"/>
      <c r="T1076" s="456"/>
      <c r="U1076" s="456"/>
      <c r="V1076" s="456"/>
      <c r="W1076" s="456"/>
      <c r="X1076" s="456"/>
      <c r="Y1076" s="456"/>
      <c r="Z1076" s="79">
        <f t="shared" ref="Z1076:AE1076" si="995">AA1076</f>
        <v>2</v>
      </c>
      <c r="AA1076" s="78">
        <f t="shared" si="995"/>
        <v>2</v>
      </c>
      <c r="AB1076" s="78">
        <f t="shared" si="995"/>
        <v>2</v>
      </c>
      <c r="AC1076" s="78">
        <f t="shared" si="995"/>
        <v>2</v>
      </c>
      <c r="AD1076" s="78">
        <f t="shared" si="995"/>
        <v>2</v>
      </c>
      <c r="AE1076" s="78">
        <f t="shared" si="995"/>
        <v>2</v>
      </c>
      <c r="AF1076" s="6">
        <v>2</v>
      </c>
      <c r="AG1076" s="33" t="str">
        <f t="shared" si="939"/>
        <v>4.07 &gt; Costa Rica</v>
      </c>
      <c r="AH1076" s="84">
        <f t="shared" si="949"/>
        <v>1062</v>
      </c>
      <c r="AI1076" s="84">
        <f t="shared" si="950"/>
        <v>40</v>
      </c>
      <c r="AJ1076" s="877" t="s">
        <v>1526</v>
      </c>
    </row>
    <row r="1077" spans="1:36" x14ac:dyDescent="0.2">
      <c r="A1077" s="492">
        <f>INDEX(Country!$F$31:$G$76, MATCH(AI1077, Country!$O$31:$O$76, 0), 1)</f>
        <v>4.0699999999999985</v>
      </c>
      <c r="B1077" s="2" t="str">
        <f>INDEX(Country!$F$31:$G$76, MATCH(AI1077, Country!$O$31:$O$76, 0), 2)</f>
        <v>PMR &amp; NAMA</v>
      </c>
      <c r="C1077" s="436" t="str">
        <f>INDEX(Country!$K$31:$K$76, MATCH(AI1077, Country!$O$31:$O$76, 0), 1)</f>
        <v>PMR &amp; NAMA</v>
      </c>
      <c r="D1077" s="4" t="str">
        <f t="shared" si="979"/>
        <v>Dominican Republic</v>
      </c>
      <c r="E1077" s="47"/>
      <c r="F1077" s="47"/>
      <c r="G1077" s="47"/>
      <c r="H1077" s="47"/>
      <c r="I1077" s="47"/>
      <c r="J1077" s="47"/>
      <c r="K1077" s="45"/>
      <c r="L1077" s="457">
        <f t="shared" si="980"/>
        <v>0</v>
      </c>
      <c r="M1077" s="458">
        <f t="shared" si="981"/>
        <v>0</v>
      </c>
      <c r="N1077" s="458">
        <f t="shared" si="982"/>
        <v>0</v>
      </c>
      <c r="O1077" s="458">
        <f t="shared" si="983"/>
        <v>0</v>
      </c>
      <c r="P1077" s="458">
        <f t="shared" si="984"/>
        <v>0</v>
      </c>
      <c r="Q1077" s="458">
        <f t="shared" si="985"/>
        <v>0</v>
      </c>
      <c r="R1077" s="459">
        <f t="shared" si="986"/>
        <v>0</v>
      </c>
      <c r="S1077" s="455"/>
      <c r="T1077" s="456"/>
      <c r="U1077" s="456"/>
      <c r="V1077" s="456"/>
      <c r="W1077" s="456"/>
      <c r="X1077" s="456"/>
      <c r="Y1077" s="456"/>
      <c r="Z1077" s="79">
        <f t="shared" ref="Z1077:AE1077" si="996">AA1077</f>
        <v>0</v>
      </c>
      <c r="AA1077" s="78">
        <f t="shared" si="996"/>
        <v>0</v>
      </c>
      <c r="AB1077" s="78">
        <f t="shared" si="996"/>
        <v>0</v>
      </c>
      <c r="AC1077" s="78">
        <f t="shared" si="996"/>
        <v>0</v>
      </c>
      <c r="AD1077" s="78">
        <f t="shared" si="996"/>
        <v>0</v>
      </c>
      <c r="AE1077" s="78">
        <f t="shared" si="996"/>
        <v>0</v>
      </c>
      <c r="AF1077" s="6">
        <v>0</v>
      </c>
      <c r="AG1077" s="33" t="str">
        <f t="shared" si="939"/>
        <v>4.07 &gt; Dominican Republic</v>
      </c>
      <c r="AH1077" s="84">
        <f t="shared" si="949"/>
        <v>1063</v>
      </c>
      <c r="AI1077" s="84">
        <f t="shared" si="950"/>
        <v>40</v>
      </c>
      <c r="AJ1077" s="877" t="s">
        <v>1526</v>
      </c>
    </row>
    <row r="1078" spans="1:36" x14ac:dyDescent="0.2">
      <c r="A1078" s="492">
        <f>INDEX(Country!$F$31:$G$76, MATCH(AI1078, Country!$O$31:$O$76, 0), 1)</f>
        <v>4.0699999999999985</v>
      </c>
      <c r="B1078" s="2" t="str">
        <f>INDEX(Country!$F$31:$G$76, MATCH(AI1078, Country!$O$31:$O$76, 0), 2)</f>
        <v>PMR &amp; NAMA</v>
      </c>
      <c r="C1078" s="436" t="str">
        <f>INDEX(Country!$K$31:$K$76, MATCH(AI1078, Country!$O$31:$O$76, 0), 1)</f>
        <v>PMR &amp; NAMA</v>
      </c>
      <c r="D1078" s="4" t="str">
        <f t="shared" si="979"/>
        <v>Ecuador</v>
      </c>
      <c r="E1078" s="47"/>
      <c r="F1078" s="47"/>
      <c r="G1078" s="47"/>
      <c r="H1078" s="47"/>
      <c r="I1078" s="47"/>
      <c r="J1078" s="47"/>
      <c r="K1078" s="45"/>
      <c r="L1078" s="457">
        <f t="shared" si="980"/>
        <v>0</v>
      </c>
      <c r="M1078" s="458">
        <f t="shared" si="981"/>
        <v>0</v>
      </c>
      <c r="N1078" s="458">
        <f t="shared" si="982"/>
        <v>0</v>
      </c>
      <c r="O1078" s="458">
        <f t="shared" si="983"/>
        <v>0</v>
      </c>
      <c r="P1078" s="458">
        <f t="shared" si="984"/>
        <v>0</v>
      </c>
      <c r="Q1078" s="458">
        <f t="shared" si="985"/>
        <v>0</v>
      </c>
      <c r="R1078" s="459">
        <f t="shared" si="986"/>
        <v>0</v>
      </c>
      <c r="S1078" s="455"/>
      <c r="T1078" s="456"/>
      <c r="U1078" s="456"/>
      <c r="V1078" s="456"/>
      <c r="W1078" s="456"/>
      <c r="X1078" s="456"/>
      <c r="Y1078" s="456"/>
      <c r="Z1078" s="79">
        <f t="shared" ref="Z1078:AE1078" si="997">AA1078</f>
        <v>0</v>
      </c>
      <c r="AA1078" s="78">
        <f t="shared" si="997"/>
        <v>0</v>
      </c>
      <c r="AB1078" s="78">
        <f t="shared" si="997"/>
        <v>0</v>
      </c>
      <c r="AC1078" s="78">
        <f t="shared" si="997"/>
        <v>0</v>
      </c>
      <c r="AD1078" s="78">
        <f t="shared" si="997"/>
        <v>0</v>
      </c>
      <c r="AE1078" s="78">
        <f t="shared" si="997"/>
        <v>0</v>
      </c>
      <c r="AF1078" s="6">
        <v>0</v>
      </c>
      <c r="AG1078" s="33" t="str">
        <f t="shared" si="939"/>
        <v>4.07 &gt; Ecuador</v>
      </c>
      <c r="AH1078" s="84">
        <f t="shared" si="949"/>
        <v>1064</v>
      </c>
      <c r="AI1078" s="84">
        <f t="shared" si="950"/>
        <v>40</v>
      </c>
      <c r="AJ1078" s="877" t="s">
        <v>1526</v>
      </c>
    </row>
    <row r="1079" spans="1:36" x14ac:dyDescent="0.2">
      <c r="A1079" s="492">
        <f>INDEX(Country!$F$31:$G$76, MATCH(AI1079, Country!$O$31:$O$76, 0), 1)</f>
        <v>4.0699999999999985</v>
      </c>
      <c r="B1079" s="2" t="str">
        <f>INDEX(Country!$F$31:$G$76, MATCH(AI1079, Country!$O$31:$O$76, 0), 2)</f>
        <v>PMR &amp; NAMA</v>
      </c>
      <c r="C1079" s="436" t="str">
        <f>INDEX(Country!$K$31:$K$76, MATCH(AI1079, Country!$O$31:$O$76, 0), 1)</f>
        <v>PMR &amp; NAMA</v>
      </c>
      <c r="D1079" s="4" t="str">
        <f t="shared" si="979"/>
        <v>El Salvador</v>
      </c>
      <c r="E1079" s="47"/>
      <c r="F1079" s="47"/>
      <c r="G1079" s="47"/>
      <c r="H1079" s="47"/>
      <c r="I1079" s="47"/>
      <c r="J1079" s="47"/>
      <c r="K1079" s="45"/>
      <c r="L1079" s="457">
        <f t="shared" si="980"/>
        <v>0</v>
      </c>
      <c r="M1079" s="458">
        <f t="shared" si="981"/>
        <v>0</v>
      </c>
      <c r="N1079" s="458">
        <f t="shared" si="982"/>
        <v>0</v>
      </c>
      <c r="O1079" s="458">
        <f t="shared" si="983"/>
        <v>0</v>
      </c>
      <c r="P1079" s="458">
        <f t="shared" si="984"/>
        <v>0</v>
      </c>
      <c r="Q1079" s="458">
        <f t="shared" si="985"/>
        <v>0</v>
      </c>
      <c r="R1079" s="459">
        <f t="shared" si="986"/>
        <v>0</v>
      </c>
      <c r="S1079" s="455"/>
      <c r="T1079" s="456"/>
      <c r="U1079" s="456"/>
      <c r="V1079" s="456"/>
      <c r="W1079" s="456"/>
      <c r="X1079" s="456"/>
      <c r="Y1079" s="456"/>
      <c r="Z1079" s="79">
        <f t="shared" ref="Z1079:AE1079" si="998">AA1079</f>
        <v>0</v>
      </c>
      <c r="AA1079" s="78">
        <f t="shared" si="998"/>
        <v>0</v>
      </c>
      <c r="AB1079" s="78">
        <f t="shared" si="998"/>
        <v>0</v>
      </c>
      <c r="AC1079" s="78">
        <f t="shared" si="998"/>
        <v>0</v>
      </c>
      <c r="AD1079" s="78">
        <f t="shared" si="998"/>
        <v>0</v>
      </c>
      <c r="AE1079" s="78">
        <f t="shared" si="998"/>
        <v>0</v>
      </c>
      <c r="AF1079" s="6">
        <v>0</v>
      </c>
      <c r="AG1079" s="33" t="str">
        <f t="shared" si="939"/>
        <v>4.07 &gt; El Salvador</v>
      </c>
      <c r="AH1079" s="84">
        <f t="shared" si="949"/>
        <v>1065</v>
      </c>
      <c r="AI1079" s="84">
        <f t="shared" si="950"/>
        <v>40</v>
      </c>
      <c r="AJ1079" s="877" t="s">
        <v>1526</v>
      </c>
    </row>
    <row r="1080" spans="1:36" x14ac:dyDescent="0.2">
      <c r="A1080" s="492">
        <f>INDEX(Country!$F$31:$G$76, MATCH(AI1080, Country!$O$31:$O$76, 0), 1)</f>
        <v>4.0699999999999985</v>
      </c>
      <c r="B1080" s="2" t="str">
        <f>INDEX(Country!$F$31:$G$76, MATCH(AI1080, Country!$O$31:$O$76, 0), 2)</f>
        <v>PMR &amp; NAMA</v>
      </c>
      <c r="C1080" s="436" t="str">
        <f>INDEX(Country!$K$31:$K$76, MATCH(AI1080, Country!$O$31:$O$76, 0), 1)</f>
        <v>PMR &amp; NAMA</v>
      </c>
      <c r="D1080" s="4" t="str">
        <f t="shared" si="979"/>
        <v>Guatemala</v>
      </c>
      <c r="E1080" s="47"/>
      <c r="F1080" s="47"/>
      <c r="G1080" s="47"/>
      <c r="H1080" s="47"/>
      <c r="I1080" s="47"/>
      <c r="J1080" s="47"/>
      <c r="K1080" s="45"/>
      <c r="L1080" s="457">
        <f t="shared" si="980"/>
        <v>0</v>
      </c>
      <c r="M1080" s="458">
        <f t="shared" si="981"/>
        <v>0</v>
      </c>
      <c r="N1080" s="458">
        <f t="shared" si="982"/>
        <v>0</v>
      </c>
      <c r="O1080" s="458">
        <f t="shared" si="983"/>
        <v>0</v>
      </c>
      <c r="P1080" s="458">
        <f t="shared" si="984"/>
        <v>0</v>
      </c>
      <c r="Q1080" s="458">
        <f t="shared" si="985"/>
        <v>0</v>
      </c>
      <c r="R1080" s="459">
        <f t="shared" si="986"/>
        <v>0</v>
      </c>
      <c r="S1080" s="455"/>
      <c r="T1080" s="456"/>
      <c r="U1080" s="456"/>
      <c r="V1080" s="456"/>
      <c r="W1080" s="456"/>
      <c r="X1080" s="456"/>
      <c r="Y1080" s="456"/>
      <c r="Z1080" s="79">
        <f t="shared" ref="Z1080:AE1080" si="999">AA1080</f>
        <v>0</v>
      </c>
      <c r="AA1080" s="78">
        <f t="shared" si="999"/>
        <v>0</v>
      </c>
      <c r="AB1080" s="78">
        <f t="shared" si="999"/>
        <v>0</v>
      </c>
      <c r="AC1080" s="78">
        <f t="shared" si="999"/>
        <v>0</v>
      </c>
      <c r="AD1080" s="78">
        <f t="shared" si="999"/>
        <v>0</v>
      </c>
      <c r="AE1080" s="78">
        <f t="shared" si="999"/>
        <v>0</v>
      </c>
      <c r="AF1080" s="6">
        <v>0</v>
      </c>
      <c r="AG1080" s="33" t="str">
        <f t="shared" si="939"/>
        <v>4.07 &gt; Guatemala</v>
      </c>
      <c r="AH1080" s="84">
        <f t="shared" si="949"/>
        <v>1066</v>
      </c>
      <c r="AI1080" s="84">
        <f t="shared" si="950"/>
        <v>40</v>
      </c>
      <c r="AJ1080" s="877" t="s">
        <v>1526</v>
      </c>
    </row>
    <row r="1081" spans="1:36" x14ac:dyDescent="0.2">
      <c r="A1081" s="492">
        <f>INDEX(Country!$F$31:$G$76, MATCH(AI1081, Country!$O$31:$O$76, 0), 1)</f>
        <v>4.0699999999999985</v>
      </c>
      <c r="B1081" s="2" t="str">
        <f>INDEX(Country!$F$31:$G$76, MATCH(AI1081, Country!$O$31:$O$76, 0), 2)</f>
        <v>PMR &amp; NAMA</v>
      </c>
      <c r="C1081" s="436" t="str">
        <f>INDEX(Country!$K$31:$K$76, MATCH(AI1081, Country!$O$31:$O$76, 0), 1)</f>
        <v>PMR &amp; NAMA</v>
      </c>
      <c r="D1081" s="4" t="str">
        <f t="shared" si="979"/>
        <v>Guyana</v>
      </c>
      <c r="E1081" s="47"/>
      <c r="F1081" s="47"/>
      <c r="G1081" s="47"/>
      <c r="H1081" s="47"/>
      <c r="I1081" s="47"/>
      <c r="J1081" s="47"/>
      <c r="K1081" s="45"/>
      <c r="L1081" s="457">
        <f t="shared" si="980"/>
        <v>0</v>
      </c>
      <c r="M1081" s="458">
        <f t="shared" si="981"/>
        <v>0</v>
      </c>
      <c r="N1081" s="458">
        <f t="shared" si="982"/>
        <v>0</v>
      </c>
      <c r="O1081" s="458">
        <f t="shared" si="983"/>
        <v>0</v>
      </c>
      <c r="P1081" s="458">
        <f t="shared" si="984"/>
        <v>0</v>
      </c>
      <c r="Q1081" s="458">
        <f t="shared" si="985"/>
        <v>0</v>
      </c>
      <c r="R1081" s="459">
        <f t="shared" si="986"/>
        <v>0</v>
      </c>
      <c r="S1081" s="455"/>
      <c r="T1081" s="456"/>
      <c r="U1081" s="456"/>
      <c r="V1081" s="456"/>
      <c r="W1081" s="456"/>
      <c r="X1081" s="456"/>
      <c r="Y1081" s="456"/>
      <c r="Z1081" s="79">
        <f t="shared" ref="Z1081:AE1081" si="1000">AA1081</f>
        <v>0</v>
      </c>
      <c r="AA1081" s="78">
        <f t="shared" si="1000"/>
        <v>0</v>
      </c>
      <c r="AB1081" s="78">
        <f t="shared" si="1000"/>
        <v>0</v>
      </c>
      <c r="AC1081" s="78">
        <f t="shared" si="1000"/>
        <v>0</v>
      </c>
      <c r="AD1081" s="78">
        <f t="shared" si="1000"/>
        <v>0</v>
      </c>
      <c r="AE1081" s="78">
        <f t="shared" si="1000"/>
        <v>0</v>
      </c>
      <c r="AF1081" s="6">
        <v>0</v>
      </c>
      <c r="AG1081" s="33" t="str">
        <f t="shared" si="939"/>
        <v>4.07 &gt; Guyana</v>
      </c>
      <c r="AH1081" s="84">
        <f t="shared" si="949"/>
        <v>1067</v>
      </c>
      <c r="AI1081" s="84">
        <f t="shared" si="950"/>
        <v>40</v>
      </c>
      <c r="AJ1081" s="877" t="s">
        <v>1526</v>
      </c>
    </row>
    <row r="1082" spans="1:36" x14ac:dyDescent="0.2">
      <c r="A1082" s="492">
        <f>INDEX(Country!$F$31:$G$76, MATCH(AI1082, Country!$O$31:$O$76, 0), 1)</f>
        <v>4.0699999999999985</v>
      </c>
      <c r="B1082" s="2" t="str">
        <f>INDEX(Country!$F$31:$G$76, MATCH(AI1082, Country!$O$31:$O$76, 0), 2)</f>
        <v>PMR &amp; NAMA</v>
      </c>
      <c r="C1082" s="436" t="str">
        <f>INDEX(Country!$K$31:$K$76, MATCH(AI1082, Country!$O$31:$O$76, 0), 1)</f>
        <v>PMR &amp; NAMA</v>
      </c>
      <c r="D1082" s="4" t="str">
        <f t="shared" si="979"/>
        <v>Haiti</v>
      </c>
      <c r="E1082" s="47"/>
      <c r="F1082" s="47"/>
      <c r="G1082" s="47"/>
      <c r="H1082" s="47"/>
      <c r="I1082" s="47"/>
      <c r="J1082" s="47"/>
      <c r="K1082" s="45"/>
      <c r="L1082" s="457">
        <f t="shared" si="980"/>
        <v>0</v>
      </c>
      <c r="M1082" s="458">
        <f t="shared" si="981"/>
        <v>0</v>
      </c>
      <c r="N1082" s="458">
        <f t="shared" si="982"/>
        <v>0</v>
      </c>
      <c r="O1082" s="458">
        <f t="shared" si="983"/>
        <v>0</v>
      </c>
      <c r="P1082" s="458">
        <f t="shared" si="984"/>
        <v>0</v>
      </c>
      <c r="Q1082" s="458">
        <f t="shared" si="985"/>
        <v>0</v>
      </c>
      <c r="R1082" s="459">
        <f t="shared" si="986"/>
        <v>0</v>
      </c>
      <c r="S1082" s="455"/>
      <c r="T1082" s="456"/>
      <c r="U1082" s="456"/>
      <c r="V1082" s="456"/>
      <c r="W1082" s="456"/>
      <c r="X1082" s="456"/>
      <c r="Y1082" s="456"/>
      <c r="Z1082" s="79">
        <f t="shared" ref="Z1082:AE1082" si="1001">AA1082</f>
        <v>0</v>
      </c>
      <c r="AA1082" s="78">
        <f t="shared" si="1001"/>
        <v>0</v>
      </c>
      <c r="AB1082" s="78">
        <f t="shared" si="1001"/>
        <v>0</v>
      </c>
      <c r="AC1082" s="78">
        <f t="shared" si="1001"/>
        <v>0</v>
      </c>
      <c r="AD1082" s="78">
        <f t="shared" si="1001"/>
        <v>0</v>
      </c>
      <c r="AE1082" s="78">
        <f t="shared" si="1001"/>
        <v>0</v>
      </c>
      <c r="AF1082" s="6">
        <v>0</v>
      </c>
      <c r="AG1082" s="33" t="str">
        <f t="shared" si="939"/>
        <v>4.07 &gt; Haiti</v>
      </c>
      <c r="AH1082" s="84">
        <f t="shared" si="949"/>
        <v>1068</v>
      </c>
      <c r="AI1082" s="84">
        <f t="shared" si="950"/>
        <v>40</v>
      </c>
      <c r="AJ1082" s="877" t="s">
        <v>1526</v>
      </c>
    </row>
    <row r="1083" spans="1:36" x14ac:dyDescent="0.2">
      <c r="A1083" s="492">
        <f>INDEX(Country!$F$31:$G$76, MATCH(AI1083, Country!$O$31:$O$76, 0), 1)</f>
        <v>4.0699999999999985</v>
      </c>
      <c r="B1083" s="2" t="str">
        <f>INDEX(Country!$F$31:$G$76, MATCH(AI1083, Country!$O$31:$O$76, 0), 2)</f>
        <v>PMR &amp; NAMA</v>
      </c>
      <c r="C1083" s="436" t="str">
        <f>INDEX(Country!$K$31:$K$76, MATCH(AI1083, Country!$O$31:$O$76, 0), 1)</f>
        <v>PMR &amp; NAMA</v>
      </c>
      <c r="D1083" s="4" t="str">
        <f t="shared" si="979"/>
        <v>Honduras</v>
      </c>
      <c r="E1083" s="47"/>
      <c r="F1083" s="47"/>
      <c r="G1083" s="47"/>
      <c r="H1083" s="47"/>
      <c r="I1083" s="47"/>
      <c r="J1083" s="47"/>
      <c r="K1083" s="45"/>
      <c r="L1083" s="457">
        <f t="shared" si="980"/>
        <v>0</v>
      </c>
      <c r="M1083" s="458">
        <f t="shared" si="981"/>
        <v>0</v>
      </c>
      <c r="N1083" s="458">
        <f t="shared" si="982"/>
        <v>0</v>
      </c>
      <c r="O1083" s="458">
        <f t="shared" si="983"/>
        <v>0</v>
      </c>
      <c r="P1083" s="458">
        <f t="shared" si="984"/>
        <v>0</v>
      </c>
      <c r="Q1083" s="458">
        <f t="shared" si="985"/>
        <v>0</v>
      </c>
      <c r="R1083" s="459">
        <f t="shared" si="986"/>
        <v>0</v>
      </c>
      <c r="S1083" s="455"/>
      <c r="T1083" s="456"/>
      <c r="U1083" s="456"/>
      <c r="V1083" s="456"/>
      <c r="W1083" s="456"/>
      <c r="X1083" s="456"/>
      <c r="Y1083" s="456"/>
      <c r="Z1083" s="79">
        <f t="shared" ref="Z1083:AE1083" si="1002">AA1083</f>
        <v>0</v>
      </c>
      <c r="AA1083" s="78">
        <f t="shared" si="1002"/>
        <v>0</v>
      </c>
      <c r="AB1083" s="78">
        <f t="shared" si="1002"/>
        <v>0</v>
      </c>
      <c r="AC1083" s="78">
        <f t="shared" si="1002"/>
        <v>0</v>
      </c>
      <c r="AD1083" s="78">
        <f t="shared" si="1002"/>
        <v>0</v>
      </c>
      <c r="AE1083" s="78">
        <f t="shared" si="1002"/>
        <v>0</v>
      </c>
      <c r="AF1083" s="6">
        <v>0</v>
      </c>
      <c r="AG1083" s="33" t="str">
        <f t="shared" si="939"/>
        <v>4.07 &gt; Honduras</v>
      </c>
      <c r="AH1083" s="84">
        <f t="shared" si="949"/>
        <v>1069</v>
      </c>
      <c r="AI1083" s="84">
        <f t="shared" si="950"/>
        <v>40</v>
      </c>
      <c r="AJ1083" s="877" t="s">
        <v>1526</v>
      </c>
    </row>
    <row r="1084" spans="1:36" x14ac:dyDescent="0.2">
      <c r="A1084" s="492">
        <f>INDEX(Country!$F$31:$G$76, MATCH(AI1084, Country!$O$31:$O$76, 0), 1)</f>
        <v>4.0699999999999985</v>
      </c>
      <c r="B1084" s="2" t="str">
        <f>INDEX(Country!$F$31:$G$76, MATCH(AI1084, Country!$O$31:$O$76, 0), 2)</f>
        <v>PMR &amp; NAMA</v>
      </c>
      <c r="C1084" s="436" t="str">
        <f>INDEX(Country!$K$31:$K$76, MATCH(AI1084, Country!$O$31:$O$76, 0), 1)</f>
        <v>PMR &amp; NAMA</v>
      </c>
      <c r="D1084" s="4" t="str">
        <f t="shared" si="979"/>
        <v>Jamaica</v>
      </c>
      <c r="E1084" s="47"/>
      <c r="F1084" s="47"/>
      <c r="G1084" s="47"/>
      <c r="H1084" s="47"/>
      <c r="I1084" s="47"/>
      <c r="J1084" s="47"/>
      <c r="K1084" s="45"/>
      <c r="L1084" s="457">
        <f t="shared" si="980"/>
        <v>0</v>
      </c>
      <c r="M1084" s="458">
        <f t="shared" si="981"/>
        <v>0</v>
      </c>
      <c r="N1084" s="458">
        <f t="shared" si="982"/>
        <v>0</v>
      </c>
      <c r="O1084" s="458">
        <f t="shared" si="983"/>
        <v>0</v>
      </c>
      <c r="P1084" s="458">
        <f t="shared" si="984"/>
        <v>0</v>
      </c>
      <c r="Q1084" s="458">
        <f t="shared" si="985"/>
        <v>0</v>
      </c>
      <c r="R1084" s="459">
        <f t="shared" si="986"/>
        <v>0</v>
      </c>
      <c r="S1084" s="455"/>
      <c r="T1084" s="456"/>
      <c r="U1084" s="456"/>
      <c r="V1084" s="456"/>
      <c r="W1084" s="456"/>
      <c r="X1084" s="456"/>
      <c r="Y1084" s="456"/>
      <c r="Z1084" s="79">
        <f t="shared" ref="Z1084:AE1084" si="1003">AA1084</f>
        <v>0</v>
      </c>
      <c r="AA1084" s="78">
        <f t="shared" si="1003"/>
        <v>0</v>
      </c>
      <c r="AB1084" s="78">
        <f t="shared" si="1003"/>
        <v>0</v>
      </c>
      <c r="AC1084" s="78">
        <f t="shared" si="1003"/>
        <v>0</v>
      </c>
      <c r="AD1084" s="78">
        <f t="shared" si="1003"/>
        <v>0</v>
      </c>
      <c r="AE1084" s="78">
        <f t="shared" si="1003"/>
        <v>0</v>
      </c>
      <c r="AF1084" s="6">
        <v>0</v>
      </c>
      <c r="AG1084" s="33" t="str">
        <f t="shared" si="939"/>
        <v>4.07 &gt; Jamaica</v>
      </c>
      <c r="AH1084" s="84">
        <f t="shared" si="949"/>
        <v>1070</v>
      </c>
      <c r="AI1084" s="84">
        <f t="shared" si="950"/>
        <v>40</v>
      </c>
      <c r="AJ1084" s="877" t="s">
        <v>1526</v>
      </c>
    </row>
    <row r="1085" spans="1:36" x14ac:dyDescent="0.2">
      <c r="A1085" s="492">
        <f>INDEX(Country!$F$31:$G$76, MATCH(AI1085, Country!$O$31:$O$76, 0), 1)</f>
        <v>4.0699999999999985</v>
      </c>
      <c r="B1085" s="2" t="str">
        <f>INDEX(Country!$F$31:$G$76, MATCH(AI1085, Country!$O$31:$O$76, 0), 2)</f>
        <v>PMR &amp; NAMA</v>
      </c>
      <c r="C1085" s="436" t="str">
        <f>INDEX(Country!$K$31:$K$76, MATCH(AI1085, Country!$O$31:$O$76, 0), 1)</f>
        <v>PMR &amp; NAMA</v>
      </c>
      <c r="D1085" s="4" t="str">
        <f t="shared" si="979"/>
        <v>Mexico</v>
      </c>
      <c r="E1085" s="47"/>
      <c r="F1085" s="47"/>
      <c r="G1085" s="47"/>
      <c r="H1085" s="47"/>
      <c r="I1085" s="47"/>
      <c r="J1085" s="47"/>
      <c r="K1085" s="45"/>
      <c r="L1085" s="457">
        <f t="shared" si="980"/>
        <v>50</v>
      </c>
      <c r="M1085" s="458">
        <f t="shared" si="981"/>
        <v>50</v>
      </c>
      <c r="N1085" s="458">
        <f t="shared" si="982"/>
        <v>50</v>
      </c>
      <c r="O1085" s="458">
        <f t="shared" si="983"/>
        <v>50</v>
      </c>
      <c r="P1085" s="458">
        <f t="shared" si="984"/>
        <v>50</v>
      </c>
      <c r="Q1085" s="458">
        <f t="shared" si="985"/>
        <v>50</v>
      </c>
      <c r="R1085" s="459">
        <f t="shared" si="986"/>
        <v>50</v>
      </c>
      <c r="S1085" s="455"/>
      <c r="T1085" s="456"/>
      <c r="U1085" s="456"/>
      <c r="V1085" s="456"/>
      <c r="W1085" s="456"/>
      <c r="X1085" s="456"/>
      <c r="Y1085" s="456"/>
      <c r="Z1085" s="79">
        <f t="shared" ref="Z1085:AE1085" si="1004">AA1085</f>
        <v>2</v>
      </c>
      <c r="AA1085" s="78">
        <f t="shared" si="1004"/>
        <v>2</v>
      </c>
      <c r="AB1085" s="78">
        <f t="shared" si="1004"/>
        <v>2</v>
      </c>
      <c r="AC1085" s="78">
        <f t="shared" si="1004"/>
        <v>2</v>
      </c>
      <c r="AD1085" s="78">
        <f t="shared" si="1004"/>
        <v>2</v>
      </c>
      <c r="AE1085" s="78">
        <f t="shared" si="1004"/>
        <v>2</v>
      </c>
      <c r="AF1085" s="6">
        <v>2</v>
      </c>
      <c r="AG1085" s="33" t="str">
        <f t="shared" si="939"/>
        <v>4.07 &gt; Mexico</v>
      </c>
      <c r="AH1085" s="84">
        <f t="shared" si="949"/>
        <v>1071</v>
      </c>
      <c r="AI1085" s="84">
        <f t="shared" si="950"/>
        <v>40</v>
      </c>
      <c r="AJ1085" s="877" t="s">
        <v>1526</v>
      </c>
    </row>
    <row r="1086" spans="1:36" x14ac:dyDescent="0.2">
      <c r="A1086" s="492">
        <f>INDEX(Country!$F$31:$G$76, MATCH(AI1086, Country!$O$31:$O$76, 0), 1)</f>
        <v>4.0699999999999985</v>
      </c>
      <c r="B1086" s="2" t="str">
        <f>INDEX(Country!$F$31:$G$76, MATCH(AI1086, Country!$O$31:$O$76, 0), 2)</f>
        <v>PMR &amp; NAMA</v>
      </c>
      <c r="C1086" s="436" t="str">
        <f>INDEX(Country!$K$31:$K$76, MATCH(AI1086, Country!$O$31:$O$76, 0), 1)</f>
        <v>PMR &amp; NAMA</v>
      </c>
      <c r="D1086" s="4" t="str">
        <f t="shared" si="979"/>
        <v>Nicaragua</v>
      </c>
      <c r="E1086" s="47"/>
      <c r="F1086" s="47"/>
      <c r="G1086" s="47"/>
      <c r="H1086" s="47"/>
      <c r="I1086" s="47"/>
      <c r="J1086" s="47"/>
      <c r="K1086" s="45"/>
      <c r="L1086" s="457">
        <f t="shared" si="980"/>
        <v>0</v>
      </c>
      <c r="M1086" s="458">
        <f t="shared" si="981"/>
        <v>0</v>
      </c>
      <c r="N1086" s="458">
        <f t="shared" si="982"/>
        <v>0</v>
      </c>
      <c r="O1086" s="458">
        <f t="shared" si="983"/>
        <v>0</v>
      </c>
      <c r="P1086" s="458">
        <f t="shared" si="984"/>
        <v>0</v>
      </c>
      <c r="Q1086" s="458">
        <f t="shared" si="985"/>
        <v>0</v>
      </c>
      <c r="R1086" s="459">
        <f t="shared" si="986"/>
        <v>0</v>
      </c>
      <c r="S1086" s="455"/>
      <c r="T1086" s="456"/>
      <c r="U1086" s="456"/>
      <c r="V1086" s="456"/>
      <c r="W1086" s="456"/>
      <c r="X1086" s="456"/>
      <c r="Y1086" s="456"/>
      <c r="Z1086" s="79">
        <f t="shared" ref="Z1086:AE1086" si="1005">AA1086</f>
        <v>0</v>
      </c>
      <c r="AA1086" s="78">
        <f t="shared" si="1005"/>
        <v>0</v>
      </c>
      <c r="AB1086" s="78">
        <f t="shared" si="1005"/>
        <v>0</v>
      </c>
      <c r="AC1086" s="78">
        <f t="shared" si="1005"/>
        <v>0</v>
      </c>
      <c r="AD1086" s="78">
        <f t="shared" si="1005"/>
        <v>0</v>
      </c>
      <c r="AE1086" s="78">
        <f t="shared" si="1005"/>
        <v>0</v>
      </c>
      <c r="AF1086" s="6">
        <v>0</v>
      </c>
      <c r="AG1086" s="33" t="str">
        <f t="shared" si="939"/>
        <v>4.07 &gt; Nicaragua</v>
      </c>
      <c r="AH1086" s="84">
        <f t="shared" si="949"/>
        <v>1072</v>
      </c>
      <c r="AI1086" s="84">
        <f t="shared" si="950"/>
        <v>40</v>
      </c>
      <c r="AJ1086" s="877" t="s">
        <v>1526</v>
      </c>
    </row>
    <row r="1087" spans="1:36" x14ac:dyDescent="0.2">
      <c r="A1087" s="492">
        <f>INDEX(Country!$F$31:$G$76, MATCH(AI1087, Country!$O$31:$O$76, 0), 1)</f>
        <v>4.0699999999999985</v>
      </c>
      <c r="B1087" s="2" t="str">
        <f>INDEX(Country!$F$31:$G$76, MATCH(AI1087, Country!$O$31:$O$76, 0), 2)</f>
        <v>PMR &amp; NAMA</v>
      </c>
      <c r="C1087" s="436" t="str">
        <f>INDEX(Country!$K$31:$K$76, MATCH(AI1087, Country!$O$31:$O$76, 0), 1)</f>
        <v>PMR &amp; NAMA</v>
      </c>
      <c r="D1087" s="4" t="str">
        <f t="shared" si="979"/>
        <v>Panama</v>
      </c>
      <c r="E1087" s="47"/>
      <c r="F1087" s="47"/>
      <c r="G1087" s="47"/>
      <c r="H1087" s="47"/>
      <c r="I1087" s="47"/>
      <c r="J1087" s="47"/>
      <c r="K1087" s="45"/>
      <c r="L1087" s="457">
        <f t="shared" si="980"/>
        <v>0</v>
      </c>
      <c r="M1087" s="458">
        <f t="shared" si="981"/>
        <v>0</v>
      </c>
      <c r="N1087" s="458">
        <f t="shared" si="982"/>
        <v>0</v>
      </c>
      <c r="O1087" s="458">
        <f t="shared" si="983"/>
        <v>0</v>
      </c>
      <c r="P1087" s="458">
        <f t="shared" si="984"/>
        <v>0</v>
      </c>
      <c r="Q1087" s="458">
        <f t="shared" si="985"/>
        <v>0</v>
      </c>
      <c r="R1087" s="459">
        <f t="shared" si="986"/>
        <v>0</v>
      </c>
      <c r="S1087" s="455"/>
      <c r="T1087" s="456"/>
      <c r="U1087" s="456"/>
      <c r="V1087" s="456"/>
      <c r="W1087" s="456"/>
      <c r="X1087" s="456"/>
      <c r="Y1087" s="456"/>
      <c r="Z1087" s="79">
        <f t="shared" ref="Z1087:AE1087" si="1006">AA1087</f>
        <v>0</v>
      </c>
      <c r="AA1087" s="78">
        <f t="shared" si="1006"/>
        <v>0</v>
      </c>
      <c r="AB1087" s="78">
        <f t="shared" si="1006"/>
        <v>0</v>
      </c>
      <c r="AC1087" s="78">
        <f t="shared" si="1006"/>
        <v>0</v>
      </c>
      <c r="AD1087" s="78">
        <f t="shared" si="1006"/>
        <v>0</v>
      </c>
      <c r="AE1087" s="78">
        <f t="shared" si="1006"/>
        <v>0</v>
      </c>
      <c r="AF1087" s="6">
        <v>0</v>
      </c>
      <c r="AG1087" s="33" t="str">
        <f t="shared" si="939"/>
        <v>4.07 &gt; Panama</v>
      </c>
      <c r="AH1087" s="84">
        <f t="shared" si="949"/>
        <v>1073</v>
      </c>
      <c r="AI1087" s="84">
        <f t="shared" si="950"/>
        <v>40</v>
      </c>
      <c r="AJ1087" s="877" t="s">
        <v>1526</v>
      </c>
    </row>
    <row r="1088" spans="1:36" x14ac:dyDescent="0.2">
      <c r="A1088" s="492">
        <f>INDEX(Country!$F$31:$G$76, MATCH(AI1088, Country!$O$31:$O$76, 0), 1)</f>
        <v>4.0699999999999985</v>
      </c>
      <c r="B1088" s="2" t="str">
        <f>INDEX(Country!$F$31:$G$76, MATCH(AI1088, Country!$O$31:$O$76, 0), 2)</f>
        <v>PMR &amp; NAMA</v>
      </c>
      <c r="C1088" s="436" t="str">
        <f>INDEX(Country!$K$31:$K$76, MATCH(AI1088, Country!$O$31:$O$76, 0), 1)</f>
        <v>PMR &amp; NAMA</v>
      </c>
      <c r="D1088" s="4" t="str">
        <f t="shared" si="979"/>
        <v>Paraguay</v>
      </c>
      <c r="E1088" s="47"/>
      <c r="F1088" s="47"/>
      <c r="G1088" s="47"/>
      <c r="H1088" s="47"/>
      <c r="I1088" s="47"/>
      <c r="J1088" s="47"/>
      <c r="K1088" s="45"/>
      <c r="L1088" s="457">
        <f t="shared" si="980"/>
        <v>0</v>
      </c>
      <c r="M1088" s="458">
        <f t="shared" si="981"/>
        <v>0</v>
      </c>
      <c r="N1088" s="458">
        <f t="shared" si="982"/>
        <v>0</v>
      </c>
      <c r="O1088" s="458">
        <f t="shared" si="983"/>
        <v>0</v>
      </c>
      <c r="P1088" s="458">
        <f t="shared" si="984"/>
        <v>0</v>
      </c>
      <c r="Q1088" s="458">
        <f t="shared" si="985"/>
        <v>0</v>
      </c>
      <c r="R1088" s="459">
        <f t="shared" si="986"/>
        <v>0</v>
      </c>
      <c r="S1088" s="455"/>
      <c r="T1088" s="456"/>
      <c r="U1088" s="456"/>
      <c r="V1088" s="456"/>
      <c r="W1088" s="456"/>
      <c r="X1088" s="456"/>
      <c r="Y1088" s="456"/>
      <c r="Z1088" s="79">
        <f t="shared" ref="Z1088:AE1088" si="1007">AA1088</f>
        <v>0</v>
      </c>
      <c r="AA1088" s="78">
        <f t="shared" si="1007"/>
        <v>0</v>
      </c>
      <c r="AB1088" s="78">
        <f t="shared" si="1007"/>
        <v>0</v>
      </c>
      <c r="AC1088" s="78">
        <f t="shared" si="1007"/>
        <v>0</v>
      </c>
      <c r="AD1088" s="78">
        <f t="shared" si="1007"/>
        <v>0</v>
      </c>
      <c r="AE1088" s="78">
        <f t="shared" si="1007"/>
        <v>0</v>
      </c>
      <c r="AF1088" s="6">
        <v>0</v>
      </c>
      <c r="AG1088" s="33" t="str">
        <f t="shared" si="939"/>
        <v>4.07 &gt; Paraguay</v>
      </c>
      <c r="AH1088" s="84">
        <f t="shared" si="949"/>
        <v>1074</v>
      </c>
      <c r="AI1088" s="84">
        <f t="shared" si="950"/>
        <v>40</v>
      </c>
      <c r="AJ1088" s="877" t="s">
        <v>1526</v>
      </c>
    </row>
    <row r="1089" spans="1:36" x14ac:dyDescent="0.2">
      <c r="A1089" s="492">
        <f>INDEX(Country!$F$31:$G$76, MATCH(AI1089, Country!$O$31:$O$76, 0), 1)</f>
        <v>4.0699999999999985</v>
      </c>
      <c r="B1089" s="2" t="str">
        <f>INDEX(Country!$F$31:$G$76, MATCH(AI1089, Country!$O$31:$O$76, 0), 2)</f>
        <v>PMR &amp; NAMA</v>
      </c>
      <c r="C1089" s="436" t="str">
        <f>INDEX(Country!$K$31:$K$76, MATCH(AI1089, Country!$O$31:$O$76, 0), 1)</f>
        <v>PMR &amp; NAMA</v>
      </c>
      <c r="D1089" s="4" t="str">
        <f t="shared" si="979"/>
        <v>Peru</v>
      </c>
      <c r="E1089" s="47"/>
      <c r="F1089" s="47"/>
      <c r="G1089" s="47"/>
      <c r="H1089" s="47"/>
      <c r="I1089" s="47"/>
      <c r="J1089" s="47"/>
      <c r="K1089" s="45"/>
      <c r="L1089" s="457">
        <f t="shared" si="980"/>
        <v>50</v>
      </c>
      <c r="M1089" s="458">
        <f t="shared" si="981"/>
        <v>50</v>
      </c>
      <c r="N1089" s="458">
        <f t="shared" si="982"/>
        <v>50</v>
      </c>
      <c r="O1089" s="458">
        <f t="shared" si="983"/>
        <v>50</v>
      </c>
      <c r="P1089" s="458">
        <f t="shared" si="984"/>
        <v>50</v>
      </c>
      <c r="Q1089" s="458">
        <f t="shared" si="985"/>
        <v>50</v>
      </c>
      <c r="R1089" s="459">
        <f t="shared" si="986"/>
        <v>50</v>
      </c>
      <c r="S1089" s="455"/>
      <c r="T1089" s="456"/>
      <c r="U1089" s="456"/>
      <c r="V1089" s="456"/>
      <c r="W1089" s="456"/>
      <c r="X1089" s="456"/>
      <c r="Y1089" s="456"/>
      <c r="Z1089" s="79">
        <f t="shared" ref="Z1089:AE1089" si="1008">AA1089</f>
        <v>2</v>
      </c>
      <c r="AA1089" s="78">
        <f t="shared" si="1008"/>
        <v>2</v>
      </c>
      <c r="AB1089" s="78">
        <f t="shared" si="1008"/>
        <v>2</v>
      </c>
      <c r="AC1089" s="78">
        <f t="shared" si="1008"/>
        <v>2</v>
      </c>
      <c r="AD1089" s="78">
        <f t="shared" si="1008"/>
        <v>2</v>
      </c>
      <c r="AE1089" s="78">
        <f t="shared" si="1008"/>
        <v>2</v>
      </c>
      <c r="AF1089" s="6">
        <v>2</v>
      </c>
      <c r="AG1089" s="33" t="str">
        <f t="shared" si="939"/>
        <v>4.07 &gt; Peru</v>
      </c>
      <c r="AH1089" s="84">
        <f t="shared" si="949"/>
        <v>1075</v>
      </c>
      <c r="AI1089" s="84">
        <f t="shared" si="950"/>
        <v>40</v>
      </c>
      <c r="AJ1089" s="877" t="s">
        <v>1526</v>
      </c>
    </row>
    <row r="1090" spans="1:36" x14ac:dyDescent="0.2">
      <c r="A1090" s="492">
        <f>INDEX(Country!$F$31:$G$76, MATCH(AI1090, Country!$O$31:$O$76, 0), 1)</f>
        <v>4.0699999999999985</v>
      </c>
      <c r="B1090" s="2" t="str">
        <f>INDEX(Country!$F$31:$G$76, MATCH(AI1090, Country!$O$31:$O$76, 0), 2)</f>
        <v>PMR &amp; NAMA</v>
      </c>
      <c r="C1090" s="436" t="str">
        <f>INDEX(Country!$K$31:$K$76, MATCH(AI1090, Country!$O$31:$O$76, 0), 1)</f>
        <v>PMR &amp; NAMA</v>
      </c>
      <c r="D1090" s="4" t="str">
        <f t="shared" si="979"/>
        <v>Suriname</v>
      </c>
      <c r="E1090" s="47"/>
      <c r="F1090" s="47"/>
      <c r="G1090" s="47"/>
      <c r="H1090" s="47"/>
      <c r="I1090" s="47"/>
      <c r="J1090" s="47"/>
      <c r="K1090" s="45"/>
      <c r="L1090" s="457">
        <f t="shared" si="980"/>
        <v>0</v>
      </c>
      <c r="M1090" s="458">
        <f t="shared" si="981"/>
        <v>0</v>
      </c>
      <c r="N1090" s="458">
        <f t="shared" si="982"/>
        <v>0</v>
      </c>
      <c r="O1090" s="458">
        <f t="shared" si="983"/>
        <v>0</v>
      </c>
      <c r="P1090" s="458">
        <f t="shared" si="984"/>
        <v>0</v>
      </c>
      <c r="Q1090" s="458">
        <f t="shared" si="985"/>
        <v>0</v>
      </c>
      <c r="R1090" s="459">
        <f t="shared" si="986"/>
        <v>0</v>
      </c>
      <c r="S1090" s="455"/>
      <c r="T1090" s="456"/>
      <c r="U1090" s="456"/>
      <c r="V1090" s="456"/>
      <c r="W1090" s="456"/>
      <c r="X1090" s="456"/>
      <c r="Y1090" s="456"/>
      <c r="Z1090" s="79">
        <f t="shared" ref="Z1090:AE1090" si="1009">AA1090</f>
        <v>0</v>
      </c>
      <c r="AA1090" s="78">
        <f t="shared" si="1009"/>
        <v>0</v>
      </c>
      <c r="AB1090" s="78">
        <f t="shared" si="1009"/>
        <v>0</v>
      </c>
      <c r="AC1090" s="78">
        <f t="shared" si="1009"/>
        <v>0</v>
      </c>
      <c r="AD1090" s="78">
        <f t="shared" si="1009"/>
        <v>0</v>
      </c>
      <c r="AE1090" s="78">
        <f t="shared" si="1009"/>
        <v>0</v>
      </c>
      <c r="AF1090" s="6">
        <v>0</v>
      </c>
      <c r="AG1090" s="33" t="str">
        <f t="shared" si="939"/>
        <v>4.07 &gt; Suriname</v>
      </c>
      <c r="AH1090" s="84">
        <f t="shared" si="949"/>
        <v>1076</v>
      </c>
      <c r="AI1090" s="84">
        <f t="shared" si="950"/>
        <v>40</v>
      </c>
      <c r="AJ1090" s="877" t="s">
        <v>1526</v>
      </c>
    </row>
    <row r="1091" spans="1:36" x14ac:dyDescent="0.2">
      <c r="A1091" s="492">
        <f>INDEX(Country!$F$31:$G$76, MATCH(AI1091, Country!$O$31:$O$76, 0), 1)</f>
        <v>4.0699999999999985</v>
      </c>
      <c r="B1091" s="2" t="str">
        <f>INDEX(Country!$F$31:$G$76, MATCH(AI1091, Country!$O$31:$O$76, 0), 2)</f>
        <v>PMR &amp; NAMA</v>
      </c>
      <c r="C1091" s="436" t="str">
        <f>INDEX(Country!$K$31:$K$76, MATCH(AI1091, Country!$O$31:$O$76, 0), 1)</f>
        <v>PMR &amp; NAMA</v>
      </c>
      <c r="D1091" s="4" t="str">
        <f t="shared" si="979"/>
        <v>Trinidad &amp; Tobago</v>
      </c>
      <c r="E1091" s="47"/>
      <c r="F1091" s="47"/>
      <c r="G1091" s="47"/>
      <c r="H1091" s="47"/>
      <c r="I1091" s="47"/>
      <c r="J1091" s="47"/>
      <c r="K1091" s="45"/>
      <c r="L1091" s="457">
        <f t="shared" si="980"/>
        <v>0</v>
      </c>
      <c r="M1091" s="458">
        <f t="shared" si="981"/>
        <v>0</v>
      </c>
      <c r="N1091" s="458">
        <f t="shared" si="982"/>
        <v>0</v>
      </c>
      <c r="O1091" s="458">
        <f t="shared" si="983"/>
        <v>0</v>
      </c>
      <c r="P1091" s="458">
        <f t="shared" si="984"/>
        <v>0</v>
      </c>
      <c r="Q1091" s="458">
        <f t="shared" si="985"/>
        <v>0</v>
      </c>
      <c r="R1091" s="459">
        <f t="shared" si="986"/>
        <v>0</v>
      </c>
      <c r="S1091" s="455"/>
      <c r="T1091" s="456"/>
      <c r="U1091" s="456"/>
      <c r="V1091" s="456"/>
      <c r="W1091" s="456"/>
      <c r="X1091" s="456"/>
      <c r="Y1091" s="456"/>
      <c r="Z1091" s="79">
        <f t="shared" ref="Z1091:AE1091" si="1010">AA1091</f>
        <v>0</v>
      </c>
      <c r="AA1091" s="78">
        <f t="shared" si="1010"/>
        <v>0</v>
      </c>
      <c r="AB1091" s="78">
        <f t="shared" si="1010"/>
        <v>0</v>
      </c>
      <c r="AC1091" s="78">
        <f t="shared" si="1010"/>
        <v>0</v>
      </c>
      <c r="AD1091" s="78">
        <f t="shared" si="1010"/>
        <v>0</v>
      </c>
      <c r="AE1091" s="78">
        <f t="shared" si="1010"/>
        <v>0</v>
      </c>
      <c r="AF1091" s="6">
        <v>0</v>
      </c>
      <c r="AG1091" s="33" t="str">
        <f t="shared" si="939"/>
        <v>4.07 &gt; Trinidad &amp; Tobago</v>
      </c>
      <c r="AH1091" s="84">
        <f t="shared" si="949"/>
        <v>1077</v>
      </c>
      <c r="AI1091" s="84">
        <f t="shared" si="950"/>
        <v>40</v>
      </c>
      <c r="AJ1091" s="877" t="s">
        <v>1526</v>
      </c>
    </row>
    <row r="1092" spans="1:36" x14ac:dyDescent="0.2">
      <c r="A1092" s="492">
        <f>INDEX(Country!$F$31:$G$76, MATCH(AI1092, Country!$O$31:$O$76, 0), 1)</f>
        <v>4.0699999999999985</v>
      </c>
      <c r="B1092" s="2" t="str">
        <f>INDEX(Country!$F$31:$G$76, MATCH(AI1092, Country!$O$31:$O$76, 0), 2)</f>
        <v>PMR &amp; NAMA</v>
      </c>
      <c r="C1092" s="436" t="str">
        <f>INDEX(Country!$K$31:$K$76, MATCH(AI1092, Country!$O$31:$O$76, 0), 1)</f>
        <v>PMR &amp; NAMA</v>
      </c>
      <c r="D1092" s="4" t="str">
        <f t="shared" si="979"/>
        <v>Uruguay</v>
      </c>
      <c r="E1092" s="47"/>
      <c r="F1092" s="47"/>
      <c r="G1092" s="47"/>
      <c r="H1092" s="47"/>
      <c r="I1092" s="47"/>
      <c r="J1092" s="47"/>
      <c r="K1092" s="45"/>
      <c r="L1092" s="457">
        <f t="shared" si="980"/>
        <v>0</v>
      </c>
      <c r="M1092" s="458">
        <f t="shared" si="981"/>
        <v>0</v>
      </c>
      <c r="N1092" s="458">
        <f t="shared" si="982"/>
        <v>0</v>
      </c>
      <c r="O1092" s="458">
        <f t="shared" si="983"/>
        <v>0</v>
      </c>
      <c r="P1092" s="458">
        <f t="shared" si="984"/>
        <v>0</v>
      </c>
      <c r="Q1092" s="458">
        <f t="shared" si="985"/>
        <v>0</v>
      </c>
      <c r="R1092" s="459">
        <f t="shared" si="986"/>
        <v>0</v>
      </c>
      <c r="S1092" s="455"/>
      <c r="T1092" s="456"/>
      <c r="U1092" s="456"/>
      <c r="V1092" s="456"/>
      <c r="W1092" s="456"/>
      <c r="X1092" s="456"/>
      <c r="Y1092" s="456"/>
      <c r="Z1092" s="79">
        <f t="shared" ref="Z1092:AE1092" si="1011">AA1092</f>
        <v>0</v>
      </c>
      <c r="AA1092" s="78">
        <f t="shared" si="1011"/>
        <v>0</v>
      </c>
      <c r="AB1092" s="78">
        <f t="shared" si="1011"/>
        <v>0</v>
      </c>
      <c r="AC1092" s="78">
        <f t="shared" si="1011"/>
        <v>0</v>
      </c>
      <c r="AD1092" s="78">
        <f t="shared" si="1011"/>
        <v>0</v>
      </c>
      <c r="AE1092" s="78">
        <f t="shared" si="1011"/>
        <v>0</v>
      </c>
      <c r="AF1092" s="6">
        <v>0</v>
      </c>
      <c r="AG1092" s="33" t="str">
        <f t="shared" si="939"/>
        <v>4.07 &gt; Uruguay</v>
      </c>
      <c r="AH1092" s="84">
        <f t="shared" si="949"/>
        <v>1078</v>
      </c>
      <c r="AI1092" s="84">
        <f t="shared" si="950"/>
        <v>40</v>
      </c>
      <c r="AJ1092" s="877" t="s">
        <v>1526</v>
      </c>
    </row>
    <row r="1093" spans="1:36" x14ac:dyDescent="0.2">
      <c r="A1093" s="491">
        <f>INDEX(Country!$F$31:$G$76, MATCH(AI1093, Country!$O$31:$O$76, 0), 1)</f>
        <v>4.0699999999999985</v>
      </c>
      <c r="B1093" s="386" t="str">
        <f>INDEX(Country!$F$31:$G$76, MATCH(AI1093, Country!$O$31:$O$76, 0), 2)</f>
        <v>PMR &amp; NAMA</v>
      </c>
      <c r="C1093" s="437" t="str">
        <f>INDEX(Country!$K$31:$K$76, MATCH(AI1093, Country!$O$31:$O$76, 0), 1)</f>
        <v>PMR &amp; NAMA</v>
      </c>
      <c r="D1093" s="86" t="str">
        <f t="shared" si="979"/>
        <v>Venezuela</v>
      </c>
      <c r="E1093" s="363"/>
      <c r="F1093" s="363"/>
      <c r="G1093" s="363"/>
      <c r="H1093" s="363"/>
      <c r="I1093" s="363"/>
      <c r="J1093" s="363"/>
      <c r="K1093" s="400"/>
      <c r="L1093" s="460">
        <f t="shared" si="980"/>
        <v>0</v>
      </c>
      <c r="M1093" s="461">
        <f t="shared" si="981"/>
        <v>0</v>
      </c>
      <c r="N1093" s="461">
        <f t="shared" si="982"/>
        <v>0</v>
      </c>
      <c r="O1093" s="461">
        <f t="shared" si="983"/>
        <v>0</v>
      </c>
      <c r="P1093" s="461">
        <f t="shared" si="984"/>
        <v>0</v>
      </c>
      <c r="Q1093" s="461">
        <f t="shared" si="985"/>
        <v>0</v>
      </c>
      <c r="R1093" s="462">
        <f t="shared" si="986"/>
        <v>0</v>
      </c>
      <c r="S1093" s="455"/>
      <c r="T1093" s="456"/>
      <c r="U1093" s="456"/>
      <c r="V1093" s="456"/>
      <c r="W1093" s="456"/>
      <c r="X1093" s="456"/>
      <c r="Y1093" s="456"/>
      <c r="Z1093" s="93">
        <f t="shared" ref="Z1093:AE1093" si="1012">AA1093</f>
        <v>0</v>
      </c>
      <c r="AA1093" s="379">
        <f t="shared" si="1012"/>
        <v>0</v>
      </c>
      <c r="AB1093" s="379">
        <f t="shared" si="1012"/>
        <v>0</v>
      </c>
      <c r="AC1093" s="379">
        <f t="shared" si="1012"/>
        <v>0</v>
      </c>
      <c r="AD1093" s="379">
        <f t="shared" si="1012"/>
        <v>0</v>
      </c>
      <c r="AE1093" s="379">
        <f t="shared" si="1012"/>
        <v>0</v>
      </c>
      <c r="AF1093" s="390">
        <v>0</v>
      </c>
      <c r="AG1093" s="90" t="str">
        <f t="shared" si="939"/>
        <v>4.07 &gt; Venezuela</v>
      </c>
      <c r="AH1093" s="392">
        <f t="shared" si="949"/>
        <v>1079</v>
      </c>
      <c r="AI1093" s="392">
        <f t="shared" si="950"/>
        <v>40</v>
      </c>
      <c r="AJ1093" s="878" t="s">
        <v>1526</v>
      </c>
    </row>
    <row r="1094" spans="1:36" x14ac:dyDescent="0.2">
      <c r="A1094" s="489">
        <f>INDEX(Country!$F$31:$G$76, MATCH(AI1094, Country!$O$31:$O$76, 0), 1)</f>
        <v>4.0699999999999985</v>
      </c>
      <c r="B1094" s="387" t="str">
        <f>INDEX(Country!$F$31:$G$76, MATCH(AI1094, Country!$O$31:$O$76, 0), 2)</f>
        <v>PMR &amp; NAMA</v>
      </c>
      <c r="C1094" s="439" t="str">
        <f>INDEX(Country!$K$31:$K$76, MATCH(AI1094, Country!$O$31:$O$76, 0), 1)</f>
        <v>PMR &amp; NAMA</v>
      </c>
      <c r="D1094" s="385" t="str">
        <f t="shared" si="979"/>
        <v>Benchmark</v>
      </c>
      <c r="E1094" s="362">
        <f t="shared" ref="E1094:K1094" si="1013">IFERROR(MAX(E1068:E1093), 0)</f>
        <v>0</v>
      </c>
      <c r="F1094" s="362">
        <f t="shared" si="1013"/>
        <v>0</v>
      </c>
      <c r="G1094" s="362">
        <f t="shared" si="1013"/>
        <v>0</v>
      </c>
      <c r="H1094" s="362">
        <f t="shared" si="1013"/>
        <v>0</v>
      </c>
      <c r="I1094" s="362">
        <f t="shared" si="1013"/>
        <v>0</v>
      </c>
      <c r="J1094" s="362">
        <f t="shared" si="1013"/>
        <v>0</v>
      </c>
      <c r="K1094" s="584">
        <f t="shared" si="1013"/>
        <v>0</v>
      </c>
      <c r="L1094" s="585">
        <f t="shared" si="980"/>
        <v>100</v>
      </c>
      <c r="M1094" s="463">
        <f t="shared" si="981"/>
        <v>100</v>
      </c>
      <c r="N1094" s="463">
        <f t="shared" si="982"/>
        <v>100</v>
      </c>
      <c r="O1094" s="463">
        <f t="shared" si="983"/>
        <v>100</v>
      </c>
      <c r="P1094" s="463">
        <f t="shared" si="984"/>
        <v>100</v>
      </c>
      <c r="Q1094" s="463">
        <f t="shared" si="985"/>
        <v>100</v>
      </c>
      <c r="R1094" s="586">
        <f t="shared" si="986"/>
        <v>100</v>
      </c>
      <c r="S1094" s="393"/>
      <c r="T1094" s="394"/>
      <c r="U1094" s="376"/>
      <c r="V1094" s="376"/>
      <c r="W1094" s="376"/>
      <c r="X1094" s="376"/>
      <c r="Y1094" s="376"/>
      <c r="Z1094" s="423">
        <v>4</v>
      </c>
      <c r="AA1094" s="365">
        <v>4</v>
      </c>
      <c r="AB1094" s="365">
        <v>4</v>
      </c>
      <c r="AC1094" s="365">
        <v>4</v>
      </c>
      <c r="AD1094" s="365">
        <v>4</v>
      </c>
      <c r="AE1094" s="365">
        <v>4</v>
      </c>
      <c r="AF1094" s="365">
        <v>4</v>
      </c>
      <c r="AG1094" s="406" t="str">
        <f t="shared" si="939"/>
        <v>4.07 &gt; Benchmark</v>
      </c>
      <c r="AH1094" s="407">
        <f t="shared" si="949"/>
        <v>1080</v>
      </c>
      <c r="AI1094" s="407">
        <f t="shared" si="950"/>
        <v>40</v>
      </c>
      <c r="AJ1094" s="880" t="s">
        <v>1526</v>
      </c>
    </row>
    <row r="1095" spans="1:36" x14ac:dyDescent="0.2">
      <c r="A1095" s="587">
        <f>INDEX(Country!$F$31:$G$76, MATCH(AI1095, Country!$O$31:$O$76, 0), 1)</f>
        <v>4.0799999999999983</v>
      </c>
      <c r="B1095" s="588" t="str">
        <f>INDEX(Country!$F$31:$G$76, MATCH(AI1095, Country!$O$31:$O$76, 0), 2)</f>
        <v>Voluntary GHG reporting by corporates</v>
      </c>
      <c r="C1095" s="589" t="str">
        <f>INDEX(Country!$K$31:$K$76, MATCH(AI1095, Country!$O$31:$O$76, 0), 1)</f>
        <v>Companies</v>
      </c>
      <c r="D1095" s="590" t="str">
        <f t="shared" si="979"/>
        <v>Argentina</v>
      </c>
      <c r="E1095" s="614"/>
      <c r="F1095" s="614"/>
      <c r="G1095" s="614"/>
      <c r="H1095" s="47"/>
      <c r="I1095" s="47"/>
      <c r="J1095" s="47"/>
      <c r="K1095" s="615"/>
      <c r="L1095" s="580">
        <f t="shared" ref="L1095:L1121" si="1014">(Z1095)*dbl_BenchmarkMax</f>
        <v>0</v>
      </c>
      <c r="M1095" s="581">
        <f t="shared" ref="M1095:M1121" si="1015">(AA1095)*dbl_BenchmarkMax</f>
        <v>0</v>
      </c>
      <c r="N1095" s="581">
        <f t="shared" ref="N1095:N1121" si="1016">(AB1095)*dbl_BenchmarkMax</f>
        <v>0</v>
      </c>
      <c r="O1095" s="581">
        <f t="shared" ref="O1095:O1121" si="1017">(AC1095)*dbl_BenchmarkMax</f>
        <v>0</v>
      </c>
      <c r="P1095" s="581">
        <f t="shared" ref="P1095:P1121" si="1018">(AD1095)*dbl_BenchmarkMax</f>
        <v>0</v>
      </c>
      <c r="Q1095" s="581">
        <f t="shared" ref="Q1095:Q1121" si="1019">(AE1095)*dbl_BenchmarkMax</f>
        <v>0</v>
      </c>
      <c r="R1095" s="582">
        <f t="shared" ref="R1095:R1121" si="1020">(AF1095)*dbl_BenchmarkMax</f>
        <v>0</v>
      </c>
      <c r="S1095" s="455"/>
      <c r="T1095" s="456"/>
      <c r="U1095" s="456"/>
      <c r="V1095" s="456"/>
      <c r="W1095" s="456"/>
      <c r="X1095" s="456"/>
      <c r="Y1095" s="456"/>
      <c r="Z1095" s="472">
        <f t="shared" ref="Z1095:AE1095" si="1021">AA1095</f>
        <v>0</v>
      </c>
      <c r="AA1095" s="378">
        <f t="shared" si="1021"/>
        <v>0</v>
      </c>
      <c r="AB1095" s="378">
        <f t="shared" si="1021"/>
        <v>0</v>
      </c>
      <c r="AC1095" s="78">
        <f t="shared" si="1021"/>
        <v>0</v>
      </c>
      <c r="AD1095" s="78">
        <f t="shared" si="1021"/>
        <v>0</v>
      </c>
      <c r="AE1095" s="78">
        <f t="shared" si="1021"/>
        <v>0</v>
      </c>
      <c r="AF1095" s="388">
        <v>0</v>
      </c>
      <c r="AG1095" s="396" t="str">
        <f t="shared" si="939"/>
        <v>4.08 &gt; Argentina</v>
      </c>
      <c r="AH1095" s="397">
        <f t="shared" si="949"/>
        <v>1081</v>
      </c>
      <c r="AI1095" s="397">
        <f t="shared" si="950"/>
        <v>41</v>
      </c>
      <c r="AJ1095" s="879" t="s">
        <v>1526</v>
      </c>
    </row>
    <row r="1096" spans="1:36" x14ac:dyDescent="0.2">
      <c r="A1096" s="492">
        <f>INDEX(Country!$F$31:$G$76, MATCH(AI1096, Country!$O$31:$O$76, 0), 1)</f>
        <v>4.0799999999999983</v>
      </c>
      <c r="B1096" s="2" t="str">
        <f>INDEX(Country!$F$31:$G$76, MATCH(AI1096, Country!$O$31:$O$76, 0), 2)</f>
        <v>Voluntary GHG reporting by corporates</v>
      </c>
      <c r="C1096" s="436" t="str">
        <f>INDEX(Country!$K$31:$K$76, MATCH(AI1096, Country!$O$31:$O$76, 0), 1)</f>
        <v>Companies</v>
      </c>
      <c r="D1096" s="4" t="str">
        <f t="shared" si="979"/>
        <v>Bahamas</v>
      </c>
      <c r="E1096" s="47"/>
      <c r="F1096" s="47"/>
      <c r="G1096" s="47"/>
      <c r="H1096" s="47"/>
      <c r="I1096" s="47"/>
      <c r="J1096" s="47"/>
      <c r="K1096" s="45"/>
      <c r="L1096" s="457">
        <f t="shared" si="1014"/>
        <v>0</v>
      </c>
      <c r="M1096" s="458">
        <f t="shared" si="1015"/>
        <v>0</v>
      </c>
      <c r="N1096" s="458">
        <f t="shared" si="1016"/>
        <v>0</v>
      </c>
      <c r="O1096" s="458">
        <f t="shared" si="1017"/>
        <v>0</v>
      </c>
      <c r="P1096" s="458">
        <f t="shared" si="1018"/>
        <v>0</v>
      </c>
      <c r="Q1096" s="458">
        <f t="shared" si="1019"/>
        <v>0</v>
      </c>
      <c r="R1096" s="459">
        <f t="shared" si="1020"/>
        <v>0</v>
      </c>
      <c r="S1096" s="455"/>
      <c r="T1096" s="456"/>
      <c r="U1096" s="456"/>
      <c r="V1096" s="456"/>
      <c r="W1096" s="456"/>
      <c r="X1096" s="456"/>
      <c r="Y1096" s="456"/>
      <c r="Z1096" s="79">
        <f t="shared" ref="Z1096:AE1096" si="1022">AA1096</f>
        <v>0</v>
      </c>
      <c r="AA1096" s="78">
        <f t="shared" si="1022"/>
        <v>0</v>
      </c>
      <c r="AB1096" s="78">
        <f t="shared" si="1022"/>
        <v>0</v>
      </c>
      <c r="AC1096" s="78">
        <f t="shared" si="1022"/>
        <v>0</v>
      </c>
      <c r="AD1096" s="78">
        <f t="shared" si="1022"/>
        <v>0</v>
      </c>
      <c r="AE1096" s="78">
        <f t="shared" si="1022"/>
        <v>0</v>
      </c>
      <c r="AF1096" s="6">
        <v>0</v>
      </c>
      <c r="AG1096" s="33" t="str">
        <f t="shared" si="939"/>
        <v>4.08 &gt; Bahamas</v>
      </c>
      <c r="AH1096" s="84">
        <f t="shared" si="949"/>
        <v>1082</v>
      </c>
      <c r="AI1096" s="84">
        <f t="shared" si="950"/>
        <v>41</v>
      </c>
      <c r="AJ1096" s="877" t="s">
        <v>1526</v>
      </c>
    </row>
    <row r="1097" spans="1:36" x14ac:dyDescent="0.2">
      <c r="A1097" s="492">
        <f>INDEX(Country!$F$31:$G$76, MATCH(AI1097, Country!$O$31:$O$76, 0), 1)</f>
        <v>4.0799999999999983</v>
      </c>
      <c r="B1097" s="2" t="str">
        <f>INDEX(Country!$F$31:$G$76, MATCH(AI1097, Country!$O$31:$O$76, 0), 2)</f>
        <v>Voluntary GHG reporting by corporates</v>
      </c>
      <c r="C1097" s="436" t="str">
        <f>INDEX(Country!$K$31:$K$76, MATCH(AI1097, Country!$O$31:$O$76, 0), 1)</f>
        <v>Companies</v>
      </c>
      <c r="D1097" s="4" t="str">
        <f t="shared" si="979"/>
        <v>Barbados</v>
      </c>
      <c r="E1097" s="47"/>
      <c r="F1097" s="47"/>
      <c r="G1097" s="47"/>
      <c r="H1097" s="47"/>
      <c r="I1097" s="47"/>
      <c r="J1097" s="47"/>
      <c r="K1097" s="45"/>
      <c r="L1097" s="457">
        <f t="shared" si="1014"/>
        <v>0</v>
      </c>
      <c r="M1097" s="458">
        <f t="shared" si="1015"/>
        <v>0</v>
      </c>
      <c r="N1097" s="458">
        <f t="shared" si="1016"/>
        <v>0</v>
      </c>
      <c r="O1097" s="458">
        <f t="shared" si="1017"/>
        <v>0</v>
      </c>
      <c r="P1097" s="458">
        <f t="shared" si="1018"/>
        <v>0</v>
      </c>
      <c r="Q1097" s="458">
        <f t="shared" si="1019"/>
        <v>0</v>
      </c>
      <c r="R1097" s="459">
        <f t="shared" si="1020"/>
        <v>0</v>
      </c>
      <c r="S1097" s="455"/>
      <c r="T1097" s="456"/>
      <c r="U1097" s="456"/>
      <c r="V1097" s="456"/>
      <c r="W1097" s="456"/>
      <c r="X1097" s="456"/>
      <c r="Y1097" s="456"/>
      <c r="Z1097" s="79">
        <f t="shared" ref="Z1097:AE1097" si="1023">AA1097</f>
        <v>0</v>
      </c>
      <c r="AA1097" s="78">
        <f t="shared" si="1023"/>
        <v>0</v>
      </c>
      <c r="AB1097" s="78">
        <f t="shared" si="1023"/>
        <v>0</v>
      </c>
      <c r="AC1097" s="78">
        <f t="shared" si="1023"/>
        <v>0</v>
      </c>
      <c r="AD1097" s="78">
        <f t="shared" si="1023"/>
        <v>0</v>
      </c>
      <c r="AE1097" s="78">
        <f t="shared" si="1023"/>
        <v>0</v>
      </c>
      <c r="AF1097" s="6">
        <v>0</v>
      </c>
      <c r="AG1097" s="33" t="str">
        <f t="shared" si="939"/>
        <v>4.08 &gt; Barbados</v>
      </c>
      <c r="AH1097" s="84">
        <f t="shared" si="949"/>
        <v>1083</v>
      </c>
      <c r="AI1097" s="84">
        <f t="shared" si="950"/>
        <v>41</v>
      </c>
      <c r="AJ1097" s="877" t="s">
        <v>1526</v>
      </c>
    </row>
    <row r="1098" spans="1:36" x14ac:dyDescent="0.2">
      <c r="A1098" s="492">
        <f>INDEX(Country!$F$31:$G$76, MATCH(AI1098, Country!$O$31:$O$76, 0), 1)</f>
        <v>4.0799999999999983</v>
      </c>
      <c r="B1098" s="2" t="str">
        <f>INDEX(Country!$F$31:$G$76, MATCH(AI1098, Country!$O$31:$O$76, 0), 2)</f>
        <v>Voluntary GHG reporting by corporates</v>
      </c>
      <c r="C1098" s="436" t="str">
        <f>INDEX(Country!$K$31:$K$76, MATCH(AI1098, Country!$O$31:$O$76, 0), 1)</f>
        <v>Companies</v>
      </c>
      <c r="D1098" s="4" t="str">
        <f t="shared" si="979"/>
        <v>Belize</v>
      </c>
      <c r="E1098" s="47"/>
      <c r="F1098" s="47"/>
      <c r="G1098" s="47"/>
      <c r="H1098" s="47"/>
      <c r="I1098" s="47"/>
      <c r="J1098" s="47"/>
      <c r="K1098" s="45"/>
      <c r="L1098" s="457">
        <f t="shared" si="1014"/>
        <v>0</v>
      </c>
      <c r="M1098" s="458">
        <f t="shared" si="1015"/>
        <v>0</v>
      </c>
      <c r="N1098" s="458">
        <f t="shared" si="1016"/>
        <v>0</v>
      </c>
      <c r="O1098" s="458">
        <f t="shared" si="1017"/>
        <v>0</v>
      </c>
      <c r="P1098" s="458">
        <f t="shared" si="1018"/>
        <v>0</v>
      </c>
      <c r="Q1098" s="458">
        <f t="shared" si="1019"/>
        <v>0</v>
      </c>
      <c r="R1098" s="459">
        <f t="shared" si="1020"/>
        <v>0</v>
      </c>
      <c r="S1098" s="455"/>
      <c r="T1098" s="456"/>
      <c r="U1098" s="456"/>
      <c r="V1098" s="456"/>
      <c r="W1098" s="456"/>
      <c r="X1098" s="456"/>
      <c r="Y1098" s="456"/>
      <c r="Z1098" s="79">
        <f t="shared" ref="Z1098:AE1098" si="1024">AA1098</f>
        <v>0</v>
      </c>
      <c r="AA1098" s="78">
        <f t="shared" si="1024"/>
        <v>0</v>
      </c>
      <c r="AB1098" s="78">
        <f t="shared" si="1024"/>
        <v>0</v>
      </c>
      <c r="AC1098" s="78">
        <f t="shared" si="1024"/>
        <v>0</v>
      </c>
      <c r="AD1098" s="78">
        <f t="shared" si="1024"/>
        <v>0</v>
      </c>
      <c r="AE1098" s="78">
        <f t="shared" si="1024"/>
        <v>0</v>
      </c>
      <c r="AF1098" s="6">
        <v>0</v>
      </c>
      <c r="AG1098" s="33" t="str">
        <f t="shared" si="939"/>
        <v>4.08 &gt; Belize</v>
      </c>
      <c r="AH1098" s="84">
        <f t="shared" si="949"/>
        <v>1084</v>
      </c>
      <c r="AI1098" s="84">
        <f t="shared" si="950"/>
        <v>41</v>
      </c>
      <c r="AJ1098" s="877" t="s">
        <v>1526</v>
      </c>
    </row>
    <row r="1099" spans="1:36" x14ac:dyDescent="0.2">
      <c r="A1099" s="492">
        <f>INDEX(Country!$F$31:$G$76, MATCH(AI1099, Country!$O$31:$O$76, 0), 1)</f>
        <v>4.0799999999999983</v>
      </c>
      <c r="B1099" s="2" t="str">
        <f>INDEX(Country!$F$31:$G$76, MATCH(AI1099, Country!$O$31:$O$76, 0), 2)</f>
        <v>Voluntary GHG reporting by corporates</v>
      </c>
      <c r="C1099" s="436" t="str">
        <f>INDEX(Country!$K$31:$K$76, MATCH(AI1099, Country!$O$31:$O$76, 0), 1)</f>
        <v>Companies</v>
      </c>
      <c r="D1099" s="4" t="str">
        <f t="shared" si="979"/>
        <v>Bolivia</v>
      </c>
      <c r="E1099" s="47"/>
      <c r="F1099" s="47"/>
      <c r="G1099" s="47"/>
      <c r="H1099" s="47"/>
      <c r="I1099" s="47"/>
      <c r="J1099" s="47"/>
      <c r="K1099" s="45"/>
      <c r="L1099" s="457">
        <f t="shared" si="1014"/>
        <v>0</v>
      </c>
      <c r="M1099" s="458">
        <f t="shared" si="1015"/>
        <v>0</v>
      </c>
      <c r="N1099" s="458">
        <f t="shared" si="1016"/>
        <v>0</v>
      </c>
      <c r="O1099" s="458">
        <f t="shared" si="1017"/>
        <v>0</v>
      </c>
      <c r="P1099" s="458">
        <f t="shared" si="1018"/>
        <v>0</v>
      </c>
      <c r="Q1099" s="458">
        <f t="shared" si="1019"/>
        <v>0</v>
      </c>
      <c r="R1099" s="459">
        <f t="shared" si="1020"/>
        <v>0</v>
      </c>
      <c r="S1099" s="455"/>
      <c r="T1099" s="456"/>
      <c r="U1099" s="456"/>
      <c r="V1099" s="456"/>
      <c r="W1099" s="456"/>
      <c r="X1099" s="456"/>
      <c r="Y1099" s="456"/>
      <c r="Z1099" s="79">
        <f t="shared" ref="Z1099:AE1099" si="1025">AA1099</f>
        <v>0</v>
      </c>
      <c r="AA1099" s="78">
        <f t="shared" si="1025"/>
        <v>0</v>
      </c>
      <c r="AB1099" s="78">
        <f t="shared" si="1025"/>
        <v>0</v>
      </c>
      <c r="AC1099" s="78">
        <f t="shared" si="1025"/>
        <v>0</v>
      </c>
      <c r="AD1099" s="78">
        <f t="shared" si="1025"/>
        <v>0</v>
      </c>
      <c r="AE1099" s="78">
        <f t="shared" si="1025"/>
        <v>0</v>
      </c>
      <c r="AF1099" s="6">
        <v>0</v>
      </c>
      <c r="AG1099" s="33" t="str">
        <f t="shared" si="939"/>
        <v>4.08 &gt; Bolivia</v>
      </c>
      <c r="AH1099" s="84">
        <f t="shared" si="949"/>
        <v>1085</v>
      </c>
      <c r="AI1099" s="84">
        <f t="shared" si="950"/>
        <v>41</v>
      </c>
      <c r="AJ1099" s="877" t="s">
        <v>1526</v>
      </c>
    </row>
    <row r="1100" spans="1:36" x14ac:dyDescent="0.2">
      <c r="A1100" s="492">
        <f>INDEX(Country!$F$31:$G$76, MATCH(AI1100, Country!$O$31:$O$76, 0), 1)</f>
        <v>4.0799999999999983</v>
      </c>
      <c r="B1100" s="2" t="str">
        <f>INDEX(Country!$F$31:$G$76, MATCH(AI1100, Country!$O$31:$O$76, 0), 2)</f>
        <v>Voluntary GHG reporting by corporates</v>
      </c>
      <c r="C1100" s="436" t="str">
        <f>INDEX(Country!$K$31:$K$76, MATCH(AI1100, Country!$O$31:$O$76, 0), 1)</f>
        <v>Companies</v>
      </c>
      <c r="D1100" s="4" t="str">
        <f t="shared" ref="D1100:D1121" si="1026">D1046</f>
        <v>Brazil</v>
      </c>
      <c r="E1100" s="47"/>
      <c r="F1100" s="47"/>
      <c r="G1100" s="47"/>
      <c r="H1100" s="47"/>
      <c r="I1100" s="47"/>
      <c r="J1100" s="47"/>
      <c r="K1100" s="45"/>
      <c r="L1100" s="457">
        <f t="shared" si="1014"/>
        <v>57.937928976424949</v>
      </c>
      <c r="M1100" s="458">
        <f t="shared" si="1015"/>
        <v>57.937928976424949</v>
      </c>
      <c r="N1100" s="458">
        <f t="shared" si="1016"/>
        <v>57.937928976424949</v>
      </c>
      <c r="O1100" s="458">
        <f t="shared" si="1017"/>
        <v>57.937928976424949</v>
      </c>
      <c r="P1100" s="458">
        <f t="shared" si="1018"/>
        <v>57.937928976424949</v>
      </c>
      <c r="Q1100" s="458">
        <f t="shared" si="1019"/>
        <v>57.937928976424949</v>
      </c>
      <c r="R1100" s="459">
        <f t="shared" si="1020"/>
        <v>57.937928976424949</v>
      </c>
      <c r="S1100" s="455"/>
      <c r="T1100" s="456"/>
      <c r="U1100" s="456"/>
      <c r="V1100" s="456"/>
      <c r="W1100" s="456"/>
      <c r="X1100" s="456"/>
      <c r="Y1100" s="456"/>
      <c r="Z1100" s="79">
        <f t="shared" ref="Z1100:AE1100" si="1027">AA1100</f>
        <v>0.57937928976424946</v>
      </c>
      <c r="AA1100" s="78">
        <f t="shared" si="1027"/>
        <v>0.57937928976424946</v>
      </c>
      <c r="AB1100" s="78">
        <f t="shared" si="1027"/>
        <v>0.57937928976424946</v>
      </c>
      <c r="AC1100" s="78">
        <f t="shared" si="1027"/>
        <v>0.57937928976424946</v>
      </c>
      <c r="AD1100" s="78">
        <f t="shared" si="1027"/>
        <v>0.57937928976424946</v>
      </c>
      <c r="AE1100" s="78">
        <f t="shared" si="1027"/>
        <v>0.57937928976424946</v>
      </c>
      <c r="AF1100" s="6">
        <v>0.57937928976424946</v>
      </c>
      <c r="AG1100" s="33" t="str">
        <f t="shared" si="939"/>
        <v>4.08 &gt; Brazil</v>
      </c>
      <c r="AH1100" s="84">
        <f t="shared" si="949"/>
        <v>1086</v>
      </c>
      <c r="AI1100" s="84">
        <f t="shared" si="950"/>
        <v>41</v>
      </c>
      <c r="AJ1100" s="877" t="s">
        <v>1526</v>
      </c>
    </row>
    <row r="1101" spans="1:36" x14ac:dyDescent="0.2">
      <c r="A1101" s="492">
        <f>INDEX(Country!$F$31:$G$76, MATCH(AI1101, Country!$O$31:$O$76, 0), 1)</f>
        <v>4.0799999999999983</v>
      </c>
      <c r="B1101" s="2" t="str">
        <f>INDEX(Country!$F$31:$G$76, MATCH(AI1101, Country!$O$31:$O$76, 0), 2)</f>
        <v>Voluntary GHG reporting by corporates</v>
      </c>
      <c r="C1101" s="436" t="str">
        <f>INDEX(Country!$K$31:$K$76, MATCH(AI1101, Country!$O$31:$O$76, 0), 1)</f>
        <v>Companies</v>
      </c>
      <c r="D1101" s="4" t="str">
        <f t="shared" si="1026"/>
        <v>Chile</v>
      </c>
      <c r="E1101" s="47"/>
      <c r="F1101" s="47"/>
      <c r="G1101" s="47"/>
      <c r="H1101" s="47"/>
      <c r="I1101" s="47"/>
      <c r="J1101" s="47"/>
      <c r="K1101" s="45"/>
      <c r="L1101" s="457">
        <f t="shared" si="1014"/>
        <v>49.648382559774959</v>
      </c>
      <c r="M1101" s="458">
        <f t="shared" si="1015"/>
        <v>49.648382559774959</v>
      </c>
      <c r="N1101" s="458">
        <f t="shared" si="1016"/>
        <v>49.648382559774959</v>
      </c>
      <c r="O1101" s="458">
        <f t="shared" si="1017"/>
        <v>49.648382559774959</v>
      </c>
      <c r="P1101" s="458">
        <f t="shared" si="1018"/>
        <v>49.648382559774959</v>
      </c>
      <c r="Q1101" s="458">
        <f t="shared" si="1019"/>
        <v>49.648382559774959</v>
      </c>
      <c r="R1101" s="459">
        <f t="shared" si="1020"/>
        <v>49.648382559774959</v>
      </c>
      <c r="S1101" s="455"/>
      <c r="T1101" s="456"/>
      <c r="U1101" s="456"/>
      <c r="V1101" s="456"/>
      <c r="W1101" s="456"/>
      <c r="X1101" s="456"/>
      <c r="Y1101" s="456"/>
      <c r="Z1101" s="79">
        <f t="shared" ref="Z1101:AE1101" si="1028">AA1101</f>
        <v>0.49648382559774956</v>
      </c>
      <c r="AA1101" s="78">
        <f t="shared" si="1028"/>
        <v>0.49648382559774956</v>
      </c>
      <c r="AB1101" s="78">
        <f t="shared" si="1028"/>
        <v>0.49648382559774956</v>
      </c>
      <c r="AC1101" s="78">
        <f t="shared" si="1028"/>
        <v>0.49648382559774956</v>
      </c>
      <c r="AD1101" s="78">
        <f t="shared" si="1028"/>
        <v>0.49648382559774956</v>
      </c>
      <c r="AE1101" s="78">
        <f t="shared" si="1028"/>
        <v>0.49648382559774956</v>
      </c>
      <c r="AF1101" s="6">
        <v>0.49648382559774956</v>
      </c>
      <c r="AG1101" s="33" t="str">
        <f t="shared" si="939"/>
        <v>4.08 &gt; Chile</v>
      </c>
      <c r="AH1101" s="84">
        <f t="shared" si="949"/>
        <v>1087</v>
      </c>
      <c r="AI1101" s="84">
        <f t="shared" si="950"/>
        <v>41</v>
      </c>
      <c r="AJ1101" s="877" t="s">
        <v>1526</v>
      </c>
    </row>
    <row r="1102" spans="1:36" x14ac:dyDescent="0.2">
      <c r="A1102" s="492">
        <f>INDEX(Country!$F$31:$G$76, MATCH(AI1102, Country!$O$31:$O$76, 0), 1)</f>
        <v>4.0799999999999983</v>
      </c>
      <c r="B1102" s="2" t="str">
        <f>INDEX(Country!$F$31:$G$76, MATCH(AI1102, Country!$O$31:$O$76, 0), 2)</f>
        <v>Voluntary GHG reporting by corporates</v>
      </c>
      <c r="C1102" s="436" t="str">
        <f>INDEX(Country!$K$31:$K$76, MATCH(AI1102, Country!$O$31:$O$76, 0), 1)</f>
        <v>Companies</v>
      </c>
      <c r="D1102" s="4" t="str">
        <f t="shared" si="1026"/>
        <v>Colombia</v>
      </c>
      <c r="E1102" s="47"/>
      <c r="F1102" s="47"/>
      <c r="G1102" s="47"/>
      <c r="H1102" s="47"/>
      <c r="I1102" s="47"/>
      <c r="J1102" s="47"/>
      <c r="K1102" s="45"/>
      <c r="L1102" s="457">
        <f t="shared" si="1014"/>
        <v>100</v>
      </c>
      <c r="M1102" s="458">
        <f t="shared" si="1015"/>
        <v>100</v>
      </c>
      <c r="N1102" s="458">
        <f t="shared" si="1016"/>
        <v>100</v>
      </c>
      <c r="O1102" s="458">
        <f t="shared" si="1017"/>
        <v>100</v>
      </c>
      <c r="P1102" s="458">
        <f t="shared" si="1018"/>
        <v>100</v>
      </c>
      <c r="Q1102" s="458">
        <f t="shared" si="1019"/>
        <v>100</v>
      </c>
      <c r="R1102" s="459">
        <f t="shared" si="1020"/>
        <v>100</v>
      </c>
      <c r="S1102" s="455"/>
      <c r="T1102" s="456"/>
      <c r="U1102" s="456"/>
      <c r="V1102" s="456"/>
      <c r="W1102" s="456"/>
      <c r="X1102" s="456"/>
      <c r="Y1102" s="456"/>
      <c r="Z1102" s="79">
        <f t="shared" ref="Z1102:AE1102" si="1029">AA1102</f>
        <v>1</v>
      </c>
      <c r="AA1102" s="78">
        <f t="shared" si="1029"/>
        <v>1</v>
      </c>
      <c r="AB1102" s="78">
        <f t="shared" si="1029"/>
        <v>1</v>
      </c>
      <c r="AC1102" s="78">
        <f t="shared" si="1029"/>
        <v>1</v>
      </c>
      <c r="AD1102" s="78">
        <f t="shared" si="1029"/>
        <v>1</v>
      </c>
      <c r="AE1102" s="78">
        <f t="shared" si="1029"/>
        <v>1</v>
      </c>
      <c r="AF1102" s="6">
        <v>1</v>
      </c>
      <c r="AG1102" s="33" t="str">
        <f t="shared" si="939"/>
        <v>4.08 &gt; Colombia</v>
      </c>
      <c r="AH1102" s="84">
        <f t="shared" si="949"/>
        <v>1088</v>
      </c>
      <c r="AI1102" s="84">
        <f t="shared" si="950"/>
        <v>41</v>
      </c>
      <c r="AJ1102" s="877" t="s">
        <v>1526</v>
      </c>
    </row>
    <row r="1103" spans="1:36" x14ac:dyDescent="0.2">
      <c r="A1103" s="492">
        <f>INDEX(Country!$F$31:$G$76, MATCH(AI1103, Country!$O$31:$O$76, 0), 1)</f>
        <v>4.0799999999999983</v>
      </c>
      <c r="B1103" s="2" t="str">
        <f>INDEX(Country!$F$31:$G$76, MATCH(AI1103, Country!$O$31:$O$76, 0), 2)</f>
        <v>Voluntary GHG reporting by corporates</v>
      </c>
      <c r="C1103" s="436" t="str">
        <f>INDEX(Country!$K$31:$K$76, MATCH(AI1103, Country!$O$31:$O$76, 0), 1)</f>
        <v>Companies</v>
      </c>
      <c r="D1103" s="4" t="str">
        <f t="shared" si="1026"/>
        <v>Costa Rica</v>
      </c>
      <c r="E1103" s="47"/>
      <c r="F1103" s="47"/>
      <c r="G1103" s="47"/>
      <c r="H1103" s="47"/>
      <c r="I1103" s="47"/>
      <c r="J1103" s="47"/>
      <c r="K1103" s="45"/>
      <c r="L1103" s="457">
        <f t="shared" si="1014"/>
        <v>0</v>
      </c>
      <c r="M1103" s="458">
        <f t="shared" si="1015"/>
        <v>0</v>
      </c>
      <c r="N1103" s="458">
        <f t="shared" si="1016"/>
        <v>0</v>
      </c>
      <c r="O1103" s="458">
        <f t="shared" si="1017"/>
        <v>0</v>
      </c>
      <c r="P1103" s="458">
        <f t="shared" si="1018"/>
        <v>0</v>
      </c>
      <c r="Q1103" s="458">
        <f t="shared" si="1019"/>
        <v>0</v>
      </c>
      <c r="R1103" s="459">
        <f t="shared" si="1020"/>
        <v>0</v>
      </c>
      <c r="S1103" s="455"/>
      <c r="T1103" s="456"/>
      <c r="U1103" s="456"/>
      <c r="V1103" s="456"/>
      <c r="W1103" s="456"/>
      <c r="X1103" s="456"/>
      <c r="Y1103" s="456"/>
      <c r="Z1103" s="79">
        <f t="shared" ref="Z1103:AE1103" si="1030">AA1103</f>
        <v>0</v>
      </c>
      <c r="AA1103" s="78">
        <f t="shared" si="1030"/>
        <v>0</v>
      </c>
      <c r="AB1103" s="78">
        <f t="shared" si="1030"/>
        <v>0</v>
      </c>
      <c r="AC1103" s="78">
        <f t="shared" si="1030"/>
        <v>0</v>
      </c>
      <c r="AD1103" s="78">
        <f t="shared" si="1030"/>
        <v>0</v>
      </c>
      <c r="AE1103" s="78">
        <f t="shared" si="1030"/>
        <v>0</v>
      </c>
      <c r="AF1103" s="6">
        <v>0</v>
      </c>
      <c r="AG1103" s="33" t="str">
        <f t="shared" ref="AG1103:AG1166" si="1031">A1103&amp;" &gt; " &amp;D1103</f>
        <v>4.08 &gt; Costa Rica</v>
      </c>
      <c r="AH1103" s="84">
        <f t="shared" si="949"/>
        <v>1089</v>
      </c>
      <c r="AI1103" s="84">
        <f t="shared" si="950"/>
        <v>41</v>
      </c>
      <c r="AJ1103" s="877" t="s">
        <v>1526</v>
      </c>
    </row>
    <row r="1104" spans="1:36" x14ac:dyDescent="0.2">
      <c r="A1104" s="492">
        <f>INDEX(Country!$F$31:$G$76, MATCH(AI1104, Country!$O$31:$O$76, 0), 1)</f>
        <v>4.0799999999999983</v>
      </c>
      <c r="B1104" s="2" t="str">
        <f>INDEX(Country!$F$31:$G$76, MATCH(AI1104, Country!$O$31:$O$76, 0), 2)</f>
        <v>Voluntary GHG reporting by corporates</v>
      </c>
      <c r="C1104" s="436" t="str">
        <f>INDEX(Country!$K$31:$K$76, MATCH(AI1104, Country!$O$31:$O$76, 0), 1)</f>
        <v>Companies</v>
      </c>
      <c r="D1104" s="4" t="str">
        <f t="shared" si="1026"/>
        <v>Dominican Republic</v>
      </c>
      <c r="E1104" s="47"/>
      <c r="F1104" s="47"/>
      <c r="G1104" s="47"/>
      <c r="H1104" s="47"/>
      <c r="I1104" s="47"/>
      <c r="J1104" s="47"/>
      <c r="K1104" s="45"/>
      <c r="L1104" s="457">
        <f t="shared" si="1014"/>
        <v>0</v>
      </c>
      <c r="M1104" s="458">
        <f t="shared" si="1015"/>
        <v>0</v>
      </c>
      <c r="N1104" s="458">
        <f t="shared" si="1016"/>
        <v>0</v>
      </c>
      <c r="O1104" s="458">
        <f t="shared" si="1017"/>
        <v>0</v>
      </c>
      <c r="P1104" s="458">
        <f t="shared" si="1018"/>
        <v>0</v>
      </c>
      <c r="Q1104" s="458">
        <f t="shared" si="1019"/>
        <v>0</v>
      </c>
      <c r="R1104" s="459">
        <f t="shared" si="1020"/>
        <v>0</v>
      </c>
      <c r="S1104" s="455"/>
      <c r="T1104" s="456"/>
      <c r="U1104" s="456"/>
      <c r="V1104" s="456"/>
      <c r="W1104" s="456"/>
      <c r="X1104" s="456"/>
      <c r="Y1104" s="456"/>
      <c r="Z1104" s="79">
        <f t="shared" ref="Z1104:AE1104" si="1032">AA1104</f>
        <v>0</v>
      </c>
      <c r="AA1104" s="78">
        <f t="shared" si="1032"/>
        <v>0</v>
      </c>
      <c r="AB1104" s="78">
        <f t="shared" si="1032"/>
        <v>0</v>
      </c>
      <c r="AC1104" s="78">
        <f t="shared" si="1032"/>
        <v>0</v>
      </c>
      <c r="AD1104" s="78">
        <f t="shared" si="1032"/>
        <v>0</v>
      </c>
      <c r="AE1104" s="78">
        <f t="shared" si="1032"/>
        <v>0</v>
      </c>
      <c r="AF1104" s="6">
        <v>0</v>
      </c>
      <c r="AG1104" s="33" t="str">
        <f t="shared" si="1031"/>
        <v>4.08 &gt; Dominican Republic</v>
      </c>
      <c r="AH1104" s="84">
        <f t="shared" si="949"/>
        <v>1090</v>
      </c>
      <c r="AI1104" s="84">
        <f t="shared" si="950"/>
        <v>41</v>
      </c>
      <c r="AJ1104" s="877" t="s">
        <v>1526</v>
      </c>
    </row>
    <row r="1105" spans="1:36" x14ac:dyDescent="0.2">
      <c r="A1105" s="492">
        <f>INDEX(Country!$F$31:$G$76, MATCH(AI1105, Country!$O$31:$O$76, 0), 1)</f>
        <v>4.0799999999999983</v>
      </c>
      <c r="B1105" s="2" t="str">
        <f>INDEX(Country!$F$31:$G$76, MATCH(AI1105, Country!$O$31:$O$76, 0), 2)</f>
        <v>Voluntary GHG reporting by corporates</v>
      </c>
      <c r="C1105" s="436" t="str">
        <f>INDEX(Country!$K$31:$K$76, MATCH(AI1105, Country!$O$31:$O$76, 0), 1)</f>
        <v>Companies</v>
      </c>
      <c r="D1105" s="4" t="str">
        <f t="shared" si="1026"/>
        <v>Ecuador</v>
      </c>
      <c r="E1105" s="47"/>
      <c r="F1105" s="47"/>
      <c r="G1105" s="47"/>
      <c r="H1105" s="47"/>
      <c r="I1105" s="47"/>
      <c r="J1105" s="47"/>
      <c r="K1105" s="45"/>
      <c r="L1105" s="457">
        <f t="shared" si="1014"/>
        <v>0</v>
      </c>
      <c r="M1105" s="458">
        <f t="shared" si="1015"/>
        <v>0</v>
      </c>
      <c r="N1105" s="458">
        <f t="shared" si="1016"/>
        <v>0</v>
      </c>
      <c r="O1105" s="458">
        <f t="shared" si="1017"/>
        <v>0</v>
      </c>
      <c r="P1105" s="458">
        <f t="shared" si="1018"/>
        <v>0</v>
      </c>
      <c r="Q1105" s="458">
        <f t="shared" si="1019"/>
        <v>0</v>
      </c>
      <c r="R1105" s="459">
        <f t="shared" si="1020"/>
        <v>0</v>
      </c>
      <c r="S1105" s="455"/>
      <c r="T1105" s="456"/>
      <c r="U1105" s="456"/>
      <c r="V1105" s="456"/>
      <c r="W1105" s="456"/>
      <c r="X1105" s="456"/>
      <c r="Y1105" s="456"/>
      <c r="Z1105" s="79">
        <f t="shared" ref="Z1105:AE1105" si="1033">AA1105</f>
        <v>0</v>
      </c>
      <c r="AA1105" s="78">
        <f t="shared" si="1033"/>
        <v>0</v>
      </c>
      <c r="AB1105" s="78">
        <f t="shared" si="1033"/>
        <v>0</v>
      </c>
      <c r="AC1105" s="78">
        <f t="shared" si="1033"/>
        <v>0</v>
      </c>
      <c r="AD1105" s="78">
        <f t="shared" si="1033"/>
        <v>0</v>
      </c>
      <c r="AE1105" s="78">
        <f t="shared" si="1033"/>
        <v>0</v>
      </c>
      <c r="AF1105" s="6">
        <v>0</v>
      </c>
      <c r="AG1105" s="33" t="str">
        <f t="shared" si="1031"/>
        <v>4.08 &gt; Ecuador</v>
      </c>
      <c r="AH1105" s="84">
        <f t="shared" ref="AH1105:AH1168" si="1034">AH1104+1</f>
        <v>1091</v>
      </c>
      <c r="AI1105" s="84">
        <f t="shared" ref="AI1105:AI1168" si="1035">ROUNDUP(AH1105/COUNTA($D$15:$D$41),0)</f>
        <v>41</v>
      </c>
      <c r="AJ1105" s="877" t="s">
        <v>1526</v>
      </c>
    </row>
    <row r="1106" spans="1:36" x14ac:dyDescent="0.2">
      <c r="A1106" s="492">
        <f>INDEX(Country!$F$31:$G$76, MATCH(AI1106, Country!$O$31:$O$76, 0), 1)</f>
        <v>4.0799999999999983</v>
      </c>
      <c r="B1106" s="2" t="str">
        <f>INDEX(Country!$F$31:$G$76, MATCH(AI1106, Country!$O$31:$O$76, 0), 2)</f>
        <v>Voluntary GHG reporting by corporates</v>
      </c>
      <c r="C1106" s="436" t="str">
        <f>INDEX(Country!$K$31:$K$76, MATCH(AI1106, Country!$O$31:$O$76, 0), 1)</f>
        <v>Companies</v>
      </c>
      <c r="D1106" s="4" t="str">
        <f t="shared" si="1026"/>
        <v>El Salvador</v>
      </c>
      <c r="E1106" s="47"/>
      <c r="F1106" s="47"/>
      <c r="G1106" s="47"/>
      <c r="H1106" s="47"/>
      <c r="I1106" s="47"/>
      <c r="J1106" s="47"/>
      <c r="K1106" s="45"/>
      <c r="L1106" s="457">
        <f t="shared" si="1014"/>
        <v>0</v>
      </c>
      <c r="M1106" s="458">
        <f t="shared" si="1015"/>
        <v>0</v>
      </c>
      <c r="N1106" s="458">
        <f t="shared" si="1016"/>
        <v>0</v>
      </c>
      <c r="O1106" s="458">
        <f t="shared" si="1017"/>
        <v>0</v>
      </c>
      <c r="P1106" s="458">
        <f t="shared" si="1018"/>
        <v>0</v>
      </c>
      <c r="Q1106" s="458">
        <f t="shared" si="1019"/>
        <v>0</v>
      </c>
      <c r="R1106" s="459">
        <f t="shared" si="1020"/>
        <v>0</v>
      </c>
      <c r="S1106" s="455"/>
      <c r="T1106" s="456"/>
      <c r="U1106" s="456"/>
      <c r="V1106" s="456"/>
      <c r="W1106" s="456"/>
      <c r="X1106" s="456"/>
      <c r="Y1106" s="456"/>
      <c r="Z1106" s="79">
        <f t="shared" ref="Z1106:AE1106" si="1036">AA1106</f>
        <v>0</v>
      </c>
      <c r="AA1106" s="78">
        <f t="shared" si="1036"/>
        <v>0</v>
      </c>
      <c r="AB1106" s="78">
        <f t="shared" si="1036"/>
        <v>0</v>
      </c>
      <c r="AC1106" s="78">
        <f t="shared" si="1036"/>
        <v>0</v>
      </c>
      <c r="AD1106" s="78">
        <f t="shared" si="1036"/>
        <v>0</v>
      </c>
      <c r="AE1106" s="78">
        <f t="shared" si="1036"/>
        <v>0</v>
      </c>
      <c r="AF1106" s="6">
        <v>0</v>
      </c>
      <c r="AG1106" s="33" t="str">
        <f t="shared" si="1031"/>
        <v>4.08 &gt; El Salvador</v>
      </c>
      <c r="AH1106" s="84">
        <f t="shared" si="1034"/>
        <v>1092</v>
      </c>
      <c r="AI1106" s="84">
        <f t="shared" si="1035"/>
        <v>41</v>
      </c>
      <c r="AJ1106" s="877" t="s">
        <v>1526</v>
      </c>
    </row>
    <row r="1107" spans="1:36" x14ac:dyDescent="0.2">
      <c r="A1107" s="492">
        <f>INDEX(Country!$F$31:$G$76, MATCH(AI1107, Country!$O$31:$O$76, 0), 1)</f>
        <v>4.0799999999999983</v>
      </c>
      <c r="B1107" s="2" t="str">
        <f>INDEX(Country!$F$31:$G$76, MATCH(AI1107, Country!$O$31:$O$76, 0), 2)</f>
        <v>Voluntary GHG reporting by corporates</v>
      </c>
      <c r="C1107" s="436" t="str">
        <f>INDEX(Country!$K$31:$K$76, MATCH(AI1107, Country!$O$31:$O$76, 0), 1)</f>
        <v>Companies</v>
      </c>
      <c r="D1107" s="4" t="str">
        <f t="shared" si="1026"/>
        <v>Guatemala</v>
      </c>
      <c r="E1107" s="47"/>
      <c r="F1107" s="47"/>
      <c r="G1107" s="47"/>
      <c r="H1107" s="47"/>
      <c r="I1107" s="47"/>
      <c r="J1107" s="47"/>
      <c r="K1107" s="45"/>
      <c r="L1107" s="457">
        <f t="shared" si="1014"/>
        <v>0</v>
      </c>
      <c r="M1107" s="458">
        <f t="shared" si="1015"/>
        <v>0</v>
      </c>
      <c r="N1107" s="458">
        <f t="shared" si="1016"/>
        <v>0</v>
      </c>
      <c r="O1107" s="458">
        <f t="shared" si="1017"/>
        <v>0</v>
      </c>
      <c r="P1107" s="458">
        <f t="shared" si="1018"/>
        <v>0</v>
      </c>
      <c r="Q1107" s="458">
        <f t="shared" si="1019"/>
        <v>0</v>
      </c>
      <c r="R1107" s="459">
        <f t="shared" si="1020"/>
        <v>0</v>
      </c>
      <c r="S1107" s="455"/>
      <c r="T1107" s="456"/>
      <c r="U1107" s="456"/>
      <c r="V1107" s="456"/>
      <c r="W1107" s="456"/>
      <c r="X1107" s="456"/>
      <c r="Y1107" s="456"/>
      <c r="Z1107" s="79">
        <f t="shared" ref="Z1107:AE1107" si="1037">AA1107</f>
        <v>0</v>
      </c>
      <c r="AA1107" s="78">
        <f t="shared" si="1037"/>
        <v>0</v>
      </c>
      <c r="AB1107" s="78">
        <f t="shared" si="1037"/>
        <v>0</v>
      </c>
      <c r="AC1107" s="78">
        <f t="shared" si="1037"/>
        <v>0</v>
      </c>
      <c r="AD1107" s="78">
        <f t="shared" si="1037"/>
        <v>0</v>
      </c>
      <c r="AE1107" s="78">
        <f t="shared" si="1037"/>
        <v>0</v>
      </c>
      <c r="AF1107" s="6">
        <v>0</v>
      </c>
      <c r="AG1107" s="33" t="str">
        <f t="shared" si="1031"/>
        <v>4.08 &gt; Guatemala</v>
      </c>
      <c r="AH1107" s="84">
        <f t="shared" si="1034"/>
        <v>1093</v>
      </c>
      <c r="AI1107" s="84">
        <f t="shared" si="1035"/>
        <v>41</v>
      </c>
      <c r="AJ1107" s="877" t="s">
        <v>1526</v>
      </c>
    </row>
    <row r="1108" spans="1:36" x14ac:dyDescent="0.2">
      <c r="A1108" s="492">
        <f>INDEX(Country!$F$31:$G$76, MATCH(AI1108, Country!$O$31:$O$76, 0), 1)</f>
        <v>4.0799999999999983</v>
      </c>
      <c r="B1108" s="2" t="str">
        <f>INDEX(Country!$F$31:$G$76, MATCH(AI1108, Country!$O$31:$O$76, 0), 2)</f>
        <v>Voluntary GHG reporting by corporates</v>
      </c>
      <c r="C1108" s="436" t="str">
        <f>INDEX(Country!$K$31:$K$76, MATCH(AI1108, Country!$O$31:$O$76, 0), 1)</f>
        <v>Companies</v>
      </c>
      <c r="D1108" s="4" t="str">
        <f t="shared" si="1026"/>
        <v>Guyana</v>
      </c>
      <c r="E1108" s="47"/>
      <c r="F1108" s="47"/>
      <c r="G1108" s="47"/>
      <c r="H1108" s="47"/>
      <c r="I1108" s="47"/>
      <c r="J1108" s="47"/>
      <c r="K1108" s="45"/>
      <c r="L1108" s="457">
        <f t="shared" si="1014"/>
        <v>0</v>
      </c>
      <c r="M1108" s="458">
        <f t="shared" si="1015"/>
        <v>0</v>
      </c>
      <c r="N1108" s="458">
        <f t="shared" si="1016"/>
        <v>0</v>
      </c>
      <c r="O1108" s="458">
        <f t="shared" si="1017"/>
        <v>0</v>
      </c>
      <c r="P1108" s="458">
        <f t="shared" si="1018"/>
        <v>0</v>
      </c>
      <c r="Q1108" s="458">
        <f t="shared" si="1019"/>
        <v>0</v>
      </c>
      <c r="R1108" s="459">
        <f t="shared" si="1020"/>
        <v>0</v>
      </c>
      <c r="S1108" s="455"/>
      <c r="T1108" s="456"/>
      <c r="U1108" s="456"/>
      <c r="V1108" s="456"/>
      <c r="W1108" s="456"/>
      <c r="X1108" s="456"/>
      <c r="Y1108" s="456"/>
      <c r="Z1108" s="79">
        <f t="shared" ref="Z1108:AE1108" si="1038">AA1108</f>
        <v>0</v>
      </c>
      <c r="AA1108" s="78">
        <f t="shared" si="1038"/>
        <v>0</v>
      </c>
      <c r="AB1108" s="78">
        <f t="shared" si="1038"/>
        <v>0</v>
      </c>
      <c r="AC1108" s="78">
        <f t="shared" si="1038"/>
        <v>0</v>
      </c>
      <c r="AD1108" s="78">
        <f t="shared" si="1038"/>
        <v>0</v>
      </c>
      <c r="AE1108" s="78">
        <f t="shared" si="1038"/>
        <v>0</v>
      </c>
      <c r="AF1108" s="6">
        <v>0</v>
      </c>
      <c r="AG1108" s="33" t="str">
        <f t="shared" si="1031"/>
        <v>4.08 &gt; Guyana</v>
      </c>
      <c r="AH1108" s="84">
        <f t="shared" si="1034"/>
        <v>1094</v>
      </c>
      <c r="AI1108" s="84">
        <f t="shared" si="1035"/>
        <v>41</v>
      </c>
      <c r="AJ1108" s="877" t="s">
        <v>1526</v>
      </c>
    </row>
    <row r="1109" spans="1:36" x14ac:dyDescent="0.2">
      <c r="A1109" s="492">
        <f>INDEX(Country!$F$31:$G$76, MATCH(AI1109, Country!$O$31:$O$76, 0), 1)</f>
        <v>4.0799999999999983</v>
      </c>
      <c r="B1109" s="2" t="str">
        <f>INDEX(Country!$F$31:$G$76, MATCH(AI1109, Country!$O$31:$O$76, 0), 2)</f>
        <v>Voluntary GHG reporting by corporates</v>
      </c>
      <c r="C1109" s="436" t="str">
        <f>INDEX(Country!$K$31:$K$76, MATCH(AI1109, Country!$O$31:$O$76, 0), 1)</f>
        <v>Companies</v>
      </c>
      <c r="D1109" s="4" t="str">
        <f t="shared" si="1026"/>
        <v>Haiti</v>
      </c>
      <c r="E1109" s="47"/>
      <c r="F1109" s="47"/>
      <c r="G1109" s="47"/>
      <c r="H1109" s="47"/>
      <c r="I1109" s="47"/>
      <c r="J1109" s="47"/>
      <c r="K1109" s="45"/>
      <c r="L1109" s="457">
        <f t="shared" si="1014"/>
        <v>0</v>
      </c>
      <c r="M1109" s="458">
        <f t="shared" si="1015"/>
        <v>0</v>
      </c>
      <c r="N1109" s="458">
        <f t="shared" si="1016"/>
        <v>0</v>
      </c>
      <c r="O1109" s="458">
        <f t="shared" si="1017"/>
        <v>0</v>
      </c>
      <c r="P1109" s="458">
        <f t="shared" si="1018"/>
        <v>0</v>
      </c>
      <c r="Q1109" s="458">
        <f t="shared" si="1019"/>
        <v>0</v>
      </c>
      <c r="R1109" s="459">
        <f t="shared" si="1020"/>
        <v>0</v>
      </c>
      <c r="S1109" s="455"/>
      <c r="T1109" s="456"/>
      <c r="U1109" s="456"/>
      <c r="V1109" s="456"/>
      <c r="W1109" s="456"/>
      <c r="X1109" s="456"/>
      <c r="Y1109" s="456"/>
      <c r="Z1109" s="79">
        <f t="shared" ref="Z1109:AE1109" si="1039">AA1109</f>
        <v>0</v>
      </c>
      <c r="AA1109" s="78">
        <f t="shared" si="1039"/>
        <v>0</v>
      </c>
      <c r="AB1109" s="78">
        <f t="shared" si="1039"/>
        <v>0</v>
      </c>
      <c r="AC1109" s="78">
        <f t="shared" si="1039"/>
        <v>0</v>
      </c>
      <c r="AD1109" s="78">
        <f t="shared" si="1039"/>
        <v>0</v>
      </c>
      <c r="AE1109" s="78">
        <f t="shared" si="1039"/>
        <v>0</v>
      </c>
      <c r="AF1109" s="6">
        <v>0</v>
      </c>
      <c r="AG1109" s="33" t="str">
        <f t="shared" si="1031"/>
        <v>4.08 &gt; Haiti</v>
      </c>
      <c r="AH1109" s="84">
        <f t="shared" si="1034"/>
        <v>1095</v>
      </c>
      <c r="AI1109" s="84">
        <f t="shared" si="1035"/>
        <v>41</v>
      </c>
      <c r="AJ1109" s="877" t="s">
        <v>1526</v>
      </c>
    </row>
    <row r="1110" spans="1:36" x14ac:dyDescent="0.2">
      <c r="A1110" s="492">
        <f>INDEX(Country!$F$31:$G$76, MATCH(AI1110, Country!$O$31:$O$76, 0), 1)</f>
        <v>4.0799999999999983</v>
      </c>
      <c r="B1110" s="2" t="str">
        <f>INDEX(Country!$F$31:$G$76, MATCH(AI1110, Country!$O$31:$O$76, 0), 2)</f>
        <v>Voluntary GHG reporting by corporates</v>
      </c>
      <c r="C1110" s="436" t="str">
        <f>INDEX(Country!$K$31:$K$76, MATCH(AI1110, Country!$O$31:$O$76, 0), 1)</f>
        <v>Companies</v>
      </c>
      <c r="D1110" s="4" t="str">
        <f t="shared" si="1026"/>
        <v>Honduras</v>
      </c>
      <c r="E1110" s="47"/>
      <c r="F1110" s="47"/>
      <c r="G1110" s="47"/>
      <c r="H1110" s="47"/>
      <c r="I1110" s="47"/>
      <c r="J1110" s="47"/>
      <c r="K1110" s="45"/>
      <c r="L1110" s="457">
        <f t="shared" si="1014"/>
        <v>0</v>
      </c>
      <c r="M1110" s="458">
        <f t="shared" si="1015"/>
        <v>0</v>
      </c>
      <c r="N1110" s="458">
        <f t="shared" si="1016"/>
        <v>0</v>
      </c>
      <c r="O1110" s="458">
        <f t="shared" si="1017"/>
        <v>0</v>
      </c>
      <c r="P1110" s="458">
        <f t="shared" si="1018"/>
        <v>0</v>
      </c>
      <c r="Q1110" s="458">
        <f t="shared" si="1019"/>
        <v>0</v>
      </c>
      <c r="R1110" s="459">
        <f t="shared" si="1020"/>
        <v>0</v>
      </c>
      <c r="S1110" s="455"/>
      <c r="T1110" s="456"/>
      <c r="U1110" s="456"/>
      <c r="V1110" s="456"/>
      <c r="W1110" s="456"/>
      <c r="X1110" s="456"/>
      <c r="Y1110" s="456"/>
      <c r="Z1110" s="79">
        <f t="shared" ref="Z1110:AE1110" si="1040">AA1110</f>
        <v>0</v>
      </c>
      <c r="AA1110" s="78">
        <f t="shared" si="1040"/>
        <v>0</v>
      </c>
      <c r="AB1110" s="78">
        <f t="shared" si="1040"/>
        <v>0</v>
      </c>
      <c r="AC1110" s="78">
        <f t="shared" si="1040"/>
        <v>0</v>
      </c>
      <c r="AD1110" s="78">
        <f t="shared" si="1040"/>
        <v>0</v>
      </c>
      <c r="AE1110" s="78">
        <f t="shared" si="1040"/>
        <v>0</v>
      </c>
      <c r="AF1110" s="6">
        <v>0</v>
      </c>
      <c r="AG1110" s="33" t="str">
        <f t="shared" si="1031"/>
        <v>4.08 &gt; Honduras</v>
      </c>
      <c r="AH1110" s="84">
        <f t="shared" si="1034"/>
        <v>1096</v>
      </c>
      <c r="AI1110" s="84">
        <f t="shared" si="1035"/>
        <v>41</v>
      </c>
      <c r="AJ1110" s="877" t="s">
        <v>1526</v>
      </c>
    </row>
    <row r="1111" spans="1:36" x14ac:dyDescent="0.2">
      <c r="A1111" s="492">
        <f>INDEX(Country!$F$31:$G$76, MATCH(AI1111, Country!$O$31:$O$76, 0), 1)</f>
        <v>4.0799999999999983</v>
      </c>
      <c r="B1111" s="2" t="str">
        <f>INDEX(Country!$F$31:$G$76, MATCH(AI1111, Country!$O$31:$O$76, 0), 2)</f>
        <v>Voluntary GHG reporting by corporates</v>
      </c>
      <c r="C1111" s="436" t="str">
        <f>INDEX(Country!$K$31:$K$76, MATCH(AI1111, Country!$O$31:$O$76, 0), 1)</f>
        <v>Companies</v>
      </c>
      <c r="D1111" s="4" t="str">
        <f t="shared" si="1026"/>
        <v>Jamaica</v>
      </c>
      <c r="E1111" s="47"/>
      <c r="F1111" s="47"/>
      <c r="G1111" s="47"/>
      <c r="H1111" s="47"/>
      <c r="I1111" s="47"/>
      <c r="J1111" s="47"/>
      <c r="K1111" s="45"/>
      <c r="L1111" s="457">
        <f t="shared" si="1014"/>
        <v>0</v>
      </c>
      <c r="M1111" s="458">
        <f t="shared" si="1015"/>
        <v>0</v>
      </c>
      <c r="N1111" s="458">
        <f t="shared" si="1016"/>
        <v>0</v>
      </c>
      <c r="O1111" s="458">
        <f t="shared" si="1017"/>
        <v>0</v>
      </c>
      <c r="P1111" s="458">
        <f t="shared" si="1018"/>
        <v>0</v>
      </c>
      <c r="Q1111" s="458">
        <f t="shared" si="1019"/>
        <v>0</v>
      </c>
      <c r="R1111" s="459">
        <f t="shared" si="1020"/>
        <v>0</v>
      </c>
      <c r="S1111" s="455"/>
      <c r="T1111" s="456"/>
      <c r="U1111" s="456"/>
      <c r="V1111" s="456"/>
      <c r="W1111" s="456"/>
      <c r="X1111" s="456"/>
      <c r="Y1111" s="456"/>
      <c r="Z1111" s="79">
        <f t="shared" ref="Z1111:AE1111" si="1041">AA1111</f>
        <v>0</v>
      </c>
      <c r="AA1111" s="78">
        <f t="shared" si="1041"/>
        <v>0</v>
      </c>
      <c r="AB1111" s="78">
        <f t="shared" si="1041"/>
        <v>0</v>
      </c>
      <c r="AC1111" s="78">
        <f t="shared" si="1041"/>
        <v>0</v>
      </c>
      <c r="AD1111" s="78">
        <f t="shared" si="1041"/>
        <v>0</v>
      </c>
      <c r="AE1111" s="78">
        <f t="shared" si="1041"/>
        <v>0</v>
      </c>
      <c r="AF1111" s="6">
        <v>0</v>
      </c>
      <c r="AG1111" s="33" t="str">
        <f t="shared" si="1031"/>
        <v>4.08 &gt; Jamaica</v>
      </c>
      <c r="AH1111" s="84">
        <f t="shared" si="1034"/>
        <v>1097</v>
      </c>
      <c r="AI1111" s="84">
        <f t="shared" si="1035"/>
        <v>41</v>
      </c>
      <c r="AJ1111" s="877" t="s">
        <v>1526</v>
      </c>
    </row>
    <row r="1112" spans="1:36" x14ac:dyDescent="0.2">
      <c r="A1112" s="492">
        <f>INDEX(Country!$F$31:$G$76, MATCH(AI1112, Country!$O$31:$O$76, 0), 1)</f>
        <v>4.0799999999999983</v>
      </c>
      <c r="B1112" s="2" t="str">
        <f>INDEX(Country!$F$31:$G$76, MATCH(AI1112, Country!$O$31:$O$76, 0), 2)</f>
        <v>Voluntary GHG reporting by corporates</v>
      </c>
      <c r="C1112" s="436" t="str">
        <f>INDEX(Country!$K$31:$K$76, MATCH(AI1112, Country!$O$31:$O$76, 0), 1)</f>
        <v>Companies</v>
      </c>
      <c r="D1112" s="4" t="str">
        <f t="shared" si="1026"/>
        <v>Mexico</v>
      </c>
      <c r="E1112" s="47"/>
      <c r="F1112" s="47"/>
      <c r="G1112" s="47"/>
      <c r="H1112" s="47"/>
      <c r="I1112" s="47"/>
      <c r="J1112" s="47"/>
      <c r="K1112" s="45"/>
      <c r="L1112" s="457">
        <f t="shared" si="1014"/>
        <v>36.816854401335</v>
      </c>
      <c r="M1112" s="458">
        <f t="shared" si="1015"/>
        <v>36.816854401335</v>
      </c>
      <c r="N1112" s="458">
        <f t="shared" si="1016"/>
        <v>36.816854401335</v>
      </c>
      <c r="O1112" s="458">
        <f t="shared" si="1017"/>
        <v>36.816854401335</v>
      </c>
      <c r="P1112" s="458">
        <f t="shared" si="1018"/>
        <v>36.816854401335</v>
      </c>
      <c r="Q1112" s="458">
        <f t="shared" si="1019"/>
        <v>36.816854401335</v>
      </c>
      <c r="R1112" s="459">
        <f t="shared" si="1020"/>
        <v>36.816854401335</v>
      </c>
      <c r="S1112" s="455"/>
      <c r="T1112" s="456"/>
      <c r="U1112" s="456"/>
      <c r="V1112" s="456"/>
      <c r="W1112" s="456"/>
      <c r="X1112" s="456"/>
      <c r="Y1112" s="456"/>
      <c r="Z1112" s="79">
        <f t="shared" ref="Z1112:AE1112" si="1042">AA1112</f>
        <v>0.36816854401334997</v>
      </c>
      <c r="AA1112" s="78">
        <f t="shared" si="1042"/>
        <v>0.36816854401334997</v>
      </c>
      <c r="AB1112" s="78">
        <f t="shared" si="1042"/>
        <v>0.36816854401334997</v>
      </c>
      <c r="AC1112" s="78">
        <f t="shared" si="1042"/>
        <v>0.36816854401334997</v>
      </c>
      <c r="AD1112" s="78">
        <f t="shared" si="1042"/>
        <v>0.36816854401334997</v>
      </c>
      <c r="AE1112" s="78">
        <f t="shared" si="1042"/>
        <v>0.36816854401334997</v>
      </c>
      <c r="AF1112" s="6">
        <v>0.36816854401334997</v>
      </c>
      <c r="AG1112" s="33" t="str">
        <f t="shared" si="1031"/>
        <v>4.08 &gt; Mexico</v>
      </c>
      <c r="AH1112" s="84">
        <f t="shared" si="1034"/>
        <v>1098</v>
      </c>
      <c r="AI1112" s="84">
        <f t="shared" si="1035"/>
        <v>41</v>
      </c>
      <c r="AJ1112" s="877" t="s">
        <v>1526</v>
      </c>
    </row>
    <row r="1113" spans="1:36" x14ac:dyDescent="0.2">
      <c r="A1113" s="492">
        <f>INDEX(Country!$F$31:$G$76, MATCH(AI1113, Country!$O$31:$O$76, 0), 1)</f>
        <v>4.0799999999999983</v>
      </c>
      <c r="B1113" s="2" t="str">
        <f>INDEX(Country!$F$31:$G$76, MATCH(AI1113, Country!$O$31:$O$76, 0), 2)</f>
        <v>Voluntary GHG reporting by corporates</v>
      </c>
      <c r="C1113" s="436" t="str">
        <f>INDEX(Country!$K$31:$K$76, MATCH(AI1113, Country!$O$31:$O$76, 0), 1)</f>
        <v>Companies</v>
      </c>
      <c r="D1113" s="4" t="str">
        <f t="shared" si="1026"/>
        <v>Nicaragua</v>
      </c>
      <c r="E1113" s="47"/>
      <c r="F1113" s="47"/>
      <c r="G1113" s="47"/>
      <c r="H1113" s="47"/>
      <c r="I1113" s="47"/>
      <c r="J1113" s="47"/>
      <c r="K1113" s="45"/>
      <c r="L1113" s="457">
        <f t="shared" si="1014"/>
        <v>0</v>
      </c>
      <c r="M1113" s="458">
        <f t="shared" si="1015"/>
        <v>0</v>
      </c>
      <c r="N1113" s="458">
        <f t="shared" si="1016"/>
        <v>0</v>
      </c>
      <c r="O1113" s="458">
        <f t="shared" si="1017"/>
        <v>0</v>
      </c>
      <c r="P1113" s="458">
        <f t="shared" si="1018"/>
        <v>0</v>
      </c>
      <c r="Q1113" s="458">
        <f t="shared" si="1019"/>
        <v>0</v>
      </c>
      <c r="R1113" s="459">
        <f t="shared" si="1020"/>
        <v>0</v>
      </c>
      <c r="S1113" s="455"/>
      <c r="T1113" s="456"/>
      <c r="U1113" s="456"/>
      <c r="V1113" s="456"/>
      <c r="W1113" s="456"/>
      <c r="X1113" s="456"/>
      <c r="Y1113" s="456"/>
      <c r="Z1113" s="79">
        <f t="shared" ref="Z1113:AE1113" si="1043">AA1113</f>
        <v>0</v>
      </c>
      <c r="AA1113" s="78">
        <f t="shared" si="1043"/>
        <v>0</v>
      </c>
      <c r="AB1113" s="78">
        <f t="shared" si="1043"/>
        <v>0</v>
      </c>
      <c r="AC1113" s="78">
        <f t="shared" si="1043"/>
        <v>0</v>
      </c>
      <c r="AD1113" s="78">
        <f t="shared" si="1043"/>
        <v>0</v>
      </c>
      <c r="AE1113" s="78">
        <f t="shared" si="1043"/>
        <v>0</v>
      </c>
      <c r="AF1113" s="6">
        <v>0</v>
      </c>
      <c r="AG1113" s="33" t="str">
        <f t="shared" si="1031"/>
        <v>4.08 &gt; Nicaragua</v>
      </c>
      <c r="AH1113" s="84">
        <f t="shared" si="1034"/>
        <v>1099</v>
      </c>
      <c r="AI1113" s="84">
        <f t="shared" si="1035"/>
        <v>41</v>
      </c>
      <c r="AJ1113" s="877" t="s">
        <v>1526</v>
      </c>
    </row>
    <row r="1114" spans="1:36" x14ac:dyDescent="0.2">
      <c r="A1114" s="492">
        <f>INDEX(Country!$F$31:$G$76, MATCH(AI1114, Country!$O$31:$O$76, 0), 1)</f>
        <v>4.0799999999999983</v>
      </c>
      <c r="B1114" s="2" t="str">
        <f>INDEX(Country!$F$31:$G$76, MATCH(AI1114, Country!$O$31:$O$76, 0), 2)</f>
        <v>Voluntary GHG reporting by corporates</v>
      </c>
      <c r="C1114" s="436" t="str">
        <f>INDEX(Country!$K$31:$K$76, MATCH(AI1114, Country!$O$31:$O$76, 0), 1)</f>
        <v>Companies</v>
      </c>
      <c r="D1114" s="4" t="str">
        <f t="shared" si="1026"/>
        <v>Panama</v>
      </c>
      <c r="E1114" s="47"/>
      <c r="F1114" s="47"/>
      <c r="G1114" s="47"/>
      <c r="H1114" s="47"/>
      <c r="I1114" s="47"/>
      <c r="J1114" s="47"/>
      <c r="K1114" s="45"/>
      <c r="L1114" s="457">
        <f t="shared" si="1014"/>
        <v>0</v>
      </c>
      <c r="M1114" s="458">
        <f t="shared" si="1015"/>
        <v>0</v>
      </c>
      <c r="N1114" s="458">
        <f t="shared" si="1016"/>
        <v>0</v>
      </c>
      <c r="O1114" s="458">
        <f t="shared" si="1017"/>
        <v>0</v>
      </c>
      <c r="P1114" s="458">
        <f t="shared" si="1018"/>
        <v>0</v>
      </c>
      <c r="Q1114" s="458">
        <f t="shared" si="1019"/>
        <v>0</v>
      </c>
      <c r="R1114" s="459">
        <f t="shared" si="1020"/>
        <v>0</v>
      </c>
      <c r="S1114" s="455"/>
      <c r="T1114" s="456"/>
      <c r="U1114" s="456"/>
      <c r="V1114" s="456"/>
      <c r="W1114" s="456"/>
      <c r="X1114" s="456"/>
      <c r="Y1114" s="456"/>
      <c r="Z1114" s="79">
        <f t="shared" ref="Z1114:AE1114" si="1044">AA1114</f>
        <v>0</v>
      </c>
      <c r="AA1114" s="78">
        <f t="shared" si="1044"/>
        <v>0</v>
      </c>
      <c r="AB1114" s="78">
        <f t="shared" si="1044"/>
        <v>0</v>
      </c>
      <c r="AC1114" s="78">
        <f t="shared" si="1044"/>
        <v>0</v>
      </c>
      <c r="AD1114" s="78">
        <f t="shared" si="1044"/>
        <v>0</v>
      </c>
      <c r="AE1114" s="78">
        <f t="shared" si="1044"/>
        <v>0</v>
      </c>
      <c r="AF1114" s="6">
        <v>0</v>
      </c>
      <c r="AG1114" s="33" t="str">
        <f t="shared" si="1031"/>
        <v>4.08 &gt; Panama</v>
      </c>
      <c r="AH1114" s="84">
        <f t="shared" si="1034"/>
        <v>1100</v>
      </c>
      <c r="AI1114" s="84">
        <f t="shared" si="1035"/>
        <v>41</v>
      </c>
      <c r="AJ1114" s="877" t="s">
        <v>1526</v>
      </c>
    </row>
    <row r="1115" spans="1:36" x14ac:dyDescent="0.2">
      <c r="A1115" s="492">
        <f>INDEX(Country!$F$31:$G$76, MATCH(AI1115, Country!$O$31:$O$76, 0), 1)</f>
        <v>4.0799999999999983</v>
      </c>
      <c r="B1115" s="2" t="str">
        <f>INDEX(Country!$F$31:$G$76, MATCH(AI1115, Country!$O$31:$O$76, 0), 2)</f>
        <v>Voluntary GHG reporting by corporates</v>
      </c>
      <c r="C1115" s="436" t="str">
        <f>INDEX(Country!$K$31:$K$76, MATCH(AI1115, Country!$O$31:$O$76, 0), 1)</f>
        <v>Companies</v>
      </c>
      <c r="D1115" s="4" t="str">
        <f t="shared" si="1026"/>
        <v>Paraguay</v>
      </c>
      <c r="E1115" s="47"/>
      <c r="F1115" s="47"/>
      <c r="G1115" s="47"/>
      <c r="H1115" s="47"/>
      <c r="I1115" s="47"/>
      <c r="J1115" s="47"/>
      <c r="K1115" s="45"/>
      <c r="L1115" s="457">
        <f t="shared" si="1014"/>
        <v>0</v>
      </c>
      <c r="M1115" s="458">
        <f t="shared" si="1015"/>
        <v>0</v>
      </c>
      <c r="N1115" s="458">
        <f t="shared" si="1016"/>
        <v>0</v>
      </c>
      <c r="O1115" s="458">
        <f t="shared" si="1017"/>
        <v>0</v>
      </c>
      <c r="P1115" s="458">
        <f t="shared" si="1018"/>
        <v>0</v>
      </c>
      <c r="Q1115" s="458">
        <f t="shared" si="1019"/>
        <v>0</v>
      </c>
      <c r="R1115" s="459">
        <f t="shared" si="1020"/>
        <v>0</v>
      </c>
      <c r="S1115" s="455"/>
      <c r="T1115" s="456"/>
      <c r="U1115" s="456"/>
      <c r="V1115" s="456"/>
      <c r="W1115" s="456"/>
      <c r="X1115" s="456"/>
      <c r="Y1115" s="456"/>
      <c r="Z1115" s="79">
        <f t="shared" ref="Z1115:AE1115" si="1045">AA1115</f>
        <v>0</v>
      </c>
      <c r="AA1115" s="78">
        <f t="shared" si="1045"/>
        <v>0</v>
      </c>
      <c r="AB1115" s="78">
        <f t="shared" si="1045"/>
        <v>0</v>
      </c>
      <c r="AC1115" s="78">
        <f t="shared" si="1045"/>
        <v>0</v>
      </c>
      <c r="AD1115" s="78">
        <f t="shared" si="1045"/>
        <v>0</v>
      </c>
      <c r="AE1115" s="78">
        <f t="shared" si="1045"/>
        <v>0</v>
      </c>
      <c r="AF1115" s="6">
        <v>0</v>
      </c>
      <c r="AG1115" s="33" t="str">
        <f t="shared" si="1031"/>
        <v>4.08 &gt; Paraguay</v>
      </c>
      <c r="AH1115" s="84">
        <f t="shared" si="1034"/>
        <v>1101</v>
      </c>
      <c r="AI1115" s="84">
        <f t="shared" si="1035"/>
        <v>41</v>
      </c>
      <c r="AJ1115" s="877" t="s">
        <v>1526</v>
      </c>
    </row>
    <row r="1116" spans="1:36" x14ac:dyDescent="0.2">
      <c r="A1116" s="492">
        <f>INDEX(Country!$F$31:$G$76, MATCH(AI1116, Country!$O$31:$O$76, 0), 1)</f>
        <v>4.0799999999999983</v>
      </c>
      <c r="B1116" s="2" t="str">
        <f>INDEX(Country!$F$31:$G$76, MATCH(AI1116, Country!$O$31:$O$76, 0), 2)</f>
        <v>Voluntary GHG reporting by corporates</v>
      </c>
      <c r="C1116" s="436" t="str">
        <f>INDEX(Country!$K$31:$K$76, MATCH(AI1116, Country!$O$31:$O$76, 0), 1)</f>
        <v>Companies</v>
      </c>
      <c r="D1116" s="4" t="str">
        <f t="shared" si="1026"/>
        <v>Peru</v>
      </c>
      <c r="E1116" s="47"/>
      <c r="F1116" s="47"/>
      <c r="G1116" s="47"/>
      <c r="H1116" s="47"/>
      <c r="I1116" s="47"/>
      <c r="J1116" s="47"/>
      <c r="K1116" s="45"/>
      <c r="L1116" s="457">
        <f t="shared" si="1014"/>
        <v>43.987538940809969</v>
      </c>
      <c r="M1116" s="458">
        <f t="shared" si="1015"/>
        <v>43.987538940809969</v>
      </c>
      <c r="N1116" s="458">
        <f t="shared" si="1016"/>
        <v>43.987538940809969</v>
      </c>
      <c r="O1116" s="458">
        <f t="shared" si="1017"/>
        <v>43.987538940809969</v>
      </c>
      <c r="P1116" s="458">
        <f t="shared" si="1018"/>
        <v>43.987538940809969</v>
      </c>
      <c r="Q1116" s="458">
        <f t="shared" si="1019"/>
        <v>43.987538940809969</v>
      </c>
      <c r="R1116" s="459">
        <f t="shared" si="1020"/>
        <v>43.987538940809969</v>
      </c>
      <c r="S1116" s="455"/>
      <c r="T1116" s="456"/>
      <c r="U1116" s="456"/>
      <c r="V1116" s="456"/>
      <c r="W1116" s="456"/>
      <c r="X1116" s="456"/>
      <c r="Y1116" s="456"/>
      <c r="Z1116" s="79">
        <f t="shared" ref="Z1116:AE1116" si="1046">AA1116</f>
        <v>0.43987538940809967</v>
      </c>
      <c r="AA1116" s="78">
        <f t="shared" si="1046"/>
        <v>0.43987538940809967</v>
      </c>
      <c r="AB1116" s="78">
        <f t="shared" si="1046"/>
        <v>0.43987538940809967</v>
      </c>
      <c r="AC1116" s="78">
        <f t="shared" si="1046"/>
        <v>0.43987538940809967</v>
      </c>
      <c r="AD1116" s="78">
        <f t="shared" si="1046"/>
        <v>0.43987538940809967</v>
      </c>
      <c r="AE1116" s="78">
        <f t="shared" si="1046"/>
        <v>0.43987538940809967</v>
      </c>
      <c r="AF1116" s="6">
        <v>0.43987538940809967</v>
      </c>
      <c r="AG1116" s="33" t="str">
        <f t="shared" si="1031"/>
        <v>4.08 &gt; Peru</v>
      </c>
      <c r="AH1116" s="84">
        <f t="shared" si="1034"/>
        <v>1102</v>
      </c>
      <c r="AI1116" s="84">
        <f t="shared" si="1035"/>
        <v>41</v>
      </c>
      <c r="AJ1116" s="877" t="s">
        <v>1526</v>
      </c>
    </row>
    <row r="1117" spans="1:36" x14ac:dyDescent="0.2">
      <c r="A1117" s="492">
        <f>INDEX(Country!$F$31:$G$76, MATCH(AI1117, Country!$O$31:$O$76, 0), 1)</f>
        <v>4.0799999999999983</v>
      </c>
      <c r="B1117" s="2" t="str">
        <f>INDEX(Country!$F$31:$G$76, MATCH(AI1117, Country!$O$31:$O$76, 0), 2)</f>
        <v>Voluntary GHG reporting by corporates</v>
      </c>
      <c r="C1117" s="436" t="str">
        <f>INDEX(Country!$K$31:$K$76, MATCH(AI1117, Country!$O$31:$O$76, 0), 1)</f>
        <v>Companies</v>
      </c>
      <c r="D1117" s="4" t="str">
        <f t="shared" si="1026"/>
        <v>Suriname</v>
      </c>
      <c r="E1117" s="47"/>
      <c r="F1117" s="47"/>
      <c r="G1117" s="47"/>
      <c r="H1117" s="47"/>
      <c r="I1117" s="47"/>
      <c r="J1117" s="47"/>
      <c r="K1117" s="45"/>
      <c r="L1117" s="457">
        <f t="shared" si="1014"/>
        <v>0</v>
      </c>
      <c r="M1117" s="458">
        <f t="shared" si="1015"/>
        <v>0</v>
      </c>
      <c r="N1117" s="458">
        <f t="shared" si="1016"/>
        <v>0</v>
      </c>
      <c r="O1117" s="458">
        <f t="shared" si="1017"/>
        <v>0</v>
      </c>
      <c r="P1117" s="458">
        <f t="shared" si="1018"/>
        <v>0</v>
      </c>
      <c r="Q1117" s="458">
        <f t="shared" si="1019"/>
        <v>0</v>
      </c>
      <c r="R1117" s="459">
        <f t="shared" si="1020"/>
        <v>0</v>
      </c>
      <c r="S1117" s="455"/>
      <c r="T1117" s="456"/>
      <c r="U1117" s="456"/>
      <c r="V1117" s="456"/>
      <c r="W1117" s="456"/>
      <c r="X1117" s="456"/>
      <c r="Y1117" s="456"/>
      <c r="Z1117" s="79">
        <f t="shared" ref="Z1117:AE1117" si="1047">AA1117</f>
        <v>0</v>
      </c>
      <c r="AA1117" s="78">
        <f t="shared" si="1047"/>
        <v>0</v>
      </c>
      <c r="AB1117" s="78">
        <f t="shared" si="1047"/>
        <v>0</v>
      </c>
      <c r="AC1117" s="78">
        <f t="shared" si="1047"/>
        <v>0</v>
      </c>
      <c r="AD1117" s="78">
        <f t="shared" si="1047"/>
        <v>0</v>
      </c>
      <c r="AE1117" s="78">
        <f t="shared" si="1047"/>
        <v>0</v>
      </c>
      <c r="AF1117" s="6">
        <v>0</v>
      </c>
      <c r="AG1117" s="33" t="str">
        <f t="shared" si="1031"/>
        <v>4.08 &gt; Suriname</v>
      </c>
      <c r="AH1117" s="84">
        <f t="shared" si="1034"/>
        <v>1103</v>
      </c>
      <c r="AI1117" s="84">
        <f t="shared" si="1035"/>
        <v>41</v>
      </c>
      <c r="AJ1117" s="877" t="s">
        <v>1526</v>
      </c>
    </row>
    <row r="1118" spans="1:36" x14ac:dyDescent="0.2">
      <c r="A1118" s="492">
        <f>INDEX(Country!$F$31:$G$76, MATCH(AI1118, Country!$O$31:$O$76, 0), 1)</f>
        <v>4.0799999999999983</v>
      </c>
      <c r="B1118" s="2" t="str">
        <f>INDEX(Country!$F$31:$G$76, MATCH(AI1118, Country!$O$31:$O$76, 0), 2)</f>
        <v>Voluntary GHG reporting by corporates</v>
      </c>
      <c r="C1118" s="436" t="str">
        <f>INDEX(Country!$K$31:$K$76, MATCH(AI1118, Country!$O$31:$O$76, 0), 1)</f>
        <v>Companies</v>
      </c>
      <c r="D1118" s="4" t="str">
        <f t="shared" si="1026"/>
        <v>Trinidad &amp; Tobago</v>
      </c>
      <c r="E1118" s="47"/>
      <c r="F1118" s="47"/>
      <c r="G1118" s="47"/>
      <c r="H1118" s="47"/>
      <c r="I1118" s="47"/>
      <c r="J1118" s="47"/>
      <c r="K1118" s="45"/>
      <c r="L1118" s="457">
        <f t="shared" si="1014"/>
        <v>0</v>
      </c>
      <c r="M1118" s="458">
        <f t="shared" si="1015"/>
        <v>0</v>
      </c>
      <c r="N1118" s="458">
        <f t="shared" si="1016"/>
        <v>0</v>
      </c>
      <c r="O1118" s="458">
        <f t="shared" si="1017"/>
        <v>0</v>
      </c>
      <c r="P1118" s="458">
        <f t="shared" si="1018"/>
        <v>0</v>
      </c>
      <c r="Q1118" s="458">
        <f t="shared" si="1019"/>
        <v>0</v>
      </c>
      <c r="R1118" s="459">
        <f t="shared" si="1020"/>
        <v>0</v>
      </c>
      <c r="S1118" s="455"/>
      <c r="T1118" s="456"/>
      <c r="U1118" s="456"/>
      <c r="V1118" s="456"/>
      <c r="W1118" s="456"/>
      <c r="X1118" s="456"/>
      <c r="Y1118" s="456"/>
      <c r="Z1118" s="79">
        <f t="shared" ref="Z1118:AE1118" si="1048">AA1118</f>
        <v>0</v>
      </c>
      <c r="AA1118" s="78">
        <f t="shared" si="1048"/>
        <v>0</v>
      </c>
      <c r="AB1118" s="78">
        <f t="shared" si="1048"/>
        <v>0</v>
      </c>
      <c r="AC1118" s="78">
        <f t="shared" si="1048"/>
        <v>0</v>
      </c>
      <c r="AD1118" s="78">
        <f t="shared" si="1048"/>
        <v>0</v>
      </c>
      <c r="AE1118" s="78">
        <f t="shared" si="1048"/>
        <v>0</v>
      </c>
      <c r="AF1118" s="6">
        <v>0</v>
      </c>
      <c r="AG1118" s="33" t="str">
        <f t="shared" si="1031"/>
        <v>4.08 &gt; Trinidad &amp; Tobago</v>
      </c>
      <c r="AH1118" s="84">
        <f t="shared" si="1034"/>
        <v>1104</v>
      </c>
      <c r="AI1118" s="84">
        <f t="shared" si="1035"/>
        <v>41</v>
      </c>
      <c r="AJ1118" s="877" t="s">
        <v>1526</v>
      </c>
    </row>
    <row r="1119" spans="1:36" x14ac:dyDescent="0.2">
      <c r="A1119" s="492">
        <f>INDEX(Country!$F$31:$G$76, MATCH(AI1119, Country!$O$31:$O$76, 0), 1)</f>
        <v>4.0799999999999983</v>
      </c>
      <c r="B1119" s="2" t="str">
        <f>INDEX(Country!$F$31:$G$76, MATCH(AI1119, Country!$O$31:$O$76, 0), 2)</f>
        <v>Voluntary GHG reporting by corporates</v>
      </c>
      <c r="C1119" s="436" t="str">
        <f>INDEX(Country!$K$31:$K$76, MATCH(AI1119, Country!$O$31:$O$76, 0), 1)</f>
        <v>Companies</v>
      </c>
      <c r="D1119" s="4" t="str">
        <f t="shared" si="1026"/>
        <v>Uruguay</v>
      </c>
      <c r="E1119" s="47"/>
      <c r="F1119" s="47"/>
      <c r="G1119" s="47"/>
      <c r="H1119" s="47"/>
      <c r="I1119" s="47"/>
      <c r="J1119" s="47"/>
      <c r="K1119" s="45"/>
      <c r="L1119" s="457">
        <f t="shared" si="1014"/>
        <v>0</v>
      </c>
      <c r="M1119" s="458">
        <f t="shared" si="1015"/>
        <v>0</v>
      </c>
      <c r="N1119" s="458">
        <f t="shared" si="1016"/>
        <v>0</v>
      </c>
      <c r="O1119" s="458">
        <f t="shared" si="1017"/>
        <v>0</v>
      </c>
      <c r="P1119" s="458">
        <f t="shared" si="1018"/>
        <v>0</v>
      </c>
      <c r="Q1119" s="458">
        <f t="shared" si="1019"/>
        <v>0</v>
      </c>
      <c r="R1119" s="459">
        <f t="shared" si="1020"/>
        <v>0</v>
      </c>
      <c r="S1119" s="455"/>
      <c r="T1119" s="456"/>
      <c r="U1119" s="456"/>
      <c r="V1119" s="456"/>
      <c r="W1119" s="456"/>
      <c r="X1119" s="456"/>
      <c r="Y1119" s="456"/>
      <c r="Z1119" s="79">
        <f t="shared" ref="Z1119:AE1119" si="1049">AA1119</f>
        <v>0</v>
      </c>
      <c r="AA1119" s="78">
        <f t="shared" si="1049"/>
        <v>0</v>
      </c>
      <c r="AB1119" s="78">
        <f t="shared" si="1049"/>
        <v>0</v>
      </c>
      <c r="AC1119" s="78">
        <f t="shared" si="1049"/>
        <v>0</v>
      </c>
      <c r="AD1119" s="78">
        <f t="shared" si="1049"/>
        <v>0</v>
      </c>
      <c r="AE1119" s="78">
        <f t="shared" si="1049"/>
        <v>0</v>
      </c>
      <c r="AF1119" s="6">
        <v>0</v>
      </c>
      <c r="AG1119" s="33" t="str">
        <f t="shared" si="1031"/>
        <v>4.08 &gt; Uruguay</v>
      </c>
      <c r="AH1119" s="84">
        <f t="shared" si="1034"/>
        <v>1105</v>
      </c>
      <c r="AI1119" s="84">
        <f t="shared" si="1035"/>
        <v>41</v>
      </c>
      <c r="AJ1119" s="877" t="s">
        <v>1526</v>
      </c>
    </row>
    <row r="1120" spans="1:36" x14ac:dyDescent="0.2">
      <c r="A1120" s="491">
        <f>INDEX(Country!$F$31:$G$76, MATCH(AI1120, Country!$O$31:$O$76, 0), 1)</f>
        <v>4.0799999999999983</v>
      </c>
      <c r="B1120" s="386" t="str">
        <f>INDEX(Country!$F$31:$G$76, MATCH(AI1120, Country!$O$31:$O$76, 0), 2)</f>
        <v>Voluntary GHG reporting by corporates</v>
      </c>
      <c r="C1120" s="437" t="str">
        <f>INDEX(Country!$K$31:$K$76, MATCH(AI1120, Country!$O$31:$O$76, 0), 1)</f>
        <v>Companies</v>
      </c>
      <c r="D1120" s="86" t="str">
        <f t="shared" si="1026"/>
        <v>Venezuela</v>
      </c>
      <c r="E1120" s="363"/>
      <c r="F1120" s="363"/>
      <c r="G1120" s="363"/>
      <c r="H1120" s="363"/>
      <c r="I1120" s="363"/>
      <c r="J1120" s="363"/>
      <c r="K1120" s="400"/>
      <c r="L1120" s="460">
        <f t="shared" si="1014"/>
        <v>0</v>
      </c>
      <c r="M1120" s="461">
        <f t="shared" si="1015"/>
        <v>0</v>
      </c>
      <c r="N1120" s="461">
        <f t="shared" si="1016"/>
        <v>0</v>
      </c>
      <c r="O1120" s="461">
        <f t="shared" si="1017"/>
        <v>0</v>
      </c>
      <c r="P1120" s="461">
        <f t="shared" si="1018"/>
        <v>0</v>
      </c>
      <c r="Q1120" s="461">
        <f t="shared" si="1019"/>
        <v>0</v>
      </c>
      <c r="R1120" s="462">
        <f t="shared" si="1020"/>
        <v>0</v>
      </c>
      <c r="S1120" s="455"/>
      <c r="T1120" s="456"/>
      <c r="U1120" s="456"/>
      <c r="V1120" s="456"/>
      <c r="W1120" s="456"/>
      <c r="X1120" s="456"/>
      <c r="Y1120" s="456"/>
      <c r="Z1120" s="93">
        <f t="shared" ref="Z1120:AE1120" si="1050">AA1120</f>
        <v>0</v>
      </c>
      <c r="AA1120" s="379">
        <f t="shared" si="1050"/>
        <v>0</v>
      </c>
      <c r="AB1120" s="379">
        <f t="shared" si="1050"/>
        <v>0</v>
      </c>
      <c r="AC1120" s="379">
        <f t="shared" si="1050"/>
        <v>0</v>
      </c>
      <c r="AD1120" s="379">
        <f t="shared" si="1050"/>
        <v>0</v>
      </c>
      <c r="AE1120" s="379">
        <f t="shared" si="1050"/>
        <v>0</v>
      </c>
      <c r="AF1120" s="390">
        <v>0</v>
      </c>
      <c r="AG1120" s="90" t="str">
        <f t="shared" si="1031"/>
        <v>4.08 &gt; Venezuela</v>
      </c>
      <c r="AH1120" s="392">
        <f t="shared" si="1034"/>
        <v>1106</v>
      </c>
      <c r="AI1120" s="392">
        <f t="shared" si="1035"/>
        <v>41</v>
      </c>
      <c r="AJ1120" s="878" t="s">
        <v>1526</v>
      </c>
    </row>
    <row r="1121" spans="1:36" x14ac:dyDescent="0.2">
      <c r="A1121" s="489">
        <f>INDEX(Country!$F$31:$G$76, MATCH(AI1121, Country!$O$31:$O$76, 0), 1)</f>
        <v>4.0799999999999983</v>
      </c>
      <c r="B1121" s="387" t="str">
        <f>INDEX(Country!$F$31:$G$76, MATCH(AI1121, Country!$O$31:$O$76, 0), 2)</f>
        <v>Voluntary GHG reporting by corporates</v>
      </c>
      <c r="C1121" s="439" t="str">
        <f>INDEX(Country!$K$31:$K$76, MATCH(AI1121, Country!$O$31:$O$76, 0), 1)</f>
        <v>Companies</v>
      </c>
      <c r="D1121" s="385" t="str">
        <f t="shared" si="1026"/>
        <v>Benchmark</v>
      </c>
      <c r="E1121" s="362">
        <f t="shared" ref="E1121:K1121" si="1051">IFERROR(MAX(E1095:E1120), 0)</f>
        <v>0</v>
      </c>
      <c r="F1121" s="362">
        <f t="shared" si="1051"/>
        <v>0</v>
      </c>
      <c r="G1121" s="362">
        <f t="shared" si="1051"/>
        <v>0</v>
      </c>
      <c r="H1121" s="362">
        <f t="shared" si="1051"/>
        <v>0</v>
      </c>
      <c r="I1121" s="362">
        <f t="shared" si="1051"/>
        <v>0</v>
      </c>
      <c r="J1121" s="362">
        <f t="shared" si="1051"/>
        <v>0</v>
      </c>
      <c r="K1121" s="584">
        <f t="shared" si="1051"/>
        <v>0</v>
      </c>
      <c r="L1121" s="585">
        <f t="shared" si="1014"/>
        <v>100</v>
      </c>
      <c r="M1121" s="463">
        <f t="shared" si="1015"/>
        <v>100</v>
      </c>
      <c r="N1121" s="463">
        <f t="shared" si="1016"/>
        <v>100</v>
      </c>
      <c r="O1121" s="463">
        <f t="shared" si="1017"/>
        <v>100</v>
      </c>
      <c r="P1121" s="463">
        <f t="shared" si="1018"/>
        <v>100</v>
      </c>
      <c r="Q1121" s="463">
        <f t="shared" si="1019"/>
        <v>100</v>
      </c>
      <c r="R1121" s="586">
        <f t="shared" si="1020"/>
        <v>100</v>
      </c>
      <c r="S1121" s="393"/>
      <c r="T1121" s="394"/>
      <c r="U1121" s="376"/>
      <c r="V1121" s="376"/>
      <c r="W1121" s="376"/>
      <c r="X1121" s="376"/>
      <c r="Y1121" s="376"/>
      <c r="Z1121" s="423">
        <f t="shared" ref="Z1121:AE1121" si="1052">IFERROR(MAX(Z1095:Z1120), 0)</f>
        <v>1</v>
      </c>
      <c r="AA1121" s="365">
        <f t="shared" si="1052"/>
        <v>1</v>
      </c>
      <c r="AB1121" s="365">
        <f t="shared" si="1052"/>
        <v>1</v>
      </c>
      <c r="AC1121" s="365">
        <f t="shared" si="1052"/>
        <v>1</v>
      </c>
      <c r="AD1121" s="365">
        <f t="shared" si="1052"/>
        <v>1</v>
      </c>
      <c r="AE1121" s="365">
        <f t="shared" si="1052"/>
        <v>1</v>
      </c>
      <c r="AF1121" s="365">
        <f t="shared" ref="AF1121:AF1148" si="1053">IFERROR(MAX(AF1095:AF1120), 0)</f>
        <v>1</v>
      </c>
      <c r="AG1121" s="406" t="str">
        <f t="shared" si="1031"/>
        <v>4.08 &gt; Benchmark</v>
      </c>
      <c r="AH1121" s="407">
        <f t="shared" si="1034"/>
        <v>1107</v>
      </c>
      <c r="AI1121" s="407">
        <f t="shared" si="1035"/>
        <v>41</v>
      </c>
      <c r="AJ1121" s="880" t="s">
        <v>1526</v>
      </c>
    </row>
    <row r="1122" spans="1:36" x14ac:dyDescent="0.2">
      <c r="A1122" s="587">
        <f>INDEX(Country!$F$31:$G$76, MATCH(AI1122, Country!$O$31:$O$76, 0), 1)</f>
        <v>4.0899999999999981</v>
      </c>
      <c r="B1122" s="588" t="str">
        <f>INDEX(Country!$F$31:$G$76, MATCH(AI1122, Country!$O$31:$O$76, 0), 2)</f>
        <v>Investor pressure – PRI signatories</v>
      </c>
      <c r="C1122" s="589" t="str">
        <f>INDEX(Country!$K$31:$K$76, MATCH(AI1122, Country!$O$31:$O$76, 0), 1)</f>
        <v>Companies</v>
      </c>
      <c r="D1122" s="590" t="str">
        <f t="shared" ref="D1122:D1185" si="1054">D1095</f>
        <v>Argentina</v>
      </c>
      <c r="E1122" s="614"/>
      <c r="F1122" s="614"/>
      <c r="G1122" s="614"/>
      <c r="H1122" s="47"/>
      <c r="I1122" s="47"/>
      <c r="J1122" s="47"/>
      <c r="K1122" s="615"/>
      <c r="L1122" s="580">
        <f t="shared" ref="L1122:L1147" si="1055">(Z1122/1)*dbl_BenchmarkMax</f>
        <v>0</v>
      </c>
      <c r="M1122" s="581">
        <f t="shared" ref="M1122:M1147" si="1056">(AA1122/1)*dbl_BenchmarkMax</f>
        <v>0</v>
      </c>
      <c r="N1122" s="581">
        <f t="shared" ref="N1122:N1147" si="1057">(AB1122/1)*dbl_BenchmarkMax</f>
        <v>0</v>
      </c>
      <c r="O1122" s="581">
        <f t="shared" ref="O1122:O1147" si="1058">(AC1122/1)*dbl_BenchmarkMax</f>
        <v>0</v>
      </c>
      <c r="P1122" s="581">
        <f t="shared" ref="P1122:P1147" si="1059">(AD1122/1)*dbl_BenchmarkMax</f>
        <v>0</v>
      </c>
      <c r="Q1122" s="581">
        <f t="shared" ref="Q1122:Q1147" si="1060">(AE1122/1)*dbl_BenchmarkMax</f>
        <v>0</v>
      </c>
      <c r="R1122" s="582">
        <f t="shared" ref="R1122:R1147" si="1061">(AF1122/1)*dbl_BenchmarkMax</f>
        <v>0</v>
      </c>
      <c r="S1122" s="455"/>
      <c r="T1122" s="456"/>
      <c r="U1122" s="456"/>
      <c r="V1122" s="456"/>
      <c r="W1122" s="456"/>
      <c r="X1122" s="456"/>
      <c r="Y1122" s="456"/>
      <c r="Z1122" s="472">
        <f t="shared" ref="Z1122:AE1122" si="1062">AA1122</f>
        <v>0</v>
      </c>
      <c r="AA1122" s="378">
        <f t="shared" si="1062"/>
        <v>0</v>
      </c>
      <c r="AB1122" s="378">
        <f t="shared" si="1062"/>
        <v>0</v>
      </c>
      <c r="AC1122" s="78">
        <f t="shared" si="1062"/>
        <v>0</v>
      </c>
      <c r="AD1122" s="78">
        <f t="shared" si="1062"/>
        <v>0</v>
      </c>
      <c r="AE1122" s="78">
        <f t="shared" si="1062"/>
        <v>0</v>
      </c>
      <c r="AF1122" s="388">
        <v>0</v>
      </c>
      <c r="AG1122" s="396" t="str">
        <f t="shared" si="1031"/>
        <v>4.09 &gt; Argentina</v>
      </c>
      <c r="AH1122" s="397">
        <f t="shared" si="1034"/>
        <v>1108</v>
      </c>
      <c r="AI1122" s="397">
        <f t="shared" si="1035"/>
        <v>42</v>
      </c>
      <c r="AJ1122" s="879" t="s">
        <v>1526</v>
      </c>
    </row>
    <row r="1123" spans="1:36" x14ac:dyDescent="0.2">
      <c r="A1123" s="492">
        <f>INDEX(Country!$F$31:$G$76, MATCH(AI1123, Country!$O$31:$O$76, 0), 1)</f>
        <v>4.0899999999999981</v>
      </c>
      <c r="B1123" s="2" t="str">
        <f>INDEX(Country!$F$31:$G$76, MATCH(AI1123, Country!$O$31:$O$76, 0), 2)</f>
        <v>Investor pressure – PRI signatories</v>
      </c>
      <c r="C1123" s="436" t="str">
        <f>INDEX(Country!$K$31:$K$76, MATCH(AI1123, Country!$O$31:$O$76, 0), 1)</f>
        <v>Companies</v>
      </c>
      <c r="D1123" s="4" t="str">
        <f t="shared" si="1054"/>
        <v>Bahamas</v>
      </c>
      <c r="E1123" s="47"/>
      <c r="F1123" s="47"/>
      <c r="G1123" s="47"/>
      <c r="H1123" s="47"/>
      <c r="I1123" s="47"/>
      <c r="J1123" s="47"/>
      <c r="K1123" s="45"/>
      <c r="L1123" s="457">
        <f t="shared" si="1055"/>
        <v>0</v>
      </c>
      <c r="M1123" s="458">
        <f t="shared" si="1056"/>
        <v>0</v>
      </c>
      <c r="N1123" s="458">
        <f t="shared" si="1057"/>
        <v>0</v>
      </c>
      <c r="O1123" s="458">
        <f t="shared" si="1058"/>
        <v>0</v>
      </c>
      <c r="P1123" s="458">
        <f t="shared" si="1059"/>
        <v>0</v>
      </c>
      <c r="Q1123" s="458">
        <f t="shared" si="1060"/>
        <v>0</v>
      </c>
      <c r="R1123" s="459">
        <f t="shared" si="1061"/>
        <v>0</v>
      </c>
      <c r="S1123" s="455"/>
      <c r="T1123" s="456"/>
      <c r="U1123" s="456"/>
      <c r="V1123" s="456"/>
      <c r="W1123" s="456"/>
      <c r="X1123" s="456"/>
      <c r="Y1123" s="456"/>
      <c r="Z1123" s="79">
        <f t="shared" ref="Z1123:AE1123" si="1063">AA1123</f>
        <v>0</v>
      </c>
      <c r="AA1123" s="78">
        <f t="shared" si="1063"/>
        <v>0</v>
      </c>
      <c r="AB1123" s="78">
        <f t="shared" si="1063"/>
        <v>0</v>
      </c>
      <c r="AC1123" s="78">
        <f t="shared" si="1063"/>
        <v>0</v>
      </c>
      <c r="AD1123" s="78">
        <f t="shared" si="1063"/>
        <v>0</v>
      </c>
      <c r="AE1123" s="78">
        <f t="shared" si="1063"/>
        <v>0</v>
      </c>
      <c r="AF1123" s="6">
        <v>0</v>
      </c>
      <c r="AG1123" s="33" t="str">
        <f t="shared" si="1031"/>
        <v>4.09 &gt; Bahamas</v>
      </c>
      <c r="AH1123" s="84">
        <f t="shared" si="1034"/>
        <v>1109</v>
      </c>
      <c r="AI1123" s="84">
        <f t="shared" si="1035"/>
        <v>42</v>
      </c>
      <c r="AJ1123" s="877" t="s">
        <v>1526</v>
      </c>
    </row>
    <row r="1124" spans="1:36" x14ac:dyDescent="0.2">
      <c r="A1124" s="492">
        <f>INDEX(Country!$F$31:$G$76, MATCH(AI1124, Country!$O$31:$O$76, 0), 1)</f>
        <v>4.0899999999999981</v>
      </c>
      <c r="B1124" s="2" t="str">
        <f>INDEX(Country!$F$31:$G$76, MATCH(AI1124, Country!$O$31:$O$76, 0), 2)</f>
        <v>Investor pressure – PRI signatories</v>
      </c>
      <c r="C1124" s="436" t="str">
        <f>INDEX(Country!$K$31:$K$76, MATCH(AI1124, Country!$O$31:$O$76, 0), 1)</f>
        <v>Companies</v>
      </c>
      <c r="D1124" s="4" t="str">
        <f t="shared" si="1054"/>
        <v>Barbados</v>
      </c>
      <c r="E1124" s="47"/>
      <c r="F1124" s="47"/>
      <c r="G1124" s="47"/>
      <c r="H1124" s="47"/>
      <c r="I1124" s="47"/>
      <c r="J1124" s="47"/>
      <c r="K1124" s="45"/>
      <c r="L1124" s="457">
        <f t="shared" si="1055"/>
        <v>1.6129032258064515</v>
      </c>
      <c r="M1124" s="458">
        <f t="shared" si="1056"/>
        <v>1.6129032258064515</v>
      </c>
      <c r="N1124" s="458">
        <f t="shared" si="1057"/>
        <v>1.6129032258064515</v>
      </c>
      <c r="O1124" s="458">
        <f t="shared" si="1058"/>
        <v>1.6129032258064515</v>
      </c>
      <c r="P1124" s="458">
        <f t="shared" si="1059"/>
        <v>1.6129032258064515</v>
      </c>
      <c r="Q1124" s="458">
        <f t="shared" si="1060"/>
        <v>1.6129032258064515</v>
      </c>
      <c r="R1124" s="459">
        <f t="shared" si="1061"/>
        <v>1.6129032258064515</v>
      </c>
      <c r="S1124" s="455"/>
      <c r="T1124" s="456"/>
      <c r="U1124" s="456"/>
      <c r="V1124" s="456"/>
      <c r="W1124" s="456"/>
      <c r="X1124" s="456"/>
      <c r="Y1124" s="456"/>
      <c r="Z1124" s="79">
        <f t="shared" ref="Z1124:AE1124" si="1064">AA1124</f>
        <v>1.6129032258064516E-2</v>
      </c>
      <c r="AA1124" s="78">
        <f t="shared" si="1064"/>
        <v>1.6129032258064516E-2</v>
      </c>
      <c r="AB1124" s="78">
        <f t="shared" si="1064"/>
        <v>1.6129032258064516E-2</v>
      </c>
      <c r="AC1124" s="78">
        <f t="shared" si="1064"/>
        <v>1.6129032258064516E-2</v>
      </c>
      <c r="AD1124" s="78">
        <f t="shared" si="1064"/>
        <v>1.6129032258064516E-2</v>
      </c>
      <c r="AE1124" s="78">
        <f t="shared" si="1064"/>
        <v>1.6129032258064516E-2</v>
      </c>
      <c r="AF1124" s="6">
        <v>1.6129032258064516E-2</v>
      </c>
      <c r="AG1124" s="33" t="str">
        <f t="shared" si="1031"/>
        <v>4.09 &gt; Barbados</v>
      </c>
      <c r="AH1124" s="84">
        <f t="shared" si="1034"/>
        <v>1110</v>
      </c>
      <c r="AI1124" s="84">
        <f t="shared" si="1035"/>
        <v>42</v>
      </c>
      <c r="AJ1124" s="877" t="s">
        <v>1526</v>
      </c>
    </row>
    <row r="1125" spans="1:36" x14ac:dyDescent="0.2">
      <c r="A1125" s="492">
        <f>INDEX(Country!$F$31:$G$76, MATCH(AI1125, Country!$O$31:$O$76, 0), 1)</f>
        <v>4.0899999999999981</v>
      </c>
      <c r="B1125" s="2" t="str">
        <f>INDEX(Country!$F$31:$G$76, MATCH(AI1125, Country!$O$31:$O$76, 0), 2)</f>
        <v>Investor pressure – PRI signatories</v>
      </c>
      <c r="C1125" s="436" t="str">
        <f>INDEX(Country!$K$31:$K$76, MATCH(AI1125, Country!$O$31:$O$76, 0), 1)</f>
        <v>Companies</v>
      </c>
      <c r="D1125" s="4" t="str">
        <f t="shared" si="1054"/>
        <v>Belize</v>
      </c>
      <c r="E1125" s="47"/>
      <c r="F1125" s="47"/>
      <c r="G1125" s="47"/>
      <c r="H1125" s="47"/>
      <c r="I1125" s="47"/>
      <c r="J1125" s="47"/>
      <c r="K1125" s="45"/>
      <c r="L1125" s="457">
        <f t="shared" si="1055"/>
        <v>0</v>
      </c>
      <c r="M1125" s="458">
        <f t="shared" si="1056"/>
        <v>0</v>
      </c>
      <c r="N1125" s="458">
        <f t="shared" si="1057"/>
        <v>0</v>
      </c>
      <c r="O1125" s="458">
        <f t="shared" si="1058"/>
        <v>0</v>
      </c>
      <c r="P1125" s="458">
        <f t="shared" si="1059"/>
        <v>0</v>
      </c>
      <c r="Q1125" s="458">
        <f t="shared" si="1060"/>
        <v>0</v>
      </c>
      <c r="R1125" s="459">
        <f t="shared" si="1061"/>
        <v>0</v>
      </c>
      <c r="S1125" s="455"/>
      <c r="T1125" s="456"/>
      <c r="U1125" s="456"/>
      <c r="V1125" s="456"/>
      <c r="W1125" s="456"/>
      <c r="X1125" s="456"/>
      <c r="Y1125" s="456"/>
      <c r="Z1125" s="79">
        <f t="shared" ref="Z1125:AE1125" si="1065">AA1125</f>
        <v>0</v>
      </c>
      <c r="AA1125" s="78">
        <f t="shared" si="1065"/>
        <v>0</v>
      </c>
      <c r="AB1125" s="78">
        <f t="shared" si="1065"/>
        <v>0</v>
      </c>
      <c r="AC1125" s="78">
        <f t="shared" si="1065"/>
        <v>0</v>
      </c>
      <c r="AD1125" s="78">
        <f t="shared" si="1065"/>
        <v>0</v>
      </c>
      <c r="AE1125" s="78">
        <f t="shared" si="1065"/>
        <v>0</v>
      </c>
      <c r="AF1125" s="6">
        <v>0</v>
      </c>
      <c r="AG1125" s="33" t="str">
        <f t="shared" si="1031"/>
        <v>4.09 &gt; Belize</v>
      </c>
      <c r="AH1125" s="84">
        <f t="shared" si="1034"/>
        <v>1111</v>
      </c>
      <c r="AI1125" s="84">
        <f t="shared" si="1035"/>
        <v>42</v>
      </c>
      <c r="AJ1125" s="877" t="s">
        <v>1526</v>
      </c>
    </row>
    <row r="1126" spans="1:36" x14ac:dyDescent="0.2">
      <c r="A1126" s="492">
        <f>INDEX(Country!$F$31:$G$76, MATCH(AI1126, Country!$O$31:$O$76, 0), 1)</f>
        <v>4.0899999999999981</v>
      </c>
      <c r="B1126" s="2" t="str">
        <f>INDEX(Country!$F$31:$G$76, MATCH(AI1126, Country!$O$31:$O$76, 0), 2)</f>
        <v>Investor pressure – PRI signatories</v>
      </c>
      <c r="C1126" s="436" t="str">
        <f>INDEX(Country!$K$31:$K$76, MATCH(AI1126, Country!$O$31:$O$76, 0), 1)</f>
        <v>Companies</v>
      </c>
      <c r="D1126" s="4" t="str">
        <f t="shared" si="1054"/>
        <v>Bolivia</v>
      </c>
      <c r="E1126" s="47"/>
      <c r="F1126" s="47"/>
      <c r="G1126" s="47"/>
      <c r="H1126" s="47"/>
      <c r="I1126" s="47"/>
      <c r="J1126" s="47"/>
      <c r="K1126" s="45"/>
      <c r="L1126" s="457">
        <f t="shared" si="1055"/>
        <v>0</v>
      </c>
      <c r="M1126" s="458">
        <f t="shared" si="1056"/>
        <v>0</v>
      </c>
      <c r="N1126" s="458">
        <f t="shared" si="1057"/>
        <v>0</v>
      </c>
      <c r="O1126" s="458">
        <f t="shared" si="1058"/>
        <v>0</v>
      </c>
      <c r="P1126" s="458">
        <f t="shared" si="1059"/>
        <v>0</v>
      </c>
      <c r="Q1126" s="458">
        <f t="shared" si="1060"/>
        <v>0</v>
      </c>
      <c r="R1126" s="459">
        <f t="shared" si="1061"/>
        <v>0</v>
      </c>
      <c r="S1126" s="455"/>
      <c r="T1126" s="456"/>
      <c r="U1126" s="456"/>
      <c r="V1126" s="456"/>
      <c r="W1126" s="456"/>
      <c r="X1126" s="456"/>
      <c r="Y1126" s="456"/>
      <c r="Z1126" s="79">
        <f t="shared" ref="Z1126:AE1126" si="1066">AA1126</f>
        <v>0</v>
      </c>
      <c r="AA1126" s="78">
        <f t="shared" si="1066"/>
        <v>0</v>
      </c>
      <c r="AB1126" s="78">
        <f t="shared" si="1066"/>
        <v>0</v>
      </c>
      <c r="AC1126" s="78">
        <f t="shared" si="1066"/>
        <v>0</v>
      </c>
      <c r="AD1126" s="78">
        <f t="shared" si="1066"/>
        <v>0</v>
      </c>
      <c r="AE1126" s="78">
        <f t="shared" si="1066"/>
        <v>0</v>
      </c>
      <c r="AF1126" s="6">
        <v>0</v>
      </c>
      <c r="AG1126" s="33" t="str">
        <f t="shared" si="1031"/>
        <v>4.09 &gt; Bolivia</v>
      </c>
      <c r="AH1126" s="84">
        <f t="shared" si="1034"/>
        <v>1112</v>
      </c>
      <c r="AI1126" s="84">
        <f t="shared" si="1035"/>
        <v>42</v>
      </c>
      <c r="AJ1126" s="877" t="s">
        <v>1526</v>
      </c>
    </row>
    <row r="1127" spans="1:36" x14ac:dyDescent="0.2">
      <c r="A1127" s="492">
        <f>INDEX(Country!$F$31:$G$76, MATCH(AI1127, Country!$O$31:$O$76, 0), 1)</f>
        <v>4.0899999999999981</v>
      </c>
      <c r="B1127" s="2" t="str">
        <f>INDEX(Country!$F$31:$G$76, MATCH(AI1127, Country!$O$31:$O$76, 0), 2)</f>
        <v>Investor pressure – PRI signatories</v>
      </c>
      <c r="C1127" s="436" t="str">
        <f>INDEX(Country!$K$31:$K$76, MATCH(AI1127, Country!$O$31:$O$76, 0), 1)</f>
        <v>Companies</v>
      </c>
      <c r="D1127" s="4" t="str">
        <f t="shared" si="1054"/>
        <v>Brazil</v>
      </c>
      <c r="E1127" s="47"/>
      <c r="F1127" s="47"/>
      <c r="G1127" s="47"/>
      <c r="H1127" s="47"/>
      <c r="I1127" s="47"/>
      <c r="J1127" s="47"/>
      <c r="K1127" s="45"/>
      <c r="L1127" s="457">
        <f t="shared" si="1055"/>
        <v>100</v>
      </c>
      <c r="M1127" s="458">
        <f t="shared" si="1056"/>
        <v>100</v>
      </c>
      <c r="N1127" s="458">
        <f t="shared" si="1057"/>
        <v>100</v>
      </c>
      <c r="O1127" s="458">
        <f t="shared" si="1058"/>
        <v>100</v>
      </c>
      <c r="P1127" s="458">
        <f t="shared" si="1059"/>
        <v>100</v>
      </c>
      <c r="Q1127" s="458">
        <f t="shared" si="1060"/>
        <v>100</v>
      </c>
      <c r="R1127" s="459">
        <f t="shared" si="1061"/>
        <v>100</v>
      </c>
      <c r="S1127" s="455"/>
      <c r="T1127" s="456"/>
      <c r="U1127" s="456"/>
      <c r="V1127" s="456"/>
      <c r="W1127" s="456"/>
      <c r="X1127" s="456"/>
      <c r="Y1127" s="456"/>
      <c r="Z1127" s="79">
        <f t="shared" ref="Z1127:AE1127" si="1067">AA1127</f>
        <v>1</v>
      </c>
      <c r="AA1127" s="78">
        <f t="shared" si="1067"/>
        <v>1</v>
      </c>
      <c r="AB1127" s="78">
        <f t="shared" si="1067"/>
        <v>1</v>
      </c>
      <c r="AC1127" s="78">
        <f t="shared" si="1067"/>
        <v>1</v>
      </c>
      <c r="AD1127" s="78">
        <f t="shared" si="1067"/>
        <v>1</v>
      </c>
      <c r="AE1127" s="78">
        <f t="shared" si="1067"/>
        <v>1</v>
      </c>
      <c r="AF1127" s="6">
        <v>1</v>
      </c>
      <c r="AG1127" s="33" t="str">
        <f t="shared" si="1031"/>
        <v>4.09 &gt; Brazil</v>
      </c>
      <c r="AH1127" s="84">
        <f t="shared" si="1034"/>
        <v>1113</v>
      </c>
      <c r="AI1127" s="84">
        <f t="shared" si="1035"/>
        <v>42</v>
      </c>
      <c r="AJ1127" s="877" t="s">
        <v>1526</v>
      </c>
    </row>
    <row r="1128" spans="1:36" x14ac:dyDescent="0.2">
      <c r="A1128" s="492">
        <f>INDEX(Country!$F$31:$G$76, MATCH(AI1128, Country!$O$31:$O$76, 0), 1)</f>
        <v>4.0899999999999981</v>
      </c>
      <c r="B1128" s="2" t="str">
        <f>INDEX(Country!$F$31:$G$76, MATCH(AI1128, Country!$O$31:$O$76, 0), 2)</f>
        <v>Investor pressure – PRI signatories</v>
      </c>
      <c r="C1128" s="436" t="str">
        <f>INDEX(Country!$K$31:$K$76, MATCH(AI1128, Country!$O$31:$O$76, 0), 1)</f>
        <v>Companies</v>
      </c>
      <c r="D1128" s="4" t="str">
        <f t="shared" si="1054"/>
        <v>Chile</v>
      </c>
      <c r="E1128" s="47"/>
      <c r="F1128" s="47"/>
      <c r="G1128" s="47"/>
      <c r="H1128" s="47"/>
      <c r="I1128" s="47"/>
      <c r="J1128" s="47"/>
      <c r="K1128" s="45"/>
      <c r="L1128" s="457">
        <f t="shared" si="1055"/>
        <v>0</v>
      </c>
      <c r="M1128" s="458">
        <f t="shared" si="1056"/>
        <v>0</v>
      </c>
      <c r="N1128" s="458">
        <f t="shared" si="1057"/>
        <v>0</v>
      </c>
      <c r="O1128" s="458">
        <f t="shared" si="1058"/>
        <v>0</v>
      </c>
      <c r="P1128" s="458">
        <f t="shared" si="1059"/>
        <v>0</v>
      </c>
      <c r="Q1128" s="458">
        <f t="shared" si="1060"/>
        <v>0</v>
      </c>
      <c r="R1128" s="459">
        <f t="shared" si="1061"/>
        <v>0</v>
      </c>
      <c r="S1128" s="455"/>
      <c r="T1128" s="456"/>
      <c r="U1128" s="456"/>
      <c r="V1128" s="456"/>
      <c r="W1128" s="456"/>
      <c r="X1128" s="456"/>
      <c r="Y1128" s="456"/>
      <c r="Z1128" s="79">
        <f t="shared" ref="Z1128:AE1128" si="1068">AA1128</f>
        <v>0</v>
      </c>
      <c r="AA1128" s="78">
        <f t="shared" si="1068"/>
        <v>0</v>
      </c>
      <c r="AB1128" s="78">
        <f t="shared" si="1068"/>
        <v>0</v>
      </c>
      <c r="AC1128" s="78">
        <f t="shared" si="1068"/>
        <v>0</v>
      </c>
      <c r="AD1128" s="78">
        <f t="shared" si="1068"/>
        <v>0</v>
      </c>
      <c r="AE1128" s="78">
        <f t="shared" si="1068"/>
        <v>0</v>
      </c>
      <c r="AF1128" s="6">
        <v>0</v>
      </c>
      <c r="AG1128" s="33" t="str">
        <f t="shared" si="1031"/>
        <v>4.09 &gt; Chile</v>
      </c>
      <c r="AH1128" s="84">
        <f t="shared" si="1034"/>
        <v>1114</v>
      </c>
      <c r="AI1128" s="84">
        <f t="shared" si="1035"/>
        <v>42</v>
      </c>
      <c r="AJ1128" s="877" t="s">
        <v>1526</v>
      </c>
    </row>
    <row r="1129" spans="1:36" x14ac:dyDescent="0.2">
      <c r="A1129" s="492">
        <f>INDEX(Country!$F$31:$G$76, MATCH(AI1129, Country!$O$31:$O$76, 0), 1)</f>
        <v>4.0899999999999981</v>
      </c>
      <c r="B1129" s="2" t="str">
        <f>INDEX(Country!$F$31:$G$76, MATCH(AI1129, Country!$O$31:$O$76, 0), 2)</f>
        <v>Investor pressure – PRI signatories</v>
      </c>
      <c r="C1129" s="436" t="str">
        <f>INDEX(Country!$K$31:$K$76, MATCH(AI1129, Country!$O$31:$O$76, 0), 1)</f>
        <v>Companies</v>
      </c>
      <c r="D1129" s="4" t="str">
        <f t="shared" si="1054"/>
        <v>Colombia</v>
      </c>
      <c r="E1129" s="47"/>
      <c r="F1129" s="47"/>
      <c r="G1129" s="47"/>
      <c r="H1129" s="47"/>
      <c r="I1129" s="47"/>
      <c r="J1129" s="47"/>
      <c r="K1129" s="45"/>
      <c r="L1129" s="457">
        <f t="shared" si="1055"/>
        <v>1.6129032258064515</v>
      </c>
      <c r="M1129" s="458">
        <f t="shared" si="1056"/>
        <v>1.6129032258064515</v>
      </c>
      <c r="N1129" s="458">
        <f t="shared" si="1057"/>
        <v>1.6129032258064515</v>
      </c>
      <c r="O1129" s="458">
        <f t="shared" si="1058"/>
        <v>1.6129032258064515</v>
      </c>
      <c r="P1129" s="458">
        <f t="shared" si="1059"/>
        <v>1.6129032258064515</v>
      </c>
      <c r="Q1129" s="458">
        <f t="shared" si="1060"/>
        <v>1.6129032258064515</v>
      </c>
      <c r="R1129" s="459">
        <f t="shared" si="1061"/>
        <v>1.6129032258064515</v>
      </c>
      <c r="S1129" s="455"/>
      <c r="T1129" s="456"/>
      <c r="U1129" s="456"/>
      <c r="V1129" s="456"/>
      <c r="W1129" s="456"/>
      <c r="X1129" s="456"/>
      <c r="Y1129" s="456"/>
      <c r="Z1129" s="79">
        <f t="shared" ref="Z1129:AE1129" si="1069">AA1129</f>
        <v>1.6129032258064516E-2</v>
      </c>
      <c r="AA1129" s="78">
        <f t="shared" si="1069"/>
        <v>1.6129032258064516E-2</v>
      </c>
      <c r="AB1129" s="78">
        <f t="shared" si="1069"/>
        <v>1.6129032258064516E-2</v>
      </c>
      <c r="AC1129" s="78">
        <f t="shared" si="1069"/>
        <v>1.6129032258064516E-2</v>
      </c>
      <c r="AD1129" s="78">
        <f t="shared" si="1069"/>
        <v>1.6129032258064516E-2</v>
      </c>
      <c r="AE1129" s="78">
        <f t="shared" si="1069"/>
        <v>1.6129032258064516E-2</v>
      </c>
      <c r="AF1129" s="6">
        <v>1.6129032258064516E-2</v>
      </c>
      <c r="AG1129" s="33" t="str">
        <f t="shared" si="1031"/>
        <v>4.09 &gt; Colombia</v>
      </c>
      <c r="AH1129" s="84">
        <f t="shared" si="1034"/>
        <v>1115</v>
      </c>
      <c r="AI1129" s="84">
        <f t="shared" si="1035"/>
        <v>42</v>
      </c>
      <c r="AJ1129" s="877" t="s">
        <v>1526</v>
      </c>
    </row>
    <row r="1130" spans="1:36" x14ac:dyDescent="0.2">
      <c r="A1130" s="492">
        <f>INDEX(Country!$F$31:$G$76, MATCH(AI1130, Country!$O$31:$O$76, 0), 1)</f>
        <v>4.0899999999999981</v>
      </c>
      <c r="B1130" s="2" t="str">
        <f>INDEX(Country!$F$31:$G$76, MATCH(AI1130, Country!$O$31:$O$76, 0), 2)</f>
        <v>Investor pressure – PRI signatories</v>
      </c>
      <c r="C1130" s="436" t="str">
        <f>INDEX(Country!$K$31:$K$76, MATCH(AI1130, Country!$O$31:$O$76, 0), 1)</f>
        <v>Companies</v>
      </c>
      <c r="D1130" s="4" t="str">
        <f t="shared" si="1054"/>
        <v>Costa Rica</v>
      </c>
      <c r="E1130" s="47"/>
      <c r="F1130" s="47"/>
      <c r="G1130" s="47"/>
      <c r="H1130" s="47"/>
      <c r="I1130" s="47"/>
      <c r="J1130" s="47"/>
      <c r="K1130" s="45"/>
      <c r="L1130" s="457">
        <f t="shared" si="1055"/>
        <v>0</v>
      </c>
      <c r="M1130" s="458">
        <f t="shared" si="1056"/>
        <v>0</v>
      </c>
      <c r="N1130" s="458">
        <f t="shared" si="1057"/>
        <v>0</v>
      </c>
      <c r="O1130" s="458">
        <f t="shared" si="1058"/>
        <v>0</v>
      </c>
      <c r="P1130" s="458">
        <f t="shared" si="1059"/>
        <v>0</v>
      </c>
      <c r="Q1130" s="458">
        <f t="shared" si="1060"/>
        <v>0</v>
      </c>
      <c r="R1130" s="459">
        <f t="shared" si="1061"/>
        <v>0</v>
      </c>
      <c r="S1130" s="455"/>
      <c r="T1130" s="456"/>
      <c r="U1130" s="456"/>
      <c r="V1130" s="456"/>
      <c r="W1130" s="456"/>
      <c r="X1130" s="456"/>
      <c r="Y1130" s="456"/>
      <c r="Z1130" s="79">
        <f t="shared" ref="Z1130:AE1130" si="1070">AA1130</f>
        <v>0</v>
      </c>
      <c r="AA1130" s="78">
        <f t="shared" si="1070"/>
        <v>0</v>
      </c>
      <c r="AB1130" s="78">
        <f t="shared" si="1070"/>
        <v>0</v>
      </c>
      <c r="AC1130" s="78">
        <f t="shared" si="1070"/>
        <v>0</v>
      </c>
      <c r="AD1130" s="78">
        <f t="shared" si="1070"/>
        <v>0</v>
      </c>
      <c r="AE1130" s="78">
        <f t="shared" si="1070"/>
        <v>0</v>
      </c>
      <c r="AF1130" s="6">
        <v>0</v>
      </c>
      <c r="AG1130" s="33" t="str">
        <f t="shared" si="1031"/>
        <v>4.09 &gt; Costa Rica</v>
      </c>
      <c r="AH1130" s="84">
        <f t="shared" si="1034"/>
        <v>1116</v>
      </c>
      <c r="AI1130" s="84">
        <f t="shared" si="1035"/>
        <v>42</v>
      </c>
      <c r="AJ1130" s="877" t="s">
        <v>1526</v>
      </c>
    </row>
    <row r="1131" spans="1:36" x14ac:dyDescent="0.2">
      <c r="A1131" s="492">
        <f>INDEX(Country!$F$31:$G$76, MATCH(AI1131, Country!$O$31:$O$76, 0), 1)</f>
        <v>4.0899999999999981</v>
      </c>
      <c r="B1131" s="2" t="str">
        <f>INDEX(Country!$F$31:$G$76, MATCH(AI1131, Country!$O$31:$O$76, 0), 2)</f>
        <v>Investor pressure – PRI signatories</v>
      </c>
      <c r="C1131" s="436" t="str">
        <f>INDEX(Country!$K$31:$K$76, MATCH(AI1131, Country!$O$31:$O$76, 0), 1)</f>
        <v>Companies</v>
      </c>
      <c r="D1131" s="4" t="str">
        <f t="shared" si="1054"/>
        <v>Dominican Republic</v>
      </c>
      <c r="E1131" s="47"/>
      <c r="F1131" s="47"/>
      <c r="G1131" s="47"/>
      <c r="H1131" s="47"/>
      <c r="I1131" s="47"/>
      <c r="J1131" s="47"/>
      <c r="K1131" s="45"/>
      <c r="L1131" s="457">
        <f t="shared" si="1055"/>
        <v>0</v>
      </c>
      <c r="M1131" s="458">
        <f t="shared" si="1056"/>
        <v>0</v>
      </c>
      <c r="N1131" s="458">
        <f t="shared" si="1057"/>
        <v>0</v>
      </c>
      <c r="O1131" s="458">
        <f t="shared" si="1058"/>
        <v>0</v>
      </c>
      <c r="P1131" s="458">
        <f t="shared" si="1059"/>
        <v>0</v>
      </c>
      <c r="Q1131" s="458">
        <f t="shared" si="1060"/>
        <v>0</v>
      </c>
      <c r="R1131" s="459">
        <f t="shared" si="1061"/>
        <v>0</v>
      </c>
      <c r="S1131" s="455"/>
      <c r="T1131" s="456"/>
      <c r="U1131" s="456"/>
      <c r="V1131" s="456"/>
      <c r="W1131" s="456"/>
      <c r="X1131" s="456"/>
      <c r="Y1131" s="456"/>
      <c r="Z1131" s="79">
        <f t="shared" ref="Z1131:AE1131" si="1071">AA1131</f>
        <v>0</v>
      </c>
      <c r="AA1131" s="78">
        <f t="shared" si="1071"/>
        <v>0</v>
      </c>
      <c r="AB1131" s="78">
        <f t="shared" si="1071"/>
        <v>0</v>
      </c>
      <c r="AC1131" s="78">
        <f t="shared" si="1071"/>
        <v>0</v>
      </c>
      <c r="AD1131" s="78">
        <f t="shared" si="1071"/>
        <v>0</v>
      </c>
      <c r="AE1131" s="78">
        <f t="shared" si="1071"/>
        <v>0</v>
      </c>
      <c r="AF1131" s="6">
        <v>0</v>
      </c>
      <c r="AG1131" s="33" t="str">
        <f t="shared" si="1031"/>
        <v>4.09 &gt; Dominican Republic</v>
      </c>
      <c r="AH1131" s="84">
        <f t="shared" si="1034"/>
        <v>1117</v>
      </c>
      <c r="AI1131" s="84">
        <f t="shared" si="1035"/>
        <v>42</v>
      </c>
      <c r="AJ1131" s="877" t="s">
        <v>1526</v>
      </c>
    </row>
    <row r="1132" spans="1:36" x14ac:dyDescent="0.2">
      <c r="A1132" s="492">
        <f>INDEX(Country!$F$31:$G$76, MATCH(AI1132, Country!$O$31:$O$76, 0), 1)</f>
        <v>4.0899999999999981</v>
      </c>
      <c r="B1132" s="2" t="str">
        <f>INDEX(Country!$F$31:$G$76, MATCH(AI1132, Country!$O$31:$O$76, 0), 2)</f>
        <v>Investor pressure – PRI signatories</v>
      </c>
      <c r="C1132" s="436" t="str">
        <f>INDEX(Country!$K$31:$K$76, MATCH(AI1132, Country!$O$31:$O$76, 0), 1)</f>
        <v>Companies</v>
      </c>
      <c r="D1132" s="4" t="str">
        <f t="shared" si="1054"/>
        <v>Ecuador</v>
      </c>
      <c r="E1132" s="47"/>
      <c r="F1132" s="47"/>
      <c r="G1132" s="47"/>
      <c r="H1132" s="47"/>
      <c r="I1132" s="47"/>
      <c r="J1132" s="47"/>
      <c r="K1132" s="45"/>
      <c r="L1132" s="457">
        <f t="shared" si="1055"/>
        <v>0</v>
      </c>
      <c r="M1132" s="458">
        <f t="shared" si="1056"/>
        <v>0</v>
      </c>
      <c r="N1132" s="458">
        <f t="shared" si="1057"/>
        <v>0</v>
      </c>
      <c r="O1132" s="458">
        <f t="shared" si="1058"/>
        <v>0</v>
      </c>
      <c r="P1132" s="458">
        <f t="shared" si="1059"/>
        <v>0</v>
      </c>
      <c r="Q1132" s="458">
        <f t="shared" si="1060"/>
        <v>0</v>
      </c>
      <c r="R1132" s="459">
        <f t="shared" si="1061"/>
        <v>0</v>
      </c>
      <c r="S1132" s="455"/>
      <c r="T1132" s="456"/>
      <c r="U1132" s="456"/>
      <c r="V1132" s="456"/>
      <c r="W1132" s="456"/>
      <c r="X1132" s="456"/>
      <c r="Y1132" s="456"/>
      <c r="Z1132" s="79">
        <f t="shared" ref="Z1132:AE1132" si="1072">AA1132</f>
        <v>0</v>
      </c>
      <c r="AA1132" s="78">
        <f t="shared" si="1072"/>
        <v>0</v>
      </c>
      <c r="AB1132" s="78">
        <f t="shared" si="1072"/>
        <v>0</v>
      </c>
      <c r="AC1132" s="78">
        <f t="shared" si="1072"/>
        <v>0</v>
      </c>
      <c r="AD1132" s="78">
        <f t="shared" si="1072"/>
        <v>0</v>
      </c>
      <c r="AE1132" s="78">
        <f t="shared" si="1072"/>
        <v>0</v>
      </c>
      <c r="AF1132" s="6">
        <v>0</v>
      </c>
      <c r="AG1132" s="33" t="str">
        <f t="shared" si="1031"/>
        <v>4.09 &gt; Ecuador</v>
      </c>
      <c r="AH1132" s="84">
        <f t="shared" si="1034"/>
        <v>1118</v>
      </c>
      <c r="AI1132" s="84">
        <f t="shared" si="1035"/>
        <v>42</v>
      </c>
      <c r="AJ1132" s="877" t="s">
        <v>1526</v>
      </c>
    </row>
    <row r="1133" spans="1:36" x14ac:dyDescent="0.2">
      <c r="A1133" s="492">
        <f>INDEX(Country!$F$31:$G$76, MATCH(AI1133, Country!$O$31:$O$76, 0), 1)</f>
        <v>4.0899999999999981</v>
      </c>
      <c r="B1133" s="2" t="str">
        <f>INDEX(Country!$F$31:$G$76, MATCH(AI1133, Country!$O$31:$O$76, 0), 2)</f>
        <v>Investor pressure – PRI signatories</v>
      </c>
      <c r="C1133" s="436" t="str">
        <f>INDEX(Country!$K$31:$K$76, MATCH(AI1133, Country!$O$31:$O$76, 0), 1)</f>
        <v>Companies</v>
      </c>
      <c r="D1133" s="4" t="str">
        <f t="shared" si="1054"/>
        <v>El Salvador</v>
      </c>
      <c r="E1133" s="47"/>
      <c r="F1133" s="47"/>
      <c r="G1133" s="47"/>
      <c r="H1133" s="47"/>
      <c r="I1133" s="47"/>
      <c r="J1133" s="47"/>
      <c r="K1133" s="45"/>
      <c r="L1133" s="457">
        <f t="shared" si="1055"/>
        <v>0</v>
      </c>
      <c r="M1133" s="458">
        <f t="shared" si="1056"/>
        <v>0</v>
      </c>
      <c r="N1133" s="458">
        <f t="shared" si="1057"/>
        <v>0</v>
      </c>
      <c r="O1133" s="458">
        <f t="shared" si="1058"/>
        <v>0</v>
      </c>
      <c r="P1133" s="458">
        <f t="shared" si="1059"/>
        <v>0</v>
      </c>
      <c r="Q1133" s="458">
        <f t="shared" si="1060"/>
        <v>0</v>
      </c>
      <c r="R1133" s="459">
        <f t="shared" si="1061"/>
        <v>0</v>
      </c>
      <c r="S1133" s="455"/>
      <c r="T1133" s="456"/>
      <c r="U1133" s="456"/>
      <c r="V1133" s="456"/>
      <c r="W1133" s="456"/>
      <c r="X1133" s="456"/>
      <c r="Y1133" s="456"/>
      <c r="Z1133" s="79">
        <f t="shared" ref="Z1133:AE1133" si="1073">AA1133</f>
        <v>0</v>
      </c>
      <c r="AA1133" s="78">
        <f t="shared" si="1073"/>
        <v>0</v>
      </c>
      <c r="AB1133" s="78">
        <f t="shared" si="1073"/>
        <v>0</v>
      </c>
      <c r="AC1133" s="78">
        <f t="shared" si="1073"/>
        <v>0</v>
      </c>
      <c r="AD1133" s="78">
        <f t="shared" si="1073"/>
        <v>0</v>
      </c>
      <c r="AE1133" s="78">
        <f t="shared" si="1073"/>
        <v>0</v>
      </c>
      <c r="AF1133" s="6">
        <v>0</v>
      </c>
      <c r="AG1133" s="33" t="str">
        <f t="shared" si="1031"/>
        <v>4.09 &gt; El Salvador</v>
      </c>
      <c r="AH1133" s="84">
        <f t="shared" si="1034"/>
        <v>1119</v>
      </c>
      <c r="AI1133" s="84">
        <f t="shared" si="1035"/>
        <v>42</v>
      </c>
      <c r="AJ1133" s="877" t="s">
        <v>1526</v>
      </c>
    </row>
    <row r="1134" spans="1:36" x14ac:dyDescent="0.2">
      <c r="A1134" s="492">
        <f>INDEX(Country!$F$31:$G$76, MATCH(AI1134, Country!$O$31:$O$76, 0), 1)</f>
        <v>4.0899999999999981</v>
      </c>
      <c r="B1134" s="2" t="str">
        <f>INDEX(Country!$F$31:$G$76, MATCH(AI1134, Country!$O$31:$O$76, 0), 2)</f>
        <v>Investor pressure – PRI signatories</v>
      </c>
      <c r="C1134" s="436" t="str">
        <f>INDEX(Country!$K$31:$K$76, MATCH(AI1134, Country!$O$31:$O$76, 0), 1)</f>
        <v>Companies</v>
      </c>
      <c r="D1134" s="4" t="str">
        <f t="shared" si="1054"/>
        <v>Guatemala</v>
      </c>
      <c r="E1134" s="47"/>
      <c r="F1134" s="47"/>
      <c r="G1134" s="47"/>
      <c r="H1134" s="47"/>
      <c r="I1134" s="47"/>
      <c r="J1134" s="47"/>
      <c r="K1134" s="45"/>
      <c r="L1134" s="457">
        <f t="shared" si="1055"/>
        <v>0</v>
      </c>
      <c r="M1134" s="458">
        <f t="shared" si="1056"/>
        <v>0</v>
      </c>
      <c r="N1134" s="458">
        <f t="shared" si="1057"/>
        <v>0</v>
      </c>
      <c r="O1134" s="458">
        <f t="shared" si="1058"/>
        <v>0</v>
      </c>
      <c r="P1134" s="458">
        <f t="shared" si="1059"/>
        <v>0</v>
      </c>
      <c r="Q1134" s="458">
        <f t="shared" si="1060"/>
        <v>0</v>
      </c>
      <c r="R1134" s="459">
        <f t="shared" si="1061"/>
        <v>0</v>
      </c>
      <c r="S1134" s="455"/>
      <c r="T1134" s="456"/>
      <c r="U1134" s="456"/>
      <c r="V1134" s="456"/>
      <c r="W1134" s="456"/>
      <c r="X1134" s="456"/>
      <c r="Y1134" s="456"/>
      <c r="Z1134" s="79">
        <f t="shared" ref="Z1134:AE1134" si="1074">AA1134</f>
        <v>0</v>
      </c>
      <c r="AA1134" s="78">
        <f t="shared" si="1074"/>
        <v>0</v>
      </c>
      <c r="AB1134" s="78">
        <f t="shared" si="1074"/>
        <v>0</v>
      </c>
      <c r="AC1134" s="78">
        <f t="shared" si="1074"/>
        <v>0</v>
      </c>
      <c r="AD1134" s="78">
        <f t="shared" si="1074"/>
        <v>0</v>
      </c>
      <c r="AE1134" s="78">
        <f t="shared" si="1074"/>
        <v>0</v>
      </c>
      <c r="AF1134" s="6">
        <v>0</v>
      </c>
      <c r="AG1134" s="33" t="str">
        <f t="shared" si="1031"/>
        <v>4.09 &gt; Guatemala</v>
      </c>
      <c r="AH1134" s="84">
        <f t="shared" si="1034"/>
        <v>1120</v>
      </c>
      <c r="AI1134" s="84">
        <f t="shared" si="1035"/>
        <v>42</v>
      </c>
      <c r="AJ1134" s="877" t="s">
        <v>1526</v>
      </c>
    </row>
    <row r="1135" spans="1:36" x14ac:dyDescent="0.2">
      <c r="A1135" s="492">
        <f>INDEX(Country!$F$31:$G$76, MATCH(AI1135, Country!$O$31:$O$76, 0), 1)</f>
        <v>4.0899999999999981</v>
      </c>
      <c r="B1135" s="2" t="str">
        <f>INDEX(Country!$F$31:$G$76, MATCH(AI1135, Country!$O$31:$O$76, 0), 2)</f>
        <v>Investor pressure – PRI signatories</v>
      </c>
      <c r="C1135" s="436" t="str">
        <f>INDEX(Country!$K$31:$K$76, MATCH(AI1135, Country!$O$31:$O$76, 0), 1)</f>
        <v>Companies</v>
      </c>
      <c r="D1135" s="4" t="str">
        <f t="shared" si="1054"/>
        <v>Guyana</v>
      </c>
      <c r="E1135" s="47"/>
      <c r="F1135" s="47"/>
      <c r="G1135" s="47"/>
      <c r="H1135" s="47"/>
      <c r="I1135" s="47"/>
      <c r="J1135" s="47"/>
      <c r="K1135" s="45"/>
      <c r="L1135" s="457">
        <f t="shared" si="1055"/>
        <v>0</v>
      </c>
      <c r="M1135" s="458">
        <f t="shared" si="1056"/>
        <v>0</v>
      </c>
      <c r="N1135" s="458">
        <f t="shared" si="1057"/>
        <v>0</v>
      </c>
      <c r="O1135" s="458">
        <f t="shared" si="1058"/>
        <v>0</v>
      </c>
      <c r="P1135" s="458">
        <f t="shared" si="1059"/>
        <v>0</v>
      </c>
      <c r="Q1135" s="458">
        <f t="shared" si="1060"/>
        <v>0</v>
      </c>
      <c r="R1135" s="459">
        <f t="shared" si="1061"/>
        <v>0</v>
      </c>
      <c r="S1135" s="455"/>
      <c r="T1135" s="456"/>
      <c r="U1135" s="456"/>
      <c r="V1135" s="456"/>
      <c r="W1135" s="456"/>
      <c r="X1135" s="456"/>
      <c r="Y1135" s="456"/>
      <c r="Z1135" s="79">
        <f t="shared" ref="Z1135:AE1135" si="1075">AA1135</f>
        <v>0</v>
      </c>
      <c r="AA1135" s="78">
        <f t="shared" si="1075"/>
        <v>0</v>
      </c>
      <c r="AB1135" s="78">
        <f t="shared" si="1075"/>
        <v>0</v>
      </c>
      <c r="AC1135" s="78">
        <f t="shared" si="1075"/>
        <v>0</v>
      </c>
      <c r="AD1135" s="78">
        <f t="shared" si="1075"/>
        <v>0</v>
      </c>
      <c r="AE1135" s="78">
        <f t="shared" si="1075"/>
        <v>0</v>
      </c>
      <c r="AF1135" s="6">
        <v>0</v>
      </c>
      <c r="AG1135" s="33" t="str">
        <f t="shared" si="1031"/>
        <v>4.09 &gt; Guyana</v>
      </c>
      <c r="AH1135" s="84">
        <f t="shared" si="1034"/>
        <v>1121</v>
      </c>
      <c r="AI1135" s="84">
        <f t="shared" si="1035"/>
        <v>42</v>
      </c>
      <c r="AJ1135" s="877" t="s">
        <v>1526</v>
      </c>
    </row>
    <row r="1136" spans="1:36" x14ac:dyDescent="0.2">
      <c r="A1136" s="492">
        <f>INDEX(Country!$F$31:$G$76, MATCH(AI1136, Country!$O$31:$O$76, 0), 1)</f>
        <v>4.0899999999999981</v>
      </c>
      <c r="B1136" s="2" t="str">
        <f>INDEX(Country!$F$31:$G$76, MATCH(AI1136, Country!$O$31:$O$76, 0), 2)</f>
        <v>Investor pressure – PRI signatories</v>
      </c>
      <c r="C1136" s="436" t="str">
        <f>INDEX(Country!$K$31:$K$76, MATCH(AI1136, Country!$O$31:$O$76, 0), 1)</f>
        <v>Companies</v>
      </c>
      <c r="D1136" s="4" t="str">
        <f t="shared" si="1054"/>
        <v>Haiti</v>
      </c>
      <c r="E1136" s="47"/>
      <c r="F1136" s="47"/>
      <c r="G1136" s="47"/>
      <c r="H1136" s="47"/>
      <c r="I1136" s="47"/>
      <c r="J1136" s="47"/>
      <c r="K1136" s="45"/>
      <c r="L1136" s="457">
        <f t="shared" si="1055"/>
        <v>0</v>
      </c>
      <c r="M1136" s="458">
        <f t="shared" si="1056"/>
        <v>0</v>
      </c>
      <c r="N1136" s="458">
        <f t="shared" si="1057"/>
        <v>0</v>
      </c>
      <c r="O1136" s="458">
        <f t="shared" si="1058"/>
        <v>0</v>
      </c>
      <c r="P1136" s="458">
        <f t="shared" si="1059"/>
        <v>0</v>
      </c>
      <c r="Q1136" s="458">
        <f t="shared" si="1060"/>
        <v>0</v>
      </c>
      <c r="R1136" s="459">
        <f t="shared" si="1061"/>
        <v>0</v>
      </c>
      <c r="S1136" s="455"/>
      <c r="T1136" s="456"/>
      <c r="U1136" s="456"/>
      <c r="V1136" s="456"/>
      <c r="W1136" s="456"/>
      <c r="X1136" s="456"/>
      <c r="Y1136" s="456"/>
      <c r="Z1136" s="79">
        <f t="shared" ref="Z1136:AE1136" si="1076">AA1136</f>
        <v>0</v>
      </c>
      <c r="AA1136" s="78">
        <f t="shared" si="1076"/>
        <v>0</v>
      </c>
      <c r="AB1136" s="78">
        <f t="shared" si="1076"/>
        <v>0</v>
      </c>
      <c r="AC1136" s="78">
        <f t="shared" si="1076"/>
        <v>0</v>
      </c>
      <c r="AD1136" s="78">
        <f t="shared" si="1076"/>
        <v>0</v>
      </c>
      <c r="AE1136" s="78">
        <f t="shared" si="1076"/>
        <v>0</v>
      </c>
      <c r="AF1136" s="6">
        <v>0</v>
      </c>
      <c r="AG1136" s="33" t="str">
        <f t="shared" si="1031"/>
        <v>4.09 &gt; Haiti</v>
      </c>
      <c r="AH1136" s="84">
        <f t="shared" si="1034"/>
        <v>1122</v>
      </c>
      <c r="AI1136" s="84">
        <f t="shared" si="1035"/>
        <v>42</v>
      </c>
      <c r="AJ1136" s="877" t="s">
        <v>1526</v>
      </c>
    </row>
    <row r="1137" spans="1:36" x14ac:dyDescent="0.2">
      <c r="A1137" s="492">
        <f>INDEX(Country!$F$31:$G$76, MATCH(AI1137, Country!$O$31:$O$76, 0), 1)</f>
        <v>4.0899999999999981</v>
      </c>
      <c r="B1137" s="2" t="str">
        <f>INDEX(Country!$F$31:$G$76, MATCH(AI1137, Country!$O$31:$O$76, 0), 2)</f>
        <v>Investor pressure – PRI signatories</v>
      </c>
      <c r="C1137" s="436" t="str">
        <f>INDEX(Country!$K$31:$K$76, MATCH(AI1137, Country!$O$31:$O$76, 0), 1)</f>
        <v>Companies</v>
      </c>
      <c r="D1137" s="4" t="str">
        <f t="shared" si="1054"/>
        <v>Honduras</v>
      </c>
      <c r="E1137" s="47"/>
      <c r="F1137" s="47"/>
      <c r="G1137" s="47"/>
      <c r="H1137" s="47"/>
      <c r="I1137" s="47"/>
      <c r="J1137" s="47"/>
      <c r="K1137" s="45"/>
      <c r="L1137" s="457">
        <f t="shared" si="1055"/>
        <v>0</v>
      </c>
      <c r="M1137" s="458">
        <f t="shared" si="1056"/>
        <v>0</v>
      </c>
      <c r="N1137" s="458">
        <f t="shared" si="1057"/>
        <v>0</v>
      </c>
      <c r="O1137" s="458">
        <f t="shared" si="1058"/>
        <v>0</v>
      </c>
      <c r="P1137" s="458">
        <f t="shared" si="1059"/>
        <v>0</v>
      </c>
      <c r="Q1137" s="458">
        <f t="shared" si="1060"/>
        <v>0</v>
      </c>
      <c r="R1137" s="459">
        <f t="shared" si="1061"/>
        <v>0</v>
      </c>
      <c r="S1137" s="455"/>
      <c r="T1137" s="456"/>
      <c r="U1137" s="456"/>
      <c r="V1137" s="456"/>
      <c r="W1137" s="456"/>
      <c r="X1137" s="456"/>
      <c r="Y1137" s="456"/>
      <c r="Z1137" s="79">
        <f t="shared" ref="Z1137:AE1137" si="1077">AA1137</f>
        <v>0</v>
      </c>
      <c r="AA1137" s="78">
        <f t="shared" si="1077"/>
        <v>0</v>
      </c>
      <c r="AB1137" s="78">
        <f t="shared" si="1077"/>
        <v>0</v>
      </c>
      <c r="AC1137" s="78">
        <f t="shared" si="1077"/>
        <v>0</v>
      </c>
      <c r="AD1137" s="78">
        <f t="shared" si="1077"/>
        <v>0</v>
      </c>
      <c r="AE1137" s="78">
        <f t="shared" si="1077"/>
        <v>0</v>
      </c>
      <c r="AF1137" s="6">
        <v>0</v>
      </c>
      <c r="AG1137" s="33" t="str">
        <f t="shared" si="1031"/>
        <v>4.09 &gt; Honduras</v>
      </c>
      <c r="AH1137" s="84">
        <f t="shared" si="1034"/>
        <v>1123</v>
      </c>
      <c r="AI1137" s="84">
        <f t="shared" si="1035"/>
        <v>42</v>
      </c>
      <c r="AJ1137" s="877" t="s">
        <v>1526</v>
      </c>
    </row>
    <row r="1138" spans="1:36" x14ac:dyDescent="0.2">
      <c r="A1138" s="492">
        <f>INDEX(Country!$F$31:$G$76, MATCH(AI1138, Country!$O$31:$O$76, 0), 1)</f>
        <v>4.0899999999999981</v>
      </c>
      <c r="B1138" s="2" t="str">
        <f>INDEX(Country!$F$31:$G$76, MATCH(AI1138, Country!$O$31:$O$76, 0), 2)</f>
        <v>Investor pressure – PRI signatories</v>
      </c>
      <c r="C1138" s="436" t="str">
        <f>INDEX(Country!$K$31:$K$76, MATCH(AI1138, Country!$O$31:$O$76, 0), 1)</f>
        <v>Companies</v>
      </c>
      <c r="D1138" s="4" t="str">
        <f t="shared" si="1054"/>
        <v>Jamaica</v>
      </c>
      <c r="E1138" s="47"/>
      <c r="F1138" s="47"/>
      <c r="G1138" s="47"/>
      <c r="H1138" s="47"/>
      <c r="I1138" s="47"/>
      <c r="J1138" s="47"/>
      <c r="K1138" s="45"/>
      <c r="L1138" s="457">
        <f t="shared" si="1055"/>
        <v>0</v>
      </c>
      <c r="M1138" s="458">
        <f t="shared" si="1056"/>
        <v>0</v>
      </c>
      <c r="N1138" s="458">
        <f t="shared" si="1057"/>
        <v>0</v>
      </c>
      <c r="O1138" s="458">
        <f t="shared" si="1058"/>
        <v>0</v>
      </c>
      <c r="P1138" s="458">
        <f t="shared" si="1059"/>
        <v>0</v>
      </c>
      <c r="Q1138" s="458">
        <f t="shared" si="1060"/>
        <v>0</v>
      </c>
      <c r="R1138" s="459">
        <f t="shared" si="1061"/>
        <v>0</v>
      </c>
      <c r="S1138" s="455"/>
      <c r="T1138" s="456"/>
      <c r="U1138" s="456"/>
      <c r="V1138" s="456"/>
      <c r="W1138" s="456"/>
      <c r="X1138" s="456"/>
      <c r="Y1138" s="456"/>
      <c r="Z1138" s="79">
        <f t="shared" ref="Z1138:AE1138" si="1078">AA1138</f>
        <v>0</v>
      </c>
      <c r="AA1138" s="78">
        <f t="shared" si="1078"/>
        <v>0</v>
      </c>
      <c r="AB1138" s="78">
        <f t="shared" si="1078"/>
        <v>0</v>
      </c>
      <c r="AC1138" s="78">
        <f t="shared" si="1078"/>
        <v>0</v>
      </c>
      <c r="AD1138" s="78">
        <f t="shared" si="1078"/>
        <v>0</v>
      </c>
      <c r="AE1138" s="78">
        <f t="shared" si="1078"/>
        <v>0</v>
      </c>
      <c r="AF1138" s="6">
        <v>0</v>
      </c>
      <c r="AG1138" s="33" t="str">
        <f t="shared" si="1031"/>
        <v>4.09 &gt; Jamaica</v>
      </c>
      <c r="AH1138" s="84">
        <f t="shared" si="1034"/>
        <v>1124</v>
      </c>
      <c r="AI1138" s="84">
        <f t="shared" si="1035"/>
        <v>42</v>
      </c>
      <c r="AJ1138" s="877" t="s">
        <v>1526</v>
      </c>
    </row>
    <row r="1139" spans="1:36" x14ac:dyDescent="0.2">
      <c r="A1139" s="492">
        <f>INDEX(Country!$F$31:$G$76, MATCH(AI1139, Country!$O$31:$O$76, 0), 1)</f>
        <v>4.0899999999999981</v>
      </c>
      <c r="B1139" s="2" t="str">
        <f>INDEX(Country!$F$31:$G$76, MATCH(AI1139, Country!$O$31:$O$76, 0), 2)</f>
        <v>Investor pressure – PRI signatories</v>
      </c>
      <c r="C1139" s="436" t="str">
        <f>INDEX(Country!$K$31:$K$76, MATCH(AI1139, Country!$O$31:$O$76, 0), 1)</f>
        <v>Companies</v>
      </c>
      <c r="D1139" s="4" t="str">
        <f t="shared" si="1054"/>
        <v>Mexico</v>
      </c>
      <c r="E1139" s="47"/>
      <c r="F1139" s="47"/>
      <c r="G1139" s="47"/>
      <c r="H1139" s="47"/>
      <c r="I1139" s="47"/>
      <c r="J1139" s="47"/>
      <c r="K1139" s="45"/>
      <c r="L1139" s="457">
        <f t="shared" si="1055"/>
        <v>0</v>
      </c>
      <c r="M1139" s="458">
        <f t="shared" si="1056"/>
        <v>0</v>
      </c>
      <c r="N1139" s="458">
        <f t="shared" si="1057"/>
        <v>0</v>
      </c>
      <c r="O1139" s="458">
        <f t="shared" si="1058"/>
        <v>0</v>
      </c>
      <c r="P1139" s="458">
        <f t="shared" si="1059"/>
        <v>0</v>
      </c>
      <c r="Q1139" s="458">
        <f t="shared" si="1060"/>
        <v>0</v>
      </c>
      <c r="R1139" s="459">
        <f t="shared" si="1061"/>
        <v>0</v>
      </c>
      <c r="S1139" s="455"/>
      <c r="T1139" s="456"/>
      <c r="U1139" s="456"/>
      <c r="V1139" s="456"/>
      <c r="W1139" s="456"/>
      <c r="X1139" s="456"/>
      <c r="Y1139" s="456"/>
      <c r="Z1139" s="79">
        <f t="shared" ref="Z1139:AE1139" si="1079">AA1139</f>
        <v>0</v>
      </c>
      <c r="AA1139" s="78">
        <f t="shared" si="1079"/>
        <v>0</v>
      </c>
      <c r="AB1139" s="78">
        <f t="shared" si="1079"/>
        <v>0</v>
      </c>
      <c r="AC1139" s="78">
        <f t="shared" si="1079"/>
        <v>0</v>
      </c>
      <c r="AD1139" s="78">
        <f t="shared" si="1079"/>
        <v>0</v>
      </c>
      <c r="AE1139" s="78">
        <f t="shared" si="1079"/>
        <v>0</v>
      </c>
      <c r="AF1139" s="6">
        <v>0</v>
      </c>
      <c r="AG1139" s="33" t="str">
        <f t="shared" si="1031"/>
        <v>4.09 &gt; Mexico</v>
      </c>
      <c r="AH1139" s="84">
        <f t="shared" si="1034"/>
        <v>1125</v>
      </c>
      <c r="AI1139" s="84">
        <f t="shared" si="1035"/>
        <v>42</v>
      </c>
      <c r="AJ1139" s="877" t="s">
        <v>1526</v>
      </c>
    </row>
    <row r="1140" spans="1:36" x14ac:dyDescent="0.2">
      <c r="A1140" s="492">
        <f>INDEX(Country!$F$31:$G$76, MATCH(AI1140, Country!$O$31:$O$76, 0), 1)</f>
        <v>4.0899999999999981</v>
      </c>
      <c r="B1140" s="2" t="str">
        <f>INDEX(Country!$F$31:$G$76, MATCH(AI1140, Country!$O$31:$O$76, 0), 2)</f>
        <v>Investor pressure – PRI signatories</v>
      </c>
      <c r="C1140" s="436" t="str">
        <f>INDEX(Country!$K$31:$K$76, MATCH(AI1140, Country!$O$31:$O$76, 0), 1)</f>
        <v>Companies</v>
      </c>
      <c r="D1140" s="4" t="str">
        <f t="shared" si="1054"/>
        <v>Nicaragua</v>
      </c>
      <c r="E1140" s="47"/>
      <c r="F1140" s="47"/>
      <c r="G1140" s="47"/>
      <c r="H1140" s="47"/>
      <c r="I1140" s="47"/>
      <c r="J1140" s="47"/>
      <c r="K1140" s="45"/>
      <c r="L1140" s="457">
        <f t="shared" si="1055"/>
        <v>0</v>
      </c>
      <c r="M1140" s="458">
        <f t="shared" si="1056"/>
        <v>0</v>
      </c>
      <c r="N1140" s="458">
        <f t="shared" si="1057"/>
        <v>0</v>
      </c>
      <c r="O1140" s="458">
        <f t="shared" si="1058"/>
        <v>0</v>
      </c>
      <c r="P1140" s="458">
        <f t="shared" si="1059"/>
        <v>0</v>
      </c>
      <c r="Q1140" s="458">
        <f t="shared" si="1060"/>
        <v>0</v>
      </c>
      <c r="R1140" s="459">
        <f t="shared" si="1061"/>
        <v>0</v>
      </c>
      <c r="S1140" s="455"/>
      <c r="T1140" s="456"/>
      <c r="U1140" s="456"/>
      <c r="V1140" s="456"/>
      <c r="W1140" s="456"/>
      <c r="X1140" s="456"/>
      <c r="Y1140" s="456"/>
      <c r="Z1140" s="79">
        <f t="shared" ref="Z1140:AE1140" si="1080">AA1140</f>
        <v>0</v>
      </c>
      <c r="AA1140" s="78">
        <f t="shared" si="1080"/>
        <v>0</v>
      </c>
      <c r="AB1140" s="78">
        <f t="shared" si="1080"/>
        <v>0</v>
      </c>
      <c r="AC1140" s="78">
        <f t="shared" si="1080"/>
        <v>0</v>
      </c>
      <c r="AD1140" s="78">
        <f t="shared" si="1080"/>
        <v>0</v>
      </c>
      <c r="AE1140" s="78">
        <f t="shared" si="1080"/>
        <v>0</v>
      </c>
      <c r="AF1140" s="6">
        <v>0</v>
      </c>
      <c r="AG1140" s="33" t="str">
        <f t="shared" si="1031"/>
        <v>4.09 &gt; Nicaragua</v>
      </c>
      <c r="AH1140" s="84">
        <f t="shared" si="1034"/>
        <v>1126</v>
      </c>
      <c r="AI1140" s="84">
        <f t="shared" si="1035"/>
        <v>42</v>
      </c>
      <c r="AJ1140" s="877" t="s">
        <v>1526</v>
      </c>
    </row>
    <row r="1141" spans="1:36" x14ac:dyDescent="0.2">
      <c r="A1141" s="492">
        <f>INDEX(Country!$F$31:$G$76, MATCH(AI1141, Country!$O$31:$O$76, 0), 1)</f>
        <v>4.0899999999999981</v>
      </c>
      <c r="B1141" s="2" t="str">
        <f>INDEX(Country!$F$31:$G$76, MATCH(AI1141, Country!$O$31:$O$76, 0), 2)</f>
        <v>Investor pressure – PRI signatories</v>
      </c>
      <c r="C1141" s="436" t="str">
        <f>INDEX(Country!$K$31:$K$76, MATCH(AI1141, Country!$O$31:$O$76, 0), 1)</f>
        <v>Companies</v>
      </c>
      <c r="D1141" s="4" t="str">
        <f t="shared" si="1054"/>
        <v>Panama</v>
      </c>
      <c r="E1141" s="47"/>
      <c r="F1141" s="47"/>
      <c r="G1141" s="47"/>
      <c r="H1141" s="47"/>
      <c r="I1141" s="47"/>
      <c r="J1141" s="47"/>
      <c r="K1141" s="45"/>
      <c r="L1141" s="457">
        <f t="shared" si="1055"/>
        <v>0</v>
      </c>
      <c r="M1141" s="458">
        <f t="shared" si="1056"/>
        <v>0</v>
      </c>
      <c r="N1141" s="458">
        <f t="shared" si="1057"/>
        <v>0</v>
      </c>
      <c r="O1141" s="458">
        <f t="shared" si="1058"/>
        <v>0</v>
      </c>
      <c r="P1141" s="458">
        <f t="shared" si="1059"/>
        <v>0</v>
      </c>
      <c r="Q1141" s="458">
        <f t="shared" si="1060"/>
        <v>0</v>
      </c>
      <c r="R1141" s="459">
        <f t="shared" si="1061"/>
        <v>0</v>
      </c>
      <c r="S1141" s="455"/>
      <c r="T1141" s="456"/>
      <c r="U1141" s="456"/>
      <c r="V1141" s="456"/>
      <c r="W1141" s="456"/>
      <c r="X1141" s="456"/>
      <c r="Y1141" s="456"/>
      <c r="Z1141" s="79">
        <f t="shared" ref="Z1141:AE1141" si="1081">AA1141</f>
        <v>0</v>
      </c>
      <c r="AA1141" s="78">
        <f t="shared" si="1081"/>
        <v>0</v>
      </c>
      <c r="AB1141" s="78">
        <f t="shared" si="1081"/>
        <v>0</v>
      </c>
      <c r="AC1141" s="78">
        <f t="shared" si="1081"/>
        <v>0</v>
      </c>
      <c r="AD1141" s="78">
        <f t="shared" si="1081"/>
        <v>0</v>
      </c>
      <c r="AE1141" s="78">
        <f t="shared" si="1081"/>
        <v>0</v>
      </c>
      <c r="AF1141" s="6">
        <v>0</v>
      </c>
      <c r="AG1141" s="33" t="str">
        <f t="shared" si="1031"/>
        <v>4.09 &gt; Panama</v>
      </c>
      <c r="AH1141" s="84">
        <f t="shared" si="1034"/>
        <v>1127</v>
      </c>
      <c r="AI1141" s="84">
        <f t="shared" si="1035"/>
        <v>42</v>
      </c>
      <c r="AJ1141" s="877" t="s">
        <v>1526</v>
      </c>
    </row>
    <row r="1142" spans="1:36" x14ac:dyDescent="0.2">
      <c r="A1142" s="492">
        <f>INDEX(Country!$F$31:$G$76, MATCH(AI1142, Country!$O$31:$O$76, 0), 1)</f>
        <v>4.0899999999999981</v>
      </c>
      <c r="B1142" s="2" t="str">
        <f>INDEX(Country!$F$31:$G$76, MATCH(AI1142, Country!$O$31:$O$76, 0), 2)</f>
        <v>Investor pressure – PRI signatories</v>
      </c>
      <c r="C1142" s="436" t="str">
        <f>INDEX(Country!$K$31:$K$76, MATCH(AI1142, Country!$O$31:$O$76, 0), 1)</f>
        <v>Companies</v>
      </c>
      <c r="D1142" s="4" t="str">
        <f t="shared" si="1054"/>
        <v>Paraguay</v>
      </c>
      <c r="E1142" s="47"/>
      <c r="F1142" s="47"/>
      <c r="G1142" s="47"/>
      <c r="H1142" s="47"/>
      <c r="I1142" s="47"/>
      <c r="J1142" s="47"/>
      <c r="K1142" s="45"/>
      <c r="L1142" s="457">
        <f t="shared" si="1055"/>
        <v>0</v>
      </c>
      <c r="M1142" s="458">
        <f t="shared" si="1056"/>
        <v>0</v>
      </c>
      <c r="N1142" s="458">
        <f t="shared" si="1057"/>
        <v>0</v>
      </c>
      <c r="O1142" s="458">
        <f t="shared" si="1058"/>
        <v>0</v>
      </c>
      <c r="P1142" s="458">
        <f t="shared" si="1059"/>
        <v>0</v>
      </c>
      <c r="Q1142" s="458">
        <f t="shared" si="1060"/>
        <v>0</v>
      </c>
      <c r="R1142" s="459">
        <f t="shared" si="1061"/>
        <v>0</v>
      </c>
      <c r="S1142" s="455"/>
      <c r="T1142" s="456"/>
      <c r="U1142" s="456"/>
      <c r="V1142" s="456"/>
      <c r="W1142" s="456"/>
      <c r="X1142" s="456"/>
      <c r="Y1142" s="456"/>
      <c r="Z1142" s="79">
        <f t="shared" ref="Z1142:AE1142" si="1082">AA1142</f>
        <v>0</v>
      </c>
      <c r="AA1142" s="78">
        <f t="shared" si="1082"/>
        <v>0</v>
      </c>
      <c r="AB1142" s="78">
        <f t="shared" si="1082"/>
        <v>0</v>
      </c>
      <c r="AC1142" s="78">
        <f t="shared" si="1082"/>
        <v>0</v>
      </c>
      <c r="AD1142" s="78">
        <f t="shared" si="1082"/>
        <v>0</v>
      </c>
      <c r="AE1142" s="78">
        <f t="shared" si="1082"/>
        <v>0</v>
      </c>
      <c r="AF1142" s="6">
        <v>0</v>
      </c>
      <c r="AG1142" s="33" t="str">
        <f t="shared" si="1031"/>
        <v>4.09 &gt; Paraguay</v>
      </c>
      <c r="AH1142" s="84">
        <f t="shared" si="1034"/>
        <v>1128</v>
      </c>
      <c r="AI1142" s="84">
        <f t="shared" si="1035"/>
        <v>42</v>
      </c>
      <c r="AJ1142" s="877" t="s">
        <v>1526</v>
      </c>
    </row>
    <row r="1143" spans="1:36" x14ac:dyDescent="0.2">
      <c r="A1143" s="492">
        <f>INDEX(Country!$F$31:$G$76, MATCH(AI1143, Country!$O$31:$O$76, 0), 1)</f>
        <v>4.0899999999999981</v>
      </c>
      <c r="B1143" s="2" t="str">
        <f>INDEX(Country!$F$31:$G$76, MATCH(AI1143, Country!$O$31:$O$76, 0), 2)</f>
        <v>Investor pressure – PRI signatories</v>
      </c>
      <c r="C1143" s="436" t="str">
        <f>INDEX(Country!$K$31:$K$76, MATCH(AI1143, Country!$O$31:$O$76, 0), 1)</f>
        <v>Companies</v>
      </c>
      <c r="D1143" s="4" t="str">
        <f t="shared" si="1054"/>
        <v>Peru</v>
      </c>
      <c r="E1143" s="47"/>
      <c r="F1143" s="47"/>
      <c r="G1143" s="47"/>
      <c r="H1143" s="47"/>
      <c r="I1143" s="47"/>
      <c r="J1143" s="47"/>
      <c r="K1143" s="45"/>
      <c r="L1143" s="457">
        <f t="shared" si="1055"/>
        <v>1.6129032258064515</v>
      </c>
      <c r="M1143" s="458">
        <f t="shared" si="1056"/>
        <v>1.6129032258064515</v>
      </c>
      <c r="N1143" s="458">
        <f t="shared" si="1057"/>
        <v>1.6129032258064515</v>
      </c>
      <c r="O1143" s="458">
        <f t="shared" si="1058"/>
        <v>1.6129032258064515</v>
      </c>
      <c r="P1143" s="458">
        <f t="shared" si="1059"/>
        <v>1.6129032258064515</v>
      </c>
      <c r="Q1143" s="458">
        <f t="shared" si="1060"/>
        <v>1.6129032258064515</v>
      </c>
      <c r="R1143" s="459">
        <f t="shared" si="1061"/>
        <v>1.6129032258064515</v>
      </c>
      <c r="S1143" s="455"/>
      <c r="T1143" s="456"/>
      <c r="U1143" s="456"/>
      <c r="V1143" s="456"/>
      <c r="W1143" s="456"/>
      <c r="X1143" s="456"/>
      <c r="Y1143" s="456"/>
      <c r="Z1143" s="79">
        <f t="shared" ref="Z1143:AE1143" si="1083">AA1143</f>
        <v>1.6129032258064516E-2</v>
      </c>
      <c r="AA1143" s="78">
        <f t="shared" si="1083"/>
        <v>1.6129032258064516E-2</v>
      </c>
      <c r="AB1143" s="78">
        <f t="shared" si="1083"/>
        <v>1.6129032258064516E-2</v>
      </c>
      <c r="AC1143" s="78">
        <f t="shared" si="1083"/>
        <v>1.6129032258064516E-2</v>
      </c>
      <c r="AD1143" s="78">
        <f t="shared" si="1083"/>
        <v>1.6129032258064516E-2</v>
      </c>
      <c r="AE1143" s="78">
        <f t="shared" si="1083"/>
        <v>1.6129032258064516E-2</v>
      </c>
      <c r="AF1143" s="6">
        <v>1.6129032258064516E-2</v>
      </c>
      <c r="AG1143" s="33" t="str">
        <f t="shared" si="1031"/>
        <v>4.09 &gt; Peru</v>
      </c>
      <c r="AH1143" s="84">
        <f t="shared" si="1034"/>
        <v>1129</v>
      </c>
      <c r="AI1143" s="84">
        <f t="shared" si="1035"/>
        <v>42</v>
      </c>
      <c r="AJ1143" s="877" t="s">
        <v>1526</v>
      </c>
    </row>
    <row r="1144" spans="1:36" x14ac:dyDescent="0.2">
      <c r="A1144" s="492">
        <f>INDEX(Country!$F$31:$G$76, MATCH(AI1144, Country!$O$31:$O$76, 0), 1)</f>
        <v>4.0899999999999981</v>
      </c>
      <c r="B1144" s="2" t="str">
        <f>INDEX(Country!$F$31:$G$76, MATCH(AI1144, Country!$O$31:$O$76, 0), 2)</f>
        <v>Investor pressure – PRI signatories</v>
      </c>
      <c r="C1144" s="436" t="str">
        <f>INDEX(Country!$K$31:$K$76, MATCH(AI1144, Country!$O$31:$O$76, 0), 1)</f>
        <v>Companies</v>
      </c>
      <c r="D1144" s="4" t="str">
        <f t="shared" si="1054"/>
        <v>Suriname</v>
      </c>
      <c r="E1144" s="47"/>
      <c r="F1144" s="47"/>
      <c r="G1144" s="47"/>
      <c r="H1144" s="47"/>
      <c r="I1144" s="47"/>
      <c r="J1144" s="47"/>
      <c r="K1144" s="45"/>
      <c r="L1144" s="457">
        <f t="shared" si="1055"/>
        <v>0</v>
      </c>
      <c r="M1144" s="458">
        <f t="shared" si="1056"/>
        <v>0</v>
      </c>
      <c r="N1144" s="458">
        <f t="shared" si="1057"/>
        <v>0</v>
      </c>
      <c r="O1144" s="458">
        <f t="shared" si="1058"/>
        <v>0</v>
      </c>
      <c r="P1144" s="458">
        <f t="shared" si="1059"/>
        <v>0</v>
      </c>
      <c r="Q1144" s="458">
        <f t="shared" si="1060"/>
        <v>0</v>
      </c>
      <c r="R1144" s="459">
        <f t="shared" si="1061"/>
        <v>0</v>
      </c>
      <c r="S1144" s="455"/>
      <c r="T1144" s="456"/>
      <c r="U1144" s="456"/>
      <c r="V1144" s="456"/>
      <c r="W1144" s="456"/>
      <c r="X1144" s="456"/>
      <c r="Y1144" s="456"/>
      <c r="Z1144" s="79">
        <f t="shared" ref="Z1144:AE1144" si="1084">AA1144</f>
        <v>0</v>
      </c>
      <c r="AA1144" s="78">
        <f t="shared" si="1084"/>
        <v>0</v>
      </c>
      <c r="AB1144" s="78">
        <f t="shared" si="1084"/>
        <v>0</v>
      </c>
      <c r="AC1144" s="78">
        <f t="shared" si="1084"/>
        <v>0</v>
      </c>
      <c r="AD1144" s="78">
        <f t="shared" si="1084"/>
        <v>0</v>
      </c>
      <c r="AE1144" s="78">
        <f t="shared" si="1084"/>
        <v>0</v>
      </c>
      <c r="AF1144" s="6">
        <v>0</v>
      </c>
      <c r="AG1144" s="33" t="str">
        <f t="shared" si="1031"/>
        <v>4.09 &gt; Suriname</v>
      </c>
      <c r="AH1144" s="84">
        <f t="shared" si="1034"/>
        <v>1130</v>
      </c>
      <c r="AI1144" s="84">
        <f t="shared" si="1035"/>
        <v>42</v>
      </c>
      <c r="AJ1144" s="877" t="s">
        <v>1526</v>
      </c>
    </row>
    <row r="1145" spans="1:36" x14ac:dyDescent="0.2">
      <c r="A1145" s="492">
        <f>INDEX(Country!$F$31:$G$76, MATCH(AI1145, Country!$O$31:$O$76, 0), 1)</f>
        <v>4.0899999999999981</v>
      </c>
      <c r="B1145" s="2" t="str">
        <f>INDEX(Country!$F$31:$G$76, MATCH(AI1145, Country!$O$31:$O$76, 0), 2)</f>
        <v>Investor pressure – PRI signatories</v>
      </c>
      <c r="C1145" s="436" t="str">
        <f>INDEX(Country!$K$31:$K$76, MATCH(AI1145, Country!$O$31:$O$76, 0), 1)</f>
        <v>Companies</v>
      </c>
      <c r="D1145" s="4" t="str">
        <f t="shared" si="1054"/>
        <v>Trinidad &amp; Tobago</v>
      </c>
      <c r="E1145" s="47"/>
      <c r="F1145" s="47"/>
      <c r="G1145" s="47"/>
      <c r="H1145" s="47"/>
      <c r="I1145" s="47"/>
      <c r="J1145" s="47"/>
      <c r="K1145" s="45"/>
      <c r="L1145" s="457">
        <f t="shared" si="1055"/>
        <v>0</v>
      </c>
      <c r="M1145" s="458">
        <f t="shared" si="1056"/>
        <v>0</v>
      </c>
      <c r="N1145" s="458">
        <f t="shared" si="1057"/>
        <v>0</v>
      </c>
      <c r="O1145" s="458">
        <f t="shared" si="1058"/>
        <v>0</v>
      </c>
      <c r="P1145" s="458">
        <f t="shared" si="1059"/>
        <v>0</v>
      </c>
      <c r="Q1145" s="458">
        <f t="shared" si="1060"/>
        <v>0</v>
      </c>
      <c r="R1145" s="459">
        <f t="shared" si="1061"/>
        <v>0</v>
      </c>
      <c r="S1145" s="455"/>
      <c r="T1145" s="456"/>
      <c r="U1145" s="456"/>
      <c r="V1145" s="456"/>
      <c r="W1145" s="456"/>
      <c r="X1145" s="456"/>
      <c r="Y1145" s="456"/>
      <c r="Z1145" s="79">
        <f t="shared" ref="Z1145:AE1145" si="1085">AA1145</f>
        <v>0</v>
      </c>
      <c r="AA1145" s="78">
        <f t="shared" si="1085"/>
        <v>0</v>
      </c>
      <c r="AB1145" s="78">
        <f t="shared" si="1085"/>
        <v>0</v>
      </c>
      <c r="AC1145" s="78">
        <f t="shared" si="1085"/>
        <v>0</v>
      </c>
      <c r="AD1145" s="78">
        <f t="shared" si="1085"/>
        <v>0</v>
      </c>
      <c r="AE1145" s="78">
        <f t="shared" si="1085"/>
        <v>0</v>
      </c>
      <c r="AF1145" s="6">
        <v>0</v>
      </c>
      <c r="AG1145" s="33" t="str">
        <f t="shared" si="1031"/>
        <v>4.09 &gt; Trinidad &amp; Tobago</v>
      </c>
      <c r="AH1145" s="84">
        <f t="shared" si="1034"/>
        <v>1131</v>
      </c>
      <c r="AI1145" s="84">
        <f t="shared" si="1035"/>
        <v>42</v>
      </c>
      <c r="AJ1145" s="877" t="s">
        <v>1526</v>
      </c>
    </row>
    <row r="1146" spans="1:36" x14ac:dyDescent="0.2">
      <c r="A1146" s="492">
        <f>INDEX(Country!$F$31:$G$76, MATCH(AI1146, Country!$O$31:$O$76, 0), 1)</f>
        <v>4.0899999999999981</v>
      </c>
      <c r="B1146" s="2" t="str">
        <f>INDEX(Country!$F$31:$G$76, MATCH(AI1146, Country!$O$31:$O$76, 0), 2)</f>
        <v>Investor pressure – PRI signatories</v>
      </c>
      <c r="C1146" s="436" t="str">
        <f>INDEX(Country!$K$31:$K$76, MATCH(AI1146, Country!$O$31:$O$76, 0), 1)</f>
        <v>Companies</v>
      </c>
      <c r="D1146" s="4" t="str">
        <f t="shared" si="1054"/>
        <v>Uruguay</v>
      </c>
      <c r="E1146" s="47"/>
      <c r="F1146" s="47"/>
      <c r="G1146" s="47"/>
      <c r="H1146" s="47"/>
      <c r="I1146" s="47"/>
      <c r="J1146" s="47"/>
      <c r="K1146" s="45"/>
      <c r="L1146" s="457">
        <f t="shared" si="1055"/>
        <v>0</v>
      </c>
      <c r="M1146" s="458">
        <f t="shared" si="1056"/>
        <v>0</v>
      </c>
      <c r="N1146" s="458">
        <f t="shared" si="1057"/>
        <v>0</v>
      </c>
      <c r="O1146" s="458">
        <f t="shared" si="1058"/>
        <v>0</v>
      </c>
      <c r="P1146" s="458">
        <f t="shared" si="1059"/>
        <v>0</v>
      </c>
      <c r="Q1146" s="458">
        <f t="shared" si="1060"/>
        <v>0</v>
      </c>
      <c r="R1146" s="459">
        <f t="shared" si="1061"/>
        <v>0</v>
      </c>
      <c r="S1146" s="455"/>
      <c r="T1146" s="456"/>
      <c r="U1146" s="456"/>
      <c r="V1146" s="456"/>
      <c r="W1146" s="456"/>
      <c r="X1146" s="456"/>
      <c r="Y1146" s="456"/>
      <c r="Z1146" s="79">
        <f t="shared" ref="Z1146:AE1146" si="1086">AA1146</f>
        <v>0</v>
      </c>
      <c r="AA1146" s="78">
        <f t="shared" si="1086"/>
        <v>0</v>
      </c>
      <c r="AB1146" s="78">
        <f t="shared" si="1086"/>
        <v>0</v>
      </c>
      <c r="AC1146" s="78">
        <f t="shared" si="1086"/>
        <v>0</v>
      </c>
      <c r="AD1146" s="78">
        <f t="shared" si="1086"/>
        <v>0</v>
      </c>
      <c r="AE1146" s="78">
        <f t="shared" si="1086"/>
        <v>0</v>
      </c>
      <c r="AF1146" s="6">
        <v>0</v>
      </c>
      <c r="AG1146" s="33" t="str">
        <f t="shared" si="1031"/>
        <v>4.09 &gt; Uruguay</v>
      </c>
      <c r="AH1146" s="84">
        <f t="shared" si="1034"/>
        <v>1132</v>
      </c>
      <c r="AI1146" s="84">
        <f t="shared" si="1035"/>
        <v>42</v>
      </c>
      <c r="AJ1146" s="877" t="s">
        <v>1526</v>
      </c>
    </row>
    <row r="1147" spans="1:36" x14ac:dyDescent="0.2">
      <c r="A1147" s="491">
        <f>INDEX(Country!$F$31:$G$76, MATCH(AI1147, Country!$O$31:$O$76, 0), 1)</f>
        <v>4.0899999999999981</v>
      </c>
      <c r="B1147" s="386" t="str">
        <f>INDEX(Country!$F$31:$G$76, MATCH(AI1147, Country!$O$31:$O$76, 0), 2)</f>
        <v>Investor pressure – PRI signatories</v>
      </c>
      <c r="C1147" s="437" t="str">
        <f>INDEX(Country!$K$31:$K$76, MATCH(AI1147, Country!$O$31:$O$76, 0), 1)</f>
        <v>Companies</v>
      </c>
      <c r="D1147" s="86" t="str">
        <f t="shared" si="1054"/>
        <v>Venezuela</v>
      </c>
      <c r="E1147" s="363"/>
      <c r="F1147" s="363"/>
      <c r="G1147" s="363"/>
      <c r="H1147" s="363"/>
      <c r="I1147" s="363"/>
      <c r="J1147" s="363"/>
      <c r="K1147" s="400"/>
      <c r="L1147" s="460">
        <f t="shared" si="1055"/>
        <v>0</v>
      </c>
      <c r="M1147" s="461">
        <f t="shared" si="1056"/>
        <v>0</v>
      </c>
      <c r="N1147" s="461">
        <f t="shared" si="1057"/>
        <v>0</v>
      </c>
      <c r="O1147" s="461">
        <f t="shared" si="1058"/>
        <v>0</v>
      </c>
      <c r="P1147" s="461">
        <f t="shared" si="1059"/>
        <v>0</v>
      </c>
      <c r="Q1147" s="461">
        <f t="shared" si="1060"/>
        <v>0</v>
      </c>
      <c r="R1147" s="462">
        <f t="shared" si="1061"/>
        <v>0</v>
      </c>
      <c r="S1147" s="455"/>
      <c r="T1147" s="456"/>
      <c r="U1147" s="456"/>
      <c r="V1147" s="456"/>
      <c r="W1147" s="456"/>
      <c r="X1147" s="456"/>
      <c r="Y1147" s="456"/>
      <c r="Z1147" s="93">
        <f t="shared" ref="Z1147:AE1147" si="1087">AA1147</f>
        <v>0</v>
      </c>
      <c r="AA1147" s="379">
        <f t="shared" si="1087"/>
        <v>0</v>
      </c>
      <c r="AB1147" s="379">
        <f t="shared" si="1087"/>
        <v>0</v>
      </c>
      <c r="AC1147" s="379">
        <f t="shared" si="1087"/>
        <v>0</v>
      </c>
      <c r="AD1147" s="379">
        <f t="shared" si="1087"/>
        <v>0</v>
      </c>
      <c r="AE1147" s="379">
        <f t="shared" si="1087"/>
        <v>0</v>
      </c>
      <c r="AF1147" s="390">
        <v>0</v>
      </c>
      <c r="AG1147" s="90" t="str">
        <f t="shared" si="1031"/>
        <v>4.09 &gt; Venezuela</v>
      </c>
      <c r="AH1147" s="392">
        <f t="shared" si="1034"/>
        <v>1133</v>
      </c>
      <c r="AI1147" s="392">
        <f t="shared" si="1035"/>
        <v>42</v>
      </c>
      <c r="AJ1147" s="878" t="s">
        <v>1526</v>
      </c>
    </row>
    <row r="1148" spans="1:36" x14ac:dyDescent="0.2">
      <c r="A1148" s="490">
        <f>INDEX(Country!$F$31:$G$76, MATCH(AI1148, Country!$O$31:$O$76, 0), 1)</f>
        <v>4.0899999999999981</v>
      </c>
      <c r="B1148" s="387" t="str">
        <f>INDEX(Country!$F$31:$G$76, MATCH(AI1148, Country!$O$31:$O$76, 0), 2)</f>
        <v>Investor pressure – PRI signatories</v>
      </c>
      <c r="C1148" s="438" t="str">
        <f>INDEX(Country!$K$31:$K$76, MATCH(AI1148, Country!$O$31:$O$76, 0), 1)</f>
        <v>Companies</v>
      </c>
      <c r="D1148" s="32" t="str">
        <f t="shared" si="1054"/>
        <v>Benchmark</v>
      </c>
      <c r="E1148" s="362">
        <f t="shared" ref="E1148:K1148" si="1088">IFERROR(MAX(E1122:E1147), 0)</f>
        <v>0</v>
      </c>
      <c r="F1148" s="362">
        <f t="shared" si="1088"/>
        <v>0</v>
      </c>
      <c r="G1148" s="362">
        <f t="shared" si="1088"/>
        <v>0</v>
      </c>
      <c r="H1148" s="362">
        <f t="shared" si="1088"/>
        <v>0</v>
      </c>
      <c r="I1148" s="362">
        <f t="shared" si="1088"/>
        <v>0</v>
      </c>
      <c r="J1148" s="362">
        <f t="shared" si="1088"/>
        <v>0</v>
      </c>
      <c r="K1148" s="584">
        <f t="shared" si="1088"/>
        <v>0</v>
      </c>
      <c r="L1148" s="585">
        <f t="shared" ref="L1148:L1179" si="1089">(Z1148)*dbl_BenchmarkMax</f>
        <v>100</v>
      </c>
      <c r="M1148" s="463">
        <f t="shared" ref="M1148:M1179" si="1090">(AA1148)*dbl_BenchmarkMax</f>
        <v>100</v>
      </c>
      <c r="N1148" s="463">
        <f t="shared" ref="N1148:N1179" si="1091">(AB1148)*dbl_BenchmarkMax</f>
        <v>100</v>
      </c>
      <c r="O1148" s="463">
        <f t="shared" ref="O1148:O1179" si="1092">(AC1148)*dbl_BenchmarkMax</f>
        <v>100</v>
      </c>
      <c r="P1148" s="463">
        <f t="shared" ref="P1148:P1179" si="1093">(AD1148)*dbl_BenchmarkMax</f>
        <v>100</v>
      </c>
      <c r="Q1148" s="463">
        <f t="shared" ref="Q1148:Q1179" si="1094">(AE1148)*dbl_BenchmarkMax</f>
        <v>100</v>
      </c>
      <c r="R1148" s="586">
        <f t="shared" ref="R1148:R1179" si="1095">(AF1148)*dbl_BenchmarkMax</f>
        <v>100</v>
      </c>
      <c r="S1148" s="393"/>
      <c r="T1148" s="394"/>
      <c r="U1148" s="376"/>
      <c r="V1148" s="376"/>
      <c r="W1148" s="376"/>
      <c r="X1148" s="376"/>
      <c r="Y1148" s="376"/>
      <c r="Z1148" s="423">
        <f t="shared" ref="Z1148:AE1148" si="1096">IFERROR(MAX(Z1122:Z1147), 0)</f>
        <v>1</v>
      </c>
      <c r="AA1148" s="365">
        <f t="shared" si="1096"/>
        <v>1</v>
      </c>
      <c r="AB1148" s="365">
        <f t="shared" si="1096"/>
        <v>1</v>
      </c>
      <c r="AC1148" s="365">
        <f t="shared" si="1096"/>
        <v>1</v>
      </c>
      <c r="AD1148" s="365">
        <f t="shared" si="1096"/>
        <v>1</v>
      </c>
      <c r="AE1148" s="365">
        <f t="shared" si="1096"/>
        <v>1</v>
      </c>
      <c r="AF1148" s="365">
        <f t="shared" si="1053"/>
        <v>1</v>
      </c>
      <c r="AG1148" s="34" t="str">
        <f t="shared" si="1031"/>
        <v>4.09 &gt; Benchmark</v>
      </c>
      <c r="AH1148" s="85">
        <f t="shared" si="1034"/>
        <v>1134</v>
      </c>
      <c r="AI1148" s="85">
        <f t="shared" si="1035"/>
        <v>42</v>
      </c>
      <c r="AJ1148" s="871" t="s">
        <v>1526</v>
      </c>
    </row>
    <row r="1149" spans="1:36" x14ac:dyDescent="0.2">
      <c r="A1149" s="587">
        <f>INDEX(Country!$F$31:$G$76, MATCH(AI1149, Country!$O$31:$O$76, 0), 1)</f>
        <v>4.0999999999999979</v>
      </c>
      <c r="B1149" s="588" t="str">
        <f>INDEX(Country!$F$31:$G$76, MATCH(AI1149, Country!$O$31:$O$76, 0), 2)</f>
        <v>Corporate energy efficiency initiatives</v>
      </c>
      <c r="C1149" s="589" t="str">
        <f>INDEX(Country!$K$31:$K$76, MATCH(AI1149, Country!$O$31:$O$76, 0), 1)</f>
        <v>Companies</v>
      </c>
      <c r="D1149" s="590" t="str">
        <f t="shared" si="1054"/>
        <v>Argentina</v>
      </c>
      <c r="E1149" s="614"/>
      <c r="F1149" s="614"/>
      <c r="G1149" s="614"/>
      <c r="H1149" s="47"/>
      <c r="I1149" s="47"/>
      <c r="J1149" s="47"/>
      <c r="K1149" s="615"/>
      <c r="L1149" s="580">
        <f t="shared" si="1089"/>
        <v>15.197278911564627</v>
      </c>
      <c r="M1149" s="581">
        <f t="shared" si="1090"/>
        <v>15.197278911564627</v>
      </c>
      <c r="N1149" s="581">
        <f t="shared" si="1091"/>
        <v>15.197278911564627</v>
      </c>
      <c r="O1149" s="581">
        <f t="shared" si="1092"/>
        <v>15.197278911564627</v>
      </c>
      <c r="P1149" s="581">
        <f t="shared" si="1093"/>
        <v>15.197278911564627</v>
      </c>
      <c r="Q1149" s="581">
        <f t="shared" si="1094"/>
        <v>15.197278911564627</v>
      </c>
      <c r="R1149" s="582">
        <f t="shared" si="1095"/>
        <v>15.197278911564627</v>
      </c>
      <c r="S1149" s="455"/>
      <c r="T1149" s="456"/>
      <c r="U1149" s="456"/>
      <c r="V1149" s="456"/>
      <c r="W1149" s="456"/>
      <c r="X1149" s="456"/>
      <c r="Y1149" s="456"/>
      <c r="Z1149" s="472">
        <f t="shared" ref="Z1149:AE1149" si="1097">AA1149</f>
        <v>0.15197278911564627</v>
      </c>
      <c r="AA1149" s="378">
        <f t="shared" si="1097"/>
        <v>0.15197278911564627</v>
      </c>
      <c r="AB1149" s="378">
        <f t="shared" si="1097"/>
        <v>0.15197278911564627</v>
      </c>
      <c r="AC1149" s="78">
        <f t="shared" si="1097"/>
        <v>0.15197278911564627</v>
      </c>
      <c r="AD1149" s="78">
        <f t="shared" si="1097"/>
        <v>0.15197278911564627</v>
      </c>
      <c r="AE1149" s="78">
        <f t="shared" si="1097"/>
        <v>0.15197278911564627</v>
      </c>
      <c r="AF1149" s="388">
        <v>0.15197278911564627</v>
      </c>
      <c r="AG1149" s="396" t="str">
        <f t="shared" si="1031"/>
        <v>4.1 &gt; Argentina</v>
      </c>
      <c r="AH1149" s="397">
        <f t="shared" si="1034"/>
        <v>1135</v>
      </c>
      <c r="AI1149" s="397">
        <f t="shared" si="1035"/>
        <v>43</v>
      </c>
      <c r="AJ1149" s="879" t="s">
        <v>1526</v>
      </c>
    </row>
    <row r="1150" spans="1:36" x14ac:dyDescent="0.2">
      <c r="A1150" s="492">
        <f>INDEX(Country!$F$31:$G$76, MATCH(AI1150, Country!$O$31:$O$76, 0), 1)</f>
        <v>4.0999999999999979</v>
      </c>
      <c r="B1150" s="2" t="str">
        <f>INDEX(Country!$F$31:$G$76, MATCH(AI1150, Country!$O$31:$O$76, 0), 2)</f>
        <v>Corporate energy efficiency initiatives</v>
      </c>
      <c r="C1150" s="436" t="str">
        <f>INDEX(Country!$K$31:$K$76, MATCH(AI1150, Country!$O$31:$O$76, 0), 1)</f>
        <v>Companies</v>
      </c>
      <c r="D1150" s="4" t="str">
        <f t="shared" si="1054"/>
        <v>Bahamas</v>
      </c>
      <c r="E1150" s="47"/>
      <c r="F1150" s="47"/>
      <c r="G1150" s="47"/>
      <c r="H1150" s="47"/>
      <c r="I1150" s="47"/>
      <c r="J1150" s="47"/>
      <c r="K1150" s="45"/>
      <c r="L1150" s="457">
        <f t="shared" si="1089"/>
        <v>0</v>
      </c>
      <c r="M1150" s="458">
        <f t="shared" si="1090"/>
        <v>0</v>
      </c>
      <c r="N1150" s="458">
        <f t="shared" si="1091"/>
        <v>0</v>
      </c>
      <c r="O1150" s="458">
        <f t="shared" si="1092"/>
        <v>0</v>
      </c>
      <c r="P1150" s="458">
        <f t="shared" si="1093"/>
        <v>0</v>
      </c>
      <c r="Q1150" s="458">
        <f t="shared" si="1094"/>
        <v>0</v>
      </c>
      <c r="R1150" s="459">
        <f t="shared" si="1095"/>
        <v>0</v>
      </c>
      <c r="S1150" s="455"/>
      <c r="T1150" s="456"/>
      <c r="U1150" s="456"/>
      <c r="V1150" s="456"/>
      <c r="W1150" s="456"/>
      <c r="X1150" s="456"/>
      <c r="Y1150" s="456"/>
      <c r="Z1150" s="79">
        <f t="shared" ref="Z1150:AE1150" si="1098">AA1150</f>
        <v>0</v>
      </c>
      <c r="AA1150" s="78">
        <f t="shared" si="1098"/>
        <v>0</v>
      </c>
      <c r="AB1150" s="78">
        <f t="shared" si="1098"/>
        <v>0</v>
      </c>
      <c r="AC1150" s="78">
        <f t="shared" si="1098"/>
        <v>0</v>
      </c>
      <c r="AD1150" s="78">
        <f t="shared" si="1098"/>
        <v>0</v>
      </c>
      <c r="AE1150" s="78">
        <f t="shared" si="1098"/>
        <v>0</v>
      </c>
      <c r="AF1150" s="6">
        <v>0</v>
      </c>
      <c r="AG1150" s="33" t="str">
        <f t="shared" si="1031"/>
        <v>4.1 &gt; Bahamas</v>
      </c>
      <c r="AH1150" s="84">
        <f t="shared" si="1034"/>
        <v>1136</v>
      </c>
      <c r="AI1150" s="84">
        <f t="shared" si="1035"/>
        <v>43</v>
      </c>
      <c r="AJ1150" s="877" t="s">
        <v>1526</v>
      </c>
    </row>
    <row r="1151" spans="1:36" x14ac:dyDescent="0.2">
      <c r="A1151" s="492">
        <f>INDEX(Country!$F$31:$G$76, MATCH(AI1151, Country!$O$31:$O$76, 0), 1)</f>
        <v>4.0999999999999979</v>
      </c>
      <c r="B1151" s="2" t="str">
        <f>INDEX(Country!$F$31:$G$76, MATCH(AI1151, Country!$O$31:$O$76, 0), 2)</f>
        <v>Corporate energy efficiency initiatives</v>
      </c>
      <c r="C1151" s="436" t="str">
        <f>INDEX(Country!$K$31:$K$76, MATCH(AI1151, Country!$O$31:$O$76, 0), 1)</f>
        <v>Companies</v>
      </c>
      <c r="D1151" s="4" t="str">
        <f t="shared" si="1054"/>
        <v>Barbados</v>
      </c>
      <c r="E1151" s="47"/>
      <c r="F1151" s="47"/>
      <c r="G1151" s="47"/>
      <c r="H1151" s="47"/>
      <c r="I1151" s="47"/>
      <c r="J1151" s="47"/>
      <c r="K1151" s="45"/>
      <c r="L1151" s="457">
        <f t="shared" si="1089"/>
        <v>0</v>
      </c>
      <c r="M1151" s="458">
        <f t="shared" si="1090"/>
        <v>0</v>
      </c>
      <c r="N1151" s="458">
        <f t="shared" si="1091"/>
        <v>0</v>
      </c>
      <c r="O1151" s="458">
        <f t="shared" si="1092"/>
        <v>0</v>
      </c>
      <c r="P1151" s="458">
        <f t="shared" si="1093"/>
        <v>0</v>
      </c>
      <c r="Q1151" s="458">
        <f t="shared" si="1094"/>
        <v>0</v>
      </c>
      <c r="R1151" s="459">
        <f t="shared" si="1095"/>
        <v>0</v>
      </c>
      <c r="S1151" s="455"/>
      <c r="T1151" s="456"/>
      <c r="U1151" s="456"/>
      <c r="V1151" s="456"/>
      <c r="W1151" s="456"/>
      <c r="X1151" s="456"/>
      <c r="Y1151" s="456"/>
      <c r="Z1151" s="79">
        <f t="shared" ref="Z1151:AE1151" si="1099">AA1151</f>
        <v>0</v>
      </c>
      <c r="AA1151" s="78">
        <f t="shared" si="1099"/>
        <v>0</v>
      </c>
      <c r="AB1151" s="78">
        <f t="shared" si="1099"/>
        <v>0</v>
      </c>
      <c r="AC1151" s="78">
        <f t="shared" si="1099"/>
        <v>0</v>
      </c>
      <c r="AD1151" s="78">
        <f t="shared" si="1099"/>
        <v>0</v>
      </c>
      <c r="AE1151" s="78">
        <f t="shared" si="1099"/>
        <v>0</v>
      </c>
      <c r="AF1151" s="6">
        <v>0</v>
      </c>
      <c r="AG1151" s="33" t="str">
        <f t="shared" si="1031"/>
        <v>4.1 &gt; Barbados</v>
      </c>
      <c r="AH1151" s="84">
        <f t="shared" si="1034"/>
        <v>1137</v>
      </c>
      <c r="AI1151" s="84">
        <f t="shared" si="1035"/>
        <v>43</v>
      </c>
      <c r="AJ1151" s="877" t="s">
        <v>1526</v>
      </c>
    </row>
    <row r="1152" spans="1:36" x14ac:dyDescent="0.2">
      <c r="A1152" s="492">
        <f>INDEX(Country!$F$31:$G$76, MATCH(AI1152, Country!$O$31:$O$76, 0), 1)</f>
        <v>4.0999999999999979</v>
      </c>
      <c r="B1152" s="2" t="str">
        <f>INDEX(Country!$F$31:$G$76, MATCH(AI1152, Country!$O$31:$O$76, 0), 2)</f>
        <v>Corporate energy efficiency initiatives</v>
      </c>
      <c r="C1152" s="436" t="str">
        <f>INDEX(Country!$K$31:$K$76, MATCH(AI1152, Country!$O$31:$O$76, 0), 1)</f>
        <v>Companies</v>
      </c>
      <c r="D1152" s="4" t="str">
        <f t="shared" si="1054"/>
        <v>Belize</v>
      </c>
      <c r="E1152" s="47"/>
      <c r="F1152" s="47"/>
      <c r="G1152" s="47"/>
      <c r="H1152" s="47"/>
      <c r="I1152" s="47"/>
      <c r="J1152" s="47"/>
      <c r="K1152" s="45"/>
      <c r="L1152" s="457">
        <f t="shared" si="1089"/>
        <v>0</v>
      </c>
      <c r="M1152" s="458">
        <f t="shared" si="1090"/>
        <v>0</v>
      </c>
      <c r="N1152" s="458">
        <f t="shared" si="1091"/>
        <v>0</v>
      </c>
      <c r="O1152" s="458">
        <f t="shared" si="1092"/>
        <v>0</v>
      </c>
      <c r="P1152" s="458">
        <f t="shared" si="1093"/>
        <v>0</v>
      </c>
      <c r="Q1152" s="458">
        <f t="shared" si="1094"/>
        <v>0</v>
      </c>
      <c r="R1152" s="459">
        <f t="shared" si="1095"/>
        <v>0</v>
      </c>
      <c r="S1152" s="455"/>
      <c r="T1152" s="456"/>
      <c r="U1152" s="456"/>
      <c r="V1152" s="456"/>
      <c r="W1152" s="456"/>
      <c r="X1152" s="456"/>
      <c r="Y1152" s="456"/>
      <c r="Z1152" s="79">
        <f t="shared" ref="Z1152:AE1152" si="1100">AA1152</f>
        <v>0</v>
      </c>
      <c r="AA1152" s="78">
        <f t="shared" si="1100"/>
        <v>0</v>
      </c>
      <c r="AB1152" s="78">
        <f t="shared" si="1100"/>
        <v>0</v>
      </c>
      <c r="AC1152" s="78">
        <f t="shared" si="1100"/>
        <v>0</v>
      </c>
      <c r="AD1152" s="78">
        <f t="shared" si="1100"/>
        <v>0</v>
      </c>
      <c r="AE1152" s="78">
        <f t="shared" si="1100"/>
        <v>0</v>
      </c>
      <c r="AF1152" s="6">
        <v>0</v>
      </c>
      <c r="AG1152" s="33" t="str">
        <f t="shared" si="1031"/>
        <v>4.1 &gt; Belize</v>
      </c>
      <c r="AH1152" s="84">
        <f t="shared" si="1034"/>
        <v>1138</v>
      </c>
      <c r="AI1152" s="84">
        <f t="shared" si="1035"/>
        <v>43</v>
      </c>
      <c r="AJ1152" s="877" t="s">
        <v>1526</v>
      </c>
    </row>
    <row r="1153" spans="1:36" x14ac:dyDescent="0.2">
      <c r="A1153" s="492">
        <f>INDEX(Country!$F$31:$G$76, MATCH(AI1153, Country!$O$31:$O$76, 0), 1)</f>
        <v>4.0999999999999979</v>
      </c>
      <c r="B1153" s="2" t="str">
        <f>INDEX(Country!$F$31:$G$76, MATCH(AI1153, Country!$O$31:$O$76, 0), 2)</f>
        <v>Corporate energy efficiency initiatives</v>
      </c>
      <c r="C1153" s="436" t="str">
        <f>INDEX(Country!$K$31:$K$76, MATCH(AI1153, Country!$O$31:$O$76, 0), 1)</f>
        <v>Companies</v>
      </c>
      <c r="D1153" s="4" t="str">
        <f t="shared" si="1054"/>
        <v>Bolivia</v>
      </c>
      <c r="E1153" s="47"/>
      <c r="F1153" s="47"/>
      <c r="G1153" s="47"/>
      <c r="H1153" s="47"/>
      <c r="I1153" s="47"/>
      <c r="J1153" s="47"/>
      <c r="K1153" s="45"/>
      <c r="L1153" s="457">
        <f t="shared" si="1089"/>
        <v>0</v>
      </c>
      <c r="M1153" s="458">
        <f t="shared" si="1090"/>
        <v>0</v>
      </c>
      <c r="N1153" s="458">
        <f t="shared" si="1091"/>
        <v>0</v>
      </c>
      <c r="O1153" s="458">
        <f t="shared" si="1092"/>
        <v>0</v>
      </c>
      <c r="P1153" s="458">
        <f t="shared" si="1093"/>
        <v>0</v>
      </c>
      <c r="Q1153" s="458">
        <f t="shared" si="1094"/>
        <v>0</v>
      </c>
      <c r="R1153" s="459">
        <f t="shared" si="1095"/>
        <v>0</v>
      </c>
      <c r="S1153" s="455"/>
      <c r="T1153" s="456"/>
      <c r="U1153" s="456"/>
      <c r="V1153" s="456"/>
      <c r="W1153" s="456"/>
      <c r="X1153" s="456"/>
      <c r="Y1153" s="456"/>
      <c r="Z1153" s="79">
        <f t="shared" ref="Z1153:AE1153" si="1101">AA1153</f>
        <v>0</v>
      </c>
      <c r="AA1153" s="78">
        <f t="shared" si="1101"/>
        <v>0</v>
      </c>
      <c r="AB1153" s="78">
        <f t="shared" si="1101"/>
        <v>0</v>
      </c>
      <c r="AC1153" s="78">
        <f t="shared" si="1101"/>
        <v>0</v>
      </c>
      <c r="AD1153" s="78">
        <f t="shared" si="1101"/>
        <v>0</v>
      </c>
      <c r="AE1153" s="78">
        <f t="shared" si="1101"/>
        <v>0</v>
      </c>
      <c r="AF1153" s="6">
        <v>0</v>
      </c>
      <c r="AG1153" s="33" t="str">
        <f t="shared" si="1031"/>
        <v>4.1 &gt; Bolivia</v>
      </c>
      <c r="AH1153" s="84">
        <f t="shared" si="1034"/>
        <v>1139</v>
      </c>
      <c r="AI1153" s="84">
        <f t="shared" si="1035"/>
        <v>43</v>
      </c>
      <c r="AJ1153" s="877" t="s">
        <v>1526</v>
      </c>
    </row>
    <row r="1154" spans="1:36" x14ac:dyDescent="0.2">
      <c r="A1154" s="492">
        <f>INDEX(Country!$F$31:$G$76, MATCH(AI1154, Country!$O$31:$O$76, 0), 1)</f>
        <v>4.0999999999999979</v>
      </c>
      <c r="B1154" s="2" t="str">
        <f>INDEX(Country!$F$31:$G$76, MATCH(AI1154, Country!$O$31:$O$76, 0), 2)</f>
        <v>Corporate energy efficiency initiatives</v>
      </c>
      <c r="C1154" s="436" t="str">
        <f>INDEX(Country!$K$31:$K$76, MATCH(AI1154, Country!$O$31:$O$76, 0), 1)</f>
        <v>Companies</v>
      </c>
      <c r="D1154" s="4" t="str">
        <f t="shared" si="1054"/>
        <v>Brazil</v>
      </c>
      <c r="E1154" s="47"/>
      <c r="F1154" s="47"/>
      <c r="G1154" s="47"/>
      <c r="H1154" s="47"/>
      <c r="I1154" s="47"/>
      <c r="J1154" s="47"/>
      <c r="K1154" s="45"/>
      <c r="L1154" s="457">
        <f t="shared" si="1089"/>
        <v>100</v>
      </c>
      <c r="M1154" s="458">
        <f t="shared" si="1090"/>
        <v>100</v>
      </c>
      <c r="N1154" s="458">
        <f t="shared" si="1091"/>
        <v>100</v>
      </c>
      <c r="O1154" s="458">
        <f t="shared" si="1092"/>
        <v>100</v>
      </c>
      <c r="P1154" s="458">
        <f t="shared" si="1093"/>
        <v>100</v>
      </c>
      <c r="Q1154" s="458">
        <f t="shared" si="1094"/>
        <v>100</v>
      </c>
      <c r="R1154" s="459">
        <f t="shared" si="1095"/>
        <v>100</v>
      </c>
      <c r="S1154" s="455"/>
      <c r="T1154" s="456"/>
      <c r="U1154" s="456"/>
      <c r="V1154" s="456"/>
      <c r="W1154" s="456"/>
      <c r="X1154" s="456"/>
      <c r="Y1154" s="456"/>
      <c r="Z1154" s="79">
        <f t="shared" ref="Z1154:AE1154" si="1102">AA1154</f>
        <v>1</v>
      </c>
      <c r="AA1154" s="78">
        <f t="shared" si="1102"/>
        <v>1</v>
      </c>
      <c r="AB1154" s="78">
        <f t="shared" si="1102"/>
        <v>1</v>
      </c>
      <c r="AC1154" s="78">
        <f t="shared" si="1102"/>
        <v>1</v>
      </c>
      <c r="AD1154" s="78">
        <f t="shared" si="1102"/>
        <v>1</v>
      </c>
      <c r="AE1154" s="78">
        <f t="shared" si="1102"/>
        <v>1</v>
      </c>
      <c r="AF1154" s="6">
        <v>1</v>
      </c>
      <c r="AG1154" s="33" t="str">
        <f t="shared" si="1031"/>
        <v>4.1 &gt; Brazil</v>
      </c>
      <c r="AH1154" s="84">
        <f t="shared" si="1034"/>
        <v>1140</v>
      </c>
      <c r="AI1154" s="84">
        <f t="shared" si="1035"/>
        <v>43</v>
      </c>
      <c r="AJ1154" s="877" t="s">
        <v>1526</v>
      </c>
    </row>
    <row r="1155" spans="1:36" x14ac:dyDescent="0.2">
      <c r="A1155" s="492">
        <f>INDEX(Country!$F$31:$G$76, MATCH(AI1155, Country!$O$31:$O$76, 0), 1)</f>
        <v>4.0999999999999979</v>
      </c>
      <c r="B1155" s="2" t="str">
        <f>INDEX(Country!$F$31:$G$76, MATCH(AI1155, Country!$O$31:$O$76, 0), 2)</f>
        <v>Corporate energy efficiency initiatives</v>
      </c>
      <c r="C1155" s="436" t="str">
        <f>INDEX(Country!$K$31:$K$76, MATCH(AI1155, Country!$O$31:$O$76, 0), 1)</f>
        <v>Companies</v>
      </c>
      <c r="D1155" s="4" t="str">
        <f t="shared" si="1054"/>
        <v>Chile</v>
      </c>
      <c r="E1155" s="47"/>
      <c r="F1155" s="47"/>
      <c r="G1155" s="47"/>
      <c r="H1155" s="47"/>
      <c r="I1155" s="47"/>
      <c r="J1155" s="47"/>
      <c r="K1155" s="45"/>
      <c r="L1155" s="457">
        <f t="shared" si="1089"/>
        <v>56.556962025316459</v>
      </c>
      <c r="M1155" s="458">
        <f t="shared" si="1090"/>
        <v>56.556962025316459</v>
      </c>
      <c r="N1155" s="458">
        <f t="shared" si="1091"/>
        <v>56.556962025316459</v>
      </c>
      <c r="O1155" s="458">
        <f t="shared" si="1092"/>
        <v>56.556962025316459</v>
      </c>
      <c r="P1155" s="458">
        <f t="shared" si="1093"/>
        <v>56.556962025316459</v>
      </c>
      <c r="Q1155" s="458">
        <f t="shared" si="1094"/>
        <v>56.556962025316459</v>
      </c>
      <c r="R1155" s="459">
        <f t="shared" si="1095"/>
        <v>56.556962025316459</v>
      </c>
      <c r="S1155" s="455"/>
      <c r="T1155" s="456"/>
      <c r="U1155" s="456"/>
      <c r="V1155" s="456"/>
      <c r="W1155" s="456"/>
      <c r="X1155" s="456"/>
      <c r="Y1155" s="456"/>
      <c r="Z1155" s="79">
        <f t="shared" ref="Z1155:AE1155" si="1103">AA1155</f>
        <v>0.5655696202531646</v>
      </c>
      <c r="AA1155" s="78">
        <f t="shared" si="1103"/>
        <v>0.5655696202531646</v>
      </c>
      <c r="AB1155" s="78">
        <f t="shared" si="1103"/>
        <v>0.5655696202531646</v>
      </c>
      <c r="AC1155" s="78">
        <f t="shared" si="1103"/>
        <v>0.5655696202531646</v>
      </c>
      <c r="AD1155" s="78">
        <f t="shared" si="1103"/>
        <v>0.5655696202531646</v>
      </c>
      <c r="AE1155" s="78">
        <f t="shared" si="1103"/>
        <v>0.5655696202531646</v>
      </c>
      <c r="AF1155" s="6">
        <v>0.5655696202531646</v>
      </c>
      <c r="AG1155" s="33" t="str">
        <f t="shared" si="1031"/>
        <v>4.1 &gt; Chile</v>
      </c>
      <c r="AH1155" s="84">
        <f t="shared" si="1034"/>
        <v>1141</v>
      </c>
      <c r="AI1155" s="84">
        <f t="shared" si="1035"/>
        <v>43</v>
      </c>
      <c r="AJ1155" s="877" t="s">
        <v>1526</v>
      </c>
    </row>
    <row r="1156" spans="1:36" x14ac:dyDescent="0.2">
      <c r="A1156" s="492">
        <f>INDEX(Country!$F$31:$G$76, MATCH(AI1156, Country!$O$31:$O$76, 0), 1)</f>
        <v>4.0999999999999979</v>
      </c>
      <c r="B1156" s="2" t="str">
        <f>INDEX(Country!$F$31:$G$76, MATCH(AI1156, Country!$O$31:$O$76, 0), 2)</f>
        <v>Corporate energy efficiency initiatives</v>
      </c>
      <c r="C1156" s="436" t="str">
        <f>INDEX(Country!$K$31:$K$76, MATCH(AI1156, Country!$O$31:$O$76, 0), 1)</f>
        <v>Companies</v>
      </c>
      <c r="D1156" s="4" t="str">
        <f t="shared" si="1054"/>
        <v>Colombia</v>
      </c>
      <c r="E1156" s="47"/>
      <c r="F1156" s="47"/>
      <c r="G1156" s="47"/>
      <c r="H1156" s="47"/>
      <c r="I1156" s="47"/>
      <c r="J1156" s="47"/>
      <c r="K1156" s="45"/>
      <c r="L1156" s="457">
        <f t="shared" si="1089"/>
        <v>37.971671388101988</v>
      </c>
      <c r="M1156" s="458">
        <f t="shared" si="1090"/>
        <v>37.971671388101988</v>
      </c>
      <c r="N1156" s="458">
        <f t="shared" si="1091"/>
        <v>37.971671388101988</v>
      </c>
      <c r="O1156" s="458">
        <f t="shared" si="1092"/>
        <v>37.971671388101988</v>
      </c>
      <c r="P1156" s="458">
        <f t="shared" si="1093"/>
        <v>37.971671388101988</v>
      </c>
      <c r="Q1156" s="458">
        <f t="shared" si="1094"/>
        <v>37.971671388101988</v>
      </c>
      <c r="R1156" s="459">
        <f t="shared" si="1095"/>
        <v>37.971671388101988</v>
      </c>
      <c r="S1156" s="455"/>
      <c r="T1156" s="456"/>
      <c r="U1156" s="456"/>
      <c r="V1156" s="456"/>
      <c r="W1156" s="456"/>
      <c r="X1156" s="456"/>
      <c r="Y1156" s="456"/>
      <c r="Z1156" s="79">
        <f t="shared" ref="Z1156:AE1156" si="1104">AA1156</f>
        <v>0.37971671388101991</v>
      </c>
      <c r="AA1156" s="78">
        <f t="shared" si="1104"/>
        <v>0.37971671388101991</v>
      </c>
      <c r="AB1156" s="78">
        <f t="shared" si="1104"/>
        <v>0.37971671388101991</v>
      </c>
      <c r="AC1156" s="78">
        <f t="shared" si="1104"/>
        <v>0.37971671388101991</v>
      </c>
      <c r="AD1156" s="78">
        <f t="shared" si="1104"/>
        <v>0.37971671388101991</v>
      </c>
      <c r="AE1156" s="78">
        <f t="shared" si="1104"/>
        <v>0.37971671388101991</v>
      </c>
      <c r="AF1156" s="6">
        <v>0.37971671388101991</v>
      </c>
      <c r="AG1156" s="33" t="str">
        <f t="shared" si="1031"/>
        <v>4.1 &gt; Colombia</v>
      </c>
      <c r="AH1156" s="84">
        <f t="shared" si="1034"/>
        <v>1142</v>
      </c>
      <c r="AI1156" s="84">
        <f t="shared" si="1035"/>
        <v>43</v>
      </c>
      <c r="AJ1156" s="877" t="s">
        <v>1526</v>
      </c>
    </row>
    <row r="1157" spans="1:36" x14ac:dyDescent="0.2">
      <c r="A1157" s="492">
        <f>INDEX(Country!$F$31:$G$76, MATCH(AI1157, Country!$O$31:$O$76, 0), 1)</f>
        <v>4.0999999999999979</v>
      </c>
      <c r="B1157" s="2" t="str">
        <f>INDEX(Country!$F$31:$G$76, MATCH(AI1157, Country!$O$31:$O$76, 0), 2)</f>
        <v>Corporate energy efficiency initiatives</v>
      </c>
      <c r="C1157" s="436" t="str">
        <f>INDEX(Country!$K$31:$K$76, MATCH(AI1157, Country!$O$31:$O$76, 0), 1)</f>
        <v>Companies</v>
      </c>
      <c r="D1157" s="4" t="str">
        <f t="shared" si="1054"/>
        <v>Costa Rica</v>
      </c>
      <c r="E1157" s="47"/>
      <c r="F1157" s="47"/>
      <c r="G1157" s="47"/>
      <c r="H1157" s="47"/>
      <c r="I1157" s="47"/>
      <c r="J1157" s="47"/>
      <c r="K1157" s="45"/>
      <c r="L1157" s="457">
        <f t="shared" si="1089"/>
        <v>0</v>
      </c>
      <c r="M1157" s="458">
        <f t="shared" si="1090"/>
        <v>0</v>
      </c>
      <c r="N1157" s="458">
        <f t="shared" si="1091"/>
        <v>0</v>
      </c>
      <c r="O1157" s="458">
        <f t="shared" si="1092"/>
        <v>0</v>
      </c>
      <c r="P1157" s="458">
        <f t="shared" si="1093"/>
        <v>0</v>
      </c>
      <c r="Q1157" s="458">
        <f t="shared" si="1094"/>
        <v>0</v>
      </c>
      <c r="R1157" s="459">
        <f t="shared" si="1095"/>
        <v>0</v>
      </c>
      <c r="S1157" s="455"/>
      <c r="T1157" s="456"/>
      <c r="U1157" s="456"/>
      <c r="V1157" s="456"/>
      <c r="W1157" s="456"/>
      <c r="X1157" s="456"/>
      <c r="Y1157" s="456"/>
      <c r="Z1157" s="79">
        <f t="shared" ref="Z1157:AE1157" si="1105">AA1157</f>
        <v>0</v>
      </c>
      <c r="AA1157" s="78">
        <f t="shared" si="1105"/>
        <v>0</v>
      </c>
      <c r="AB1157" s="78">
        <f t="shared" si="1105"/>
        <v>0</v>
      </c>
      <c r="AC1157" s="78">
        <f t="shared" si="1105"/>
        <v>0</v>
      </c>
      <c r="AD1157" s="78">
        <f t="shared" si="1105"/>
        <v>0</v>
      </c>
      <c r="AE1157" s="78">
        <f t="shared" si="1105"/>
        <v>0</v>
      </c>
      <c r="AF1157" s="6">
        <v>0</v>
      </c>
      <c r="AG1157" s="33" t="str">
        <f t="shared" si="1031"/>
        <v>4.1 &gt; Costa Rica</v>
      </c>
      <c r="AH1157" s="84">
        <f t="shared" si="1034"/>
        <v>1143</v>
      </c>
      <c r="AI1157" s="84">
        <f t="shared" si="1035"/>
        <v>43</v>
      </c>
      <c r="AJ1157" s="877" t="s">
        <v>1526</v>
      </c>
    </row>
    <row r="1158" spans="1:36" x14ac:dyDescent="0.2">
      <c r="A1158" s="492">
        <f>INDEX(Country!$F$31:$G$76, MATCH(AI1158, Country!$O$31:$O$76, 0), 1)</f>
        <v>4.0999999999999979</v>
      </c>
      <c r="B1158" s="2" t="str">
        <f>INDEX(Country!$F$31:$G$76, MATCH(AI1158, Country!$O$31:$O$76, 0), 2)</f>
        <v>Corporate energy efficiency initiatives</v>
      </c>
      <c r="C1158" s="436" t="str">
        <f>INDEX(Country!$K$31:$K$76, MATCH(AI1158, Country!$O$31:$O$76, 0), 1)</f>
        <v>Companies</v>
      </c>
      <c r="D1158" s="4" t="str">
        <f t="shared" si="1054"/>
        <v>Dominican Republic</v>
      </c>
      <c r="E1158" s="47"/>
      <c r="F1158" s="47"/>
      <c r="G1158" s="47"/>
      <c r="H1158" s="47"/>
      <c r="I1158" s="47"/>
      <c r="J1158" s="47"/>
      <c r="K1158" s="45"/>
      <c r="L1158" s="457">
        <f t="shared" si="1089"/>
        <v>0</v>
      </c>
      <c r="M1158" s="458">
        <f t="shared" si="1090"/>
        <v>0</v>
      </c>
      <c r="N1158" s="458">
        <f t="shared" si="1091"/>
        <v>0</v>
      </c>
      <c r="O1158" s="458">
        <f t="shared" si="1092"/>
        <v>0</v>
      </c>
      <c r="P1158" s="458">
        <f t="shared" si="1093"/>
        <v>0</v>
      </c>
      <c r="Q1158" s="458">
        <f t="shared" si="1094"/>
        <v>0</v>
      </c>
      <c r="R1158" s="459">
        <f t="shared" si="1095"/>
        <v>0</v>
      </c>
      <c r="S1158" s="455"/>
      <c r="T1158" s="456"/>
      <c r="U1158" s="456"/>
      <c r="V1158" s="456"/>
      <c r="W1158" s="456"/>
      <c r="X1158" s="456"/>
      <c r="Y1158" s="456"/>
      <c r="Z1158" s="79">
        <f t="shared" ref="Z1158:AE1158" si="1106">AA1158</f>
        <v>0</v>
      </c>
      <c r="AA1158" s="78">
        <f t="shared" si="1106"/>
        <v>0</v>
      </c>
      <c r="AB1158" s="78">
        <f t="shared" si="1106"/>
        <v>0</v>
      </c>
      <c r="AC1158" s="78">
        <f t="shared" si="1106"/>
        <v>0</v>
      </c>
      <c r="AD1158" s="78">
        <f t="shared" si="1106"/>
        <v>0</v>
      </c>
      <c r="AE1158" s="78">
        <f t="shared" si="1106"/>
        <v>0</v>
      </c>
      <c r="AF1158" s="6">
        <v>0</v>
      </c>
      <c r="AG1158" s="33" t="str">
        <f t="shared" si="1031"/>
        <v>4.1 &gt; Dominican Republic</v>
      </c>
      <c r="AH1158" s="84">
        <f t="shared" si="1034"/>
        <v>1144</v>
      </c>
      <c r="AI1158" s="84">
        <f t="shared" si="1035"/>
        <v>43</v>
      </c>
      <c r="AJ1158" s="877" t="s">
        <v>1526</v>
      </c>
    </row>
    <row r="1159" spans="1:36" x14ac:dyDescent="0.2">
      <c r="A1159" s="492">
        <f>INDEX(Country!$F$31:$G$76, MATCH(AI1159, Country!$O$31:$O$76, 0), 1)</f>
        <v>4.0999999999999979</v>
      </c>
      <c r="B1159" s="2" t="str">
        <f>INDEX(Country!$F$31:$G$76, MATCH(AI1159, Country!$O$31:$O$76, 0), 2)</f>
        <v>Corporate energy efficiency initiatives</v>
      </c>
      <c r="C1159" s="436" t="str">
        <f>INDEX(Country!$K$31:$K$76, MATCH(AI1159, Country!$O$31:$O$76, 0), 1)</f>
        <v>Companies</v>
      </c>
      <c r="D1159" s="4" t="str">
        <f t="shared" si="1054"/>
        <v>Ecuador</v>
      </c>
      <c r="E1159" s="47"/>
      <c r="F1159" s="47"/>
      <c r="G1159" s="47"/>
      <c r="H1159" s="47"/>
      <c r="I1159" s="47"/>
      <c r="J1159" s="47"/>
      <c r="K1159" s="45"/>
      <c r="L1159" s="457">
        <f t="shared" si="1089"/>
        <v>0</v>
      </c>
      <c r="M1159" s="458">
        <f t="shared" si="1090"/>
        <v>0</v>
      </c>
      <c r="N1159" s="458">
        <f t="shared" si="1091"/>
        <v>0</v>
      </c>
      <c r="O1159" s="458">
        <f t="shared" si="1092"/>
        <v>0</v>
      </c>
      <c r="P1159" s="458">
        <f t="shared" si="1093"/>
        <v>0</v>
      </c>
      <c r="Q1159" s="458">
        <f t="shared" si="1094"/>
        <v>0</v>
      </c>
      <c r="R1159" s="459">
        <f t="shared" si="1095"/>
        <v>0</v>
      </c>
      <c r="S1159" s="455"/>
      <c r="T1159" s="456"/>
      <c r="U1159" s="456"/>
      <c r="V1159" s="456"/>
      <c r="W1159" s="456"/>
      <c r="X1159" s="456"/>
      <c r="Y1159" s="456"/>
      <c r="Z1159" s="79">
        <f t="shared" ref="Z1159:AE1159" si="1107">AA1159</f>
        <v>0</v>
      </c>
      <c r="AA1159" s="78">
        <f t="shared" si="1107"/>
        <v>0</v>
      </c>
      <c r="AB1159" s="78">
        <f t="shared" si="1107"/>
        <v>0</v>
      </c>
      <c r="AC1159" s="78">
        <f t="shared" si="1107"/>
        <v>0</v>
      </c>
      <c r="AD1159" s="78">
        <f t="shared" si="1107"/>
        <v>0</v>
      </c>
      <c r="AE1159" s="78">
        <f t="shared" si="1107"/>
        <v>0</v>
      </c>
      <c r="AF1159" s="6">
        <v>0</v>
      </c>
      <c r="AG1159" s="33" t="str">
        <f t="shared" si="1031"/>
        <v>4.1 &gt; Ecuador</v>
      </c>
      <c r="AH1159" s="84">
        <f t="shared" si="1034"/>
        <v>1145</v>
      </c>
      <c r="AI1159" s="84">
        <f t="shared" si="1035"/>
        <v>43</v>
      </c>
      <c r="AJ1159" s="877" t="s">
        <v>1526</v>
      </c>
    </row>
    <row r="1160" spans="1:36" x14ac:dyDescent="0.2">
      <c r="A1160" s="492">
        <f>INDEX(Country!$F$31:$G$76, MATCH(AI1160, Country!$O$31:$O$76, 0), 1)</f>
        <v>4.0999999999999979</v>
      </c>
      <c r="B1160" s="2" t="str">
        <f>INDEX(Country!$F$31:$G$76, MATCH(AI1160, Country!$O$31:$O$76, 0), 2)</f>
        <v>Corporate energy efficiency initiatives</v>
      </c>
      <c r="C1160" s="436" t="str">
        <f>INDEX(Country!$K$31:$K$76, MATCH(AI1160, Country!$O$31:$O$76, 0), 1)</f>
        <v>Companies</v>
      </c>
      <c r="D1160" s="4" t="str">
        <f t="shared" si="1054"/>
        <v>El Salvador</v>
      </c>
      <c r="E1160" s="47"/>
      <c r="F1160" s="47"/>
      <c r="G1160" s="47"/>
      <c r="H1160" s="47"/>
      <c r="I1160" s="47"/>
      <c r="J1160" s="47"/>
      <c r="K1160" s="45"/>
      <c r="L1160" s="457">
        <f t="shared" si="1089"/>
        <v>0</v>
      </c>
      <c r="M1160" s="458">
        <f t="shared" si="1090"/>
        <v>0</v>
      </c>
      <c r="N1160" s="458">
        <f t="shared" si="1091"/>
        <v>0</v>
      </c>
      <c r="O1160" s="458">
        <f t="shared" si="1092"/>
        <v>0</v>
      </c>
      <c r="P1160" s="458">
        <f t="shared" si="1093"/>
        <v>0</v>
      </c>
      <c r="Q1160" s="458">
        <f t="shared" si="1094"/>
        <v>0</v>
      </c>
      <c r="R1160" s="459">
        <f t="shared" si="1095"/>
        <v>0</v>
      </c>
      <c r="S1160" s="455"/>
      <c r="T1160" s="456"/>
      <c r="U1160" s="456"/>
      <c r="V1160" s="456"/>
      <c r="W1160" s="456"/>
      <c r="X1160" s="456"/>
      <c r="Y1160" s="456"/>
      <c r="Z1160" s="79">
        <f t="shared" ref="Z1160:AE1160" si="1108">AA1160</f>
        <v>0</v>
      </c>
      <c r="AA1160" s="78">
        <f t="shared" si="1108"/>
        <v>0</v>
      </c>
      <c r="AB1160" s="78">
        <f t="shared" si="1108"/>
        <v>0</v>
      </c>
      <c r="AC1160" s="78">
        <f t="shared" si="1108"/>
        <v>0</v>
      </c>
      <c r="AD1160" s="78">
        <f t="shared" si="1108"/>
        <v>0</v>
      </c>
      <c r="AE1160" s="78">
        <f t="shared" si="1108"/>
        <v>0</v>
      </c>
      <c r="AF1160" s="6">
        <v>0</v>
      </c>
      <c r="AG1160" s="33" t="str">
        <f t="shared" si="1031"/>
        <v>4.1 &gt; El Salvador</v>
      </c>
      <c r="AH1160" s="84">
        <f t="shared" si="1034"/>
        <v>1146</v>
      </c>
      <c r="AI1160" s="84">
        <f t="shared" si="1035"/>
        <v>43</v>
      </c>
      <c r="AJ1160" s="877" t="s">
        <v>1526</v>
      </c>
    </row>
    <row r="1161" spans="1:36" x14ac:dyDescent="0.2">
      <c r="A1161" s="492">
        <f>INDEX(Country!$F$31:$G$76, MATCH(AI1161, Country!$O$31:$O$76, 0), 1)</f>
        <v>4.0999999999999979</v>
      </c>
      <c r="B1161" s="2" t="str">
        <f>INDEX(Country!$F$31:$G$76, MATCH(AI1161, Country!$O$31:$O$76, 0), 2)</f>
        <v>Corporate energy efficiency initiatives</v>
      </c>
      <c r="C1161" s="436" t="str">
        <f>INDEX(Country!$K$31:$K$76, MATCH(AI1161, Country!$O$31:$O$76, 0), 1)</f>
        <v>Companies</v>
      </c>
      <c r="D1161" s="4" t="str">
        <f t="shared" si="1054"/>
        <v>Guatemala</v>
      </c>
      <c r="E1161" s="47"/>
      <c r="F1161" s="47"/>
      <c r="G1161" s="47"/>
      <c r="H1161" s="47"/>
      <c r="I1161" s="47"/>
      <c r="J1161" s="47"/>
      <c r="K1161" s="45"/>
      <c r="L1161" s="457">
        <f t="shared" si="1089"/>
        <v>0</v>
      </c>
      <c r="M1161" s="458">
        <f t="shared" si="1090"/>
        <v>0</v>
      </c>
      <c r="N1161" s="458">
        <f t="shared" si="1091"/>
        <v>0</v>
      </c>
      <c r="O1161" s="458">
        <f t="shared" si="1092"/>
        <v>0</v>
      </c>
      <c r="P1161" s="458">
        <f t="shared" si="1093"/>
        <v>0</v>
      </c>
      <c r="Q1161" s="458">
        <f t="shared" si="1094"/>
        <v>0</v>
      </c>
      <c r="R1161" s="459">
        <f t="shared" si="1095"/>
        <v>0</v>
      </c>
      <c r="S1161" s="455"/>
      <c r="T1161" s="456"/>
      <c r="U1161" s="456"/>
      <c r="V1161" s="456"/>
      <c r="W1161" s="456"/>
      <c r="X1161" s="456"/>
      <c r="Y1161" s="456"/>
      <c r="Z1161" s="79">
        <f t="shared" ref="Z1161:AE1161" si="1109">AA1161</f>
        <v>0</v>
      </c>
      <c r="AA1161" s="78">
        <f t="shared" si="1109"/>
        <v>0</v>
      </c>
      <c r="AB1161" s="78">
        <f t="shared" si="1109"/>
        <v>0</v>
      </c>
      <c r="AC1161" s="78">
        <f t="shared" si="1109"/>
        <v>0</v>
      </c>
      <c r="AD1161" s="78">
        <f t="shared" si="1109"/>
        <v>0</v>
      </c>
      <c r="AE1161" s="78">
        <f t="shared" si="1109"/>
        <v>0</v>
      </c>
      <c r="AF1161" s="6">
        <v>0</v>
      </c>
      <c r="AG1161" s="33" t="str">
        <f t="shared" si="1031"/>
        <v>4.1 &gt; Guatemala</v>
      </c>
      <c r="AH1161" s="84">
        <f t="shared" si="1034"/>
        <v>1147</v>
      </c>
      <c r="AI1161" s="84">
        <f t="shared" si="1035"/>
        <v>43</v>
      </c>
      <c r="AJ1161" s="877" t="s">
        <v>1526</v>
      </c>
    </row>
    <row r="1162" spans="1:36" x14ac:dyDescent="0.2">
      <c r="A1162" s="492">
        <f>INDEX(Country!$F$31:$G$76, MATCH(AI1162, Country!$O$31:$O$76, 0), 1)</f>
        <v>4.0999999999999979</v>
      </c>
      <c r="B1162" s="2" t="str">
        <f>INDEX(Country!$F$31:$G$76, MATCH(AI1162, Country!$O$31:$O$76, 0), 2)</f>
        <v>Corporate energy efficiency initiatives</v>
      </c>
      <c r="C1162" s="436" t="str">
        <f>INDEX(Country!$K$31:$K$76, MATCH(AI1162, Country!$O$31:$O$76, 0), 1)</f>
        <v>Companies</v>
      </c>
      <c r="D1162" s="4" t="str">
        <f t="shared" si="1054"/>
        <v>Guyana</v>
      </c>
      <c r="E1162" s="47"/>
      <c r="F1162" s="47"/>
      <c r="G1162" s="47"/>
      <c r="H1162" s="47"/>
      <c r="I1162" s="47"/>
      <c r="J1162" s="47"/>
      <c r="K1162" s="45"/>
      <c r="L1162" s="457">
        <f t="shared" si="1089"/>
        <v>0</v>
      </c>
      <c r="M1162" s="458">
        <f t="shared" si="1090"/>
        <v>0</v>
      </c>
      <c r="N1162" s="458">
        <f t="shared" si="1091"/>
        <v>0</v>
      </c>
      <c r="O1162" s="458">
        <f t="shared" si="1092"/>
        <v>0</v>
      </c>
      <c r="P1162" s="458">
        <f t="shared" si="1093"/>
        <v>0</v>
      </c>
      <c r="Q1162" s="458">
        <f t="shared" si="1094"/>
        <v>0</v>
      </c>
      <c r="R1162" s="459">
        <f t="shared" si="1095"/>
        <v>0</v>
      </c>
      <c r="S1162" s="455"/>
      <c r="T1162" s="456"/>
      <c r="U1162" s="456"/>
      <c r="V1162" s="456"/>
      <c r="W1162" s="456"/>
      <c r="X1162" s="456"/>
      <c r="Y1162" s="456"/>
      <c r="Z1162" s="79">
        <f t="shared" ref="Z1162:AE1162" si="1110">AA1162</f>
        <v>0</v>
      </c>
      <c r="AA1162" s="78">
        <f t="shared" si="1110"/>
        <v>0</v>
      </c>
      <c r="AB1162" s="78">
        <f t="shared" si="1110"/>
        <v>0</v>
      </c>
      <c r="AC1162" s="78">
        <f t="shared" si="1110"/>
        <v>0</v>
      </c>
      <c r="AD1162" s="78">
        <f t="shared" si="1110"/>
        <v>0</v>
      </c>
      <c r="AE1162" s="78">
        <f t="shared" si="1110"/>
        <v>0</v>
      </c>
      <c r="AF1162" s="6">
        <v>0</v>
      </c>
      <c r="AG1162" s="33" t="str">
        <f t="shared" si="1031"/>
        <v>4.1 &gt; Guyana</v>
      </c>
      <c r="AH1162" s="84">
        <f t="shared" si="1034"/>
        <v>1148</v>
      </c>
      <c r="AI1162" s="84">
        <f t="shared" si="1035"/>
        <v>43</v>
      </c>
      <c r="AJ1162" s="877" t="s">
        <v>1526</v>
      </c>
    </row>
    <row r="1163" spans="1:36" x14ac:dyDescent="0.2">
      <c r="A1163" s="492">
        <f>INDEX(Country!$F$31:$G$76, MATCH(AI1163, Country!$O$31:$O$76, 0), 1)</f>
        <v>4.0999999999999979</v>
      </c>
      <c r="B1163" s="2" t="str">
        <f>INDEX(Country!$F$31:$G$76, MATCH(AI1163, Country!$O$31:$O$76, 0), 2)</f>
        <v>Corporate energy efficiency initiatives</v>
      </c>
      <c r="C1163" s="436" t="str">
        <f>INDEX(Country!$K$31:$K$76, MATCH(AI1163, Country!$O$31:$O$76, 0), 1)</f>
        <v>Companies</v>
      </c>
      <c r="D1163" s="4" t="str">
        <f t="shared" si="1054"/>
        <v>Haiti</v>
      </c>
      <c r="E1163" s="47"/>
      <c r="F1163" s="47"/>
      <c r="G1163" s="47"/>
      <c r="H1163" s="47"/>
      <c r="I1163" s="47"/>
      <c r="J1163" s="47"/>
      <c r="K1163" s="45"/>
      <c r="L1163" s="457">
        <f t="shared" si="1089"/>
        <v>0</v>
      </c>
      <c r="M1163" s="458">
        <f t="shared" si="1090"/>
        <v>0</v>
      </c>
      <c r="N1163" s="458">
        <f t="shared" si="1091"/>
        <v>0</v>
      </c>
      <c r="O1163" s="458">
        <f t="shared" si="1092"/>
        <v>0</v>
      </c>
      <c r="P1163" s="458">
        <f t="shared" si="1093"/>
        <v>0</v>
      </c>
      <c r="Q1163" s="458">
        <f t="shared" si="1094"/>
        <v>0</v>
      </c>
      <c r="R1163" s="459">
        <f t="shared" si="1095"/>
        <v>0</v>
      </c>
      <c r="S1163" s="455"/>
      <c r="T1163" s="456"/>
      <c r="U1163" s="456"/>
      <c r="V1163" s="456"/>
      <c r="W1163" s="456"/>
      <c r="X1163" s="456"/>
      <c r="Y1163" s="456"/>
      <c r="Z1163" s="79">
        <f t="shared" ref="Z1163:AE1163" si="1111">AA1163</f>
        <v>0</v>
      </c>
      <c r="AA1163" s="78">
        <f t="shared" si="1111"/>
        <v>0</v>
      </c>
      <c r="AB1163" s="78">
        <f t="shared" si="1111"/>
        <v>0</v>
      </c>
      <c r="AC1163" s="78">
        <f t="shared" si="1111"/>
        <v>0</v>
      </c>
      <c r="AD1163" s="78">
        <f t="shared" si="1111"/>
        <v>0</v>
      </c>
      <c r="AE1163" s="78">
        <f t="shared" si="1111"/>
        <v>0</v>
      </c>
      <c r="AF1163" s="6">
        <v>0</v>
      </c>
      <c r="AG1163" s="33" t="str">
        <f t="shared" si="1031"/>
        <v>4.1 &gt; Haiti</v>
      </c>
      <c r="AH1163" s="84">
        <f t="shared" si="1034"/>
        <v>1149</v>
      </c>
      <c r="AI1163" s="84">
        <f t="shared" si="1035"/>
        <v>43</v>
      </c>
      <c r="AJ1163" s="877" t="s">
        <v>1526</v>
      </c>
    </row>
    <row r="1164" spans="1:36" x14ac:dyDescent="0.2">
      <c r="A1164" s="492">
        <f>INDEX(Country!$F$31:$G$76, MATCH(AI1164, Country!$O$31:$O$76, 0), 1)</f>
        <v>4.0999999999999979</v>
      </c>
      <c r="B1164" s="2" t="str">
        <f>INDEX(Country!$F$31:$G$76, MATCH(AI1164, Country!$O$31:$O$76, 0), 2)</f>
        <v>Corporate energy efficiency initiatives</v>
      </c>
      <c r="C1164" s="436" t="str">
        <f>INDEX(Country!$K$31:$K$76, MATCH(AI1164, Country!$O$31:$O$76, 0), 1)</f>
        <v>Companies</v>
      </c>
      <c r="D1164" s="4" t="str">
        <f t="shared" si="1054"/>
        <v>Honduras</v>
      </c>
      <c r="E1164" s="47"/>
      <c r="F1164" s="47"/>
      <c r="G1164" s="47"/>
      <c r="H1164" s="47"/>
      <c r="I1164" s="47"/>
      <c r="J1164" s="47"/>
      <c r="K1164" s="45"/>
      <c r="L1164" s="457">
        <f t="shared" si="1089"/>
        <v>0</v>
      </c>
      <c r="M1164" s="458">
        <f t="shared" si="1090"/>
        <v>0</v>
      </c>
      <c r="N1164" s="458">
        <f t="shared" si="1091"/>
        <v>0</v>
      </c>
      <c r="O1164" s="458">
        <f t="shared" si="1092"/>
        <v>0</v>
      </c>
      <c r="P1164" s="458">
        <f t="shared" si="1093"/>
        <v>0</v>
      </c>
      <c r="Q1164" s="458">
        <f t="shared" si="1094"/>
        <v>0</v>
      </c>
      <c r="R1164" s="459">
        <f t="shared" si="1095"/>
        <v>0</v>
      </c>
      <c r="S1164" s="455"/>
      <c r="T1164" s="456"/>
      <c r="U1164" s="456"/>
      <c r="V1164" s="456"/>
      <c r="W1164" s="456"/>
      <c r="X1164" s="456"/>
      <c r="Y1164" s="456"/>
      <c r="Z1164" s="79">
        <f t="shared" ref="Z1164:AE1164" si="1112">AA1164</f>
        <v>0</v>
      </c>
      <c r="AA1164" s="78">
        <f t="shared" si="1112"/>
        <v>0</v>
      </c>
      <c r="AB1164" s="78">
        <f t="shared" si="1112"/>
        <v>0</v>
      </c>
      <c r="AC1164" s="78">
        <f t="shared" si="1112"/>
        <v>0</v>
      </c>
      <c r="AD1164" s="78">
        <f t="shared" si="1112"/>
        <v>0</v>
      </c>
      <c r="AE1164" s="78">
        <f t="shared" si="1112"/>
        <v>0</v>
      </c>
      <c r="AF1164" s="6">
        <v>0</v>
      </c>
      <c r="AG1164" s="33" t="str">
        <f t="shared" si="1031"/>
        <v>4.1 &gt; Honduras</v>
      </c>
      <c r="AH1164" s="84">
        <f t="shared" si="1034"/>
        <v>1150</v>
      </c>
      <c r="AI1164" s="84">
        <f t="shared" si="1035"/>
        <v>43</v>
      </c>
      <c r="AJ1164" s="877" t="s">
        <v>1526</v>
      </c>
    </row>
    <row r="1165" spans="1:36" x14ac:dyDescent="0.2">
      <c r="A1165" s="492">
        <f>INDEX(Country!$F$31:$G$76, MATCH(AI1165, Country!$O$31:$O$76, 0), 1)</f>
        <v>4.0999999999999979</v>
      </c>
      <c r="B1165" s="2" t="str">
        <f>INDEX(Country!$F$31:$G$76, MATCH(AI1165, Country!$O$31:$O$76, 0), 2)</f>
        <v>Corporate energy efficiency initiatives</v>
      </c>
      <c r="C1165" s="436" t="str">
        <f>INDEX(Country!$K$31:$K$76, MATCH(AI1165, Country!$O$31:$O$76, 0), 1)</f>
        <v>Companies</v>
      </c>
      <c r="D1165" s="4" t="str">
        <f t="shared" si="1054"/>
        <v>Jamaica</v>
      </c>
      <c r="E1165" s="47"/>
      <c r="F1165" s="47"/>
      <c r="G1165" s="47"/>
      <c r="H1165" s="47"/>
      <c r="I1165" s="47"/>
      <c r="J1165" s="47"/>
      <c r="K1165" s="45"/>
      <c r="L1165" s="457">
        <f t="shared" si="1089"/>
        <v>0</v>
      </c>
      <c r="M1165" s="458">
        <f t="shared" si="1090"/>
        <v>0</v>
      </c>
      <c r="N1165" s="458">
        <f t="shared" si="1091"/>
        <v>0</v>
      </c>
      <c r="O1165" s="458">
        <f t="shared" si="1092"/>
        <v>0</v>
      </c>
      <c r="P1165" s="458">
        <f t="shared" si="1093"/>
        <v>0</v>
      </c>
      <c r="Q1165" s="458">
        <f t="shared" si="1094"/>
        <v>0</v>
      </c>
      <c r="R1165" s="459">
        <f t="shared" si="1095"/>
        <v>0</v>
      </c>
      <c r="S1165" s="455"/>
      <c r="T1165" s="456"/>
      <c r="U1165" s="456"/>
      <c r="V1165" s="456"/>
      <c r="W1165" s="456"/>
      <c r="X1165" s="456"/>
      <c r="Y1165" s="456"/>
      <c r="Z1165" s="79">
        <f t="shared" ref="Z1165:AE1165" si="1113">AA1165</f>
        <v>0</v>
      </c>
      <c r="AA1165" s="78">
        <f t="shared" si="1113"/>
        <v>0</v>
      </c>
      <c r="AB1165" s="78">
        <f t="shared" si="1113"/>
        <v>0</v>
      </c>
      <c r="AC1165" s="78">
        <f t="shared" si="1113"/>
        <v>0</v>
      </c>
      <c r="AD1165" s="78">
        <f t="shared" si="1113"/>
        <v>0</v>
      </c>
      <c r="AE1165" s="78">
        <f t="shared" si="1113"/>
        <v>0</v>
      </c>
      <c r="AF1165" s="6">
        <v>0</v>
      </c>
      <c r="AG1165" s="33" t="str">
        <f t="shared" si="1031"/>
        <v>4.1 &gt; Jamaica</v>
      </c>
      <c r="AH1165" s="84">
        <f t="shared" si="1034"/>
        <v>1151</v>
      </c>
      <c r="AI1165" s="84">
        <f t="shared" si="1035"/>
        <v>43</v>
      </c>
      <c r="AJ1165" s="877" t="s">
        <v>1526</v>
      </c>
    </row>
    <row r="1166" spans="1:36" x14ac:dyDescent="0.2">
      <c r="A1166" s="492">
        <f>INDEX(Country!$F$31:$G$76, MATCH(AI1166, Country!$O$31:$O$76, 0), 1)</f>
        <v>4.0999999999999979</v>
      </c>
      <c r="B1166" s="2" t="str">
        <f>INDEX(Country!$F$31:$G$76, MATCH(AI1166, Country!$O$31:$O$76, 0), 2)</f>
        <v>Corporate energy efficiency initiatives</v>
      </c>
      <c r="C1166" s="436" t="str">
        <f>INDEX(Country!$K$31:$K$76, MATCH(AI1166, Country!$O$31:$O$76, 0), 1)</f>
        <v>Companies</v>
      </c>
      <c r="D1166" s="4" t="str">
        <f t="shared" si="1054"/>
        <v>Mexico</v>
      </c>
      <c r="E1166" s="47"/>
      <c r="F1166" s="47"/>
      <c r="G1166" s="47"/>
      <c r="H1166" s="47"/>
      <c r="I1166" s="47"/>
      <c r="J1166" s="47"/>
      <c r="K1166" s="45"/>
      <c r="L1166" s="457">
        <f t="shared" si="1089"/>
        <v>61.511889862327919</v>
      </c>
      <c r="M1166" s="458">
        <f t="shared" si="1090"/>
        <v>61.511889862327919</v>
      </c>
      <c r="N1166" s="458">
        <f t="shared" si="1091"/>
        <v>61.511889862327919</v>
      </c>
      <c r="O1166" s="458">
        <f t="shared" si="1092"/>
        <v>61.511889862327919</v>
      </c>
      <c r="P1166" s="458">
        <f t="shared" si="1093"/>
        <v>61.511889862327919</v>
      </c>
      <c r="Q1166" s="458">
        <f t="shared" si="1094"/>
        <v>61.511889862327919</v>
      </c>
      <c r="R1166" s="459">
        <f t="shared" si="1095"/>
        <v>61.511889862327919</v>
      </c>
      <c r="S1166" s="455"/>
      <c r="T1166" s="456"/>
      <c r="U1166" s="456"/>
      <c r="V1166" s="456"/>
      <c r="W1166" s="456"/>
      <c r="X1166" s="456"/>
      <c r="Y1166" s="456"/>
      <c r="Z1166" s="79">
        <f t="shared" ref="Z1166:AE1166" si="1114">AA1166</f>
        <v>0.61511889862327918</v>
      </c>
      <c r="AA1166" s="78">
        <f t="shared" si="1114"/>
        <v>0.61511889862327918</v>
      </c>
      <c r="AB1166" s="78">
        <f t="shared" si="1114"/>
        <v>0.61511889862327918</v>
      </c>
      <c r="AC1166" s="78">
        <f t="shared" si="1114"/>
        <v>0.61511889862327918</v>
      </c>
      <c r="AD1166" s="78">
        <f t="shared" si="1114"/>
        <v>0.61511889862327918</v>
      </c>
      <c r="AE1166" s="78">
        <f t="shared" si="1114"/>
        <v>0.61511889862327918</v>
      </c>
      <c r="AF1166" s="6">
        <v>0.61511889862327918</v>
      </c>
      <c r="AG1166" s="33" t="str">
        <f t="shared" si="1031"/>
        <v>4.1 &gt; Mexico</v>
      </c>
      <c r="AH1166" s="84">
        <f t="shared" si="1034"/>
        <v>1152</v>
      </c>
      <c r="AI1166" s="84">
        <f t="shared" si="1035"/>
        <v>43</v>
      </c>
      <c r="AJ1166" s="877" t="s">
        <v>1526</v>
      </c>
    </row>
    <row r="1167" spans="1:36" x14ac:dyDescent="0.2">
      <c r="A1167" s="492">
        <f>INDEX(Country!$F$31:$G$76, MATCH(AI1167, Country!$O$31:$O$76, 0), 1)</f>
        <v>4.0999999999999979</v>
      </c>
      <c r="B1167" s="2" t="str">
        <f>INDEX(Country!$F$31:$G$76, MATCH(AI1167, Country!$O$31:$O$76, 0), 2)</f>
        <v>Corporate energy efficiency initiatives</v>
      </c>
      <c r="C1167" s="436" t="str">
        <f>INDEX(Country!$K$31:$K$76, MATCH(AI1167, Country!$O$31:$O$76, 0), 1)</f>
        <v>Companies</v>
      </c>
      <c r="D1167" s="4" t="str">
        <f t="shared" si="1054"/>
        <v>Nicaragua</v>
      </c>
      <c r="E1167" s="47"/>
      <c r="F1167" s="47"/>
      <c r="G1167" s="47"/>
      <c r="H1167" s="47"/>
      <c r="I1167" s="47"/>
      <c r="J1167" s="47"/>
      <c r="K1167" s="45"/>
      <c r="L1167" s="457">
        <f t="shared" si="1089"/>
        <v>0</v>
      </c>
      <c r="M1167" s="458">
        <f t="shared" si="1090"/>
        <v>0</v>
      </c>
      <c r="N1167" s="458">
        <f t="shared" si="1091"/>
        <v>0</v>
      </c>
      <c r="O1167" s="458">
        <f t="shared" si="1092"/>
        <v>0</v>
      </c>
      <c r="P1167" s="458">
        <f t="shared" si="1093"/>
        <v>0</v>
      </c>
      <c r="Q1167" s="458">
        <f t="shared" si="1094"/>
        <v>0</v>
      </c>
      <c r="R1167" s="459">
        <f t="shared" si="1095"/>
        <v>0</v>
      </c>
      <c r="S1167" s="455"/>
      <c r="T1167" s="456"/>
      <c r="U1167" s="456"/>
      <c r="V1167" s="456"/>
      <c r="W1167" s="456"/>
      <c r="X1167" s="456"/>
      <c r="Y1167" s="456"/>
      <c r="Z1167" s="79">
        <f t="shared" ref="Z1167:AE1167" si="1115">AA1167</f>
        <v>0</v>
      </c>
      <c r="AA1167" s="78">
        <f t="shared" si="1115"/>
        <v>0</v>
      </c>
      <c r="AB1167" s="78">
        <f t="shared" si="1115"/>
        <v>0</v>
      </c>
      <c r="AC1167" s="78">
        <f t="shared" si="1115"/>
        <v>0</v>
      </c>
      <c r="AD1167" s="78">
        <f t="shared" si="1115"/>
        <v>0</v>
      </c>
      <c r="AE1167" s="78">
        <f t="shared" si="1115"/>
        <v>0</v>
      </c>
      <c r="AF1167" s="6">
        <v>0</v>
      </c>
      <c r="AG1167" s="33" t="str">
        <f t="shared" ref="AG1167:AG1230" si="1116">A1167&amp;" &gt; " &amp;D1167</f>
        <v>4.1 &gt; Nicaragua</v>
      </c>
      <c r="AH1167" s="84">
        <f t="shared" si="1034"/>
        <v>1153</v>
      </c>
      <c r="AI1167" s="84">
        <f t="shared" si="1035"/>
        <v>43</v>
      </c>
      <c r="AJ1167" s="877" t="s">
        <v>1526</v>
      </c>
    </row>
    <row r="1168" spans="1:36" x14ac:dyDescent="0.2">
      <c r="A1168" s="492">
        <f>INDEX(Country!$F$31:$G$76, MATCH(AI1168, Country!$O$31:$O$76, 0), 1)</f>
        <v>4.0999999999999979</v>
      </c>
      <c r="B1168" s="2" t="str">
        <f>INDEX(Country!$F$31:$G$76, MATCH(AI1168, Country!$O$31:$O$76, 0), 2)</f>
        <v>Corporate energy efficiency initiatives</v>
      </c>
      <c r="C1168" s="436" t="str">
        <f>INDEX(Country!$K$31:$K$76, MATCH(AI1168, Country!$O$31:$O$76, 0), 1)</f>
        <v>Companies</v>
      </c>
      <c r="D1168" s="4" t="str">
        <f t="shared" si="1054"/>
        <v>Panama</v>
      </c>
      <c r="E1168" s="47"/>
      <c r="F1168" s="47"/>
      <c r="G1168" s="47"/>
      <c r="H1168" s="47"/>
      <c r="I1168" s="47"/>
      <c r="J1168" s="47"/>
      <c r="K1168" s="45"/>
      <c r="L1168" s="457">
        <f t="shared" si="1089"/>
        <v>0</v>
      </c>
      <c r="M1168" s="458">
        <f t="shared" si="1090"/>
        <v>0</v>
      </c>
      <c r="N1168" s="458">
        <f t="shared" si="1091"/>
        <v>0</v>
      </c>
      <c r="O1168" s="458">
        <f t="shared" si="1092"/>
        <v>0</v>
      </c>
      <c r="P1168" s="458">
        <f t="shared" si="1093"/>
        <v>0</v>
      </c>
      <c r="Q1168" s="458">
        <f t="shared" si="1094"/>
        <v>0</v>
      </c>
      <c r="R1168" s="459">
        <f t="shared" si="1095"/>
        <v>0</v>
      </c>
      <c r="S1168" s="455"/>
      <c r="T1168" s="456"/>
      <c r="U1168" s="456"/>
      <c r="V1168" s="456"/>
      <c r="W1168" s="456"/>
      <c r="X1168" s="456"/>
      <c r="Y1168" s="456"/>
      <c r="Z1168" s="79">
        <f t="shared" ref="Z1168:AE1168" si="1117">AA1168</f>
        <v>0</v>
      </c>
      <c r="AA1168" s="78">
        <f t="shared" si="1117"/>
        <v>0</v>
      </c>
      <c r="AB1168" s="78">
        <f t="shared" si="1117"/>
        <v>0</v>
      </c>
      <c r="AC1168" s="78">
        <f t="shared" si="1117"/>
        <v>0</v>
      </c>
      <c r="AD1168" s="78">
        <f t="shared" si="1117"/>
        <v>0</v>
      </c>
      <c r="AE1168" s="78">
        <f t="shared" si="1117"/>
        <v>0</v>
      </c>
      <c r="AF1168" s="6">
        <v>0</v>
      </c>
      <c r="AG1168" s="33" t="str">
        <f t="shared" si="1116"/>
        <v>4.1 &gt; Panama</v>
      </c>
      <c r="AH1168" s="84">
        <f t="shared" si="1034"/>
        <v>1154</v>
      </c>
      <c r="AI1168" s="84">
        <f t="shared" si="1035"/>
        <v>43</v>
      </c>
      <c r="AJ1168" s="877" t="s">
        <v>1526</v>
      </c>
    </row>
    <row r="1169" spans="1:36" x14ac:dyDescent="0.2">
      <c r="A1169" s="492">
        <f>INDEX(Country!$F$31:$G$76, MATCH(AI1169, Country!$O$31:$O$76, 0), 1)</f>
        <v>4.0999999999999979</v>
      </c>
      <c r="B1169" s="2" t="str">
        <f>INDEX(Country!$F$31:$G$76, MATCH(AI1169, Country!$O$31:$O$76, 0), 2)</f>
        <v>Corporate energy efficiency initiatives</v>
      </c>
      <c r="C1169" s="436" t="str">
        <f>INDEX(Country!$K$31:$K$76, MATCH(AI1169, Country!$O$31:$O$76, 0), 1)</f>
        <v>Companies</v>
      </c>
      <c r="D1169" s="4" t="str">
        <f t="shared" si="1054"/>
        <v>Paraguay</v>
      </c>
      <c r="E1169" s="47"/>
      <c r="F1169" s="47"/>
      <c r="G1169" s="47"/>
      <c r="H1169" s="47"/>
      <c r="I1169" s="47"/>
      <c r="J1169" s="47"/>
      <c r="K1169" s="45"/>
      <c r="L1169" s="457">
        <f t="shared" si="1089"/>
        <v>0</v>
      </c>
      <c r="M1169" s="458">
        <f t="shared" si="1090"/>
        <v>0</v>
      </c>
      <c r="N1169" s="458">
        <f t="shared" si="1091"/>
        <v>0</v>
      </c>
      <c r="O1169" s="458">
        <f t="shared" si="1092"/>
        <v>0</v>
      </c>
      <c r="P1169" s="458">
        <f t="shared" si="1093"/>
        <v>0</v>
      </c>
      <c r="Q1169" s="458">
        <f t="shared" si="1094"/>
        <v>0</v>
      </c>
      <c r="R1169" s="459">
        <f t="shared" si="1095"/>
        <v>0</v>
      </c>
      <c r="S1169" s="455"/>
      <c r="T1169" s="456"/>
      <c r="U1169" s="456"/>
      <c r="V1169" s="456"/>
      <c r="W1169" s="456"/>
      <c r="X1169" s="456"/>
      <c r="Y1169" s="456"/>
      <c r="Z1169" s="79">
        <f t="shared" ref="Z1169:AE1169" si="1118">AA1169</f>
        <v>0</v>
      </c>
      <c r="AA1169" s="78">
        <f t="shared" si="1118"/>
        <v>0</v>
      </c>
      <c r="AB1169" s="78">
        <f t="shared" si="1118"/>
        <v>0</v>
      </c>
      <c r="AC1169" s="78">
        <f t="shared" si="1118"/>
        <v>0</v>
      </c>
      <c r="AD1169" s="78">
        <f t="shared" si="1118"/>
        <v>0</v>
      </c>
      <c r="AE1169" s="78">
        <f t="shared" si="1118"/>
        <v>0</v>
      </c>
      <c r="AF1169" s="6">
        <v>0</v>
      </c>
      <c r="AG1169" s="33" t="str">
        <f t="shared" si="1116"/>
        <v>4.1 &gt; Paraguay</v>
      </c>
      <c r="AH1169" s="84">
        <f t="shared" ref="AH1169:AH1232" si="1119">AH1168+1</f>
        <v>1155</v>
      </c>
      <c r="AI1169" s="84">
        <f t="shared" ref="AI1169:AI1232" si="1120">ROUNDUP(AH1169/COUNTA($D$15:$D$41),0)</f>
        <v>43</v>
      </c>
      <c r="AJ1169" s="877" t="s">
        <v>1526</v>
      </c>
    </row>
    <row r="1170" spans="1:36" x14ac:dyDescent="0.2">
      <c r="A1170" s="492">
        <f>INDEX(Country!$F$31:$G$76, MATCH(AI1170, Country!$O$31:$O$76, 0), 1)</f>
        <v>4.0999999999999979</v>
      </c>
      <c r="B1170" s="2" t="str">
        <f>INDEX(Country!$F$31:$G$76, MATCH(AI1170, Country!$O$31:$O$76, 0), 2)</f>
        <v>Corporate energy efficiency initiatives</v>
      </c>
      <c r="C1170" s="436" t="str">
        <f>INDEX(Country!$K$31:$K$76, MATCH(AI1170, Country!$O$31:$O$76, 0), 1)</f>
        <v>Companies</v>
      </c>
      <c r="D1170" s="4" t="str">
        <f t="shared" si="1054"/>
        <v>Peru</v>
      </c>
      <c r="E1170" s="47"/>
      <c r="F1170" s="47"/>
      <c r="G1170" s="47"/>
      <c r="H1170" s="47"/>
      <c r="I1170" s="47"/>
      <c r="J1170" s="47"/>
      <c r="K1170" s="45"/>
      <c r="L1170" s="457">
        <f t="shared" si="1089"/>
        <v>4.1757009345794396</v>
      </c>
      <c r="M1170" s="458">
        <f t="shared" si="1090"/>
        <v>4.1757009345794396</v>
      </c>
      <c r="N1170" s="458">
        <f t="shared" si="1091"/>
        <v>4.1757009345794396</v>
      </c>
      <c r="O1170" s="458">
        <f t="shared" si="1092"/>
        <v>4.1757009345794396</v>
      </c>
      <c r="P1170" s="458">
        <f t="shared" si="1093"/>
        <v>4.1757009345794396</v>
      </c>
      <c r="Q1170" s="458">
        <f t="shared" si="1094"/>
        <v>4.1757009345794396</v>
      </c>
      <c r="R1170" s="459">
        <f t="shared" si="1095"/>
        <v>4.1757009345794396</v>
      </c>
      <c r="S1170" s="455"/>
      <c r="T1170" s="456"/>
      <c r="U1170" s="456"/>
      <c r="V1170" s="456"/>
      <c r="W1170" s="456"/>
      <c r="X1170" s="456"/>
      <c r="Y1170" s="456"/>
      <c r="Z1170" s="79">
        <f t="shared" ref="Z1170:AE1170" si="1121">AA1170</f>
        <v>4.1757009345794398E-2</v>
      </c>
      <c r="AA1170" s="78">
        <f t="shared" si="1121"/>
        <v>4.1757009345794398E-2</v>
      </c>
      <c r="AB1170" s="78">
        <f t="shared" si="1121"/>
        <v>4.1757009345794398E-2</v>
      </c>
      <c r="AC1170" s="78">
        <f t="shared" si="1121"/>
        <v>4.1757009345794398E-2</v>
      </c>
      <c r="AD1170" s="78">
        <f t="shared" si="1121"/>
        <v>4.1757009345794398E-2</v>
      </c>
      <c r="AE1170" s="78">
        <f t="shared" si="1121"/>
        <v>4.1757009345794398E-2</v>
      </c>
      <c r="AF1170" s="6">
        <v>4.1757009345794398E-2</v>
      </c>
      <c r="AG1170" s="33" t="str">
        <f t="shared" si="1116"/>
        <v>4.1 &gt; Peru</v>
      </c>
      <c r="AH1170" s="84">
        <f t="shared" si="1119"/>
        <v>1156</v>
      </c>
      <c r="AI1170" s="84">
        <f t="shared" si="1120"/>
        <v>43</v>
      </c>
      <c r="AJ1170" s="877" t="s">
        <v>1526</v>
      </c>
    </row>
    <row r="1171" spans="1:36" x14ac:dyDescent="0.2">
      <c r="A1171" s="492">
        <f>INDEX(Country!$F$31:$G$76, MATCH(AI1171, Country!$O$31:$O$76, 0), 1)</f>
        <v>4.0999999999999979</v>
      </c>
      <c r="B1171" s="2" t="str">
        <f>INDEX(Country!$F$31:$G$76, MATCH(AI1171, Country!$O$31:$O$76, 0), 2)</f>
        <v>Corporate energy efficiency initiatives</v>
      </c>
      <c r="C1171" s="436" t="str">
        <f>INDEX(Country!$K$31:$K$76, MATCH(AI1171, Country!$O$31:$O$76, 0), 1)</f>
        <v>Companies</v>
      </c>
      <c r="D1171" s="4" t="str">
        <f t="shared" si="1054"/>
        <v>Suriname</v>
      </c>
      <c r="E1171" s="47"/>
      <c r="F1171" s="47"/>
      <c r="G1171" s="47"/>
      <c r="H1171" s="47"/>
      <c r="I1171" s="47"/>
      <c r="J1171" s="47"/>
      <c r="K1171" s="45"/>
      <c r="L1171" s="457">
        <f t="shared" si="1089"/>
        <v>0</v>
      </c>
      <c r="M1171" s="458">
        <f t="shared" si="1090"/>
        <v>0</v>
      </c>
      <c r="N1171" s="458">
        <f t="shared" si="1091"/>
        <v>0</v>
      </c>
      <c r="O1171" s="458">
        <f t="shared" si="1092"/>
        <v>0</v>
      </c>
      <c r="P1171" s="458">
        <f t="shared" si="1093"/>
        <v>0</v>
      </c>
      <c r="Q1171" s="458">
        <f t="shared" si="1094"/>
        <v>0</v>
      </c>
      <c r="R1171" s="459">
        <f t="shared" si="1095"/>
        <v>0</v>
      </c>
      <c r="S1171" s="455"/>
      <c r="T1171" s="456"/>
      <c r="U1171" s="456"/>
      <c r="V1171" s="456"/>
      <c r="W1171" s="456"/>
      <c r="X1171" s="456"/>
      <c r="Y1171" s="456"/>
      <c r="Z1171" s="79">
        <f t="shared" ref="Z1171:AE1171" si="1122">AA1171</f>
        <v>0</v>
      </c>
      <c r="AA1171" s="78">
        <f t="shared" si="1122"/>
        <v>0</v>
      </c>
      <c r="AB1171" s="78">
        <f t="shared" si="1122"/>
        <v>0</v>
      </c>
      <c r="AC1171" s="78">
        <f t="shared" si="1122"/>
        <v>0</v>
      </c>
      <c r="AD1171" s="78">
        <f t="shared" si="1122"/>
        <v>0</v>
      </c>
      <c r="AE1171" s="78">
        <f t="shared" si="1122"/>
        <v>0</v>
      </c>
      <c r="AF1171" s="6">
        <v>0</v>
      </c>
      <c r="AG1171" s="33" t="str">
        <f t="shared" si="1116"/>
        <v>4.1 &gt; Suriname</v>
      </c>
      <c r="AH1171" s="84">
        <f t="shared" si="1119"/>
        <v>1157</v>
      </c>
      <c r="AI1171" s="84">
        <f t="shared" si="1120"/>
        <v>43</v>
      </c>
      <c r="AJ1171" s="877" t="s">
        <v>1526</v>
      </c>
    </row>
    <row r="1172" spans="1:36" x14ac:dyDescent="0.2">
      <c r="A1172" s="492">
        <f>INDEX(Country!$F$31:$G$76, MATCH(AI1172, Country!$O$31:$O$76, 0), 1)</f>
        <v>4.0999999999999979</v>
      </c>
      <c r="B1172" s="2" t="str">
        <f>INDEX(Country!$F$31:$G$76, MATCH(AI1172, Country!$O$31:$O$76, 0), 2)</f>
        <v>Corporate energy efficiency initiatives</v>
      </c>
      <c r="C1172" s="436" t="str">
        <f>INDEX(Country!$K$31:$K$76, MATCH(AI1172, Country!$O$31:$O$76, 0), 1)</f>
        <v>Companies</v>
      </c>
      <c r="D1172" s="4" t="str">
        <f t="shared" si="1054"/>
        <v>Trinidad &amp; Tobago</v>
      </c>
      <c r="E1172" s="47"/>
      <c r="F1172" s="47"/>
      <c r="G1172" s="47"/>
      <c r="H1172" s="47"/>
      <c r="I1172" s="47"/>
      <c r="J1172" s="47"/>
      <c r="K1172" s="45"/>
      <c r="L1172" s="457">
        <f t="shared" si="1089"/>
        <v>0</v>
      </c>
      <c r="M1172" s="458">
        <f t="shared" si="1090"/>
        <v>0</v>
      </c>
      <c r="N1172" s="458">
        <f t="shared" si="1091"/>
        <v>0</v>
      </c>
      <c r="O1172" s="458">
        <f t="shared" si="1092"/>
        <v>0</v>
      </c>
      <c r="P1172" s="458">
        <f t="shared" si="1093"/>
        <v>0</v>
      </c>
      <c r="Q1172" s="458">
        <f t="shared" si="1094"/>
        <v>0</v>
      </c>
      <c r="R1172" s="459">
        <f t="shared" si="1095"/>
        <v>0</v>
      </c>
      <c r="S1172" s="455"/>
      <c r="T1172" s="456"/>
      <c r="U1172" s="456"/>
      <c r="V1172" s="456"/>
      <c r="W1172" s="456"/>
      <c r="X1172" s="456"/>
      <c r="Y1172" s="456"/>
      <c r="Z1172" s="79">
        <f t="shared" ref="Z1172:AE1172" si="1123">AA1172</f>
        <v>0</v>
      </c>
      <c r="AA1172" s="78">
        <f t="shared" si="1123"/>
        <v>0</v>
      </c>
      <c r="AB1172" s="78">
        <f t="shared" si="1123"/>
        <v>0</v>
      </c>
      <c r="AC1172" s="78">
        <f t="shared" si="1123"/>
        <v>0</v>
      </c>
      <c r="AD1172" s="78">
        <f t="shared" si="1123"/>
        <v>0</v>
      </c>
      <c r="AE1172" s="78">
        <f t="shared" si="1123"/>
        <v>0</v>
      </c>
      <c r="AF1172" s="6">
        <v>0</v>
      </c>
      <c r="AG1172" s="33" t="str">
        <f t="shared" si="1116"/>
        <v>4.1 &gt; Trinidad &amp; Tobago</v>
      </c>
      <c r="AH1172" s="84">
        <f t="shared" si="1119"/>
        <v>1158</v>
      </c>
      <c r="AI1172" s="84">
        <f t="shared" si="1120"/>
        <v>43</v>
      </c>
      <c r="AJ1172" s="877" t="s">
        <v>1526</v>
      </c>
    </row>
    <row r="1173" spans="1:36" x14ac:dyDescent="0.2">
      <c r="A1173" s="492">
        <f>INDEX(Country!$F$31:$G$76, MATCH(AI1173, Country!$O$31:$O$76, 0), 1)</f>
        <v>4.0999999999999979</v>
      </c>
      <c r="B1173" s="2" t="str">
        <f>INDEX(Country!$F$31:$G$76, MATCH(AI1173, Country!$O$31:$O$76, 0), 2)</f>
        <v>Corporate energy efficiency initiatives</v>
      </c>
      <c r="C1173" s="436" t="str">
        <f>INDEX(Country!$K$31:$K$76, MATCH(AI1173, Country!$O$31:$O$76, 0), 1)</f>
        <v>Companies</v>
      </c>
      <c r="D1173" s="4" t="str">
        <f t="shared" si="1054"/>
        <v>Uruguay</v>
      </c>
      <c r="E1173" s="47"/>
      <c r="F1173" s="47"/>
      <c r="G1173" s="47"/>
      <c r="H1173" s="47"/>
      <c r="I1173" s="47"/>
      <c r="J1173" s="47"/>
      <c r="K1173" s="45"/>
      <c r="L1173" s="457">
        <f t="shared" si="1089"/>
        <v>0</v>
      </c>
      <c r="M1173" s="458">
        <f t="shared" si="1090"/>
        <v>0</v>
      </c>
      <c r="N1173" s="458">
        <f t="shared" si="1091"/>
        <v>0</v>
      </c>
      <c r="O1173" s="458">
        <f t="shared" si="1092"/>
        <v>0</v>
      </c>
      <c r="P1173" s="458">
        <f t="shared" si="1093"/>
        <v>0</v>
      </c>
      <c r="Q1173" s="458">
        <f t="shared" si="1094"/>
        <v>0</v>
      </c>
      <c r="R1173" s="459">
        <f t="shared" si="1095"/>
        <v>0</v>
      </c>
      <c r="S1173" s="455"/>
      <c r="T1173" s="456"/>
      <c r="U1173" s="456"/>
      <c r="V1173" s="456"/>
      <c r="W1173" s="456"/>
      <c r="X1173" s="456"/>
      <c r="Y1173" s="456"/>
      <c r="Z1173" s="79">
        <f t="shared" ref="Z1173:AE1173" si="1124">AA1173</f>
        <v>0</v>
      </c>
      <c r="AA1173" s="78">
        <f t="shared" si="1124"/>
        <v>0</v>
      </c>
      <c r="AB1173" s="78">
        <f t="shared" si="1124"/>
        <v>0</v>
      </c>
      <c r="AC1173" s="78">
        <f t="shared" si="1124"/>
        <v>0</v>
      </c>
      <c r="AD1173" s="78">
        <f t="shared" si="1124"/>
        <v>0</v>
      </c>
      <c r="AE1173" s="78">
        <f t="shared" si="1124"/>
        <v>0</v>
      </c>
      <c r="AF1173" s="6">
        <v>0</v>
      </c>
      <c r="AG1173" s="33" t="str">
        <f t="shared" si="1116"/>
        <v>4.1 &gt; Uruguay</v>
      </c>
      <c r="AH1173" s="84">
        <f t="shared" si="1119"/>
        <v>1159</v>
      </c>
      <c r="AI1173" s="84">
        <f t="shared" si="1120"/>
        <v>43</v>
      </c>
      <c r="AJ1173" s="877" t="s">
        <v>1526</v>
      </c>
    </row>
    <row r="1174" spans="1:36" x14ac:dyDescent="0.2">
      <c r="A1174" s="491">
        <f>INDEX(Country!$F$31:$G$76, MATCH(AI1174, Country!$O$31:$O$76, 0), 1)</f>
        <v>4.0999999999999979</v>
      </c>
      <c r="B1174" s="386" t="str">
        <f>INDEX(Country!$F$31:$G$76, MATCH(AI1174, Country!$O$31:$O$76, 0), 2)</f>
        <v>Corporate energy efficiency initiatives</v>
      </c>
      <c r="C1174" s="437" t="str">
        <f>INDEX(Country!$K$31:$K$76, MATCH(AI1174, Country!$O$31:$O$76, 0), 1)</f>
        <v>Companies</v>
      </c>
      <c r="D1174" s="86" t="str">
        <f t="shared" si="1054"/>
        <v>Venezuela</v>
      </c>
      <c r="E1174" s="363"/>
      <c r="F1174" s="363"/>
      <c r="G1174" s="363"/>
      <c r="H1174" s="363"/>
      <c r="I1174" s="363"/>
      <c r="J1174" s="363"/>
      <c r="K1174" s="400"/>
      <c r="L1174" s="460">
        <f t="shared" si="1089"/>
        <v>0</v>
      </c>
      <c r="M1174" s="461">
        <f t="shared" si="1090"/>
        <v>0</v>
      </c>
      <c r="N1174" s="461">
        <f t="shared" si="1091"/>
        <v>0</v>
      </c>
      <c r="O1174" s="461">
        <f t="shared" si="1092"/>
        <v>0</v>
      </c>
      <c r="P1174" s="461">
        <f t="shared" si="1093"/>
        <v>0</v>
      </c>
      <c r="Q1174" s="461">
        <f t="shared" si="1094"/>
        <v>0</v>
      </c>
      <c r="R1174" s="462">
        <f t="shared" si="1095"/>
        <v>0</v>
      </c>
      <c r="S1174" s="455"/>
      <c r="T1174" s="456"/>
      <c r="U1174" s="456"/>
      <c r="V1174" s="456"/>
      <c r="W1174" s="456"/>
      <c r="X1174" s="456"/>
      <c r="Y1174" s="456"/>
      <c r="Z1174" s="93">
        <f t="shared" ref="Z1174:AE1174" si="1125">AA1174</f>
        <v>0</v>
      </c>
      <c r="AA1174" s="379">
        <f t="shared" si="1125"/>
        <v>0</v>
      </c>
      <c r="AB1174" s="379">
        <f t="shared" si="1125"/>
        <v>0</v>
      </c>
      <c r="AC1174" s="379">
        <f t="shared" si="1125"/>
        <v>0</v>
      </c>
      <c r="AD1174" s="379">
        <f t="shared" si="1125"/>
        <v>0</v>
      </c>
      <c r="AE1174" s="379">
        <f t="shared" si="1125"/>
        <v>0</v>
      </c>
      <c r="AF1174" s="390">
        <v>0</v>
      </c>
      <c r="AG1174" s="90" t="str">
        <f t="shared" si="1116"/>
        <v>4.1 &gt; Venezuela</v>
      </c>
      <c r="AH1174" s="392">
        <f t="shared" si="1119"/>
        <v>1160</v>
      </c>
      <c r="AI1174" s="392">
        <f t="shared" si="1120"/>
        <v>43</v>
      </c>
      <c r="AJ1174" s="878" t="s">
        <v>1526</v>
      </c>
    </row>
    <row r="1175" spans="1:36" x14ac:dyDescent="0.2">
      <c r="A1175" s="490">
        <f>INDEX(Country!$F$31:$G$76, MATCH(AI1175, Country!$O$31:$O$76, 0), 1)</f>
        <v>4.0999999999999979</v>
      </c>
      <c r="B1175" s="387" t="str">
        <f>INDEX(Country!$F$31:$G$76, MATCH(AI1175, Country!$O$31:$O$76, 0), 2)</f>
        <v>Corporate energy efficiency initiatives</v>
      </c>
      <c r="C1175" s="438" t="str">
        <f>INDEX(Country!$K$31:$K$76, MATCH(AI1175, Country!$O$31:$O$76, 0), 1)</f>
        <v>Companies</v>
      </c>
      <c r="D1175" s="32" t="str">
        <f t="shared" si="1054"/>
        <v>Benchmark</v>
      </c>
      <c r="E1175" s="362">
        <f t="shared" ref="E1175:K1175" si="1126">IFERROR(MAX(E1149:E1174), 0)</f>
        <v>0</v>
      </c>
      <c r="F1175" s="362">
        <f t="shared" si="1126"/>
        <v>0</v>
      </c>
      <c r="G1175" s="362">
        <f t="shared" si="1126"/>
        <v>0</v>
      </c>
      <c r="H1175" s="362">
        <f t="shared" si="1126"/>
        <v>0</v>
      </c>
      <c r="I1175" s="362">
        <f t="shared" si="1126"/>
        <v>0</v>
      </c>
      <c r="J1175" s="362">
        <f t="shared" si="1126"/>
        <v>0</v>
      </c>
      <c r="K1175" s="584">
        <f t="shared" si="1126"/>
        <v>0</v>
      </c>
      <c r="L1175" s="585">
        <f t="shared" si="1089"/>
        <v>100</v>
      </c>
      <c r="M1175" s="463">
        <f t="shared" si="1090"/>
        <v>100</v>
      </c>
      <c r="N1175" s="463">
        <f t="shared" si="1091"/>
        <v>100</v>
      </c>
      <c r="O1175" s="463">
        <f t="shared" si="1092"/>
        <v>100</v>
      </c>
      <c r="P1175" s="463">
        <f t="shared" si="1093"/>
        <v>100</v>
      </c>
      <c r="Q1175" s="463">
        <f t="shared" si="1094"/>
        <v>100</v>
      </c>
      <c r="R1175" s="586">
        <f t="shared" si="1095"/>
        <v>100</v>
      </c>
      <c r="S1175" s="393"/>
      <c r="T1175" s="394"/>
      <c r="U1175" s="376"/>
      <c r="V1175" s="376"/>
      <c r="W1175" s="376"/>
      <c r="X1175" s="376"/>
      <c r="Y1175" s="376"/>
      <c r="Z1175" s="423">
        <f t="shared" ref="Z1175:AE1175" si="1127">IFERROR(MAX(Z1149:Z1174), 0)</f>
        <v>1</v>
      </c>
      <c r="AA1175" s="365">
        <f t="shared" si="1127"/>
        <v>1</v>
      </c>
      <c r="AB1175" s="365">
        <f t="shared" si="1127"/>
        <v>1</v>
      </c>
      <c r="AC1175" s="365">
        <f t="shared" si="1127"/>
        <v>1</v>
      </c>
      <c r="AD1175" s="365">
        <f t="shared" si="1127"/>
        <v>1</v>
      </c>
      <c r="AE1175" s="365">
        <f t="shared" si="1127"/>
        <v>1</v>
      </c>
      <c r="AF1175" s="365">
        <f t="shared" ref="Z1175:AF1202" si="1128">IFERROR(MAX(AF1149:AF1174), 0)</f>
        <v>1</v>
      </c>
      <c r="AG1175" s="34" t="str">
        <f t="shared" si="1116"/>
        <v>4.1 &gt; Benchmark</v>
      </c>
      <c r="AH1175" s="85">
        <f t="shared" si="1119"/>
        <v>1161</v>
      </c>
      <c r="AI1175" s="85">
        <f t="shared" si="1120"/>
        <v>43</v>
      </c>
      <c r="AJ1175" s="871" t="s">
        <v>1526</v>
      </c>
    </row>
    <row r="1176" spans="1:36" x14ac:dyDescent="0.2">
      <c r="A1176" s="587">
        <f>INDEX(Country!$F$31:$G$76, MATCH(AI1176, Country!$O$31:$O$76, 0), 1)</f>
        <v>4.1099999999999977</v>
      </c>
      <c r="B1176" s="588" t="str">
        <f>INDEX(Country!$F$31:$G$76, MATCH(AI1176, Country!$O$31:$O$76, 0), 2)</f>
        <v>Corporate emission reduction policies</v>
      </c>
      <c r="C1176" s="589" t="str">
        <f>INDEX(Country!$K$31:$K$76, MATCH(AI1176, Country!$O$31:$O$76, 0), 1)</f>
        <v>Companies</v>
      </c>
      <c r="D1176" s="590" t="str">
        <f t="shared" si="1054"/>
        <v>Argentina</v>
      </c>
      <c r="E1176" s="614"/>
      <c r="F1176" s="614"/>
      <c r="G1176" s="614"/>
      <c r="H1176" s="47"/>
      <c r="I1176" s="47"/>
      <c r="J1176" s="47"/>
      <c r="K1176" s="615"/>
      <c r="L1176" s="580">
        <f t="shared" si="1089"/>
        <v>17.07559428265688</v>
      </c>
      <c r="M1176" s="581">
        <f t="shared" si="1090"/>
        <v>17.07559428265688</v>
      </c>
      <c r="N1176" s="581">
        <f t="shared" si="1091"/>
        <v>17.07559428265688</v>
      </c>
      <c r="O1176" s="581">
        <f t="shared" si="1092"/>
        <v>17.07559428265688</v>
      </c>
      <c r="P1176" s="581">
        <f t="shared" si="1093"/>
        <v>17.07559428265688</v>
      </c>
      <c r="Q1176" s="581">
        <f t="shared" si="1094"/>
        <v>17.07559428265688</v>
      </c>
      <c r="R1176" s="582">
        <f t="shared" si="1095"/>
        <v>17.07559428265688</v>
      </c>
      <c r="S1176" s="455"/>
      <c r="T1176" s="456"/>
      <c r="U1176" s="456"/>
      <c r="V1176" s="456"/>
      <c r="W1176" s="456"/>
      <c r="X1176" s="456"/>
      <c r="Y1176" s="456"/>
      <c r="Z1176" s="472">
        <f t="shared" ref="Z1176:AE1176" si="1129">AA1176</f>
        <v>0.17075594282656881</v>
      </c>
      <c r="AA1176" s="378">
        <f t="shared" si="1129"/>
        <v>0.17075594282656881</v>
      </c>
      <c r="AB1176" s="378">
        <f t="shared" si="1129"/>
        <v>0.17075594282656881</v>
      </c>
      <c r="AC1176" s="78">
        <f t="shared" si="1129"/>
        <v>0.17075594282656881</v>
      </c>
      <c r="AD1176" s="78">
        <f t="shared" si="1129"/>
        <v>0.17075594282656881</v>
      </c>
      <c r="AE1176" s="78">
        <f t="shared" si="1129"/>
        <v>0.17075594282656881</v>
      </c>
      <c r="AF1176" s="388">
        <v>0.17075594282656881</v>
      </c>
      <c r="AG1176" s="396" t="str">
        <f t="shared" si="1116"/>
        <v>4.11 &gt; Argentina</v>
      </c>
      <c r="AH1176" s="397">
        <f t="shared" si="1119"/>
        <v>1162</v>
      </c>
      <c r="AI1176" s="397">
        <f t="shared" si="1120"/>
        <v>44</v>
      </c>
      <c r="AJ1176" s="879" t="s">
        <v>1526</v>
      </c>
    </row>
    <row r="1177" spans="1:36" x14ac:dyDescent="0.2">
      <c r="A1177" s="492">
        <f>INDEX(Country!$F$31:$G$76, MATCH(AI1177, Country!$O$31:$O$76, 0), 1)</f>
        <v>4.1099999999999977</v>
      </c>
      <c r="B1177" s="2" t="str">
        <f>INDEX(Country!$F$31:$G$76, MATCH(AI1177, Country!$O$31:$O$76, 0), 2)</f>
        <v>Corporate emission reduction policies</v>
      </c>
      <c r="C1177" s="436" t="str">
        <f>INDEX(Country!$K$31:$K$76, MATCH(AI1177, Country!$O$31:$O$76, 0), 1)</f>
        <v>Companies</v>
      </c>
      <c r="D1177" s="4" t="str">
        <f t="shared" si="1054"/>
        <v>Bahamas</v>
      </c>
      <c r="E1177" s="47"/>
      <c r="F1177" s="47"/>
      <c r="G1177" s="47"/>
      <c r="H1177" s="47"/>
      <c r="I1177" s="47"/>
      <c r="J1177" s="47"/>
      <c r="K1177" s="45"/>
      <c r="L1177" s="457">
        <f t="shared" si="1089"/>
        <v>0</v>
      </c>
      <c r="M1177" s="458">
        <f t="shared" si="1090"/>
        <v>0</v>
      </c>
      <c r="N1177" s="458">
        <f t="shared" si="1091"/>
        <v>0</v>
      </c>
      <c r="O1177" s="458">
        <f t="shared" si="1092"/>
        <v>0</v>
      </c>
      <c r="P1177" s="458">
        <f t="shared" si="1093"/>
        <v>0</v>
      </c>
      <c r="Q1177" s="458">
        <f t="shared" si="1094"/>
        <v>0</v>
      </c>
      <c r="R1177" s="459">
        <f t="shared" si="1095"/>
        <v>0</v>
      </c>
      <c r="S1177" s="455"/>
      <c r="T1177" s="456"/>
      <c r="U1177" s="456"/>
      <c r="V1177" s="456"/>
      <c r="W1177" s="456"/>
      <c r="X1177" s="456"/>
      <c r="Y1177" s="456"/>
      <c r="Z1177" s="79">
        <f t="shared" ref="Z1177:AE1177" si="1130">AA1177</f>
        <v>0</v>
      </c>
      <c r="AA1177" s="78">
        <f t="shared" si="1130"/>
        <v>0</v>
      </c>
      <c r="AB1177" s="78">
        <f t="shared" si="1130"/>
        <v>0</v>
      </c>
      <c r="AC1177" s="78">
        <f t="shared" si="1130"/>
        <v>0</v>
      </c>
      <c r="AD1177" s="78">
        <f t="shared" si="1130"/>
        <v>0</v>
      </c>
      <c r="AE1177" s="78">
        <f t="shared" si="1130"/>
        <v>0</v>
      </c>
      <c r="AF1177" s="6">
        <v>0</v>
      </c>
      <c r="AG1177" s="33" t="str">
        <f t="shared" si="1116"/>
        <v>4.11 &gt; Bahamas</v>
      </c>
      <c r="AH1177" s="84">
        <f t="shared" si="1119"/>
        <v>1163</v>
      </c>
      <c r="AI1177" s="84">
        <f t="shared" si="1120"/>
        <v>44</v>
      </c>
      <c r="AJ1177" s="877" t="s">
        <v>1526</v>
      </c>
    </row>
    <row r="1178" spans="1:36" x14ac:dyDescent="0.2">
      <c r="A1178" s="492">
        <f>INDEX(Country!$F$31:$G$76, MATCH(AI1178, Country!$O$31:$O$76, 0), 1)</f>
        <v>4.1099999999999977</v>
      </c>
      <c r="B1178" s="2" t="str">
        <f>INDEX(Country!$F$31:$G$76, MATCH(AI1178, Country!$O$31:$O$76, 0), 2)</f>
        <v>Corporate emission reduction policies</v>
      </c>
      <c r="C1178" s="436" t="str">
        <f>INDEX(Country!$K$31:$K$76, MATCH(AI1178, Country!$O$31:$O$76, 0), 1)</f>
        <v>Companies</v>
      </c>
      <c r="D1178" s="4" t="str">
        <f t="shared" si="1054"/>
        <v>Barbados</v>
      </c>
      <c r="E1178" s="47"/>
      <c r="F1178" s="47"/>
      <c r="G1178" s="47"/>
      <c r="H1178" s="47"/>
      <c r="I1178" s="47"/>
      <c r="J1178" s="47"/>
      <c r="K1178" s="45"/>
      <c r="L1178" s="457">
        <f t="shared" si="1089"/>
        <v>0</v>
      </c>
      <c r="M1178" s="458">
        <f t="shared" si="1090"/>
        <v>0</v>
      </c>
      <c r="N1178" s="458">
        <f t="shared" si="1091"/>
        <v>0</v>
      </c>
      <c r="O1178" s="458">
        <f t="shared" si="1092"/>
        <v>0</v>
      </c>
      <c r="P1178" s="458">
        <f t="shared" si="1093"/>
        <v>0</v>
      </c>
      <c r="Q1178" s="458">
        <f t="shared" si="1094"/>
        <v>0</v>
      </c>
      <c r="R1178" s="459">
        <f t="shared" si="1095"/>
        <v>0</v>
      </c>
      <c r="S1178" s="455"/>
      <c r="T1178" s="456"/>
      <c r="U1178" s="456"/>
      <c r="V1178" s="456"/>
      <c r="W1178" s="456"/>
      <c r="X1178" s="456"/>
      <c r="Y1178" s="456"/>
      <c r="Z1178" s="79">
        <f t="shared" ref="Z1178:AE1178" si="1131">AA1178</f>
        <v>0</v>
      </c>
      <c r="AA1178" s="78">
        <f t="shared" si="1131"/>
        <v>0</v>
      </c>
      <c r="AB1178" s="78">
        <f t="shared" si="1131"/>
        <v>0</v>
      </c>
      <c r="AC1178" s="78">
        <f t="shared" si="1131"/>
        <v>0</v>
      </c>
      <c r="AD1178" s="78">
        <f t="shared" si="1131"/>
        <v>0</v>
      </c>
      <c r="AE1178" s="78">
        <f t="shared" si="1131"/>
        <v>0</v>
      </c>
      <c r="AF1178" s="6">
        <v>0</v>
      </c>
      <c r="AG1178" s="33" t="str">
        <f t="shared" si="1116"/>
        <v>4.11 &gt; Barbados</v>
      </c>
      <c r="AH1178" s="84">
        <f t="shared" si="1119"/>
        <v>1164</v>
      </c>
      <c r="AI1178" s="84">
        <f t="shared" si="1120"/>
        <v>44</v>
      </c>
      <c r="AJ1178" s="877" t="s">
        <v>1526</v>
      </c>
    </row>
    <row r="1179" spans="1:36" x14ac:dyDescent="0.2">
      <c r="A1179" s="492">
        <f>INDEX(Country!$F$31:$G$76, MATCH(AI1179, Country!$O$31:$O$76, 0), 1)</f>
        <v>4.1099999999999977</v>
      </c>
      <c r="B1179" s="2" t="str">
        <f>INDEX(Country!$F$31:$G$76, MATCH(AI1179, Country!$O$31:$O$76, 0), 2)</f>
        <v>Corporate emission reduction policies</v>
      </c>
      <c r="C1179" s="436" t="str">
        <f>INDEX(Country!$K$31:$K$76, MATCH(AI1179, Country!$O$31:$O$76, 0), 1)</f>
        <v>Companies</v>
      </c>
      <c r="D1179" s="4" t="str">
        <f t="shared" si="1054"/>
        <v>Belize</v>
      </c>
      <c r="E1179" s="47"/>
      <c r="F1179" s="47"/>
      <c r="G1179" s="47"/>
      <c r="H1179" s="47"/>
      <c r="I1179" s="47"/>
      <c r="J1179" s="47"/>
      <c r="K1179" s="45"/>
      <c r="L1179" s="457">
        <f t="shared" si="1089"/>
        <v>0</v>
      </c>
      <c r="M1179" s="458">
        <f t="shared" si="1090"/>
        <v>0</v>
      </c>
      <c r="N1179" s="458">
        <f t="shared" si="1091"/>
        <v>0</v>
      </c>
      <c r="O1179" s="458">
        <f t="shared" si="1092"/>
        <v>0</v>
      </c>
      <c r="P1179" s="458">
        <f t="shared" si="1093"/>
        <v>0</v>
      </c>
      <c r="Q1179" s="458">
        <f t="shared" si="1094"/>
        <v>0</v>
      </c>
      <c r="R1179" s="459">
        <f t="shared" si="1095"/>
        <v>0</v>
      </c>
      <c r="S1179" s="455"/>
      <c r="T1179" s="456"/>
      <c r="U1179" s="456"/>
      <c r="V1179" s="456"/>
      <c r="W1179" s="456"/>
      <c r="X1179" s="456"/>
      <c r="Y1179" s="456"/>
      <c r="Z1179" s="79">
        <f t="shared" ref="Z1179:AE1179" si="1132">AA1179</f>
        <v>0</v>
      </c>
      <c r="AA1179" s="78">
        <f t="shared" si="1132"/>
        <v>0</v>
      </c>
      <c r="AB1179" s="78">
        <f t="shared" si="1132"/>
        <v>0</v>
      </c>
      <c r="AC1179" s="78">
        <f t="shared" si="1132"/>
        <v>0</v>
      </c>
      <c r="AD1179" s="78">
        <f t="shared" si="1132"/>
        <v>0</v>
      </c>
      <c r="AE1179" s="78">
        <f t="shared" si="1132"/>
        <v>0</v>
      </c>
      <c r="AF1179" s="6">
        <v>0</v>
      </c>
      <c r="AG1179" s="33" t="str">
        <f t="shared" si="1116"/>
        <v>4.11 &gt; Belize</v>
      </c>
      <c r="AH1179" s="84">
        <f t="shared" si="1119"/>
        <v>1165</v>
      </c>
      <c r="AI1179" s="84">
        <f t="shared" si="1120"/>
        <v>44</v>
      </c>
      <c r="AJ1179" s="877" t="s">
        <v>1526</v>
      </c>
    </row>
    <row r="1180" spans="1:36" x14ac:dyDescent="0.2">
      <c r="A1180" s="492">
        <f>INDEX(Country!$F$31:$G$76, MATCH(AI1180, Country!$O$31:$O$76, 0), 1)</f>
        <v>4.1099999999999977</v>
      </c>
      <c r="B1180" s="2" t="str">
        <f>INDEX(Country!$F$31:$G$76, MATCH(AI1180, Country!$O$31:$O$76, 0), 2)</f>
        <v>Corporate emission reduction policies</v>
      </c>
      <c r="C1180" s="436" t="str">
        <f>INDEX(Country!$K$31:$K$76, MATCH(AI1180, Country!$O$31:$O$76, 0), 1)</f>
        <v>Companies</v>
      </c>
      <c r="D1180" s="4" t="str">
        <f t="shared" si="1054"/>
        <v>Bolivia</v>
      </c>
      <c r="E1180" s="47"/>
      <c r="F1180" s="47"/>
      <c r="G1180" s="47"/>
      <c r="H1180" s="47"/>
      <c r="I1180" s="47"/>
      <c r="J1180" s="47"/>
      <c r="K1180" s="45"/>
      <c r="L1180" s="457">
        <f t="shared" ref="L1180:L1211" si="1133">(Z1180)*dbl_BenchmarkMax</f>
        <v>0</v>
      </c>
      <c r="M1180" s="458">
        <f t="shared" ref="M1180:M1211" si="1134">(AA1180)*dbl_BenchmarkMax</f>
        <v>0</v>
      </c>
      <c r="N1180" s="458">
        <f t="shared" ref="N1180:N1211" si="1135">(AB1180)*dbl_BenchmarkMax</f>
        <v>0</v>
      </c>
      <c r="O1180" s="458">
        <f t="shared" ref="O1180:O1211" si="1136">(AC1180)*dbl_BenchmarkMax</f>
        <v>0</v>
      </c>
      <c r="P1180" s="458">
        <f t="shared" ref="P1180:P1211" si="1137">(AD1180)*dbl_BenchmarkMax</f>
        <v>0</v>
      </c>
      <c r="Q1180" s="458">
        <f t="shared" ref="Q1180:Q1211" si="1138">(AE1180)*dbl_BenchmarkMax</f>
        <v>0</v>
      </c>
      <c r="R1180" s="459">
        <f t="shared" ref="R1180:R1211" si="1139">(AF1180)*dbl_BenchmarkMax</f>
        <v>0</v>
      </c>
      <c r="S1180" s="455"/>
      <c r="T1180" s="456"/>
      <c r="U1180" s="456"/>
      <c r="V1180" s="456"/>
      <c r="W1180" s="456"/>
      <c r="X1180" s="456"/>
      <c r="Y1180" s="456"/>
      <c r="Z1180" s="79">
        <f t="shared" ref="Z1180:AE1180" si="1140">AA1180</f>
        <v>0</v>
      </c>
      <c r="AA1180" s="78">
        <f t="shared" si="1140"/>
        <v>0</v>
      </c>
      <c r="AB1180" s="78">
        <f t="shared" si="1140"/>
        <v>0</v>
      </c>
      <c r="AC1180" s="78">
        <f t="shared" si="1140"/>
        <v>0</v>
      </c>
      <c r="AD1180" s="78">
        <f t="shared" si="1140"/>
        <v>0</v>
      </c>
      <c r="AE1180" s="78">
        <f t="shared" si="1140"/>
        <v>0</v>
      </c>
      <c r="AF1180" s="6">
        <v>0</v>
      </c>
      <c r="AG1180" s="33" t="str">
        <f t="shared" si="1116"/>
        <v>4.11 &gt; Bolivia</v>
      </c>
      <c r="AH1180" s="84">
        <f t="shared" si="1119"/>
        <v>1166</v>
      </c>
      <c r="AI1180" s="84">
        <f t="shared" si="1120"/>
        <v>44</v>
      </c>
      <c r="AJ1180" s="877" t="s">
        <v>1526</v>
      </c>
    </row>
    <row r="1181" spans="1:36" x14ac:dyDescent="0.2">
      <c r="A1181" s="492">
        <f>INDEX(Country!$F$31:$G$76, MATCH(AI1181, Country!$O$31:$O$76, 0), 1)</f>
        <v>4.1099999999999977</v>
      </c>
      <c r="B1181" s="2" t="str">
        <f>INDEX(Country!$F$31:$G$76, MATCH(AI1181, Country!$O$31:$O$76, 0), 2)</f>
        <v>Corporate emission reduction policies</v>
      </c>
      <c r="C1181" s="436" t="str">
        <f>INDEX(Country!$K$31:$K$76, MATCH(AI1181, Country!$O$31:$O$76, 0), 1)</f>
        <v>Companies</v>
      </c>
      <c r="D1181" s="4" t="str">
        <f t="shared" si="1054"/>
        <v>Brazil</v>
      </c>
      <c r="E1181" s="47"/>
      <c r="F1181" s="47"/>
      <c r="G1181" s="47"/>
      <c r="H1181" s="47"/>
      <c r="I1181" s="47"/>
      <c r="J1181" s="47"/>
      <c r="K1181" s="45"/>
      <c r="L1181" s="457">
        <f t="shared" si="1133"/>
        <v>100</v>
      </c>
      <c r="M1181" s="458">
        <f t="shared" si="1134"/>
        <v>100</v>
      </c>
      <c r="N1181" s="458">
        <f t="shared" si="1135"/>
        <v>100</v>
      </c>
      <c r="O1181" s="458">
        <f t="shared" si="1136"/>
        <v>100</v>
      </c>
      <c r="P1181" s="458">
        <f t="shared" si="1137"/>
        <v>100</v>
      </c>
      <c r="Q1181" s="458">
        <f t="shared" si="1138"/>
        <v>100</v>
      </c>
      <c r="R1181" s="459">
        <f t="shared" si="1139"/>
        <v>100</v>
      </c>
      <c r="S1181" s="455"/>
      <c r="T1181" s="456"/>
      <c r="U1181" s="456"/>
      <c r="V1181" s="456"/>
      <c r="W1181" s="456"/>
      <c r="X1181" s="456"/>
      <c r="Y1181" s="456"/>
      <c r="Z1181" s="79">
        <f t="shared" ref="Z1181:AE1181" si="1141">AA1181</f>
        <v>1</v>
      </c>
      <c r="AA1181" s="78">
        <f t="shared" si="1141"/>
        <v>1</v>
      </c>
      <c r="AB1181" s="78">
        <f t="shared" si="1141"/>
        <v>1</v>
      </c>
      <c r="AC1181" s="78">
        <f t="shared" si="1141"/>
        <v>1</v>
      </c>
      <c r="AD1181" s="78">
        <f t="shared" si="1141"/>
        <v>1</v>
      </c>
      <c r="AE1181" s="78">
        <f t="shared" si="1141"/>
        <v>1</v>
      </c>
      <c r="AF1181" s="6">
        <v>1</v>
      </c>
      <c r="AG1181" s="33" t="str">
        <f t="shared" si="1116"/>
        <v>4.11 &gt; Brazil</v>
      </c>
      <c r="AH1181" s="84">
        <f t="shared" si="1119"/>
        <v>1167</v>
      </c>
      <c r="AI1181" s="84">
        <f t="shared" si="1120"/>
        <v>44</v>
      </c>
      <c r="AJ1181" s="877" t="s">
        <v>1526</v>
      </c>
    </row>
    <row r="1182" spans="1:36" x14ac:dyDescent="0.2">
      <c r="A1182" s="492">
        <f>INDEX(Country!$F$31:$G$76, MATCH(AI1182, Country!$O$31:$O$76, 0), 1)</f>
        <v>4.1099999999999977</v>
      </c>
      <c r="B1182" s="2" t="str">
        <f>INDEX(Country!$F$31:$G$76, MATCH(AI1182, Country!$O$31:$O$76, 0), 2)</f>
        <v>Corporate emission reduction policies</v>
      </c>
      <c r="C1182" s="436" t="str">
        <f>INDEX(Country!$K$31:$K$76, MATCH(AI1182, Country!$O$31:$O$76, 0), 1)</f>
        <v>Companies</v>
      </c>
      <c r="D1182" s="4" t="str">
        <f t="shared" si="1054"/>
        <v>Chile</v>
      </c>
      <c r="E1182" s="47"/>
      <c r="F1182" s="47"/>
      <c r="G1182" s="47"/>
      <c r="H1182" s="47"/>
      <c r="I1182" s="47"/>
      <c r="J1182" s="47"/>
      <c r="K1182" s="45"/>
      <c r="L1182" s="457">
        <f t="shared" si="1133"/>
        <v>63.547148343052193</v>
      </c>
      <c r="M1182" s="458">
        <f t="shared" si="1134"/>
        <v>63.547148343052193</v>
      </c>
      <c r="N1182" s="458">
        <f t="shared" si="1135"/>
        <v>63.547148343052193</v>
      </c>
      <c r="O1182" s="458">
        <f t="shared" si="1136"/>
        <v>63.547148343052193</v>
      </c>
      <c r="P1182" s="458">
        <f t="shared" si="1137"/>
        <v>63.547148343052193</v>
      </c>
      <c r="Q1182" s="458">
        <f t="shared" si="1138"/>
        <v>63.547148343052193</v>
      </c>
      <c r="R1182" s="459">
        <f t="shared" si="1139"/>
        <v>63.547148343052193</v>
      </c>
      <c r="S1182" s="455"/>
      <c r="T1182" s="456"/>
      <c r="U1182" s="456"/>
      <c r="V1182" s="456"/>
      <c r="W1182" s="456"/>
      <c r="X1182" s="456"/>
      <c r="Y1182" s="456"/>
      <c r="Z1182" s="79">
        <f t="shared" ref="Z1182:AE1182" si="1142">AA1182</f>
        <v>0.63547148343052196</v>
      </c>
      <c r="AA1182" s="78">
        <f t="shared" si="1142"/>
        <v>0.63547148343052196</v>
      </c>
      <c r="AB1182" s="78">
        <f t="shared" si="1142"/>
        <v>0.63547148343052196</v>
      </c>
      <c r="AC1182" s="78">
        <f t="shared" si="1142"/>
        <v>0.63547148343052196</v>
      </c>
      <c r="AD1182" s="78">
        <f t="shared" si="1142"/>
        <v>0.63547148343052196</v>
      </c>
      <c r="AE1182" s="78">
        <f t="shared" si="1142"/>
        <v>0.63547148343052196</v>
      </c>
      <c r="AF1182" s="6">
        <v>0.63547148343052196</v>
      </c>
      <c r="AG1182" s="33" t="str">
        <f t="shared" si="1116"/>
        <v>4.11 &gt; Chile</v>
      </c>
      <c r="AH1182" s="84">
        <f t="shared" si="1119"/>
        <v>1168</v>
      </c>
      <c r="AI1182" s="84">
        <f t="shared" si="1120"/>
        <v>44</v>
      </c>
      <c r="AJ1182" s="877" t="s">
        <v>1526</v>
      </c>
    </row>
    <row r="1183" spans="1:36" x14ac:dyDescent="0.2">
      <c r="A1183" s="492">
        <f>INDEX(Country!$F$31:$G$76, MATCH(AI1183, Country!$O$31:$O$76, 0), 1)</f>
        <v>4.1099999999999977</v>
      </c>
      <c r="B1183" s="2" t="str">
        <f>INDEX(Country!$F$31:$G$76, MATCH(AI1183, Country!$O$31:$O$76, 0), 2)</f>
        <v>Corporate emission reduction policies</v>
      </c>
      <c r="C1183" s="436" t="str">
        <f>INDEX(Country!$K$31:$K$76, MATCH(AI1183, Country!$O$31:$O$76, 0), 1)</f>
        <v>Companies</v>
      </c>
      <c r="D1183" s="4" t="str">
        <f t="shared" si="1054"/>
        <v>Colombia</v>
      </c>
      <c r="E1183" s="47"/>
      <c r="F1183" s="47"/>
      <c r="G1183" s="47"/>
      <c r="H1183" s="47"/>
      <c r="I1183" s="47"/>
      <c r="J1183" s="47"/>
      <c r="K1183" s="45"/>
      <c r="L1183" s="457">
        <f t="shared" si="1133"/>
        <v>35.553999427061783</v>
      </c>
      <c r="M1183" s="458">
        <f t="shared" si="1134"/>
        <v>35.553999427061783</v>
      </c>
      <c r="N1183" s="458">
        <f t="shared" si="1135"/>
        <v>35.553999427061783</v>
      </c>
      <c r="O1183" s="458">
        <f t="shared" si="1136"/>
        <v>35.553999427061783</v>
      </c>
      <c r="P1183" s="458">
        <f t="shared" si="1137"/>
        <v>35.553999427061783</v>
      </c>
      <c r="Q1183" s="458">
        <f t="shared" si="1138"/>
        <v>35.553999427061783</v>
      </c>
      <c r="R1183" s="459">
        <f t="shared" si="1139"/>
        <v>35.553999427061783</v>
      </c>
      <c r="S1183" s="455"/>
      <c r="T1183" s="456"/>
      <c r="U1183" s="456"/>
      <c r="V1183" s="456"/>
      <c r="W1183" s="456"/>
      <c r="X1183" s="456"/>
      <c r="Y1183" s="456"/>
      <c r="Z1183" s="79">
        <f t="shared" ref="Z1183:AE1183" si="1143">AA1183</f>
        <v>0.35553999427061783</v>
      </c>
      <c r="AA1183" s="78">
        <f t="shared" si="1143"/>
        <v>0.35553999427061783</v>
      </c>
      <c r="AB1183" s="78">
        <f t="shared" si="1143"/>
        <v>0.35553999427061783</v>
      </c>
      <c r="AC1183" s="78">
        <f t="shared" si="1143"/>
        <v>0.35553999427061783</v>
      </c>
      <c r="AD1183" s="78">
        <f t="shared" si="1143"/>
        <v>0.35553999427061783</v>
      </c>
      <c r="AE1183" s="78">
        <f t="shared" si="1143"/>
        <v>0.35553999427061783</v>
      </c>
      <c r="AF1183" s="6">
        <v>0.35553999427061783</v>
      </c>
      <c r="AG1183" s="33" t="str">
        <f t="shared" si="1116"/>
        <v>4.11 &gt; Colombia</v>
      </c>
      <c r="AH1183" s="84">
        <f t="shared" si="1119"/>
        <v>1169</v>
      </c>
      <c r="AI1183" s="84">
        <f t="shared" si="1120"/>
        <v>44</v>
      </c>
      <c r="AJ1183" s="877" t="s">
        <v>1526</v>
      </c>
    </row>
    <row r="1184" spans="1:36" x14ac:dyDescent="0.2">
      <c r="A1184" s="492">
        <f>INDEX(Country!$F$31:$G$76, MATCH(AI1184, Country!$O$31:$O$76, 0), 1)</f>
        <v>4.1099999999999977</v>
      </c>
      <c r="B1184" s="2" t="str">
        <f>INDEX(Country!$F$31:$G$76, MATCH(AI1184, Country!$O$31:$O$76, 0), 2)</f>
        <v>Corporate emission reduction policies</v>
      </c>
      <c r="C1184" s="436" t="str">
        <f>INDEX(Country!$K$31:$K$76, MATCH(AI1184, Country!$O$31:$O$76, 0), 1)</f>
        <v>Companies</v>
      </c>
      <c r="D1184" s="4" t="str">
        <f t="shared" si="1054"/>
        <v>Costa Rica</v>
      </c>
      <c r="E1184" s="47"/>
      <c r="F1184" s="47"/>
      <c r="G1184" s="47"/>
      <c r="H1184" s="47"/>
      <c r="I1184" s="47"/>
      <c r="J1184" s="47"/>
      <c r="K1184" s="45"/>
      <c r="L1184" s="457">
        <f t="shared" si="1133"/>
        <v>0</v>
      </c>
      <c r="M1184" s="458">
        <f t="shared" si="1134"/>
        <v>0</v>
      </c>
      <c r="N1184" s="458">
        <f t="shared" si="1135"/>
        <v>0</v>
      </c>
      <c r="O1184" s="458">
        <f t="shared" si="1136"/>
        <v>0</v>
      </c>
      <c r="P1184" s="458">
        <f t="shared" si="1137"/>
        <v>0</v>
      </c>
      <c r="Q1184" s="458">
        <f t="shared" si="1138"/>
        <v>0</v>
      </c>
      <c r="R1184" s="459">
        <f t="shared" si="1139"/>
        <v>0</v>
      </c>
      <c r="S1184" s="455"/>
      <c r="T1184" s="456"/>
      <c r="U1184" s="456"/>
      <c r="V1184" s="456"/>
      <c r="W1184" s="456"/>
      <c r="X1184" s="456"/>
      <c r="Y1184" s="456"/>
      <c r="Z1184" s="79">
        <f t="shared" ref="Z1184:AE1184" si="1144">AA1184</f>
        <v>0</v>
      </c>
      <c r="AA1184" s="78">
        <f t="shared" si="1144"/>
        <v>0</v>
      </c>
      <c r="AB1184" s="78">
        <f t="shared" si="1144"/>
        <v>0</v>
      </c>
      <c r="AC1184" s="78">
        <f t="shared" si="1144"/>
        <v>0</v>
      </c>
      <c r="AD1184" s="78">
        <f t="shared" si="1144"/>
        <v>0</v>
      </c>
      <c r="AE1184" s="78">
        <f t="shared" si="1144"/>
        <v>0</v>
      </c>
      <c r="AF1184" s="6">
        <v>0</v>
      </c>
      <c r="AG1184" s="33" t="str">
        <f t="shared" si="1116"/>
        <v>4.11 &gt; Costa Rica</v>
      </c>
      <c r="AH1184" s="84">
        <f t="shared" si="1119"/>
        <v>1170</v>
      </c>
      <c r="AI1184" s="84">
        <f t="shared" si="1120"/>
        <v>44</v>
      </c>
      <c r="AJ1184" s="877" t="s">
        <v>1526</v>
      </c>
    </row>
    <row r="1185" spans="1:36" x14ac:dyDescent="0.2">
      <c r="A1185" s="492">
        <f>INDEX(Country!$F$31:$G$76, MATCH(AI1185, Country!$O$31:$O$76, 0), 1)</f>
        <v>4.1099999999999977</v>
      </c>
      <c r="B1185" s="2" t="str">
        <f>INDEX(Country!$F$31:$G$76, MATCH(AI1185, Country!$O$31:$O$76, 0), 2)</f>
        <v>Corporate emission reduction policies</v>
      </c>
      <c r="C1185" s="436" t="str">
        <f>INDEX(Country!$K$31:$K$76, MATCH(AI1185, Country!$O$31:$O$76, 0), 1)</f>
        <v>Companies</v>
      </c>
      <c r="D1185" s="4" t="str">
        <f t="shared" si="1054"/>
        <v>Dominican Republic</v>
      </c>
      <c r="E1185" s="47"/>
      <c r="F1185" s="47"/>
      <c r="G1185" s="47"/>
      <c r="H1185" s="47"/>
      <c r="I1185" s="47"/>
      <c r="J1185" s="47"/>
      <c r="K1185" s="45"/>
      <c r="L1185" s="457">
        <f t="shared" si="1133"/>
        <v>0</v>
      </c>
      <c r="M1185" s="458">
        <f t="shared" si="1134"/>
        <v>0</v>
      </c>
      <c r="N1185" s="458">
        <f t="shared" si="1135"/>
        <v>0</v>
      </c>
      <c r="O1185" s="458">
        <f t="shared" si="1136"/>
        <v>0</v>
      </c>
      <c r="P1185" s="458">
        <f t="shared" si="1137"/>
        <v>0</v>
      </c>
      <c r="Q1185" s="458">
        <f t="shared" si="1138"/>
        <v>0</v>
      </c>
      <c r="R1185" s="459">
        <f t="shared" si="1139"/>
        <v>0</v>
      </c>
      <c r="S1185" s="455"/>
      <c r="T1185" s="456"/>
      <c r="U1185" s="456"/>
      <c r="V1185" s="456"/>
      <c r="W1185" s="456"/>
      <c r="X1185" s="456"/>
      <c r="Y1185" s="456"/>
      <c r="Z1185" s="79">
        <f t="shared" ref="Z1185:AE1185" si="1145">AA1185</f>
        <v>0</v>
      </c>
      <c r="AA1185" s="78">
        <f t="shared" si="1145"/>
        <v>0</v>
      </c>
      <c r="AB1185" s="78">
        <f t="shared" si="1145"/>
        <v>0</v>
      </c>
      <c r="AC1185" s="78">
        <f t="shared" si="1145"/>
        <v>0</v>
      </c>
      <c r="AD1185" s="78">
        <f t="shared" si="1145"/>
        <v>0</v>
      </c>
      <c r="AE1185" s="78">
        <f t="shared" si="1145"/>
        <v>0</v>
      </c>
      <c r="AF1185" s="6">
        <v>0</v>
      </c>
      <c r="AG1185" s="33" t="str">
        <f t="shared" si="1116"/>
        <v>4.11 &gt; Dominican Republic</v>
      </c>
      <c r="AH1185" s="84">
        <f t="shared" si="1119"/>
        <v>1171</v>
      </c>
      <c r="AI1185" s="84">
        <f t="shared" si="1120"/>
        <v>44</v>
      </c>
      <c r="AJ1185" s="877" t="s">
        <v>1526</v>
      </c>
    </row>
    <row r="1186" spans="1:36" x14ac:dyDescent="0.2">
      <c r="A1186" s="492">
        <f>INDEX(Country!$F$31:$G$76, MATCH(AI1186, Country!$O$31:$O$76, 0), 1)</f>
        <v>4.1099999999999977</v>
      </c>
      <c r="B1186" s="2" t="str">
        <f>INDEX(Country!$F$31:$G$76, MATCH(AI1186, Country!$O$31:$O$76, 0), 2)</f>
        <v>Corporate emission reduction policies</v>
      </c>
      <c r="C1186" s="436" t="str">
        <f>INDEX(Country!$K$31:$K$76, MATCH(AI1186, Country!$O$31:$O$76, 0), 1)</f>
        <v>Companies</v>
      </c>
      <c r="D1186" s="4" t="str">
        <f t="shared" ref="D1186:D1202" si="1146">D1159</f>
        <v>Ecuador</v>
      </c>
      <c r="E1186" s="47"/>
      <c r="F1186" s="47"/>
      <c r="G1186" s="47"/>
      <c r="H1186" s="47"/>
      <c r="I1186" s="47"/>
      <c r="J1186" s="47"/>
      <c r="K1186" s="45"/>
      <c r="L1186" s="457">
        <f t="shared" si="1133"/>
        <v>0</v>
      </c>
      <c r="M1186" s="458">
        <f t="shared" si="1134"/>
        <v>0</v>
      </c>
      <c r="N1186" s="458">
        <f t="shared" si="1135"/>
        <v>0</v>
      </c>
      <c r="O1186" s="458">
        <f t="shared" si="1136"/>
        <v>0</v>
      </c>
      <c r="P1186" s="458">
        <f t="shared" si="1137"/>
        <v>0</v>
      </c>
      <c r="Q1186" s="458">
        <f t="shared" si="1138"/>
        <v>0</v>
      </c>
      <c r="R1186" s="459">
        <f t="shared" si="1139"/>
        <v>0</v>
      </c>
      <c r="S1186" s="455"/>
      <c r="T1186" s="456"/>
      <c r="U1186" s="456"/>
      <c r="V1186" s="456"/>
      <c r="W1186" s="456"/>
      <c r="X1186" s="456"/>
      <c r="Y1186" s="456"/>
      <c r="Z1186" s="79">
        <f t="shared" ref="Z1186:AE1186" si="1147">AA1186</f>
        <v>0</v>
      </c>
      <c r="AA1186" s="78">
        <f t="shared" si="1147"/>
        <v>0</v>
      </c>
      <c r="AB1186" s="78">
        <f t="shared" si="1147"/>
        <v>0</v>
      </c>
      <c r="AC1186" s="78">
        <f t="shared" si="1147"/>
        <v>0</v>
      </c>
      <c r="AD1186" s="78">
        <f t="shared" si="1147"/>
        <v>0</v>
      </c>
      <c r="AE1186" s="78">
        <f t="shared" si="1147"/>
        <v>0</v>
      </c>
      <c r="AF1186" s="6">
        <v>0</v>
      </c>
      <c r="AG1186" s="33" t="str">
        <f t="shared" si="1116"/>
        <v>4.11 &gt; Ecuador</v>
      </c>
      <c r="AH1186" s="84">
        <f t="shared" si="1119"/>
        <v>1172</v>
      </c>
      <c r="AI1186" s="84">
        <f t="shared" si="1120"/>
        <v>44</v>
      </c>
      <c r="AJ1186" s="877" t="s">
        <v>1526</v>
      </c>
    </row>
    <row r="1187" spans="1:36" x14ac:dyDescent="0.2">
      <c r="A1187" s="492">
        <f>INDEX(Country!$F$31:$G$76, MATCH(AI1187, Country!$O$31:$O$76, 0), 1)</f>
        <v>4.1099999999999977</v>
      </c>
      <c r="B1187" s="2" t="str">
        <f>INDEX(Country!$F$31:$G$76, MATCH(AI1187, Country!$O$31:$O$76, 0), 2)</f>
        <v>Corporate emission reduction policies</v>
      </c>
      <c r="C1187" s="436" t="str">
        <f>INDEX(Country!$K$31:$K$76, MATCH(AI1187, Country!$O$31:$O$76, 0), 1)</f>
        <v>Companies</v>
      </c>
      <c r="D1187" s="4" t="str">
        <f t="shared" si="1146"/>
        <v>El Salvador</v>
      </c>
      <c r="E1187" s="47"/>
      <c r="F1187" s="47"/>
      <c r="G1187" s="47"/>
      <c r="H1187" s="47"/>
      <c r="I1187" s="47"/>
      <c r="J1187" s="47"/>
      <c r="K1187" s="45"/>
      <c r="L1187" s="457">
        <f t="shared" si="1133"/>
        <v>0</v>
      </c>
      <c r="M1187" s="458">
        <f t="shared" si="1134"/>
        <v>0</v>
      </c>
      <c r="N1187" s="458">
        <f t="shared" si="1135"/>
        <v>0</v>
      </c>
      <c r="O1187" s="458">
        <f t="shared" si="1136"/>
        <v>0</v>
      </c>
      <c r="P1187" s="458">
        <f t="shared" si="1137"/>
        <v>0</v>
      </c>
      <c r="Q1187" s="458">
        <f t="shared" si="1138"/>
        <v>0</v>
      </c>
      <c r="R1187" s="459">
        <f t="shared" si="1139"/>
        <v>0</v>
      </c>
      <c r="S1187" s="455"/>
      <c r="T1187" s="456"/>
      <c r="U1187" s="456"/>
      <c r="V1187" s="456"/>
      <c r="W1187" s="456"/>
      <c r="X1187" s="456"/>
      <c r="Y1187" s="456"/>
      <c r="Z1187" s="79">
        <f t="shared" ref="Z1187:AE1187" si="1148">AA1187</f>
        <v>0</v>
      </c>
      <c r="AA1187" s="78">
        <f t="shared" si="1148"/>
        <v>0</v>
      </c>
      <c r="AB1187" s="78">
        <f t="shared" si="1148"/>
        <v>0</v>
      </c>
      <c r="AC1187" s="78">
        <f t="shared" si="1148"/>
        <v>0</v>
      </c>
      <c r="AD1187" s="78">
        <f t="shared" si="1148"/>
        <v>0</v>
      </c>
      <c r="AE1187" s="78">
        <f t="shared" si="1148"/>
        <v>0</v>
      </c>
      <c r="AF1187" s="6">
        <v>0</v>
      </c>
      <c r="AG1187" s="33" t="str">
        <f t="shared" si="1116"/>
        <v>4.11 &gt; El Salvador</v>
      </c>
      <c r="AH1187" s="84">
        <f t="shared" si="1119"/>
        <v>1173</v>
      </c>
      <c r="AI1187" s="84">
        <f t="shared" si="1120"/>
        <v>44</v>
      </c>
      <c r="AJ1187" s="877" t="s">
        <v>1526</v>
      </c>
    </row>
    <row r="1188" spans="1:36" x14ac:dyDescent="0.2">
      <c r="A1188" s="492">
        <f>INDEX(Country!$F$31:$G$76, MATCH(AI1188, Country!$O$31:$O$76, 0), 1)</f>
        <v>4.1099999999999977</v>
      </c>
      <c r="B1188" s="2" t="str">
        <f>INDEX(Country!$F$31:$G$76, MATCH(AI1188, Country!$O$31:$O$76, 0), 2)</f>
        <v>Corporate emission reduction policies</v>
      </c>
      <c r="C1188" s="436" t="str">
        <f>INDEX(Country!$K$31:$K$76, MATCH(AI1188, Country!$O$31:$O$76, 0), 1)</f>
        <v>Companies</v>
      </c>
      <c r="D1188" s="4" t="str">
        <f t="shared" si="1146"/>
        <v>Guatemala</v>
      </c>
      <c r="E1188" s="47"/>
      <c r="F1188" s="47"/>
      <c r="G1188" s="47"/>
      <c r="H1188" s="47"/>
      <c r="I1188" s="47"/>
      <c r="J1188" s="47"/>
      <c r="K1188" s="45"/>
      <c r="L1188" s="457">
        <f t="shared" si="1133"/>
        <v>0</v>
      </c>
      <c r="M1188" s="458">
        <f t="shared" si="1134"/>
        <v>0</v>
      </c>
      <c r="N1188" s="458">
        <f t="shared" si="1135"/>
        <v>0</v>
      </c>
      <c r="O1188" s="458">
        <f t="shared" si="1136"/>
        <v>0</v>
      </c>
      <c r="P1188" s="458">
        <f t="shared" si="1137"/>
        <v>0</v>
      </c>
      <c r="Q1188" s="458">
        <f t="shared" si="1138"/>
        <v>0</v>
      </c>
      <c r="R1188" s="459">
        <f t="shared" si="1139"/>
        <v>0</v>
      </c>
      <c r="S1188" s="455"/>
      <c r="T1188" s="456"/>
      <c r="U1188" s="456"/>
      <c r="V1188" s="456"/>
      <c r="W1188" s="456"/>
      <c r="X1188" s="456"/>
      <c r="Y1188" s="456"/>
      <c r="Z1188" s="79">
        <f t="shared" ref="Z1188:AE1188" si="1149">AA1188</f>
        <v>0</v>
      </c>
      <c r="AA1188" s="78">
        <f t="shared" si="1149"/>
        <v>0</v>
      </c>
      <c r="AB1188" s="78">
        <f t="shared" si="1149"/>
        <v>0</v>
      </c>
      <c r="AC1188" s="78">
        <f t="shared" si="1149"/>
        <v>0</v>
      </c>
      <c r="AD1188" s="78">
        <f t="shared" si="1149"/>
        <v>0</v>
      </c>
      <c r="AE1188" s="78">
        <f t="shared" si="1149"/>
        <v>0</v>
      </c>
      <c r="AF1188" s="6">
        <v>0</v>
      </c>
      <c r="AG1188" s="33" t="str">
        <f t="shared" si="1116"/>
        <v>4.11 &gt; Guatemala</v>
      </c>
      <c r="AH1188" s="84">
        <f t="shared" si="1119"/>
        <v>1174</v>
      </c>
      <c r="AI1188" s="84">
        <f t="shared" si="1120"/>
        <v>44</v>
      </c>
      <c r="AJ1188" s="877" t="s">
        <v>1526</v>
      </c>
    </row>
    <row r="1189" spans="1:36" x14ac:dyDescent="0.2">
      <c r="A1189" s="492">
        <f>INDEX(Country!$F$31:$G$76, MATCH(AI1189, Country!$O$31:$O$76, 0), 1)</f>
        <v>4.1099999999999977</v>
      </c>
      <c r="B1189" s="2" t="str">
        <f>INDEX(Country!$F$31:$G$76, MATCH(AI1189, Country!$O$31:$O$76, 0), 2)</f>
        <v>Corporate emission reduction policies</v>
      </c>
      <c r="C1189" s="436" t="str">
        <f>INDEX(Country!$K$31:$K$76, MATCH(AI1189, Country!$O$31:$O$76, 0), 1)</f>
        <v>Companies</v>
      </c>
      <c r="D1189" s="4" t="str">
        <f t="shared" si="1146"/>
        <v>Guyana</v>
      </c>
      <c r="E1189" s="47"/>
      <c r="F1189" s="47"/>
      <c r="G1189" s="47"/>
      <c r="H1189" s="47"/>
      <c r="I1189" s="47"/>
      <c r="J1189" s="47"/>
      <c r="K1189" s="45"/>
      <c r="L1189" s="457">
        <f t="shared" si="1133"/>
        <v>0</v>
      </c>
      <c r="M1189" s="458">
        <f t="shared" si="1134"/>
        <v>0</v>
      </c>
      <c r="N1189" s="458">
        <f t="shared" si="1135"/>
        <v>0</v>
      </c>
      <c r="O1189" s="458">
        <f t="shared" si="1136"/>
        <v>0</v>
      </c>
      <c r="P1189" s="458">
        <f t="shared" si="1137"/>
        <v>0</v>
      </c>
      <c r="Q1189" s="458">
        <f t="shared" si="1138"/>
        <v>0</v>
      </c>
      <c r="R1189" s="459">
        <f t="shared" si="1139"/>
        <v>0</v>
      </c>
      <c r="S1189" s="455"/>
      <c r="T1189" s="456"/>
      <c r="U1189" s="456"/>
      <c r="V1189" s="456"/>
      <c r="W1189" s="456"/>
      <c r="X1189" s="456"/>
      <c r="Y1189" s="456"/>
      <c r="Z1189" s="79">
        <f t="shared" ref="Z1189:AE1189" si="1150">AA1189</f>
        <v>0</v>
      </c>
      <c r="AA1189" s="78">
        <f t="shared" si="1150"/>
        <v>0</v>
      </c>
      <c r="AB1189" s="78">
        <f t="shared" si="1150"/>
        <v>0</v>
      </c>
      <c r="AC1189" s="78">
        <f t="shared" si="1150"/>
        <v>0</v>
      </c>
      <c r="AD1189" s="78">
        <f t="shared" si="1150"/>
        <v>0</v>
      </c>
      <c r="AE1189" s="78">
        <f t="shared" si="1150"/>
        <v>0</v>
      </c>
      <c r="AF1189" s="6">
        <v>0</v>
      </c>
      <c r="AG1189" s="33" t="str">
        <f t="shared" si="1116"/>
        <v>4.11 &gt; Guyana</v>
      </c>
      <c r="AH1189" s="84">
        <f t="shared" si="1119"/>
        <v>1175</v>
      </c>
      <c r="AI1189" s="84">
        <f t="shared" si="1120"/>
        <v>44</v>
      </c>
      <c r="AJ1189" s="877" t="s">
        <v>1526</v>
      </c>
    </row>
    <row r="1190" spans="1:36" x14ac:dyDescent="0.2">
      <c r="A1190" s="492">
        <f>INDEX(Country!$F$31:$G$76, MATCH(AI1190, Country!$O$31:$O$76, 0), 1)</f>
        <v>4.1099999999999977</v>
      </c>
      <c r="B1190" s="2" t="str">
        <f>INDEX(Country!$F$31:$G$76, MATCH(AI1190, Country!$O$31:$O$76, 0), 2)</f>
        <v>Corporate emission reduction policies</v>
      </c>
      <c r="C1190" s="436" t="str">
        <f>INDEX(Country!$K$31:$K$76, MATCH(AI1190, Country!$O$31:$O$76, 0), 1)</f>
        <v>Companies</v>
      </c>
      <c r="D1190" s="4" t="str">
        <f t="shared" si="1146"/>
        <v>Haiti</v>
      </c>
      <c r="E1190" s="47"/>
      <c r="F1190" s="47"/>
      <c r="G1190" s="47"/>
      <c r="H1190" s="47"/>
      <c r="I1190" s="47"/>
      <c r="J1190" s="47"/>
      <c r="K1190" s="45"/>
      <c r="L1190" s="457">
        <f t="shared" si="1133"/>
        <v>0</v>
      </c>
      <c r="M1190" s="458">
        <f t="shared" si="1134"/>
        <v>0</v>
      </c>
      <c r="N1190" s="458">
        <f t="shared" si="1135"/>
        <v>0</v>
      </c>
      <c r="O1190" s="458">
        <f t="shared" si="1136"/>
        <v>0</v>
      </c>
      <c r="P1190" s="458">
        <f t="shared" si="1137"/>
        <v>0</v>
      </c>
      <c r="Q1190" s="458">
        <f t="shared" si="1138"/>
        <v>0</v>
      </c>
      <c r="R1190" s="459">
        <f t="shared" si="1139"/>
        <v>0</v>
      </c>
      <c r="S1190" s="455"/>
      <c r="T1190" s="456"/>
      <c r="U1190" s="456"/>
      <c r="V1190" s="456"/>
      <c r="W1190" s="456"/>
      <c r="X1190" s="456"/>
      <c r="Y1190" s="456"/>
      <c r="Z1190" s="79">
        <f t="shared" ref="Z1190:AE1190" si="1151">AA1190</f>
        <v>0</v>
      </c>
      <c r="AA1190" s="78">
        <f t="shared" si="1151"/>
        <v>0</v>
      </c>
      <c r="AB1190" s="78">
        <f t="shared" si="1151"/>
        <v>0</v>
      </c>
      <c r="AC1190" s="78">
        <f t="shared" si="1151"/>
        <v>0</v>
      </c>
      <c r="AD1190" s="78">
        <f t="shared" si="1151"/>
        <v>0</v>
      </c>
      <c r="AE1190" s="78">
        <f t="shared" si="1151"/>
        <v>0</v>
      </c>
      <c r="AF1190" s="6">
        <v>0</v>
      </c>
      <c r="AG1190" s="33" t="str">
        <f t="shared" si="1116"/>
        <v>4.11 &gt; Haiti</v>
      </c>
      <c r="AH1190" s="84">
        <f t="shared" si="1119"/>
        <v>1176</v>
      </c>
      <c r="AI1190" s="84">
        <f t="shared" si="1120"/>
        <v>44</v>
      </c>
      <c r="AJ1190" s="877" t="s">
        <v>1526</v>
      </c>
    </row>
    <row r="1191" spans="1:36" x14ac:dyDescent="0.2">
      <c r="A1191" s="492">
        <f>INDEX(Country!$F$31:$G$76, MATCH(AI1191, Country!$O$31:$O$76, 0), 1)</f>
        <v>4.1099999999999977</v>
      </c>
      <c r="B1191" s="2" t="str">
        <f>INDEX(Country!$F$31:$G$76, MATCH(AI1191, Country!$O$31:$O$76, 0), 2)</f>
        <v>Corporate emission reduction policies</v>
      </c>
      <c r="C1191" s="436" t="str">
        <f>INDEX(Country!$K$31:$K$76, MATCH(AI1191, Country!$O$31:$O$76, 0), 1)</f>
        <v>Companies</v>
      </c>
      <c r="D1191" s="4" t="str">
        <f t="shared" si="1146"/>
        <v>Honduras</v>
      </c>
      <c r="E1191" s="47"/>
      <c r="F1191" s="47"/>
      <c r="G1191" s="47"/>
      <c r="H1191" s="47"/>
      <c r="I1191" s="47"/>
      <c r="J1191" s="47"/>
      <c r="K1191" s="45"/>
      <c r="L1191" s="457">
        <f t="shared" si="1133"/>
        <v>0</v>
      </c>
      <c r="M1191" s="458">
        <f t="shared" si="1134"/>
        <v>0</v>
      </c>
      <c r="N1191" s="458">
        <f t="shared" si="1135"/>
        <v>0</v>
      </c>
      <c r="O1191" s="458">
        <f t="shared" si="1136"/>
        <v>0</v>
      </c>
      <c r="P1191" s="458">
        <f t="shared" si="1137"/>
        <v>0</v>
      </c>
      <c r="Q1191" s="458">
        <f t="shared" si="1138"/>
        <v>0</v>
      </c>
      <c r="R1191" s="459">
        <f t="shared" si="1139"/>
        <v>0</v>
      </c>
      <c r="S1191" s="455"/>
      <c r="T1191" s="456"/>
      <c r="U1191" s="456"/>
      <c r="V1191" s="456"/>
      <c r="W1191" s="456"/>
      <c r="X1191" s="456"/>
      <c r="Y1191" s="456"/>
      <c r="Z1191" s="79">
        <f t="shared" ref="Z1191:AE1191" si="1152">AA1191</f>
        <v>0</v>
      </c>
      <c r="AA1191" s="78">
        <f t="shared" si="1152"/>
        <v>0</v>
      </c>
      <c r="AB1191" s="78">
        <f t="shared" si="1152"/>
        <v>0</v>
      </c>
      <c r="AC1191" s="78">
        <f t="shared" si="1152"/>
        <v>0</v>
      </c>
      <c r="AD1191" s="78">
        <f t="shared" si="1152"/>
        <v>0</v>
      </c>
      <c r="AE1191" s="78">
        <f t="shared" si="1152"/>
        <v>0</v>
      </c>
      <c r="AF1191" s="6">
        <v>0</v>
      </c>
      <c r="AG1191" s="33" t="str">
        <f t="shared" si="1116"/>
        <v>4.11 &gt; Honduras</v>
      </c>
      <c r="AH1191" s="84">
        <f t="shared" si="1119"/>
        <v>1177</v>
      </c>
      <c r="AI1191" s="84">
        <f t="shared" si="1120"/>
        <v>44</v>
      </c>
      <c r="AJ1191" s="877" t="s">
        <v>1526</v>
      </c>
    </row>
    <row r="1192" spans="1:36" x14ac:dyDescent="0.2">
      <c r="A1192" s="492">
        <f>INDEX(Country!$F$31:$G$76, MATCH(AI1192, Country!$O$31:$O$76, 0), 1)</f>
        <v>4.1099999999999977</v>
      </c>
      <c r="B1192" s="2" t="str">
        <f>INDEX(Country!$F$31:$G$76, MATCH(AI1192, Country!$O$31:$O$76, 0), 2)</f>
        <v>Corporate emission reduction policies</v>
      </c>
      <c r="C1192" s="436" t="str">
        <f>INDEX(Country!$K$31:$K$76, MATCH(AI1192, Country!$O$31:$O$76, 0), 1)</f>
        <v>Companies</v>
      </c>
      <c r="D1192" s="4" t="str">
        <f t="shared" si="1146"/>
        <v>Jamaica</v>
      </c>
      <c r="E1192" s="47"/>
      <c r="F1192" s="47"/>
      <c r="G1192" s="47"/>
      <c r="H1192" s="47"/>
      <c r="I1192" s="47"/>
      <c r="J1192" s="47"/>
      <c r="K1192" s="45"/>
      <c r="L1192" s="457">
        <f t="shared" si="1133"/>
        <v>0</v>
      </c>
      <c r="M1192" s="458">
        <f t="shared" si="1134"/>
        <v>0</v>
      </c>
      <c r="N1192" s="458">
        <f t="shared" si="1135"/>
        <v>0</v>
      </c>
      <c r="O1192" s="458">
        <f t="shared" si="1136"/>
        <v>0</v>
      </c>
      <c r="P1192" s="458">
        <f t="shared" si="1137"/>
        <v>0</v>
      </c>
      <c r="Q1192" s="458">
        <f t="shared" si="1138"/>
        <v>0</v>
      </c>
      <c r="R1192" s="459">
        <f t="shared" si="1139"/>
        <v>0</v>
      </c>
      <c r="S1192" s="455"/>
      <c r="T1192" s="456"/>
      <c r="U1192" s="456"/>
      <c r="V1192" s="456"/>
      <c r="W1192" s="456"/>
      <c r="X1192" s="456"/>
      <c r="Y1192" s="456"/>
      <c r="Z1192" s="79">
        <f t="shared" ref="Z1192:AE1192" si="1153">AA1192</f>
        <v>0</v>
      </c>
      <c r="AA1192" s="78">
        <f t="shared" si="1153"/>
        <v>0</v>
      </c>
      <c r="AB1192" s="78">
        <f t="shared" si="1153"/>
        <v>0</v>
      </c>
      <c r="AC1192" s="78">
        <f t="shared" si="1153"/>
        <v>0</v>
      </c>
      <c r="AD1192" s="78">
        <f t="shared" si="1153"/>
        <v>0</v>
      </c>
      <c r="AE1192" s="78">
        <f t="shared" si="1153"/>
        <v>0</v>
      </c>
      <c r="AF1192" s="6">
        <v>0</v>
      </c>
      <c r="AG1192" s="33" t="str">
        <f t="shared" si="1116"/>
        <v>4.11 &gt; Jamaica</v>
      </c>
      <c r="AH1192" s="84">
        <f t="shared" si="1119"/>
        <v>1178</v>
      </c>
      <c r="AI1192" s="84">
        <f t="shared" si="1120"/>
        <v>44</v>
      </c>
      <c r="AJ1192" s="877" t="s">
        <v>1526</v>
      </c>
    </row>
    <row r="1193" spans="1:36" x14ac:dyDescent="0.2">
      <c r="A1193" s="492">
        <f>INDEX(Country!$F$31:$G$76, MATCH(AI1193, Country!$O$31:$O$76, 0), 1)</f>
        <v>4.1099999999999977</v>
      </c>
      <c r="B1193" s="2" t="str">
        <f>INDEX(Country!$F$31:$G$76, MATCH(AI1193, Country!$O$31:$O$76, 0), 2)</f>
        <v>Corporate emission reduction policies</v>
      </c>
      <c r="C1193" s="436" t="str">
        <f>INDEX(Country!$K$31:$K$76, MATCH(AI1193, Country!$O$31:$O$76, 0), 1)</f>
        <v>Companies</v>
      </c>
      <c r="D1193" s="4" t="str">
        <f t="shared" si="1146"/>
        <v>Mexico</v>
      </c>
      <c r="E1193" s="47"/>
      <c r="F1193" s="47"/>
      <c r="G1193" s="47"/>
      <c r="H1193" s="47"/>
      <c r="I1193" s="47"/>
      <c r="J1193" s="47"/>
      <c r="K1193" s="45"/>
      <c r="L1193" s="457">
        <f t="shared" si="1133"/>
        <v>62.831348173981517</v>
      </c>
      <c r="M1193" s="458">
        <f t="shared" si="1134"/>
        <v>62.831348173981517</v>
      </c>
      <c r="N1193" s="458">
        <f t="shared" si="1135"/>
        <v>62.831348173981517</v>
      </c>
      <c r="O1193" s="458">
        <f t="shared" si="1136"/>
        <v>62.831348173981517</v>
      </c>
      <c r="P1193" s="458">
        <f t="shared" si="1137"/>
        <v>62.831348173981517</v>
      </c>
      <c r="Q1193" s="458">
        <f t="shared" si="1138"/>
        <v>62.831348173981517</v>
      </c>
      <c r="R1193" s="459">
        <f t="shared" si="1139"/>
        <v>62.831348173981517</v>
      </c>
      <c r="S1193" s="455"/>
      <c r="T1193" s="456"/>
      <c r="U1193" s="456"/>
      <c r="V1193" s="456"/>
      <c r="W1193" s="456"/>
      <c r="X1193" s="456"/>
      <c r="Y1193" s="456"/>
      <c r="Z1193" s="79">
        <f t="shared" ref="Z1193:AE1193" si="1154">AA1193</f>
        <v>0.62831348173981516</v>
      </c>
      <c r="AA1193" s="78">
        <f t="shared" si="1154"/>
        <v>0.62831348173981516</v>
      </c>
      <c r="AB1193" s="78">
        <f t="shared" si="1154"/>
        <v>0.62831348173981516</v>
      </c>
      <c r="AC1193" s="78">
        <f t="shared" si="1154"/>
        <v>0.62831348173981516</v>
      </c>
      <c r="AD1193" s="78">
        <f t="shared" si="1154"/>
        <v>0.62831348173981516</v>
      </c>
      <c r="AE1193" s="78">
        <f t="shared" si="1154"/>
        <v>0.62831348173981516</v>
      </c>
      <c r="AF1193" s="6">
        <v>0.62831348173981516</v>
      </c>
      <c r="AG1193" s="33" t="str">
        <f t="shared" si="1116"/>
        <v>4.11 &gt; Mexico</v>
      </c>
      <c r="AH1193" s="84">
        <f t="shared" si="1119"/>
        <v>1179</v>
      </c>
      <c r="AI1193" s="84">
        <f t="shared" si="1120"/>
        <v>44</v>
      </c>
      <c r="AJ1193" s="877" t="s">
        <v>1526</v>
      </c>
    </row>
    <row r="1194" spans="1:36" x14ac:dyDescent="0.2">
      <c r="A1194" s="492">
        <f>INDEX(Country!$F$31:$G$76, MATCH(AI1194, Country!$O$31:$O$76, 0), 1)</f>
        <v>4.1099999999999977</v>
      </c>
      <c r="B1194" s="2" t="str">
        <f>INDEX(Country!$F$31:$G$76, MATCH(AI1194, Country!$O$31:$O$76, 0), 2)</f>
        <v>Corporate emission reduction policies</v>
      </c>
      <c r="C1194" s="436" t="str">
        <f>INDEX(Country!$K$31:$K$76, MATCH(AI1194, Country!$O$31:$O$76, 0), 1)</f>
        <v>Companies</v>
      </c>
      <c r="D1194" s="4" t="str">
        <f t="shared" si="1146"/>
        <v>Nicaragua</v>
      </c>
      <c r="E1194" s="47"/>
      <c r="F1194" s="47"/>
      <c r="G1194" s="47"/>
      <c r="H1194" s="47"/>
      <c r="I1194" s="47"/>
      <c r="J1194" s="47"/>
      <c r="K1194" s="45"/>
      <c r="L1194" s="457">
        <f t="shared" si="1133"/>
        <v>0</v>
      </c>
      <c r="M1194" s="458">
        <f t="shared" si="1134"/>
        <v>0</v>
      </c>
      <c r="N1194" s="458">
        <f t="shared" si="1135"/>
        <v>0</v>
      </c>
      <c r="O1194" s="458">
        <f t="shared" si="1136"/>
        <v>0</v>
      </c>
      <c r="P1194" s="458">
        <f t="shared" si="1137"/>
        <v>0</v>
      </c>
      <c r="Q1194" s="458">
        <f t="shared" si="1138"/>
        <v>0</v>
      </c>
      <c r="R1194" s="459">
        <f t="shared" si="1139"/>
        <v>0</v>
      </c>
      <c r="S1194" s="455"/>
      <c r="T1194" s="456"/>
      <c r="U1194" s="456"/>
      <c r="V1194" s="456"/>
      <c r="W1194" s="456"/>
      <c r="X1194" s="456"/>
      <c r="Y1194" s="456"/>
      <c r="Z1194" s="79">
        <f t="shared" ref="Z1194:AE1194" si="1155">AA1194</f>
        <v>0</v>
      </c>
      <c r="AA1194" s="78">
        <f t="shared" si="1155"/>
        <v>0</v>
      </c>
      <c r="AB1194" s="78">
        <f t="shared" si="1155"/>
        <v>0</v>
      </c>
      <c r="AC1194" s="78">
        <f t="shared" si="1155"/>
        <v>0</v>
      </c>
      <c r="AD1194" s="78">
        <f t="shared" si="1155"/>
        <v>0</v>
      </c>
      <c r="AE1194" s="78">
        <f t="shared" si="1155"/>
        <v>0</v>
      </c>
      <c r="AF1194" s="6">
        <v>0</v>
      </c>
      <c r="AG1194" s="33" t="str">
        <f t="shared" si="1116"/>
        <v>4.11 &gt; Nicaragua</v>
      </c>
      <c r="AH1194" s="84">
        <f t="shared" si="1119"/>
        <v>1180</v>
      </c>
      <c r="AI1194" s="84">
        <f t="shared" si="1120"/>
        <v>44</v>
      </c>
      <c r="AJ1194" s="877" t="s">
        <v>1526</v>
      </c>
    </row>
    <row r="1195" spans="1:36" x14ac:dyDescent="0.2">
      <c r="A1195" s="492">
        <f>INDEX(Country!$F$31:$G$76, MATCH(AI1195, Country!$O$31:$O$76, 0), 1)</f>
        <v>4.1099999999999977</v>
      </c>
      <c r="B1195" s="2" t="str">
        <f>INDEX(Country!$F$31:$G$76, MATCH(AI1195, Country!$O$31:$O$76, 0), 2)</f>
        <v>Corporate emission reduction policies</v>
      </c>
      <c r="C1195" s="436" t="str">
        <f>INDEX(Country!$K$31:$K$76, MATCH(AI1195, Country!$O$31:$O$76, 0), 1)</f>
        <v>Companies</v>
      </c>
      <c r="D1195" s="4" t="str">
        <f t="shared" si="1146"/>
        <v>Panama</v>
      </c>
      <c r="E1195" s="47"/>
      <c r="F1195" s="47"/>
      <c r="G1195" s="47"/>
      <c r="H1195" s="47"/>
      <c r="I1195" s="47"/>
      <c r="J1195" s="47"/>
      <c r="K1195" s="45"/>
      <c r="L1195" s="457">
        <f t="shared" si="1133"/>
        <v>0</v>
      </c>
      <c r="M1195" s="458">
        <f t="shared" si="1134"/>
        <v>0</v>
      </c>
      <c r="N1195" s="458">
        <f t="shared" si="1135"/>
        <v>0</v>
      </c>
      <c r="O1195" s="458">
        <f t="shared" si="1136"/>
        <v>0</v>
      </c>
      <c r="P1195" s="458">
        <f t="shared" si="1137"/>
        <v>0</v>
      </c>
      <c r="Q1195" s="458">
        <f t="shared" si="1138"/>
        <v>0</v>
      </c>
      <c r="R1195" s="459">
        <f t="shared" si="1139"/>
        <v>0</v>
      </c>
      <c r="S1195" s="455"/>
      <c r="T1195" s="456"/>
      <c r="U1195" s="456"/>
      <c r="V1195" s="456"/>
      <c r="W1195" s="456"/>
      <c r="X1195" s="456"/>
      <c r="Y1195" s="456"/>
      <c r="Z1195" s="79">
        <f t="shared" ref="Z1195:AE1195" si="1156">AA1195</f>
        <v>0</v>
      </c>
      <c r="AA1195" s="78">
        <f t="shared" si="1156"/>
        <v>0</v>
      </c>
      <c r="AB1195" s="78">
        <f t="shared" si="1156"/>
        <v>0</v>
      </c>
      <c r="AC1195" s="78">
        <f t="shared" si="1156"/>
        <v>0</v>
      </c>
      <c r="AD1195" s="78">
        <f t="shared" si="1156"/>
        <v>0</v>
      </c>
      <c r="AE1195" s="78">
        <f t="shared" si="1156"/>
        <v>0</v>
      </c>
      <c r="AF1195" s="6">
        <v>0</v>
      </c>
      <c r="AG1195" s="33" t="str">
        <f t="shared" si="1116"/>
        <v>4.11 &gt; Panama</v>
      </c>
      <c r="AH1195" s="84">
        <f t="shared" si="1119"/>
        <v>1181</v>
      </c>
      <c r="AI1195" s="84">
        <f t="shared" si="1120"/>
        <v>44</v>
      </c>
      <c r="AJ1195" s="877" t="s">
        <v>1526</v>
      </c>
    </row>
    <row r="1196" spans="1:36" x14ac:dyDescent="0.2">
      <c r="A1196" s="492">
        <f>INDEX(Country!$F$31:$G$76, MATCH(AI1196, Country!$O$31:$O$76, 0), 1)</f>
        <v>4.1099999999999977</v>
      </c>
      <c r="B1196" s="2" t="str">
        <f>INDEX(Country!$F$31:$G$76, MATCH(AI1196, Country!$O$31:$O$76, 0), 2)</f>
        <v>Corporate emission reduction policies</v>
      </c>
      <c r="C1196" s="436" t="str">
        <f>INDEX(Country!$K$31:$K$76, MATCH(AI1196, Country!$O$31:$O$76, 0), 1)</f>
        <v>Companies</v>
      </c>
      <c r="D1196" s="4" t="str">
        <f t="shared" si="1146"/>
        <v>Paraguay</v>
      </c>
      <c r="E1196" s="47"/>
      <c r="F1196" s="47"/>
      <c r="G1196" s="47"/>
      <c r="H1196" s="47"/>
      <c r="I1196" s="47"/>
      <c r="J1196" s="47"/>
      <c r="K1196" s="45"/>
      <c r="L1196" s="457">
        <f t="shared" si="1133"/>
        <v>0</v>
      </c>
      <c r="M1196" s="458">
        <f t="shared" si="1134"/>
        <v>0</v>
      </c>
      <c r="N1196" s="458">
        <f t="shared" si="1135"/>
        <v>0</v>
      </c>
      <c r="O1196" s="458">
        <f t="shared" si="1136"/>
        <v>0</v>
      </c>
      <c r="P1196" s="458">
        <f t="shared" si="1137"/>
        <v>0</v>
      </c>
      <c r="Q1196" s="458">
        <f t="shared" si="1138"/>
        <v>0</v>
      </c>
      <c r="R1196" s="459">
        <f t="shared" si="1139"/>
        <v>0</v>
      </c>
      <c r="S1196" s="455"/>
      <c r="T1196" s="456"/>
      <c r="U1196" s="456"/>
      <c r="V1196" s="456"/>
      <c r="W1196" s="456"/>
      <c r="X1196" s="456"/>
      <c r="Y1196" s="456"/>
      <c r="Z1196" s="79">
        <f t="shared" ref="Z1196:AE1196" si="1157">AA1196</f>
        <v>0</v>
      </c>
      <c r="AA1196" s="78">
        <f t="shared" si="1157"/>
        <v>0</v>
      </c>
      <c r="AB1196" s="78">
        <f t="shared" si="1157"/>
        <v>0</v>
      </c>
      <c r="AC1196" s="78">
        <f t="shared" si="1157"/>
        <v>0</v>
      </c>
      <c r="AD1196" s="78">
        <f t="shared" si="1157"/>
        <v>0</v>
      </c>
      <c r="AE1196" s="78">
        <f t="shared" si="1157"/>
        <v>0</v>
      </c>
      <c r="AF1196" s="6">
        <v>0</v>
      </c>
      <c r="AG1196" s="33" t="str">
        <f t="shared" si="1116"/>
        <v>4.11 &gt; Paraguay</v>
      </c>
      <c r="AH1196" s="84">
        <f t="shared" si="1119"/>
        <v>1182</v>
      </c>
      <c r="AI1196" s="84">
        <f t="shared" si="1120"/>
        <v>44</v>
      </c>
      <c r="AJ1196" s="877" t="s">
        <v>1526</v>
      </c>
    </row>
    <row r="1197" spans="1:36" x14ac:dyDescent="0.2">
      <c r="A1197" s="492">
        <f>INDEX(Country!$F$31:$G$76, MATCH(AI1197, Country!$O$31:$O$76, 0), 1)</f>
        <v>4.1099999999999977</v>
      </c>
      <c r="B1197" s="2" t="str">
        <f>INDEX(Country!$F$31:$G$76, MATCH(AI1197, Country!$O$31:$O$76, 0), 2)</f>
        <v>Corporate emission reduction policies</v>
      </c>
      <c r="C1197" s="436" t="str">
        <f>INDEX(Country!$K$31:$K$76, MATCH(AI1197, Country!$O$31:$O$76, 0), 1)</f>
        <v>Companies</v>
      </c>
      <c r="D1197" s="4" t="str">
        <f t="shared" si="1146"/>
        <v>Peru</v>
      </c>
      <c r="E1197" s="47"/>
      <c r="F1197" s="47"/>
      <c r="G1197" s="47"/>
      <c r="H1197" s="47"/>
      <c r="I1197" s="47"/>
      <c r="J1197" s="47"/>
      <c r="K1197" s="45"/>
      <c r="L1197" s="457">
        <f t="shared" si="1133"/>
        <v>4.691798802898246</v>
      </c>
      <c r="M1197" s="458">
        <f t="shared" si="1134"/>
        <v>4.691798802898246</v>
      </c>
      <c r="N1197" s="458">
        <f t="shared" si="1135"/>
        <v>4.691798802898246</v>
      </c>
      <c r="O1197" s="458">
        <f t="shared" si="1136"/>
        <v>4.691798802898246</v>
      </c>
      <c r="P1197" s="458">
        <f t="shared" si="1137"/>
        <v>4.691798802898246</v>
      </c>
      <c r="Q1197" s="458">
        <f t="shared" si="1138"/>
        <v>4.691798802898246</v>
      </c>
      <c r="R1197" s="459">
        <f t="shared" si="1139"/>
        <v>4.691798802898246</v>
      </c>
      <c r="S1197" s="455"/>
      <c r="T1197" s="456"/>
      <c r="U1197" s="456"/>
      <c r="V1197" s="456"/>
      <c r="W1197" s="456"/>
      <c r="X1197" s="456"/>
      <c r="Y1197" s="456"/>
      <c r="Z1197" s="79">
        <f t="shared" ref="Z1197:AE1197" si="1158">AA1197</f>
        <v>4.6917988028982463E-2</v>
      </c>
      <c r="AA1197" s="78">
        <f t="shared" si="1158"/>
        <v>4.6917988028982463E-2</v>
      </c>
      <c r="AB1197" s="78">
        <f t="shared" si="1158"/>
        <v>4.6917988028982463E-2</v>
      </c>
      <c r="AC1197" s="78">
        <f t="shared" si="1158"/>
        <v>4.6917988028982463E-2</v>
      </c>
      <c r="AD1197" s="78">
        <f t="shared" si="1158"/>
        <v>4.6917988028982463E-2</v>
      </c>
      <c r="AE1197" s="78">
        <f t="shared" si="1158"/>
        <v>4.6917988028982463E-2</v>
      </c>
      <c r="AF1197" s="6">
        <v>4.6917988028982463E-2</v>
      </c>
      <c r="AG1197" s="33" t="str">
        <f t="shared" si="1116"/>
        <v>4.11 &gt; Peru</v>
      </c>
      <c r="AH1197" s="84">
        <f t="shared" si="1119"/>
        <v>1183</v>
      </c>
      <c r="AI1197" s="84">
        <f t="shared" si="1120"/>
        <v>44</v>
      </c>
      <c r="AJ1197" s="877" t="s">
        <v>1526</v>
      </c>
    </row>
    <row r="1198" spans="1:36" x14ac:dyDescent="0.2">
      <c r="A1198" s="492">
        <f>INDEX(Country!$F$31:$G$76, MATCH(AI1198, Country!$O$31:$O$76, 0), 1)</f>
        <v>4.1099999999999977</v>
      </c>
      <c r="B1198" s="2" t="str">
        <f>INDEX(Country!$F$31:$G$76, MATCH(AI1198, Country!$O$31:$O$76, 0), 2)</f>
        <v>Corporate emission reduction policies</v>
      </c>
      <c r="C1198" s="436" t="str">
        <f>INDEX(Country!$K$31:$K$76, MATCH(AI1198, Country!$O$31:$O$76, 0), 1)</f>
        <v>Companies</v>
      </c>
      <c r="D1198" s="4" t="str">
        <f t="shared" si="1146"/>
        <v>Suriname</v>
      </c>
      <c r="E1198" s="47"/>
      <c r="F1198" s="47"/>
      <c r="G1198" s="47"/>
      <c r="H1198" s="47"/>
      <c r="I1198" s="47"/>
      <c r="J1198" s="47"/>
      <c r="K1198" s="45"/>
      <c r="L1198" s="457">
        <f t="shared" si="1133"/>
        <v>0</v>
      </c>
      <c r="M1198" s="458">
        <f t="shared" si="1134"/>
        <v>0</v>
      </c>
      <c r="N1198" s="458">
        <f t="shared" si="1135"/>
        <v>0</v>
      </c>
      <c r="O1198" s="458">
        <f t="shared" si="1136"/>
        <v>0</v>
      </c>
      <c r="P1198" s="458">
        <f t="shared" si="1137"/>
        <v>0</v>
      </c>
      <c r="Q1198" s="458">
        <f t="shared" si="1138"/>
        <v>0</v>
      </c>
      <c r="R1198" s="459">
        <f t="shared" si="1139"/>
        <v>0</v>
      </c>
      <c r="S1198" s="455"/>
      <c r="T1198" s="456"/>
      <c r="U1198" s="456"/>
      <c r="V1198" s="456"/>
      <c r="W1198" s="456"/>
      <c r="X1198" s="456"/>
      <c r="Y1198" s="456"/>
      <c r="Z1198" s="79">
        <f t="shared" ref="Z1198:AE1198" si="1159">AA1198</f>
        <v>0</v>
      </c>
      <c r="AA1198" s="78">
        <f t="shared" si="1159"/>
        <v>0</v>
      </c>
      <c r="AB1198" s="78">
        <f t="shared" si="1159"/>
        <v>0</v>
      </c>
      <c r="AC1198" s="78">
        <f t="shared" si="1159"/>
        <v>0</v>
      </c>
      <c r="AD1198" s="78">
        <f t="shared" si="1159"/>
        <v>0</v>
      </c>
      <c r="AE1198" s="78">
        <f t="shared" si="1159"/>
        <v>0</v>
      </c>
      <c r="AF1198" s="6">
        <v>0</v>
      </c>
      <c r="AG1198" s="33" t="str">
        <f t="shared" si="1116"/>
        <v>4.11 &gt; Suriname</v>
      </c>
      <c r="AH1198" s="84">
        <f t="shared" si="1119"/>
        <v>1184</v>
      </c>
      <c r="AI1198" s="84">
        <f t="shared" si="1120"/>
        <v>44</v>
      </c>
      <c r="AJ1198" s="877" t="s">
        <v>1526</v>
      </c>
    </row>
    <row r="1199" spans="1:36" x14ac:dyDescent="0.2">
      <c r="A1199" s="492">
        <f>INDEX(Country!$F$31:$G$76, MATCH(AI1199, Country!$O$31:$O$76, 0), 1)</f>
        <v>4.1099999999999977</v>
      </c>
      <c r="B1199" s="2" t="str">
        <f>INDEX(Country!$F$31:$G$76, MATCH(AI1199, Country!$O$31:$O$76, 0), 2)</f>
        <v>Corporate emission reduction policies</v>
      </c>
      <c r="C1199" s="436" t="str">
        <f>INDEX(Country!$K$31:$K$76, MATCH(AI1199, Country!$O$31:$O$76, 0), 1)</f>
        <v>Companies</v>
      </c>
      <c r="D1199" s="4" t="str">
        <f t="shared" si="1146"/>
        <v>Trinidad &amp; Tobago</v>
      </c>
      <c r="E1199" s="47"/>
      <c r="F1199" s="47"/>
      <c r="G1199" s="47"/>
      <c r="H1199" s="47"/>
      <c r="I1199" s="47"/>
      <c r="J1199" s="47"/>
      <c r="K1199" s="45"/>
      <c r="L1199" s="457">
        <f t="shared" si="1133"/>
        <v>0</v>
      </c>
      <c r="M1199" s="458">
        <f t="shared" si="1134"/>
        <v>0</v>
      </c>
      <c r="N1199" s="458">
        <f t="shared" si="1135"/>
        <v>0</v>
      </c>
      <c r="O1199" s="458">
        <f t="shared" si="1136"/>
        <v>0</v>
      </c>
      <c r="P1199" s="458">
        <f t="shared" si="1137"/>
        <v>0</v>
      </c>
      <c r="Q1199" s="458">
        <f t="shared" si="1138"/>
        <v>0</v>
      </c>
      <c r="R1199" s="459">
        <f t="shared" si="1139"/>
        <v>0</v>
      </c>
      <c r="S1199" s="455"/>
      <c r="T1199" s="456"/>
      <c r="U1199" s="456"/>
      <c r="V1199" s="456"/>
      <c r="W1199" s="456"/>
      <c r="X1199" s="456"/>
      <c r="Y1199" s="456"/>
      <c r="Z1199" s="79">
        <f t="shared" ref="Z1199:AE1199" si="1160">AA1199</f>
        <v>0</v>
      </c>
      <c r="AA1199" s="78">
        <f t="shared" si="1160"/>
        <v>0</v>
      </c>
      <c r="AB1199" s="78">
        <f t="shared" si="1160"/>
        <v>0</v>
      </c>
      <c r="AC1199" s="78">
        <f t="shared" si="1160"/>
        <v>0</v>
      </c>
      <c r="AD1199" s="78">
        <f t="shared" si="1160"/>
        <v>0</v>
      </c>
      <c r="AE1199" s="78">
        <f t="shared" si="1160"/>
        <v>0</v>
      </c>
      <c r="AF1199" s="6">
        <v>0</v>
      </c>
      <c r="AG1199" s="33" t="str">
        <f t="shared" si="1116"/>
        <v>4.11 &gt; Trinidad &amp; Tobago</v>
      </c>
      <c r="AH1199" s="84">
        <f t="shared" si="1119"/>
        <v>1185</v>
      </c>
      <c r="AI1199" s="84">
        <f t="shared" si="1120"/>
        <v>44</v>
      </c>
      <c r="AJ1199" s="877" t="s">
        <v>1526</v>
      </c>
    </row>
    <row r="1200" spans="1:36" x14ac:dyDescent="0.2">
      <c r="A1200" s="492">
        <f>INDEX(Country!$F$31:$G$76, MATCH(AI1200, Country!$O$31:$O$76, 0), 1)</f>
        <v>4.1099999999999977</v>
      </c>
      <c r="B1200" s="2" t="str">
        <f>INDEX(Country!$F$31:$G$76, MATCH(AI1200, Country!$O$31:$O$76, 0), 2)</f>
        <v>Corporate emission reduction policies</v>
      </c>
      <c r="C1200" s="436" t="str">
        <f>INDEX(Country!$K$31:$K$76, MATCH(AI1200, Country!$O$31:$O$76, 0), 1)</f>
        <v>Companies</v>
      </c>
      <c r="D1200" s="4" t="str">
        <f t="shared" si="1146"/>
        <v>Uruguay</v>
      </c>
      <c r="E1200" s="47"/>
      <c r="F1200" s="47"/>
      <c r="G1200" s="47"/>
      <c r="H1200" s="47"/>
      <c r="I1200" s="47"/>
      <c r="J1200" s="47"/>
      <c r="K1200" s="45"/>
      <c r="L1200" s="457">
        <f t="shared" si="1133"/>
        <v>0</v>
      </c>
      <c r="M1200" s="458">
        <f t="shared" si="1134"/>
        <v>0</v>
      </c>
      <c r="N1200" s="458">
        <f t="shared" si="1135"/>
        <v>0</v>
      </c>
      <c r="O1200" s="458">
        <f t="shared" si="1136"/>
        <v>0</v>
      </c>
      <c r="P1200" s="458">
        <f t="shared" si="1137"/>
        <v>0</v>
      </c>
      <c r="Q1200" s="458">
        <f t="shared" si="1138"/>
        <v>0</v>
      </c>
      <c r="R1200" s="459">
        <f t="shared" si="1139"/>
        <v>0</v>
      </c>
      <c r="S1200" s="455"/>
      <c r="T1200" s="456"/>
      <c r="U1200" s="456"/>
      <c r="V1200" s="456"/>
      <c r="W1200" s="456"/>
      <c r="X1200" s="456"/>
      <c r="Y1200" s="456"/>
      <c r="Z1200" s="79">
        <f t="shared" ref="Z1200:AE1200" si="1161">AA1200</f>
        <v>0</v>
      </c>
      <c r="AA1200" s="78">
        <f t="shared" si="1161"/>
        <v>0</v>
      </c>
      <c r="AB1200" s="78">
        <f t="shared" si="1161"/>
        <v>0</v>
      </c>
      <c r="AC1200" s="78">
        <f t="shared" si="1161"/>
        <v>0</v>
      </c>
      <c r="AD1200" s="78">
        <f t="shared" si="1161"/>
        <v>0</v>
      </c>
      <c r="AE1200" s="78">
        <f t="shared" si="1161"/>
        <v>0</v>
      </c>
      <c r="AF1200" s="6">
        <v>0</v>
      </c>
      <c r="AG1200" s="33" t="str">
        <f t="shared" si="1116"/>
        <v>4.11 &gt; Uruguay</v>
      </c>
      <c r="AH1200" s="84">
        <f t="shared" si="1119"/>
        <v>1186</v>
      </c>
      <c r="AI1200" s="84">
        <f t="shared" si="1120"/>
        <v>44</v>
      </c>
      <c r="AJ1200" s="877" t="s">
        <v>1526</v>
      </c>
    </row>
    <row r="1201" spans="1:36" x14ac:dyDescent="0.2">
      <c r="A1201" s="491">
        <f>INDEX(Country!$F$31:$G$76, MATCH(AI1201, Country!$O$31:$O$76, 0), 1)</f>
        <v>4.1099999999999977</v>
      </c>
      <c r="B1201" s="386" t="str">
        <f>INDEX(Country!$F$31:$G$76, MATCH(AI1201, Country!$O$31:$O$76, 0), 2)</f>
        <v>Corporate emission reduction policies</v>
      </c>
      <c r="C1201" s="437" t="str">
        <f>INDEX(Country!$K$31:$K$76, MATCH(AI1201, Country!$O$31:$O$76, 0), 1)</f>
        <v>Companies</v>
      </c>
      <c r="D1201" s="86" t="str">
        <f t="shared" si="1146"/>
        <v>Venezuela</v>
      </c>
      <c r="E1201" s="363"/>
      <c r="F1201" s="363"/>
      <c r="G1201" s="363"/>
      <c r="H1201" s="363"/>
      <c r="I1201" s="363"/>
      <c r="J1201" s="363"/>
      <c r="K1201" s="400"/>
      <c r="L1201" s="460">
        <f t="shared" si="1133"/>
        <v>0</v>
      </c>
      <c r="M1201" s="461">
        <f t="shared" si="1134"/>
        <v>0</v>
      </c>
      <c r="N1201" s="461">
        <f t="shared" si="1135"/>
        <v>0</v>
      </c>
      <c r="O1201" s="461">
        <f t="shared" si="1136"/>
        <v>0</v>
      </c>
      <c r="P1201" s="461">
        <f t="shared" si="1137"/>
        <v>0</v>
      </c>
      <c r="Q1201" s="461">
        <f t="shared" si="1138"/>
        <v>0</v>
      </c>
      <c r="R1201" s="462">
        <f t="shared" si="1139"/>
        <v>0</v>
      </c>
      <c r="S1201" s="455"/>
      <c r="T1201" s="456"/>
      <c r="U1201" s="456"/>
      <c r="V1201" s="456"/>
      <c r="W1201" s="456"/>
      <c r="X1201" s="456"/>
      <c r="Y1201" s="456"/>
      <c r="Z1201" s="93">
        <f t="shared" ref="Z1201:AE1201" si="1162">AA1201</f>
        <v>0</v>
      </c>
      <c r="AA1201" s="379">
        <f t="shared" si="1162"/>
        <v>0</v>
      </c>
      <c r="AB1201" s="379">
        <f t="shared" si="1162"/>
        <v>0</v>
      </c>
      <c r="AC1201" s="379">
        <f t="shared" si="1162"/>
        <v>0</v>
      </c>
      <c r="AD1201" s="379">
        <f t="shared" si="1162"/>
        <v>0</v>
      </c>
      <c r="AE1201" s="379">
        <f t="shared" si="1162"/>
        <v>0</v>
      </c>
      <c r="AF1201" s="390">
        <v>0</v>
      </c>
      <c r="AG1201" s="90" t="str">
        <f t="shared" si="1116"/>
        <v>4.11 &gt; Venezuela</v>
      </c>
      <c r="AH1201" s="392">
        <f t="shared" si="1119"/>
        <v>1187</v>
      </c>
      <c r="AI1201" s="392">
        <f t="shared" si="1120"/>
        <v>44</v>
      </c>
      <c r="AJ1201" s="878" t="s">
        <v>1526</v>
      </c>
    </row>
    <row r="1202" spans="1:36" x14ac:dyDescent="0.2">
      <c r="A1202" s="490">
        <f>INDEX(Country!$F$31:$G$76, MATCH(AI1202, Country!$O$31:$O$76, 0), 1)</f>
        <v>4.1099999999999977</v>
      </c>
      <c r="B1202" s="387" t="str">
        <f>INDEX(Country!$F$31:$G$76, MATCH(AI1202, Country!$O$31:$O$76, 0), 2)</f>
        <v>Corporate emission reduction policies</v>
      </c>
      <c r="C1202" s="438" t="str">
        <f>INDEX(Country!$K$31:$K$76, MATCH(AI1202, Country!$O$31:$O$76, 0), 1)</f>
        <v>Companies</v>
      </c>
      <c r="D1202" s="32" t="str">
        <f t="shared" si="1146"/>
        <v>Benchmark</v>
      </c>
      <c r="E1202" s="362">
        <f t="shared" ref="E1202:K1202" si="1163">IFERROR(MAX(E1176:E1201), 0)</f>
        <v>0</v>
      </c>
      <c r="F1202" s="362">
        <f t="shared" si="1163"/>
        <v>0</v>
      </c>
      <c r="G1202" s="362">
        <f t="shared" si="1163"/>
        <v>0</v>
      </c>
      <c r="H1202" s="362">
        <f t="shared" si="1163"/>
        <v>0</v>
      </c>
      <c r="I1202" s="362">
        <f t="shared" si="1163"/>
        <v>0</v>
      </c>
      <c r="J1202" s="362">
        <f t="shared" si="1163"/>
        <v>0</v>
      </c>
      <c r="K1202" s="584">
        <f t="shared" si="1163"/>
        <v>0</v>
      </c>
      <c r="L1202" s="585">
        <f t="shared" si="1133"/>
        <v>100</v>
      </c>
      <c r="M1202" s="463">
        <f t="shared" si="1134"/>
        <v>100</v>
      </c>
      <c r="N1202" s="463">
        <f t="shared" si="1135"/>
        <v>100</v>
      </c>
      <c r="O1202" s="463">
        <f t="shared" si="1136"/>
        <v>100</v>
      </c>
      <c r="P1202" s="463">
        <f t="shared" si="1137"/>
        <v>100</v>
      </c>
      <c r="Q1202" s="463">
        <f t="shared" si="1138"/>
        <v>100</v>
      </c>
      <c r="R1202" s="586">
        <f t="shared" si="1139"/>
        <v>100</v>
      </c>
      <c r="S1202" s="393"/>
      <c r="T1202" s="394"/>
      <c r="U1202" s="376"/>
      <c r="V1202" s="376"/>
      <c r="W1202" s="376"/>
      <c r="X1202" s="376"/>
      <c r="Y1202" s="376"/>
      <c r="Z1202" s="365">
        <f t="shared" si="1128"/>
        <v>1</v>
      </c>
      <c r="AA1202" s="365">
        <f t="shared" si="1128"/>
        <v>1</v>
      </c>
      <c r="AB1202" s="365">
        <f t="shared" si="1128"/>
        <v>1</v>
      </c>
      <c r="AC1202" s="365">
        <f t="shared" si="1128"/>
        <v>1</v>
      </c>
      <c r="AD1202" s="365">
        <f t="shared" si="1128"/>
        <v>1</v>
      </c>
      <c r="AE1202" s="365">
        <f t="shared" si="1128"/>
        <v>1</v>
      </c>
      <c r="AF1202" s="365">
        <f t="shared" si="1128"/>
        <v>1</v>
      </c>
      <c r="AG1202" s="34" t="str">
        <f t="shared" si="1116"/>
        <v>4.11 &gt; Benchmark</v>
      </c>
      <c r="AH1202" s="85">
        <f t="shared" si="1119"/>
        <v>1188</v>
      </c>
      <c r="AI1202" s="85">
        <f t="shared" si="1120"/>
        <v>44</v>
      </c>
      <c r="AJ1202" s="871" t="s">
        <v>1526</v>
      </c>
    </row>
    <row r="1203" spans="1:36" x14ac:dyDescent="0.2">
      <c r="A1203" s="587">
        <f>INDEX(Country!$F$31:$G$76, MATCH(AI1203, Country!$O$31:$O$76, 0), 1)</f>
        <v>4.1199999999999974</v>
      </c>
      <c r="B1203" s="588" t="str">
        <f>INDEX(Country!$F$31:$G$76, MATCH(AI1203, Country!$O$31:$O$76, 0), 2)</f>
        <v>Capacity building – env. business training</v>
      </c>
      <c r="C1203" s="589" t="str">
        <f>INDEX(Country!$K$31:$K$76, MATCH(AI1203, Country!$O$31:$O$76, 0), 1)</f>
        <v>Organisations</v>
      </c>
      <c r="D1203" s="590" t="str">
        <f t="shared" ref="D1203:D1229" si="1164">D1149</f>
        <v>Argentina</v>
      </c>
      <c r="E1203" s="614"/>
      <c r="F1203" s="614"/>
      <c r="G1203" s="614"/>
      <c r="H1203" s="47"/>
      <c r="I1203" s="47"/>
      <c r="J1203" s="47"/>
      <c r="K1203" s="615"/>
      <c r="L1203" s="580">
        <f t="shared" si="1133"/>
        <v>100</v>
      </c>
      <c r="M1203" s="581">
        <f t="shared" si="1134"/>
        <v>100</v>
      </c>
      <c r="N1203" s="581">
        <f t="shared" si="1135"/>
        <v>100</v>
      </c>
      <c r="O1203" s="581">
        <f t="shared" si="1136"/>
        <v>100</v>
      </c>
      <c r="P1203" s="581">
        <f t="shared" si="1137"/>
        <v>100</v>
      </c>
      <c r="Q1203" s="581">
        <f t="shared" si="1138"/>
        <v>100</v>
      </c>
      <c r="R1203" s="582">
        <f t="shared" si="1139"/>
        <v>100</v>
      </c>
      <c r="S1203" s="455"/>
      <c r="T1203" s="456"/>
      <c r="U1203" s="456"/>
      <c r="V1203" s="456"/>
      <c r="W1203" s="456"/>
      <c r="X1203" s="456"/>
      <c r="Y1203" s="456"/>
      <c r="Z1203" s="472">
        <f t="shared" ref="Z1203:AE1203" si="1165">AA1203</f>
        <v>1</v>
      </c>
      <c r="AA1203" s="378">
        <f t="shared" si="1165"/>
        <v>1</v>
      </c>
      <c r="AB1203" s="378">
        <f t="shared" si="1165"/>
        <v>1</v>
      </c>
      <c r="AC1203" s="78">
        <f t="shared" si="1165"/>
        <v>1</v>
      </c>
      <c r="AD1203" s="78">
        <f t="shared" si="1165"/>
        <v>1</v>
      </c>
      <c r="AE1203" s="78">
        <f t="shared" si="1165"/>
        <v>1</v>
      </c>
      <c r="AF1203" s="388">
        <v>1</v>
      </c>
      <c r="AG1203" s="396" t="str">
        <f t="shared" si="1116"/>
        <v>4.12 &gt; Argentina</v>
      </c>
      <c r="AH1203" s="397">
        <f t="shared" si="1119"/>
        <v>1189</v>
      </c>
      <c r="AI1203" s="397">
        <f t="shared" si="1120"/>
        <v>45</v>
      </c>
      <c r="AJ1203" s="879" t="s">
        <v>1526</v>
      </c>
    </row>
    <row r="1204" spans="1:36" x14ac:dyDescent="0.2">
      <c r="A1204" s="492">
        <f>INDEX(Country!$F$31:$G$76, MATCH(AI1204, Country!$O$31:$O$76, 0), 1)</f>
        <v>4.1199999999999974</v>
      </c>
      <c r="B1204" s="2" t="str">
        <f>INDEX(Country!$F$31:$G$76, MATCH(AI1204, Country!$O$31:$O$76, 0), 2)</f>
        <v>Capacity building – env. business training</v>
      </c>
      <c r="C1204" s="436" t="str">
        <f>INDEX(Country!$K$31:$K$76, MATCH(AI1204, Country!$O$31:$O$76, 0), 1)</f>
        <v>Organisations</v>
      </c>
      <c r="D1204" s="4" t="str">
        <f t="shared" si="1164"/>
        <v>Bahamas</v>
      </c>
      <c r="E1204" s="47"/>
      <c r="F1204" s="47"/>
      <c r="G1204" s="47"/>
      <c r="H1204" s="47"/>
      <c r="I1204" s="47"/>
      <c r="J1204" s="47"/>
      <c r="K1204" s="45"/>
      <c r="L1204" s="457">
        <f t="shared" si="1133"/>
        <v>0</v>
      </c>
      <c r="M1204" s="458">
        <f t="shared" si="1134"/>
        <v>0</v>
      </c>
      <c r="N1204" s="458">
        <f t="shared" si="1135"/>
        <v>0</v>
      </c>
      <c r="O1204" s="458">
        <f t="shared" si="1136"/>
        <v>0</v>
      </c>
      <c r="P1204" s="458">
        <f t="shared" si="1137"/>
        <v>0</v>
      </c>
      <c r="Q1204" s="458">
        <f t="shared" si="1138"/>
        <v>0</v>
      </c>
      <c r="R1204" s="459">
        <f t="shared" si="1139"/>
        <v>0</v>
      </c>
      <c r="S1204" s="455"/>
      <c r="T1204" s="456"/>
      <c r="U1204" s="456"/>
      <c r="V1204" s="456"/>
      <c r="W1204" s="456"/>
      <c r="X1204" s="456"/>
      <c r="Y1204" s="456"/>
      <c r="Z1204" s="79">
        <f t="shared" ref="Z1204:AE1204" si="1166">AA1204</f>
        <v>0</v>
      </c>
      <c r="AA1204" s="78">
        <f t="shared" si="1166"/>
        <v>0</v>
      </c>
      <c r="AB1204" s="78">
        <f t="shared" si="1166"/>
        <v>0</v>
      </c>
      <c r="AC1204" s="78">
        <f t="shared" si="1166"/>
        <v>0</v>
      </c>
      <c r="AD1204" s="78">
        <f t="shared" si="1166"/>
        <v>0</v>
      </c>
      <c r="AE1204" s="78">
        <f t="shared" si="1166"/>
        <v>0</v>
      </c>
      <c r="AF1204" s="6">
        <v>0</v>
      </c>
      <c r="AG1204" s="33" t="str">
        <f t="shared" si="1116"/>
        <v>4.12 &gt; Bahamas</v>
      </c>
      <c r="AH1204" s="84">
        <f t="shared" si="1119"/>
        <v>1190</v>
      </c>
      <c r="AI1204" s="84">
        <f t="shared" si="1120"/>
        <v>45</v>
      </c>
      <c r="AJ1204" s="877" t="s">
        <v>1526</v>
      </c>
    </row>
    <row r="1205" spans="1:36" x14ac:dyDescent="0.2">
      <c r="A1205" s="492">
        <f>INDEX(Country!$F$31:$G$76, MATCH(AI1205, Country!$O$31:$O$76, 0), 1)</f>
        <v>4.1199999999999974</v>
      </c>
      <c r="B1205" s="2" t="str">
        <f>INDEX(Country!$F$31:$G$76, MATCH(AI1205, Country!$O$31:$O$76, 0), 2)</f>
        <v>Capacity building – env. business training</v>
      </c>
      <c r="C1205" s="436" t="str">
        <f>INDEX(Country!$K$31:$K$76, MATCH(AI1205, Country!$O$31:$O$76, 0), 1)</f>
        <v>Organisations</v>
      </c>
      <c r="D1205" s="4" t="str">
        <f t="shared" si="1164"/>
        <v>Barbados</v>
      </c>
      <c r="E1205" s="47"/>
      <c r="F1205" s="47"/>
      <c r="G1205" s="47"/>
      <c r="H1205" s="47"/>
      <c r="I1205" s="47"/>
      <c r="J1205" s="47"/>
      <c r="K1205" s="45"/>
      <c r="L1205" s="457">
        <f t="shared" si="1133"/>
        <v>100</v>
      </c>
      <c r="M1205" s="458">
        <f t="shared" si="1134"/>
        <v>100</v>
      </c>
      <c r="N1205" s="458">
        <f t="shared" si="1135"/>
        <v>100</v>
      </c>
      <c r="O1205" s="458">
        <f t="shared" si="1136"/>
        <v>100</v>
      </c>
      <c r="P1205" s="458">
        <f t="shared" si="1137"/>
        <v>100</v>
      </c>
      <c r="Q1205" s="458">
        <f t="shared" si="1138"/>
        <v>100</v>
      </c>
      <c r="R1205" s="459">
        <f t="shared" si="1139"/>
        <v>100</v>
      </c>
      <c r="S1205" s="455"/>
      <c r="T1205" s="456"/>
      <c r="U1205" s="456"/>
      <c r="V1205" s="456"/>
      <c r="W1205" s="456"/>
      <c r="X1205" s="456"/>
      <c r="Y1205" s="456"/>
      <c r="Z1205" s="79">
        <f t="shared" ref="Z1205:AE1205" si="1167">AA1205</f>
        <v>1</v>
      </c>
      <c r="AA1205" s="78">
        <f t="shared" si="1167"/>
        <v>1</v>
      </c>
      <c r="AB1205" s="78">
        <f t="shared" si="1167"/>
        <v>1</v>
      </c>
      <c r="AC1205" s="78">
        <f t="shared" si="1167"/>
        <v>1</v>
      </c>
      <c r="AD1205" s="78">
        <f t="shared" si="1167"/>
        <v>1</v>
      </c>
      <c r="AE1205" s="78">
        <f t="shared" si="1167"/>
        <v>1</v>
      </c>
      <c r="AF1205" s="6">
        <v>1</v>
      </c>
      <c r="AG1205" s="33" t="str">
        <f t="shared" si="1116"/>
        <v>4.12 &gt; Barbados</v>
      </c>
      <c r="AH1205" s="84">
        <f t="shared" si="1119"/>
        <v>1191</v>
      </c>
      <c r="AI1205" s="84">
        <f t="shared" si="1120"/>
        <v>45</v>
      </c>
      <c r="AJ1205" s="877" t="s">
        <v>1526</v>
      </c>
    </row>
    <row r="1206" spans="1:36" x14ac:dyDescent="0.2">
      <c r="A1206" s="492">
        <f>INDEX(Country!$F$31:$G$76, MATCH(AI1206, Country!$O$31:$O$76, 0), 1)</f>
        <v>4.1199999999999974</v>
      </c>
      <c r="B1206" s="2" t="str">
        <f>INDEX(Country!$F$31:$G$76, MATCH(AI1206, Country!$O$31:$O$76, 0), 2)</f>
        <v>Capacity building – env. business training</v>
      </c>
      <c r="C1206" s="436" t="str">
        <f>INDEX(Country!$K$31:$K$76, MATCH(AI1206, Country!$O$31:$O$76, 0), 1)</f>
        <v>Organisations</v>
      </c>
      <c r="D1206" s="4" t="str">
        <f t="shared" si="1164"/>
        <v>Belize</v>
      </c>
      <c r="E1206" s="47"/>
      <c r="F1206" s="47"/>
      <c r="G1206" s="47"/>
      <c r="H1206" s="47"/>
      <c r="I1206" s="47"/>
      <c r="J1206" s="47"/>
      <c r="K1206" s="45"/>
      <c r="L1206" s="457">
        <f t="shared" si="1133"/>
        <v>100</v>
      </c>
      <c r="M1206" s="458">
        <f t="shared" si="1134"/>
        <v>100</v>
      </c>
      <c r="N1206" s="458">
        <f t="shared" si="1135"/>
        <v>100</v>
      </c>
      <c r="O1206" s="458">
        <f t="shared" si="1136"/>
        <v>100</v>
      </c>
      <c r="P1206" s="458">
        <f t="shared" si="1137"/>
        <v>100</v>
      </c>
      <c r="Q1206" s="458">
        <f t="shared" si="1138"/>
        <v>100</v>
      </c>
      <c r="R1206" s="459">
        <f t="shared" si="1139"/>
        <v>100</v>
      </c>
      <c r="S1206" s="455"/>
      <c r="T1206" s="456"/>
      <c r="U1206" s="456"/>
      <c r="V1206" s="456"/>
      <c r="W1206" s="456"/>
      <c r="X1206" s="456"/>
      <c r="Y1206" s="456"/>
      <c r="Z1206" s="79">
        <f t="shared" ref="Z1206:AE1206" si="1168">AA1206</f>
        <v>1</v>
      </c>
      <c r="AA1206" s="78">
        <f t="shared" si="1168"/>
        <v>1</v>
      </c>
      <c r="AB1206" s="78">
        <f t="shared" si="1168"/>
        <v>1</v>
      </c>
      <c r="AC1206" s="78">
        <f t="shared" si="1168"/>
        <v>1</v>
      </c>
      <c r="AD1206" s="78">
        <f t="shared" si="1168"/>
        <v>1</v>
      </c>
      <c r="AE1206" s="78">
        <f t="shared" si="1168"/>
        <v>1</v>
      </c>
      <c r="AF1206" s="6">
        <v>1</v>
      </c>
      <c r="AG1206" s="33" t="str">
        <f t="shared" si="1116"/>
        <v>4.12 &gt; Belize</v>
      </c>
      <c r="AH1206" s="84">
        <f t="shared" si="1119"/>
        <v>1192</v>
      </c>
      <c r="AI1206" s="84">
        <f t="shared" si="1120"/>
        <v>45</v>
      </c>
      <c r="AJ1206" s="877" t="s">
        <v>1526</v>
      </c>
    </row>
    <row r="1207" spans="1:36" x14ac:dyDescent="0.2">
      <c r="A1207" s="492">
        <f>INDEX(Country!$F$31:$G$76, MATCH(AI1207, Country!$O$31:$O$76, 0), 1)</f>
        <v>4.1199999999999974</v>
      </c>
      <c r="B1207" s="2" t="str">
        <f>INDEX(Country!$F$31:$G$76, MATCH(AI1207, Country!$O$31:$O$76, 0), 2)</f>
        <v>Capacity building – env. business training</v>
      </c>
      <c r="C1207" s="436" t="str">
        <f>INDEX(Country!$K$31:$K$76, MATCH(AI1207, Country!$O$31:$O$76, 0), 1)</f>
        <v>Organisations</v>
      </c>
      <c r="D1207" s="4" t="str">
        <f t="shared" si="1164"/>
        <v>Bolivia</v>
      </c>
      <c r="E1207" s="47"/>
      <c r="F1207" s="47"/>
      <c r="G1207" s="47"/>
      <c r="H1207" s="47"/>
      <c r="I1207" s="47"/>
      <c r="J1207" s="47"/>
      <c r="K1207" s="45"/>
      <c r="L1207" s="457">
        <f t="shared" si="1133"/>
        <v>0</v>
      </c>
      <c r="M1207" s="458">
        <f t="shared" si="1134"/>
        <v>0</v>
      </c>
      <c r="N1207" s="458">
        <f t="shared" si="1135"/>
        <v>0</v>
      </c>
      <c r="O1207" s="458">
        <f t="shared" si="1136"/>
        <v>0</v>
      </c>
      <c r="P1207" s="458">
        <f t="shared" si="1137"/>
        <v>0</v>
      </c>
      <c r="Q1207" s="458">
        <f t="shared" si="1138"/>
        <v>0</v>
      </c>
      <c r="R1207" s="459">
        <f t="shared" si="1139"/>
        <v>0</v>
      </c>
      <c r="S1207" s="455"/>
      <c r="T1207" s="456"/>
      <c r="U1207" s="456"/>
      <c r="V1207" s="456"/>
      <c r="W1207" s="456"/>
      <c r="X1207" s="456"/>
      <c r="Y1207" s="456"/>
      <c r="Z1207" s="79">
        <f t="shared" ref="Z1207:AE1207" si="1169">AA1207</f>
        <v>0</v>
      </c>
      <c r="AA1207" s="78">
        <f t="shared" si="1169"/>
        <v>0</v>
      </c>
      <c r="AB1207" s="78">
        <f t="shared" si="1169"/>
        <v>0</v>
      </c>
      <c r="AC1207" s="78">
        <f t="shared" si="1169"/>
        <v>0</v>
      </c>
      <c r="AD1207" s="78">
        <f t="shared" si="1169"/>
        <v>0</v>
      </c>
      <c r="AE1207" s="78">
        <f t="shared" si="1169"/>
        <v>0</v>
      </c>
      <c r="AF1207" s="6">
        <v>0</v>
      </c>
      <c r="AG1207" s="33" t="str">
        <f t="shared" si="1116"/>
        <v>4.12 &gt; Bolivia</v>
      </c>
      <c r="AH1207" s="84">
        <f t="shared" si="1119"/>
        <v>1193</v>
      </c>
      <c r="AI1207" s="84">
        <f t="shared" si="1120"/>
        <v>45</v>
      </c>
      <c r="AJ1207" s="877" t="s">
        <v>1526</v>
      </c>
    </row>
    <row r="1208" spans="1:36" x14ac:dyDescent="0.2">
      <c r="A1208" s="492">
        <f>INDEX(Country!$F$31:$G$76, MATCH(AI1208, Country!$O$31:$O$76, 0), 1)</f>
        <v>4.1199999999999974</v>
      </c>
      <c r="B1208" s="2" t="str">
        <f>INDEX(Country!$F$31:$G$76, MATCH(AI1208, Country!$O$31:$O$76, 0), 2)</f>
        <v>Capacity building – env. business training</v>
      </c>
      <c r="C1208" s="436" t="str">
        <f>INDEX(Country!$K$31:$K$76, MATCH(AI1208, Country!$O$31:$O$76, 0), 1)</f>
        <v>Organisations</v>
      </c>
      <c r="D1208" s="4" t="str">
        <f t="shared" si="1164"/>
        <v>Brazil</v>
      </c>
      <c r="E1208" s="47"/>
      <c r="F1208" s="47"/>
      <c r="G1208" s="47"/>
      <c r="H1208" s="47"/>
      <c r="I1208" s="47"/>
      <c r="J1208" s="47"/>
      <c r="K1208" s="45"/>
      <c r="L1208" s="457">
        <f t="shared" si="1133"/>
        <v>100</v>
      </c>
      <c r="M1208" s="458">
        <f t="shared" si="1134"/>
        <v>100</v>
      </c>
      <c r="N1208" s="458">
        <f t="shared" si="1135"/>
        <v>100</v>
      </c>
      <c r="O1208" s="458">
        <f t="shared" si="1136"/>
        <v>100</v>
      </c>
      <c r="P1208" s="458">
        <f t="shared" si="1137"/>
        <v>100</v>
      </c>
      <c r="Q1208" s="458">
        <f t="shared" si="1138"/>
        <v>100</v>
      </c>
      <c r="R1208" s="459">
        <f t="shared" si="1139"/>
        <v>100</v>
      </c>
      <c r="S1208" s="455"/>
      <c r="T1208" s="456"/>
      <c r="U1208" s="456"/>
      <c r="V1208" s="456"/>
      <c r="W1208" s="456"/>
      <c r="X1208" s="456"/>
      <c r="Y1208" s="456"/>
      <c r="Z1208" s="79">
        <f t="shared" ref="Z1208:AE1208" si="1170">AA1208</f>
        <v>1</v>
      </c>
      <c r="AA1208" s="78">
        <f t="shared" si="1170"/>
        <v>1</v>
      </c>
      <c r="AB1208" s="78">
        <f t="shared" si="1170"/>
        <v>1</v>
      </c>
      <c r="AC1208" s="78">
        <f t="shared" si="1170"/>
        <v>1</v>
      </c>
      <c r="AD1208" s="78">
        <f t="shared" si="1170"/>
        <v>1</v>
      </c>
      <c r="AE1208" s="78">
        <f t="shared" si="1170"/>
        <v>1</v>
      </c>
      <c r="AF1208" s="6">
        <v>1</v>
      </c>
      <c r="AG1208" s="33" t="str">
        <f t="shared" si="1116"/>
        <v>4.12 &gt; Brazil</v>
      </c>
      <c r="AH1208" s="84">
        <f t="shared" si="1119"/>
        <v>1194</v>
      </c>
      <c r="AI1208" s="84">
        <f t="shared" si="1120"/>
        <v>45</v>
      </c>
      <c r="AJ1208" s="877" t="s">
        <v>1526</v>
      </c>
    </row>
    <row r="1209" spans="1:36" x14ac:dyDescent="0.2">
      <c r="A1209" s="492">
        <f>INDEX(Country!$F$31:$G$76, MATCH(AI1209, Country!$O$31:$O$76, 0), 1)</f>
        <v>4.1199999999999974</v>
      </c>
      <c r="B1209" s="2" t="str">
        <f>INDEX(Country!$F$31:$G$76, MATCH(AI1209, Country!$O$31:$O$76, 0), 2)</f>
        <v>Capacity building – env. business training</v>
      </c>
      <c r="C1209" s="436" t="str">
        <f>INDEX(Country!$K$31:$K$76, MATCH(AI1209, Country!$O$31:$O$76, 0), 1)</f>
        <v>Organisations</v>
      </c>
      <c r="D1209" s="4" t="str">
        <f t="shared" si="1164"/>
        <v>Chile</v>
      </c>
      <c r="E1209" s="47"/>
      <c r="F1209" s="47"/>
      <c r="G1209" s="47"/>
      <c r="H1209" s="47"/>
      <c r="I1209" s="47"/>
      <c r="J1209" s="47"/>
      <c r="K1209" s="45"/>
      <c r="L1209" s="457">
        <f t="shared" si="1133"/>
        <v>100</v>
      </c>
      <c r="M1209" s="458">
        <f t="shared" si="1134"/>
        <v>100</v>
      </c>
      <c r="N1209" s="458">
        <f t="shared" si="1135"/>
        <v>100</v>
      </c>
      <c r="O1209" s="458">
        <f t="shared" si="1136"/>
        <v>100</v>
      </c>
      <c r="P1209" s="458">
        <f t="shared" si="1137"/>
        <v>100</v>
      </c>
      <c r="Q1209" s="458">
        <f t="shared" si="1138"/>
        <v>100</v>
      </c>
      <c r="R1209" s="459">
        <f t="shared" si="1139"/>
        <v>100</v>
      </c>
      <c r="S1209" s="455"/>
      <c r="T1209" s="456"/>
      <c r="U1209" s="456"/>
      <c r="V1209" s="456"/>
      <c r="W1209" s="456"/>
      <c r="X1209" s="456"/>
      <c r="Y1209" s="456"/>
      <c r="Z1209" s="79">
        <f t="shared" ref="Z1209:AE1209" si="1171">AA1209</f>
        <v>1</v>
      </c>
      <c r="AA1209" s="78">
        <f t="shared" si="1171"/>
        <v>1</v>
      </c>
      <c r="AB1209" s="78">
        <f t="shared" si="1171"/>
        <v>1</v>
      </c>
      <c r="AC1209" s="78">
        <f t="shared" si="1171"/>
        <v>1</v>
      </c>
      <c r="AD1209" s="78">
        <f t="shared" si="1171"/>
        <v>1</v>
      </c>
      <c r="AE1209" s="78">
        <f t="shared" si="1171"/>
        <v>1</v>
      </c>
      <c r="AF1209" s="6">
        <v>1</v>
      </c>
      <c r="AG1209" s="33" t="str">
        <f t="shared" si="1116"/>
        <v>4.12 &gt; Chile</v>
      </c>
      <c r="AH1209" s="84">
        <f t="shared" si="1119"/>
        <v>1195</v>
      </c>
      <c r="AI1209" s="84">
        <f t="shared" si="1120"/>
        <v>45</v>
      </c>
      <c r="AJ1209" s="877" t="s">
        <v>1526</v>
      </c>
    </row>
    <row r="1210" spans="1:36" x14ac:dyDescent="0.2">
      <c r="A1210" s="492">
        <f>INDEX(Country!$F$31:$G$76, MATCH(AI1210, Country!$O$31:$O$76, 0), 1)</f>
        <v>4.1199999999999974</v>
      </c>
      <c r="B1210" s="2" t="str">
        <f>INDEX(Country!$F$31:$G$76, MATCH(AI1210, Country!$O$31:$O$76, 0), 2)</f>
        <v>Capacity building – env. business training</v>
      </c>
      <c r="C1210" s="436" t="str">
        <f>INDEX(Country!$K$31:$K$76, MATCH(AI1210, Country!$O$31:$O$76, 0), 1)</f>
        <v>Organisations</v>
      </c>
      <c r="D1210" s="4" t="str">
        <f t="shared" si="1164"/>
        <v>Colombia</v>
      </c>
      <c r="E1210" s="47"/>
      <c r="F1210" s="47"/>
      <c r="G1210" s="47"/>
      <c r="H1210" s="47"/>
      <c r="I1210" s="47"/>
      <c r="J1210" s="47"/>
      <c r="K1210" s="45"/>
      <c r="L1210" s="457">
        <f t="shared" si="1133"/>
        <v>100</v>
      </c>
      <c r="M1210" s="458">
        <f t="shared" si="1134"/>
        <v>100</v>
      </c>
      <c r="N1210" s="458">
        <f t="shared" si="1135"/>
        <v>100</v>
      </c>
      <c r="O1210" s="458">
        <f t="shared" si="1136"/>
        <v>100</v>
      </c>
      <c r="P1210" s="458">
        <f t="shared" si="1137"/>
        <v>100</v>
      </c>
      <c r="Q1210" s="458">
        <f t="shared" si="1138"/>
        <v>100</v>
      </c>
      <c r="R1210" s="459">
        <f t="shared" si="1139"/>
        <v>100</v>
      </c>
      <c r="S1210" s="455"/>
      <c r="T1210" s="456"/>
      <c r="U1210" s="456"/>
      <c r="V1210" s="456"/>
      <c r="W1210" s="456"/>
      <c r="X1210" s="456"/>
      <c r="Y1210" s="456"/>
      <c r="Z1210" s="79">
        <f t="shared" ref="Z1210:AE1210" si="1172">AA1210</f>
        <v>1</v>
      </c>
      <c r="AA1210" s="78">
        <f t="shared" si="1172"/>
        <v>1</v>
      </c>
      <c r="AB1210" s="78">
        <f t="shared" si="1172"/>
        <v>1</v>
      </c>
      <c r="AC1210" s="78">
        <f t="shared" si="1172"/>
        <v>1</v>
      </c>
      <c r="AD1210" s="78">
        <f t="shared" si="1172"/>
        <v>1</v>
      </c>
      <c r="AE1210" s="78">
        <f t="shared" si="1172"/>
        <v>1</v>
      </c>
      <c r="AF1210" s="6">
        <v>1</v>
      </c>
      <c r="AG1210" s="33" t="str">
        <f t="shared" si="1116"/>
        <v>4.12 &gt; Colombia</v>
      </c>
      <c r="AH1210" s="84">
        <f t="shared" si="1119"/>
        <v>1196</v>
      </c>
      <c r="AI1210" s="84">
        <f t="shared" si="1120"/>
        <v>45</v>
      </c>
      <c r="AJ1210" s="877" t="s">
        <v>1526</v>
      </c>
    </row>
    <row r="1211" spans="1:36" x14ac:dyDescent="0.2">
      <c r="A1211" s="492">
        <f>INDEX(Country!$F$31:$G$76, MATCH(AI1211, Country!$O$31:$O$76, 0), 1)</f>
        <v>4.1199999999999974</v>
      </c>
      <c r="B1211" s="2" t="str">
        <f>INDEX(Country!$F$31:$G$76, MATCH(AI1211, Country!$O$31:$O$76, 0), 2)</f>
        <v>Capacity building – env. business training</v>
      </c>
      <c r="C1211" s="436" t="str">
        <f>INDEX(Country!$K$31:$K$76, MATCH(AI1211, Country!$O$31:$O$76, 0), 1)</f>
        <v>Organisations</v>
      </c>
      <c r="D1211" s="4" t="str">
        <f t="shared" si="1164"/>
        <v>Costa Rica</v>
      </c>
      <c r="E1211" s="47"/>
      <c r="F1211" s="47"/>
      <c r="G1211" s="47"/>
      <c r="H1211" s="47"/>
      <c r="I1211" s="47"/>
      <c r="J1211" s="47"/>
      <c r="K1211" s="45"/>
      <c r="L1211" s="457">
        <f t="shared" si="1133"/>
        <v>100</v>
      </c>
      <c r="M1211" s="458">
        <f t="shared" si="1134"/>
        <v>100</v>
      </c>
      <c r="N1211" s="458">
        <f t="shared" si="1135"/>
        <v>100</v>
      </c>
      <c r="O1211" s="458">
        <f t="shared" si="1136"/>
        <v>100</v>
      </c>
      <c r="P1211" s="458">
        <f t="shared" si="1137"/>
        <v>100</v>
      </c>
      <c r="Q1211" s="458">
        <f t="shared" si="1138"/>
        <v>100</v>
      </c>
      <c r="R1211" s="459">
        <f t="shared" si="1139"/>
        <v>100</v>
      </c>
      <c r="S1211" s="455"/>
      <c r="T1211" s="456"/>
      <c r="U1211" s="456"/>
      <c r="V1211" s="456"/>
      <c r="W1211" s="456"/>
      <c r="X1211" s="456"/>
      <c r="Y1211" s="456"/>
      <c r="Z1211" s="79">
        <f t="shared" ref="Z1211:AE1211" si="1173">AA1211</f>
        <v>1</v>
      </c>
      <c r="AA1211" s="78">
        <f t="shared" si="1173"/>
        <v>1</v>
      </c>
      <c r="AB1211" s="78">
        <f t="shared" si="1173"/>
        <v>1</v>
      </c>
      <c r="AC1211" s="78">
        <f t="shared" si="1173"/>
        <v>1</v>
      </c>
      <c r="AD1211" s="78">
        <f t="shared" si="1173"/>
        <v>1</v>
      </c>
      <c r="AE1211" s="78">
        <f t="shared" si="1173"/>
        <v>1</v>
      </c>
      <c r="AF1211" s="6">
        <v>1</v>
      </c>
      <c r="AG1211" s="33" t="str">
        <f t="shared" si="1116"/>
        <v>4.12 &gt; Costa Rica</v>
      </c>
      <c r="AH1211" s="84">
        <f t="shared" si="1119"/>
        <v>1197</v>
      </c>
      <c r="AI1211" s="84">
        <f t="shared" si="1120"/>
        <v>45</v>
      </c>
      <c r="AJ1211" s="877" t="s">
        <v>1526</v>
      </c>
    </row>
    <row r="1212" spans="1:36" x14ac:dyDescent="0.2">
      <c r="A1212" s="492">
        <f>INDEX(Country!$F$31:$G$76, MATCH(AI1212, Country!$O$31:$O$76, 0), 1)</f>
        <v>4.1199999999999974</v>
      </c>
      <c r="B1212" s="2" t="str">
        <f>INDEX(Country!$F$31:$G$76, MATCH(AI1212, Country!$O$31:$O$76, 0), 2)</f>
        <v>Capacity building – env. business training</v>
      </c>
      <c r="C1212" s="436" t="str">
        <f>INDEX(Country!$K$31:$K$76, MATCH(AI1212, Country!$O$31:$O$76, 0), 1)</f>
        <v>Organisations</v>
      </c>
      <c r="D1212" s="4" t="str">
        <f t="shared" si="1164"/>
        <v>Dominican Republic</v>
      </c>
      <c r="E1212" s="47"/>
      <c r="F1212" s="47"/>
      <c r="G1212" s="47"/>
      <c r="H1212" s="47"/>
      <c r="I1212" s="47"/>
      <c r="J1212" s="47"/>
      <c r="K1212" s="45"/>
      <c r="L1212" s="457">
        <f t="shared" ref="L1212:L1243" si="1174">(Z1212)*dbl_BenchmarkMax</f>
        <v>100</v>
      </c>
      <c r="M1212" s="458">
        <f t="shared" ref="M1212:M1243" si="1175">(AA1212)*dbl_BenchmarkMax</f>
        <v>100</v>
      </c>
      <c r="N1212" s="458">
        <f t="shared" ref="N1212:N1243" si="1176">(AB1212)*dbl_BenchmarkMax</f>
        <v>100</v>
      </c>
      <c r="O1212" s="458">
        <f t="shared" ref="O1212:O1243" si="1177">(AC1212)*dbl_BenchmarkMax</f>
        <v>100</v>
      </c>
      <c r="P1212" s="458">
        <f t="shared" ref="P1212:P1243" si="1178">(AD1212)*dbl_BenchmarkMax</f>
        <v>100</v>
      </c>
      <c r="Q1212" s="458">
        <f t="shared" ref="Q1212:Q1243" si="1179">(AE1212)*dbl_BenchmarkMax</f>
        <v>100</v>
      </c>
      <c r="R1212" s="459">
        <f t="shared" ref="R1212:R1243" si="1180">(AF1212)*dbl_BenchmarkMax</f>
        <v>100</v>
      </c>
      <c r="S1212" s="455"/>
      <c r="T1212" s="456"/>
      <c r="U1212" s="456"/>
      <c r="V1212" s="456"/>
      <c r="W1212" s="456"/>
      <c r="X1212" s="456"/>
      <c r="Y1212" s="456"/>
      <c r="Z1212" s="79">
        <f t="shared" ref="Z1212:AE1212" si="1181">AA1212</f>
        <v>1</v>
      </c>
      <c r="AA1212" s="78">
        <f t="shared" si="1181"/>
        <v>1</v>
      </c>
      <c r="AB1212" s="78">
        <f t="shared" si="1181"/>
        <v>1</v>
      </c>
      <c r="AC1212" s="78">
        <f t="shared" si="1181"/>
        <v>1</v>
      </c>
      <c r="AD1212" s="78">
        <f t="shared" si="1181"/>
        <v>1</v>
      </c>
      <c r="AE1212" s="78">
        <f t="shared" si="1181"/>
        <v>1</v>
      </c>
      <c r="AF1212" s="6">
        <v>1</v>
      </c>
      <c r="AG1212" s="33" t="str">
        <f t="shared" si="1116"/>
        <v>4.12 &gt; Dominican Republic</v>
      </c>
      <c r="AH1212" s="84">
        <f t="shared" si="1119"/>
        <v>1198</v>
      </c>
      <c r="AI1212" s="84">
        <f t="shared" si="1120"/>
        <v>45</v>
      </c>
      <c r="AJ1212" s="877" t="s">
        <v>1526</v>
      </c>
    </row>
    <row r="1213" spans="1:36" x14ac:dyDescent="0.2">
      <c r="A1213" s="492">
        <f>INDEX(Country!$F$31:$G$76, MATCH(AI1213, Country!$O$31:$O$76, 0), 1)</f>
        <v>4.1199999999999974</v>
      </c>
      <c r="B1213" s="2" t="str">
        <f>INDEX(Country!$F$31:$G$76, MATCH(AI1213, Country!$O$31:$O$76, 0), 2)</f>
        <v>Capacity building – env. business training</v>
      </c>
      <c r="C1213" s="436" t="str">
        <f>INDEX(Country!$K$31:$K$76, MATCH(AI1213, Country!$O$31:$O$76, 0), 1)</f>
        <v>Organisations</v>
      </c>
      <c r="D1213" s="4" t="str">
        <f t="shared" si="1164"/>
        <v>Ecuador</v>
      </c>
      <c r="E1213" s="47"/>
      <c r="F1213" s="47"/>
      <c r="G1213" s="47"/>
      <c r="H1213" s="47"/>
      <c r="I1213" s="47"/>
      <c r="J1213" s="47"/>
      <c r="K1213" s="45"/>
      <c r="L1213" s="457">
        <f t="shared" si="1174"/>
        <v>100</v>
      </c>
      <c r="M1213" s="458">
        <f t="shared" si="1175"/>
        <v>100</v>
      </c>
      <c r="N1213" s="458">
        <f t="shared" si="1176"/>
        <v>100</v>
      </c>
      <c r="O1213" s="458">
        <f t="shared" si="1177"/>
        <v>100</v>
      </c>
      <c r="P1213" s="458">
        <f t="shared" si="1178"/>
        <v>100</v>
      </c>
      <c r="Q1213" s="458">
        <f t="shared" si="1179"/>
        <v>100</v>
      </c>
      <c r="R1213" s="459">
        <f t="shared" si="1180"/>
        <v>100</v>
      </c>
      <c r="S1213" s="455"/>
      <c r="T1213" s="456"/>
      <c r="U1213" s="456"/>
      <c r="V1213" s="456"/>
      <c r="W1213" s="456"/>
      <c r="X1213" s="456"/>
      <c r="Y1213" s="456"/>
      <c r="Z1213" s="79">
        <f t="shared" ref="Z1213:AE1213" si="1182">AA1213</f>
        <v>1</v>
      </c>
      <c r="AA1213" s="78">
        <f t="shared" si="1182"/>
        <v>1</v>
      </c>
      <c r="AB1213" s="78">
        <f t="shared" si="1182"/>
        <v>1</v>
      </c>
      <c r="AC1213" s="78">
        <f t="shared" si="1182"/>
        <v>1</v>
      </c>
      <c r="AD1213" s="78">
        <f t="shared" si="1182"/>
        <v>1</v>
      </c>
      <c r="AE1213" s="78">
        <f t="shared" si="1182"/>
        <v>1</v>
      </c>
      <c r="AF1213" s="6">
        <v>1</v>
      </c>
      <c r="AG1213" s="33" t="str">
        <f t="shared" si="1116"/>
        <v>4.12 &gt; Ecuador</v>
      </c>
      <c r="AH1213" s="84">
        <f t="shared" si="1119"/>
        <v>1199</v>
      </c>
      <c r="AI1213" s="84">
        <f t="shared" si="1120"/>
        <v>45</v>
      </c>
      <c r="AJ1213" s="877" t="s">
        <v>1526</v>
      </c>
    </row>
    <row r="1214" spans="1:36" x14ac:dyDescent="0.2">
      <c r="A1214" s="492">
        <f>INDEX(Country!$F$31:$G$76, MATCH(AI1214, Country!$O$31:$O$76, 0), 1)</f>
        <v>4.1199999999999974</v>
      </c>
      <c r="B1214" s="2" t="str">
        <f>INDEX(Country!$F$31:$G$76, MATCH(AI1214, Country!$O$31:$O$76, 0), 2)</f>
        <v>Capacity building – env. business training</v>
      </c>
      <c r="C1214" s="436" t="str">
        <f>INDEX(Country!$K$31:$K$76, MATCH(AI1214, Country!$O$31:$O$76, 0), 1)</f>
        <v>Organisations</v>
      </c>
      <c r="D1214" s="4" t="str">
        <f t="shared" si="1164"/>
        <v>El Salvador</v>
      </c>
      <c r="E1214" s="47"/>
      <c r="F1214" s="47"/>
      <c r="G1214" s="47"/>
      <c r="H1214" s="47"/>
      <c r="I1214" s="47"/>
      <c r="J1214" s="47"/>
      <c r="K1214" s="45"/>
      <c r="L1214" s="457">
        <f t="shared" si="1174"/>
        <v>100</v>
      </c>
      <c r="M1214" s="458">
        <f t="shared" si="1175"/>
        <v>100</v>
      </c>
      <c r="N1214" s="458">
        <f t="shared" si="1176"/>
        <v>100</v>
      </c>
      <c r="O1214" s="458">
        <f t="shared" si="1177"/>
        <v>100</v>
      </c>
      <c r="P1214" s="458">
        <f t="shared" si="1178"/>
        <v>100</v>
      </c>
      <c r="Q1214" s="458">
        <f t="shared" si="1179"/>
        <v>100</v>
      </c>
      <c r="R1214" s="459">
        <f t="shared" si="1180"/>
        <v>100</v>
      </c>
      <c r="S1214" s="455"/>
      <c r="T1214" s="456"/>
      <c r="U1214" s="456"/>
      <c r="V1214" s="456"/>
      <c r="W1214" s="456"/>
      <c r="X1214" s="456"/>
      <c r="Y1214" s="456"/>
      <c r="Z1214" s="79">
        <f t="shared" ref="Z1214:AE1214" si="1183">AA1214</f>
        <v>1</v>
      </c>
      <c r="AA1214" s="78">
        <f t="shared" si="1183"/>
        <v>1</v>
      </c>
      <c r="AB1214" s="78">
        <f t="shared" si="1183"/>
        <v>1</v>
      </c>
      <c r="AC1214" s="78">
        <f t="shared" si="1183"/>
        <v>1</v>
      </c>
      <c r="AD1214" s="78">
        <f t="shared" si="1183"/>
        <v>1</v>
      </c>
      <c r="AE1214" s="78">
        <f t="shared" si="1183"/>
        <v>1</v>
      </c>
      <c r="AF1214" s="6">
        <v>1</v>
      </c>
      <c r="AG1214" s="33" t="str">
        <f t="shared" si="1116"/>
        <v>4.12 &gt; El Salvador</v>
      </c>
      <c r="AH1214" s="84">
        <f t="shared" si="1119"/>
        <v>1200</v>
      </c>
      <c r="AI1214" s="84">
        <f t="shared" si="1120"/>
        <v>45</v>
      </c>
      <c r="AJ1214" s="877" t="s">
        <v>1526</v>
      </c>
    </row>
    <row r="1215" spans="1:36" x14ac:dyDescent="0.2">
      <c r="A1215" s="492">
        <f>INDEX(Country!$F$31:$G$76, MATCH(AI1215, Country!$O$31:$O$76, 0), 1)</f>
        <v>4.1199999999999974</v>
      </c>
      <c r="B1215" s="2" t="str">
        <f>INDEX(Country!$F$31:$G$76, MATCH(AI1215, Country!$O$31:$O$76, 0), 2)</f>
        <v>Capacity building – env. business training</v>
      </c>
      <c r="C1215" s="436" t="str">
        <f>INDEX(Country!$K$31:$K$76, MATCH(AI1215, Country!$O$31:$O$76, 0), 1)</f>
        <v>Organisations</v>
      </c>
      <c r="D1215" s="4" t="str">
        <f t="shared" si="1164"/>
        <v>Guatemala</v>
      </c>
      <c r="E1215" s="47"/>
      <c r="F1215" s="47"/>
      <c r="G1215" s="47"/>
      <c r="H1215" s="47"/>
      <c r="I1215" s="47"/>
      <c r="J1215" s="47"/>
      <c r="K1215" s="45"/>
      <c r="L1215" s="457">
        <f t="shared" si="1174"/>
        <v>100</v>
      </c>
      <c r="M1215" s="458">
        <f t="shared" si="1175"/>
        <v>100</v>
      </c>
      <c r="N1215" s="458">
        <f t="shared" si="1176"/>
        <v>100</v>
      </c>
      <c r="O1215" s="458">
        <f t="shared" si="1177"/>
        <v>100</v>
      </c>
      <c r="P1215" s="458">
        <f t="shared" si="1178"/>
        <v>100</v>
      </c>
      <c r="Q1215" s="458">
        <f t="shared" si="1179"/>
        <v>100</v>
      </c>
      <c r="R1215" s="459">
        <f t="shared" si="1180"/>
        <v>100</v>
      </c>
      <c r="S1215" s="455"/>
      <c r="T1215" s="456"/>
      <c r="U1215" s="456"/>
      <c r="V1215" s="456"/>
      <c r="W1215" s="456"/>
      <c r="X1215" s="456"/>
      <c r="Y1215" s="456"/>
      <c r="Z1215" s="79">
        <f t="shared" ref="Z1215:AE1215" si="1184">AA1215</f>
        <v>1</v>
      </c>
      <c r="AA1215" s="78">
        <f t="shared" si="1184"/>
        <v>1</v>
      </c>
      <c r="AB1215" s="78">
        <f t="shared" si="1184"/>
        <v>1</v>
      </c>
      <c r="AC1215" s="78">
        <f t="shared" si="1184"/>
        <v>1</v>
      </c>
      <c r="AD1215" s="78">
        <f t="shared" si="1184"/>
        <v>1</v>
      </c>
      <c r="AE1215" s="78">
        <f t="shared" si="1184"/>
        <v>1</v>
      </c>
      <c r="AF1215" s="6">
        <v>1</v>
      </c>
      <c r="AG1215" s="33" t="str">
        <f t="shared" si="1116"/>
        <v>4.12 &gt; Guatemala</v>
      </c>
      <c r="AH1215" s="84">
        <f t="shared" si="1119"/>
        <v>1201</v>
      </c>
      <c r="AI1215" s="84">
        <f t="shared" si="1120"/>
        <v>45</v>
      </c>
      <c r="AJ1215" s="877" t="s">
        <v>1526</v>
      </c>
    </row>
    <row r="1216" spans="1:36" x14ac:dyDescent="0.2">
      <c r="A1216" s="492">
        <f>INDEX(Country!$F$31:$G$76, MATCH(AI1216, Country!$O$31:$O$76, 0), 1)</f>
        <v>4.1199999999999974</v>
      </c>
      <c r="B1216" s="2" t="str">
        <f>INDEX(Country!$F$31:$G$76, MATCH(AI1216, Country!$O$31:$O$76, 0), 2)</f>
        <v>Capacity building – env. business training</v>
      </c>
      <c r="C1216" s="436" t="str">
        <f>INDEX(Country!$K$31:$K$76, MATCH(AI1216, Country!$O$31:$O$76, 0), 1)</f>
        <v>Organisations</v>
      </c>
      <c r="D1216" s="4" t="str">
        <f t="shared" si="1164"/>
        <v>Guyana</v>
      </c>
      <c r="E1216" s="47"/>
      <c r="F1216" s="47"/>
      <c r="G1216" s="47"/>
      <c r="H1216" s="47"/>
      <c r="I1216" s="47"/>
      <c r="J1216" s="47"/>
      <c r="K1216" s="45"/>
      <c r="L1216" s="457">
        <f t="shared" si="1174"/>
        <v>0</v>
      </c>
      <c r="M1216" s="458">
        <f t="shared" si="1175"/>
        <v>0</v>
      </c>
      <c r="N1216" s="458">
        <f t="shared" si="1176"/>
        <v>0</v>
      </c>
      <c r="O1216" s="458">
        <f t="shared" si="1177"/>
        <v>0</v>
      </c>
      <c r="P1216" s="458">
        <f t="shared" si="1178"/>
        <v>0</v>
      </c>
      <c r="Q1216" s="458">
        <f t="shared" si="1179"/>
        <v>0</v>
      </c>
      <c r="R1216" s="459">
        <f t="shared" si="1180"/>
        <v>0</v>
      </c>
      <c r="S1216" s="455"/>
      <c r="T1216" s="456"/>
      <c r="U1216" s="456"/>
      <c r="V1216" s="456"/>
      <c r="W1216" s="456"/>
      <c r="X1216" s="456"/>
      <c r="Y1216" s="456"/>
      <c r="Z1216" s="79">
        <f t="shared" ref="Z1216:AE1216" si="1185">AA1216</f>
        <v>0</v>
      </c>
      <c r="AA1216" s="78">
        <f t="shared" si="1185"/>
        <v>0</v>
      </c>
      <c r="AB1216" s="78">
        <f t="shared" si="1185"/>
        <v>0</v>
      </c>
      <c r="AC1216" s="78">
        <f t="shared" si="1185"/>
        <v>0</v>
      </c>
      <c r="AD1216" s="78">
        <f t="shared" si="1185"/>
        <v>0</v>
      </c>
      <c r="AE1216" s="78">
        <f t="shared" si="1185"/>
        <v>0</v>
      </c>
      <c r="AF1216" s="6">
        <v>0</v>
      </c>
      <c r="AG1216" s="33" t="str">
        <f t="shared" si="1116"/>
        <v>4.12 &gt; Guyana</v>
      </c>
      <c r="AH1216" s="84">
        <f t="shared" si="1119"/>
        <v>1202</v>
      </c>
      <c r="AI1216" s="84">
        <f t="shared" si="1120"/>
        <v>45</v>
      </c>
      <c r="AJ1216" s="877" t="s">
        <v>1526</v>
      </c>
    </row>
    <row r="1217" spans="1:36" x14ac:dyDescent="0.2">
      <c r="A1217" s="492">
        <f>INDEX(Country!$F$31:$G$76, MATCH(AI1217, Country!$O$31:$O$76, 0), 1)</f>
        <v>4.1199999999999974</v>
      </c>
      <c r="B1217" s="2" t="str">
        <f>INDEX(Country!$F$31:$G$76, MATCH(AI1217, Country!$O$31:$O$76, 0), 2)</f>
        <v>Capacity building – env. business training</v>
      </c>
      <c r="C1217" s="436" t="str">
        <f>INDEX(Country!$K$31:$K$76, MATCH(AI1217, Country!$O$31:$O$76, 0), 1)</f>
        <v>Organisations</v>
      </c>
      <c r="D1217" s="4" t="str">
        <f t="shared" si="1164"/>
        <v>Haiti</v>
      </c>
      <c r="E1217" s="47"/>
      <c r="F1217" s="47"/>
      <c r="G1217" s="47"/>
      <c r="H1217" s="47"/>
      <c r="I1217" s="47"/>
      <c r="J1217" s="47"/>
      <c r="K1217" s="45"/>
      <c r="L1217" s="457">
        <f t="shared" si="1174"/>
        <v>0</v>
      </c>
      <c r="M1217" s="458">
        <f t="shared" si="1175"/>
        <v>0</v>
      </c>
      <c r="N1217" s="458">
        <f t="shared" si="1176"/>
        <v>0</v>
      </c>
      <c r="O1217" s="458">
        <f t="shared" si="1177"/>
        <v>0</v>
      </c>
      <c r="P1217" s="458">
        <f t="shared" si="1178"/>
        <v>0</v>
      </c>
      <c r="Q1217" s="458">
        <f t="shared" si="1179"/>
        <v>0</v>
      </c>
      <c r="R1217" s="459">
        <f t="shared" si="1180"/>
        <v>0</v>
      </c>
      <c r="S1217" s="455"/>
      <c r="T1217" s="456"/>
      <c r="U1217" s="456"/>
      <c r="V1217" s="456"/>
      <c r="W1217" s="456"/>
      <c r="X1217" s="456"/>
      <c r="Y1217" s="456"/>
      <c r="Z1217" s="79">
        <f t="shared" ref="Z1217:AE1217" si="1186">AA1217</f>
        <v>0</v>
      </c>
      <c r="AA1217" s="78">
        <f t="shared" si="1186"/>
        <v>0</v>
      </c>
      <c r="AB1217" s="78">
        <f t="shared" si="1186"/>
        <v>0</v>
      </c>
      <c r="AC1217" s="78">
        <f t="shared" si="1186"/>
        <v>0</v>
      </c>
      <c r="AD1217" s="78">
        <f t="shared" si="1186"/>
        <v>0</v>
      </c>
      <c r="AE1217" s="78">
        <f t="shared" si="1186"/>
        <v>0</v>
      </c>
      <c r="AF1217" s="6">
        <v>0</v>
      </c>
      <c r="AG1217" s="33" t="str">
        <f t="shared" si="1116"/>
        <v>4.12 &gt; Haiti</v>
      </c>
      <c r="AH1217" s="84">
        <f t="shared" si="1119"/>
        <v>1203</v>
      </c>
      <c r="AI1217" s="84">
        <f t="shared" si="1120"/>
        <v>45</v>
      </c>
      <c r="AJ1217" s="877" t="s">
        <v>1526</v>
      </c>
    </row>
    <row r="1218" spans="1:36" x14ac:dyDescent="0.2">
      <c r="A1218" s="492">
        <f>INDEX(Country!$F$31:$G$76, MATCH(AI1218, Country!$O$31:$O$76, 0), 1)</f>
        <v>4.1199999999999974</v>
      </c>
      <c r="B1218" s="2" t="str">
        <f>INDEX(Country!$F$31:$G$76, MATCH(AI1218, Country!$O$31:$O$76, 0), 2)</f>
        <v>Capacity building – env. business training</v>
      </c>
      <c r="C1218" s="436" t="str">
        <f>INDEX(Country!$K$31:$K$76, MATCH(AI1218, Country!$O$31:$O$76, 0), 1)</f>
        <v>Organisations</v>
      </c>
      <c r="D1218" s="4" t="str">
        <f t="shared" si="1164"/>
        <v>Honduras</v>
      </c>
      <c r="E1218" s="47"/>
      <c r="F1218" s="47"/>
      <c r="G1218" s="47"/>
      <c r="H1218" s="47"/>
      <c r="I1218" s="47"/>
      <c r="J1218" s="47"/>
      <c r="K1218" s="45"/>
      <c r="L1218" s="457">
        <f t="shared" si="1174"/>
        <v>0</v>
      </c>
      <c r="M1218" s="458">
        <f t="shared" si="1175"/>
        <v>0</v>
      </c>
      <c r="N1218" s="458">
        <f t="shared" si="1176"/>
        <v>0</v>
      </c>
      <c r="O1218" s="458">
        <f t="shared" si="1177"/>
        <v>0</v>
      </c>
      <c r="P1218" s="458">
        <f t="shared" si="1178"/>
        <v>0</v>
      </c>
      <c r="Q1218" s="458">
        <f t="shared" si="1179"/>
        <v>0</v>
      </c>
      <c r="R1218" s="459">
        <f t="shared" si="1180"/>
        <v>0</v>
      </c>
      <c r="S1218" s="455"/>
      <c r="T1218" s="456"/>
      <c r="U1218" s="456"/>
      <c r="V1218" s="456"/>
      <c r="W1218" s="456"/>
      <c r="X1218" s="456"/>
      <c r="Y1218" s="456"/>
      <c r="Z1218" s="79">
        <f t="shared" ref="Z1218:AE1218" si="1187">AA1218</f>
        <v>0</v>
      </c>
      <c r="AA1218" s="78">
        <f t="shared" si="1187"/>
        <v>0</v>
      </c>
      <c r="AB1218" s="78">
        <f t="shared" si="1187"/>
        <v>0</v>
      </c>
      <c r="AC1218" s="78">
        <f t="shared" si="1187"/>
        <v>0</v>
      </c>
      <c r="AD1218" s="78">
        <f t="shared" si="1187"/>
        <v>0</v>
      </c>
      <c r="AE1218" s="78">
        <f t="shared" si="1187"/>
        <v>0</v>
      </c>
      <c r="AF1218" s="6">
        <v>0</v>
      </c>
      <c r="AG1218" s="33" t="str">
        <f t="shared" si="1116"/>
        <v>4.12 &gt; Honduras</v>
      </c>
      <c r="AH1218" s="84">
        <f t="shared" si="1119"/>
        <v>1204</v>
      </c>
      <c r="AI1218" s="84">
        <f t="shared" si="1120"/>
        <v>45</v>
      </c>
      <c r="AJ1218" s="877" t="s">
        <v>1526</v>
      </c>
    </row>
    <row r="1219" spans="1:36" x14ac:dyDescent="0.2">
      <c r="A1219" s="492">
        <f>INDEX(Country!$F$31:$G$76, MATCH(AI1219, Country!$O$31:$O$76, 0), 1)</f>
        <v>4.1199999999999974</v>
      </c>
      <c r="B1219" s="2" t="str">
        <f>INDEX(Country!$F$31:$G$76, MATCH(AI1219, Country!$O$31:$O$76, 0), 2)</f>
        <v>Capacity building – env. business training</v>
      </c>
      <c r="C1219" s="436" t="str">
        <f>INDEX(Country!$K$31:$K$76, MATCH(AI1219, Country!$O$31:$O$76, 0), 1)</f>
        <v>Organisations</v>
      </c>
      <c r="D1219" s="4" t="str">
        <f t="shared" si="1164"/>
        <v>Jamaica</v>
      </c>
      <c r="E1219" s="47"/>
      <c r="F1219" s="47"/>
      <c r="G1219" s="47"/>
      <c r="H1219" s="47"/>
      <c r="I1219" s="47"/>
      <c r="J1219" s="47"/>
      <c r="K1219" s="45"/>
      <c r="L1219" s="457">
        <f t="shared" si="1174"/>
        <v>0</v>
      </c>
      <c r="M1219" s="458">
        <f t="shared" si="1175"/>
        <v>0</v>
      </c>
      <c r="N1219" s="458">
        <f t="shared" si="1176"/>
        <v>0</v>
      </c>
      <c r="O1219" s="458">
        <f t="shared" si="1177"/>
        <v>0</v>
      </c>
      <c r="P1219" s="458">
        <f t="shared" si="1178"/>
        <v>0</v>
      </c>
      <c r="Q1219" s="458">
        <f t="shared" si="1179"/>
        <v>0</v>
      </c>
      <c r="R1219" s="459">
        <f t="shared" si="1180"/>
        <v>0</v>
      </c>
      <c r="S1219" s="455"/>
      <c r="T1219" s="456"/>
      <c r="U1219" s="456"/>
      <c r="V1219" s="456"/>
      <c r="W1219" s="456"/>
      <c r="X1219" s="456"/>
      <c r="Y1219" s="456"/>
      <c r="Z1219" s="79">
        <f t="shared" ref="Z1219:AE1219" si="1188">AA1219</f>
        <v>0</v>
      </c>
      <c r="AA1219" s="78">
        <f t="shared" si="1188"/>
        <v>0</v>
      </c>
      <c r="AB1219" s="78">
        <f t="shared" si="1188"/>
        <v>0</v>
      </c>
      <c r="AC1219" s="78">
        <f t="shared" si="1188"/>
        <v>0</v>
      </c>
      <c r="AD1219" s="78">
        <f t="shared" si="1188"/>
        <v>0</v>
      </c>
      <c r="AE1219" s="78">
        <f t="shared" si="1188"/>
        <v>0</v>
      </c>
      <c r="AF1219" s="6">
        <v>0</v>
      </c>
      <c r="AG1219" s="33" t="str">
        <f t="shared" si="1116"/>
        <v>4.12 &gt; Jamaica</v>
      </c>
      <c r="AH1219" s="84">
        <f t="shared" si="1119"/>
        <v>1205</v>
      </c>
      <c r="AI1219" s="84">
        <f t="shared" si="1120"/>
        <v>45</v>
      </c>
      <c r="AJ1219" s="877" t="s">
        <v>1526</v>
      </c>
    </row>
    <row r="1220" spans="1:36" x14ac:dyDescent="0.2">
      <c r="A1220" s="492">
        <f>INDEX(Country!$F$31:$G$76, MATCH(AI1220, Country!$O$31:$O$76, 0), 1)</f>
        <v>4.1199999999999974</v>
      </c>
      <c r="B1220" s="2" t="str">
        <f>INDEX(Country!$F$31:$G$76, MATCH(AI1220, Country!$O$31:$O$76, 0), 2)</f>
        <v>Capacity building – env. business training</v>
      </c>
      <c r="C1220" s="436" t="str">
        <f>INDEX(Country!$K$31:$K$76, MATCH(AI1220, Country!$O$31:$O$76, 0), 1)</f>
        <v>Organisations</v>
      </c>
      <c r="D1220" s="4" t="str">
        <f t="shared" si="1164"/>
        <v>Mexico</v>
      </c>
      <c r="E1220" s="47"/>
      <c r="F1220" s="47"/>
      <c r="G1220" s="47"/>
      <c r="H1220" s="47"/>
      <c r="I1220" s="47"/>
      <c r="J1220" s="47"/>
      <c r="K1220" s="45"/>
      <c r="L1220" s="457">
        <f t="shared" si="1174"/>
        <v>100</v>
      </c>
      <c r="M1220" s="458">
        <f t="shared" si="1175"/>
        <v>100</v>
      </c>
      <c r="N1220" s="458">
        <f t="shared" si="1176"/>
        <v>100</v>
      </c>
      <c r="O1220" s="458">
        <f t="shared" si="1177"/>
        <v>100</v>
      </c>
      <c r="P1220" s="458">
        <f t="shared" si="1178"/>
        <v>100</v>
      </c>
      <c r="Q1220" s="458">
        <f t="shared" si="1179"/>
        <v>100</v>
      </c>
      <c r="R1220" s="459">
        <f t="shared" si="1180"/>
        <v>100</v>
      </c>
      <c r="S1220" s="455"/>
      <c r="T1220" s="456"/>
      <c r="U1220" s="456"/>
      <c r="V1220" s="456"/>
      <c r="W1220" s="456"/>
      <c r="X1220" s="456"/>
      <c r="Y1220" s="456"/>
      <c r="Z1220" s="79">
        <f t="shared" ref="Z1220:AE1220" si="1189">AA1220</f>
        <v>1</v>
      </c>
      <c r="AA1220" s="78">
        <f t="shared" si="1189"/>
        <v>1</v>
      </c>
      <c r="AB1220" s="78">
        <f t="shared" si="1189"/>
        <v>1</v>
      </c>
      <c r="AC1220" s="78">
        <f t="shared" si="1189"/>
        <v>1</v>
      </c>
      <c r="AD1220" s="78">
        <f t="shared" si="1189"/>
        <v>1</v>
      </c>
      <c r="AE1220" s="78">
        <f t="shared" si="1189"/>
        <v>1</v>
      </c>
      <c r="AF1220" s="6">
        <v>1</v>
      </c>
      <c r="AG1220" s="33" t="str">
        <f t="shared" si="1116"/>
        <v>4.12 &gt; Mexico</v>
      </c>
      <c r="AH1220" s="84">
        <f t="shared" si="1119"/>
        <v>1206</v>
      </c>
      <c r="AI1220" s="84">
        <f t="shared" si="1120"/>
        <v>45</v>
      </c>
      <c r="AJ1220" s="877" t="s">
        <v>1526</v>
      </c>
    </row>
    <row r="1221" spans="1:36" x14ac:dyDescent="0.2">
      <c r="A1221" s="492">
        <f>INDEX(Country!$F$31:$G$76, MATCH(AI1221, Country!$O$31:$O$76, 0), 1)</f>
        <v>4.1199999999999974</v>
      </c>
      <c r="B1221" s="2" t="str">
        <f>INDEX(Country!$F$31:$G$76, MATCH(AI1221, Country!$O$31:$O$76, 0), 2)</f>
        <v>Capacity building – env. business training</v>
      </c>
      <c r="C1221" s="436" t="str">
        <f>INDEX(Country!$K$31:$K$76, MATCH(AI1221, Country!$O$31:$O$76, 0), 1)</f>
        <v>Organisations</v>
      </c>
      <c r="D1221" s="4" t="str">
        <f t="shared" si="1164"/>
        <v>Nicaragua</v>
      </c>
      <c r="E1221" s="47"/>
      <c r="F1221" s="47"/>
      <c r="G1221" s="47"/>
      <c r="H1221" s="47"/>
      <c r="I1221" s="47"/>
      <c r="J1221" s="47"/>
      <c r="K1221" s="45"/>
      <c r="L1221" s="457">
        <f t="shared" si="1174"/>
        <v>100</v>
      </c>
      <c r="M1221" s="458">
        <f t="shared" si="1175"/>
        <v>100</v>
      </c>
      <c r="N1221" s="458">
        <f t="shared" si="1176"/>
        <v>100</v>
      </c>
      <c r="O1221" s="458">
        <f t="shared" si="1177"/>
        <v>100</v>
      </c>
      <c r="P1221" s="458">
        <f t="shared" si="1178"/>
        <v>100</v>
      </c>
      <c r="Q1221" s="458">
        <f t="shared" si="1179"/>
        <v>100</v>
      </c>
      <c r="R1221" s="459">
        <f t="shared" si="1180"/>
        <v>100</v>
      </c>
      <c r="S1221" s="455"/>
      <c r="T1221" s="456"/>
      <c r="U1221" s="456"/>
      <c r="V1221" s="456"/>
      <c r="W1221" s="456"/>
      <c r="X1221" s="456"/>
      <c r="Y1221" s="456"/>
      <c r="Z1221" s="79">
        <f t="shared" ref="Z1221:AE1221" si="1190">AA1221</f>
        <v>1</v>
      </c>
      <c r="AA1221" s="78">
        <f t="shared" si="1190"/>
        <v>1</v>
      </c>
      <c r="AB1221" s="78">
        <f t="shared" si="1190"/>
        <v>1</v>
      </c>
      <c r="AC1221" s="78">
        <f t="shared" si="1190"/>
        <v>1</v>
      </c>
      <c r="AD1221" s="78">
        <f t="shared" si="1190"/>
        <v>1</v>
      </c>
      <c r="AE1221" s="78">
        <f t="shared" si="1190"/>
        <v>1</v>
      </c>
      <c r="AF1221" s="6">
        <v>1</v>
      </c>
      <c r="AG1221" s="33" t="str">
        <f t="shared" si="1116"/>
        <v>4.12 &gt; Nicaragua</v>
      </c>
      <c r="AH1221" s="84">
        <f t="shared" si="1119"/>
        <v>1207</v>
      </c>
      <c r="AI1221" s="84">
        <f t="shared" si="1120"/>
        <v>45</v>
      </c>
      <c r="AJ1221" s="877" t="s">
        <v>1526</v>
      </c>
    </row>
    <row r="1222" spans="1:36" x14ac:dyDescent="0.2">
      <c r="A1222" s="492">
        <f>INDEX(Country!$F$31:$G$76, MATCH(AI1222, Country!$O$31:$O$76, 0), 1)</f>
        <v>4.1199999999999974</v>
      </c>
      <c r="B1222" s="2" t="str">
        <f>INDEX(Country!$F$31:$G$76, MATCH(AI1222, Country!$O$31:$O$76, 0), 2)</f>
        <v>Capacity building – env. business training</v>
      </c>
      <c r="C1222" s="436" t="str">
        <f>INDEX(Country!$K$31:$K$76, MATCH(AI1222, Country!$O$31:$O$76, 0), 1)</f>
        <v>Organisations</v>
      </c>
      <c r="D1222" s="4" t="str">
        <f t="shared" si="1164"/>
        <v>Panama</v>
      </c>
      <c r="E1222" s="47"/>
      <c r="F1222" s="47"/>
      <c r="G1222" s="47"/>
      <c r="H1222" s="47"/>
      <c r="I1222" s="47"/>
      <c r="J1222" s="47"/>
      <c r="K1222" s="45"/>
      <c r="L1222" s="457">
        <f t="shared" si="1174"/>
        <v>100</v>
      </c>
      <c r="M1222" s="458">
        <f t="shared" si="1175"/>
        <v>100</v>
      </c>
      <c r="N1222" s="458">
        <f t="shared" si="1176"/>
        <v>100</v>
      </c>
      <c r="O1222" s="458">
        <f t="shared" si="1177"/>
        <v>100</v>
      </c>
      <c r="P1222" s="458">
        <f t="shared" si="1178"/>
        <v>100</v>
      </c>
      <c r="Q1222" s="458">
        <f t="shared" si="1179"/>
        <v>100</v>
      </c>
      <c r="R1222" s="459">
        <f t="shared" si="1180"/>
        <v>100</v>
      </c>
      <c r="S1222" s="455"/>
      <c r="T1222" s="456"/>
      <c r="U1222" s="456"/>
      <c r="V1222" s="456"/>
      <c r="W1222" s="456"/>
      <c r="X1222" s="456"/>
      <c r="Y1222" s="456"/>
      <c r="Z1222" s="79">
        <f t="shared" ref="Z1222:AE1222" si="1191">AA1222</f>
        <v>1</v>
      </c>
      <c r="AA1222" s="78">
        <f t="shared" si="1191"/>
        <v>1</v>
      </c>
      <c r="AB1222" s="78">
        <f t="shared" si="1191"/>
        <v>1</v>
      </c>
      <c r="AC1222" s="78">
        <f t="shared" si="1191"/>
        <v>1</v>
      </c>
      <c r="AD1222" s="78">
        <f t="shared" si="1191"/>
        <v>1</v>
      </c>
      <c r="AE1222" s="78">
        <f t="shared" si="1191"/>
        <v>1</v>
      </c>
      <c r="AF1222" s="6">
        <v>1</v>
      </c>
      <c r="AG1222" s="33" t="str">
        <f t="shared" si="1116"/>
        <v>4.12 &gt; Panama</v>
      </c>
      <c r="AH1222" s="84">
        <f t="shared" si="1119"/>
        <v>1208</v>
      </c>
      <c r="AI1222" s="84">
        <f t="shared" si="1120"/>
        <v>45</v>
      </c>
      <c r="AJ1222" s="877" t="s">
        <v>1526</v>
      </c>
    </row>
    <row r="1223" spans="1:36" x14ac:dyDescent="0.2">
      <c r="A1223" s="492">
        <f>INDEX(Country!$F$31:$G$76, MATCH(AI1223, Country!$O$31:$O$76, 0), 1)</f>
        <v>4.1199999999999974</v>
      </c>
      <c r="B1223" s="2" t="str">
        <f>INDEX(Country!$F$31:$G$76, MATCH(AI1223, Country!$O$31:$O$76, 0), 2)</f>
        <v>Capacity building – env. business training</v>
      </c>
      <c r="C1223" s="436" t="str">
        <f>INDEX(Country!$K$31:$K$76, MATCH(AI1223, Country!$O$31:$O$76, 0), 1)</f>
        <v>Organisations</v>
      </c>
      <c r="D1223" s="4" t="str">
        <f t="shared" si="1164"/>
        <v>Paraguay</v>
      </c>
      <c r="E1223" s="47"/>
      <c r="F1223" s="47"/>
      <c r="G1223" s="47"/>
      <c r="H1223" s="47"/>
      <c r="I1223" s="47"/>
      <c r="J1223" s="47"/>
      <c r="K1223" s="45"/>
      <c r="L1223" s="457">
        <f t="shared" si="1174"/>
        <v>100</v>
      </c>
      <c r="M1223" s="458">
        <f t="shared" si="1175"/>
        <v>100</v>
      </c>
      <c r="N1223" s="458">
        <f t="shared" si="1176"/>
        <v>100</v>
      </c>
      <c r="O1223" s="458">
        <f t="shared" si="1177"/>
        <v>100</v>
      </c>
      <c r="P1223" s="458">
        <f t="shared" si="1178"/>
        <v>100</v>
      </c>
      <c r="Q1223" s="458">
        <f t="shared" si="1179"/>
        <v>100</v>
      </c>
      <c r="R1223" s="459">
        <f t="shared" si="1180"/>
        <v>100</v>
      </c>
      <c r="S1223" s="455"/>
      <c r="T1223" s="456"/>
      <c r="U1223" s="456"/>
      <c r="V1223" s="456"/>
      <c r="W1223" s="456"/>
      <c r="X1223" s="456"/>
      <c r="Y1223" s="456"/>
      <c r="Z1223" s="79">
        <f t="shared" ref="Z1223:AE1223" si="1192">AA1223</f>
        <v>1</v>
      </c>
      <c r="AA1223" s="78">
        <f t="shared" si="1192"/>
        <v>1</v>
      </c>
      <c r="AB1223" s="78">
        <f t="shared" si="1192"/>
        <v>1</v>
      </c>
      <c r="AC1223" s="78">
        <f t="shared" si="1192"/>
        <v>1</v>
      </c>
      <c r="AD1223" s="78">
        <f t="shared" si="1192"/>
        <v>1</v>
      </c>
      <c r="AE1223" s="78">
        <f t="shared" si="1192"/>
        <v>1</v>
      </c>
      <c r="AF1223" s="6">
        <v>1</v>
      </c>
      <c r="AG1223" s="33" t="str">
        <f t="shared" si="1116"/>
        <v>4.12 &gt; Paraguay</v>
      </c>
      <c r="AH1223" s="84">
        <f t="shared" si="1119"/>
        <v>1209</v>
      </c>
      <c r="AI1223" s="84">
        <f t="shared" si="1120"/>
        <v>45</v>
      </c>
      <c r="AJ1223" s="877" t="s">
        <v>1526</v>
      </c>
    </row>
    <row r="1224" spans="1:36" x14ac:dyDescent="0.2">
      <c r="A1224" s="492">
        <f>INDEX(Country!$F$31:$G$76, MATCH(AI1224, Country!$O$31:$O$76, 0), 1)</f>
        <v>4.1199999999999974</v>
      </c>
      <c r="B1224" s="2" t="str">
        <f>INDEX(Country!$F$31:$G$76, MATCH(AI1224, Country!$O$31:$O$76, 0), 2)</f>
        <v>Capacity building – env. business training</v>
      </c>
      <c r="C1224" s="436" t="str">
        <f>INDEX(Country!$K$31:$K$76, MATCH(AI1224, Country!$O$31:$O$76, 0), 1)</f>
        <v>Organisations</v>
      </c>
      <c r="D1224" s="4" t="str">
        <f t="shared" si="1164"/>
        <v>Peru</v>
      </c>
      <c r="E1224" s="47"/>
      <c r="F1224" s="47"/>
      <c r="G1224" s="47"/>
      <c r="H1224" s="47"/>
      <c r="I1224" s="47"/>
      <c r="J1224" s="47"/>
      <c r="K1224" s="45"/>
      <c r="L1224" s="457">
        <f t="shared" si="1174"/>
        <v>100</v>
      </c>
      <c r="M1224" s="458">
        <f t="shared" si="1175"/>
        <v>100</v>
      </c>
      <c r="N1224" s="458">
        <f t="shared" si="1176"/>
        <v>100</v>
      </c>
      <c r="O1224" s="458">
        <f t="shared" si="1177"/>
        <v>100</v>
      </c>
      <c r="P1224" s="458">
        <f t="shared" si="1178"/>
        <v>100</v>
      </c>
      <c r="Q1224" s="458">
        <f t="shared" si="1179"/>
        <v>100</v>
      </c>
      <c r="R1224" s="459">
        <f t="shared" si="1180"/>
        <v>100</v>
      </c>
      <c r="S1224" s="455"/>
      <c r="T1224" s="456"/>
      <c r="U1224" s="456"/>
      <c r="V1224" s="456"/>
      <c r="W1224" s="456"/>
      <c r="X1224" s="456"/>
      <c r="Y1224" s="456"/>
      <c r="Z1224" s="79">
        <f t="shared" ref="Z1224:AE1224" si="1193">AA1224</f>
        <v>1</v>
      </c>
      <c r="AA1224" s="78">
        <f t="shared" si="1193"/>
        <v>1</v>
      </c>
      <c r="AB1224" s="78">
        <f t="shared" si="1193"/>
        <v>1</v>
      </c>
      <c r="AC1224" s="78">
        <f t="shared" si="1193"/>
        <v>1</v>
      </c>
      <c r="AD1224" s="78">
        <f t="shared" si="1193"/>
        <v>1</v>
      </c>
      <c r="AE1224" s="78">
        <f t="shared" si="1193"/>
        <v>1</v>
      </c>
      <c r="AF1224" s="6">
        <v>1</v>
      </c>
      <c r="AG1224" s="33" t="str">
        <f t="shared" si="1116"/>
        <v>4.12 &gt; Peru</v>
      </c>
      <c r="AH1224" s="84">
        <f t="shared" si="1119"/>
        <v>1210</v>
      </c>
      <c r="AI1224" s="84">
        <f t="shared" si="1120"/>
        <v>45</v>
      </c>
      <c r="AJ1224" s="877" t="s">
        <v>1526</v>
      </c>
    </row>
    <row r="1225" spans="1:36" x14ac:dyDescent="0.2">
      <c r="A1225" s="492">
        <f>INDEX(Country!$F$31:$G$76, MATCH(AI1225, Country!$O$31:$O$76, 0), 1)</f>
        <v>4.1199999999999974</v>
      </c>
      <c r="B1225" s="2" t="str">
        <f>INDEX(Country!$F$31:$G$76, MATCH(AI1225, Country!$O$31:$O$76, 0), 2)</f>
        <v>Capacity building – env. business training</v>
      </c>
      <c r="C1225" s="436" t="str">
        <f>INDEX(Country!$K$31:$K$76, MATCH(AI1225, Country!$O$31:$O$76, 0), 1)</f>
        <v>Organisations</v>
      </c>
      <c r="D1225" s="4" t="str">
        <f t="shared" si="1164"/>
        <v>Suriname</v>
      </c>
      <c r="E1225" s="47"/>
      <c r="F1225" s="47"/>
      <c r="G1225" s="47"/>
      <c r="H1225" s="47"/>
      <c r="I1225" s="47"/>
      <c r="J1225" s="47"/>
      <c r="K1225" s="45"/>
      <c r="L1225" s="457">
        <f t="shared" si="1174"/>
        <v>100</v>
      </c>
      <c r="M1225" s="458">
        <f t="shared" si="1175"/>
        <v>100</v>
      </c>
      <c r="N1225" s="458">
        <f t="shared" si="1176"/>
        <v>100</v>
      </c>
      <c r="O1225" s="458">
        <f t="shared" si="1177"/>
        <v>100</v>
      </c>
      <c r="P1225" s="458">
        <f t="shared" si="1178"/>
        <v>100</v>
      </c>
      <c r="Q1225" s="458">
        <f t="shared" si="1179"/>
        <v>100</v>
      </c>
      <c r="R1225" s="459">
        <f t="shared" si="1180"/>
        <v>100</v>
      </c>
      <c r="S1225" s="455"/>
      <c r="T1225" s="456"/>
      <c r="U1225" s="456"/>
      <c r="V1225" s="456"/>
      <c r="W1225" s="456"/>
      <c r="X1225" s="456"/>
      <c r="Y1225" s="456"/>
      <c r="Z1225" s="79">
        <f t="shared" ref="Z1225:AE1225" si="1194">AA1225</f>
        <v>1</v>
      </c>
      <c r="AA1225" s="78">
        <f t="shared" si="1194"/>
        <v>1</v>
      </c>
      <c r="AB1225" s="78">
        <f t="shared" si="1194"/>
        <v>1</v>
      </c>
      <c r="AC1225" s="78">
        <f t="shared" si="1194"/>
        <v>1</v>
      </c>
      <c r="AD1225" s="78">
        <f t="shared" si="1194"/>
        <v>1</v>
      </c>
      <c r="AE1225" s="78">
        <f t="shared" si="1194"/>
        <v>1</v>
      </c>
      <c r="AF1225" s="6">
        <v>1</v>
      </c>
      <c r="AG1225" s="33" t="str">
        <f t="shared" si="1116"/>
        <v>4.12 &gt; Suriname</v>
      </c>
      <c r="AH1225" s="84">
        <f t="shared" si="1119"/>
        <v>1211</v>
      </c>
      <c r="AI1225" s="84">
        <f t="shared" si="1120"/>
        <v>45</v>
      </c>
      <c r="AJ1225" s="877" t="s">
        <v>1526</v>
      </c>
    </row>
    <row r="1226" spans="1:36" x14ac:dyDescent="0.2">
      <c r="A1226" s="492">
        <f>INDEX(Country!$F$31:$G$76, MATCH(AI1226, Country!$O$31:$O$76, 0), 1)</f>
        <v>4.1199999999999974</v>
      </c>
      <c r="B1226" s="2" t="str">
        <f>INDEX(Country!$F$31:$G$76, MATCH(AI1226, Country!$O$31:$O$76, 0), 2)</f>
        <v>Capacity building – env. business training</v>
      </c>
      <c r="C1226" s="436" t="str">
        <f>INDEX(Country!$K$31:$K$76, MATCH(AI1226, Country!$O$31:$O$76, 0), 1)</f>
        <v>Organisations</v>
      </c>
      <c r="D1226" s="4" t="str">
        <f t="shared" si="1164"/>
        <v>Trinidad &amp; Tobago</v>
      </c>
      <c r="E1226" s="47"/>
      <c r="F1226" s="47"/>
      <c r="G1226" s="47"/>
      <c r="H1226" s="47"/>
      <c r="I1226" s="47"/>
      <c r="J1226" s="47"/>
      <c r="K1226" s="45"/>
      <c r="L1226" s="457">
        <f t="shared" si="1174"/>
        <v>100</v>
      </c>
      <c r="M1226" s="458">
        <f t="shared" si="1175"/>
        <v>100</v>
      </c>
      <c r="N1226" s="458">
        <f t="shared" si="1176"/>
        <v>100</v>
      </c>
      <c r="O1226" s="458">
        <f t="shared" si="1177"/>
        <v>100</v>
      </c>
      <c r="P1226" s="458">
        <f t="shared" si="1178"/>
        <v>100</v>
      </c>
      <c r="Q1226" s="458">
        <f t="shared" si="1179"/>
        <v>100</v>
      </c>
      <c r="R1226" s="459">
        <f t="shared" si="1180"/>
        <v>100</v>
      </c>
      <c r="S1226" s="455"/>
      <c r="T1226" s="456"/>
      <c r="U1226" s="456"/>
      <c r="V1226" s="456"/>
      <c r="W1226" s="456"/>
      <c r="X1226" s="456"/>
      <c r="Y1226" s="456"/>
      <c r="Z1226" s="79">
        <f t="shared" ref="Z1226:AE1226" si="1195">AA1226</f>
        <v>1</v>
      </c>
      <c r="AA1226" s="78">
        <f t="shared" si="1195"/>
        <v>1</v>
      </c>
      <c r="AB1226" s="78">
        <f t="shared" si="1195"/>
        <v>1</v>
      </c>
      <c r="AC1226" s="78">
        <f t="shared" si="1195"/>
        <v>1</v>
      </c>
      <c r="AD1226" s="78">
        <f t="shared" si="1195"/>
        <v>1</v>
      </c>
      <c r="AE1226" s="78">
        <f t="shared" si="1195"/>
        <v>1</v>
      </c>
      <c r="AF1226" s="6">
        <v>1</v>
      </c>
      <c r="AG1226" s="33" t="str">
        <f t="shared" si="1116"/>
        <v>4.12 &gt; Trinidad &amp; Tobago</v>
      </c>
      <c r="AH1226" s="84">
        <f t="shared" si="1119"/>
        <v>1212</v>
      </c>
      <c r="AI1226" s="84">
        <f t="shared" si="1120"/>
        <v>45</v>
      </c>
      <c r="AJ1226" s="877" t="s">
        <v>1526</v>
      </c>
    </row>
    <row r="1227" spans="1:36" x14ac:dyDescent="0.2">
      <c r="A1227" s="492">
        <f>INDEX(Country!$F$31:$G$76, MATCH(AI1227, Country!$O$31:$O$76, 0), 1)</f>
        <v>4.1199999999999974</v>
      </c>
      <c r="B1227" s="2" t="str">
        <f>INDEX(Country!$F$31:$G$76, MATCH(AI1227, Country!$O$31:$O$76, 0), 2)</f>
        <v>Capacity building – env. business training</v>
      </c>
      <c r="C1227" s="436" t="str">
        <f>INDEX(Country!$K$31:$K$76, MATCH(AI1227, Country!$O$31:$O$76, 0), 1)</f>
        <v>Organisations</v>
      </c>
      <c r="D1227" s="4" t="str">
        <f t="shared" si="1164"/>
        <v>Uruguay</v>
      </c>
      <c r="E1227" s="47"/>
      <c r="F1227" s="47"/>
      <c r="G1227" s="47"/>
      <c r="H1227" s="47"/>
      <c r="I1227" s="47"/>
      <c r="J1227" s="47"/>
      <c r="K1227" s="45"/>
      <c r="L1227" s="457">
        <f t="shared" si="1174"/>
        <v>100</v>
      </c>
      <c r="M1227" s="458">
        <f t="shared" si="1175"/>
        <v>100</v>
      </c>
      <c r="N1227" s="458">
        <f t="shared" si="1176"/>
        <v>100</v>
      </c>
      <c r="O1227" s="458">
        <f t="shared" si="1177"/>
        <v>100</v>
      </c>
      <c r="P1227" s="458">
        <f t="shared" si="1178"/>
        <v>100</v>
      </c>
      <c r="Q1227" s="458">
        <f t="shared" si="1179"/>
        <v>100</v>
      </c>
      <c r="R1227" s="459">
        <f t="shared" si="1180"/>
        <v>100</v>
      </c>
      <c r="S1227" s="455"/>
      <c r="T1227" s="456"/>
      <c r="U1227" s="456"/>
      <c r="V1227" s="456"/>
      <c r="W1227" s="456"/>
      <c r="X1227" s="456"/>
      <c r="Y1227" s="456"/>
      <c r="Z1227" s="79">
        <f t="shared" ref="Z1227:AE1227" si="1196">AA1227</f>
        <v>1</v>
      </c>
      <c r="AA1227" s="78">
        <f t="shared" si="1196"/>
        <v>1</v>
      </c>
      <c r="AB1227" s="78">
        <f t="shared" si="1196"/>
        <v>1</v>
      </c>
      <c r="AC1227" s="78">
        <f t="shared" si="1196"/>
        <v>1</v>
      </c>
      <c r="AD1227" s="78">
        <f t="shared" si="1196"/>
        <v>1</v>
      </c>
      <c r="AE1227" s="78">
        <f t="shared" si="1196"/>
        <v>1</v>
      </c>
      <c r="AF1227" s="6">
        <v>1</v>
      </c>
      <c r="AG1227" s="33" t="str">
        <f t="shared" si="1116"/>
        <v>4.12 &gt; Uruguay</v>
      </c>
      <c r="AH1227" s="84">
        <f t="shared" si="1119"/>
        <v>1213</v>
      </c>
      <c r="AI1227" s="84">
        <f t="shared" si="1120"/>
        <v>45</v>
      </c>
      <c r="AJ1227" s="877" t="s">
        <v>1526</v>
      </c>
    </row>
    <row r="1228" spans="1:36" x14ac:dyDescent="0.2">
      <c r="A1228" s="491">
        <f>INDEX(Country!$F$31:$G$76, MATCH(AI1228, Country!$O$31:$O$76, 0), 1)</f>
        <v>4.1199999999999974</v>
      </c>
      <c r="B1228" s="386" t="str">
        <f>INDEX(Country!$F$31:$G$76, MATCH(AI1228, Country!$O$31:$O$76, 0), 2)</f>
        <v>Capacity building – env. business training</v>
      </c>
      <c r="C1228" s="437" t="str">
        <f>INDEX(Country!$K$31:$K$76, MATCH(AI1228, Country!$O$31:$O$76, 0), 1)</f>
        <v>Organisations</v>
      </c>
      <c r="D1228" s="86" t="str">
        <f t="shared" si="1164"/>
        <v>Venezuela</v>
      </c>
      <c r="E1228" s="363"/>
      <c r="F1228" s="363"/>
      <c r="G1228" s="363"/>
      <c r="H1228" s="363"/>
      <c r="I1228" s="363"/>
      <c r="J1228" s="363"/>
      <c r="K1228" s="400"/>
      <c r="L1228" s="460">
        <f t="shared" si="1174"/>
        <v>100</v>
      </c>
      <c r="M1228" s="461">
        <f t="shared" si="1175"/>
        <v>100</v>
      </c>
      <c r="N1228" s="461">
        <f t="shared" si="1176"/>
        <v>100</v>
      </c>
      <c r="O1228" s="461">
        <f t="shared" si="1177"/>
        <v>100</v>
      </c>
      <c r="P1228" s="461">
        <f t="shared" si="1178"/>
        <v>100</v>
      </c>
      <c r="Q1228" s="461">
        <f t="shared" si="1179"/>
        <v>100</v>
      </c>
      <c r="R1228" s="462">
        <f t="shared" si="1180"/>
        <v>100</v>
      </c>
      <c r="S1228" s="455"/>
      <c r="T1228" s="456"/>
      <c r="U1228" s="456"/>
      <c r="V1228" s="456"/>
      <c r="W1228" s="456"/>
      <c r="X1228" s="456"/>
      <c r="Y1228" s="456"/>
      <c r="Z1228" s="93">
        <f t="shared" ref="Z1228:AE1228" si="1197">AA1228</f>
        <v>1</v>
      </c>
      <c r="AA1228" s="379">
        <f t="shared" si="1197"/>
        <v>1</v>
      </c>
      <c r="AB1228" s="379">
        <f t="shared" si="1197"/>
        <v>1</v>
      </c>
      <c r="AC1228" s="379">
        <f t="shared" si="1197"/>
        <v>1</v>
      </c>
      <c r="AD1228" s="379">
        <f t="shared" si="1197"/>
        <v>1</v>
      </c>
      <c r="AE1228" s="379">
        <f t="shared" si="1197"/>
        <v>1</v>
      </c>
      <c r="AF1228" s="390">
        <v>1</v>
      </c>
      <c r="AG1228" s="90" t="str">
        <f t="shared" si="1116"/>
        <v>4.12 &gt; Venezuela</v>
      </c>
      <c r="AH1228" s="392">
        <f t="shared" si="1119"/>
        <v>1214</v>
      </c>
      <c r="AI1228" s="392">
        <f t="shared" si="1120"/>
        <v>45</v>
      </c>
      <c r="AJ1228" s="878" t="s">
        <v>1526</v>
      </c>
    </row>
    <row r="1229" spans="1:36" x14ac:dyDescent="0.2">
      <c r="A1229" s="489">
        <f>INDEX(Country!$F$31:$G$76, MATCH(AI1229, Country!$O$31:$O$76, 0), 1)</f>
        <v>4.1199999999999974</v>
      </c>
      <c r="B1229" s="387" t="str">
        <f>INDEX(Country!$F$31:$G$76, MATCH(AI1229, Country!$O$31:$O$76, 0), 2)</f>
        <v>Capacity building – env. business training</v>
      </c>
      <c r="C1229" s="439" t="str">
        <f>INDEX(Country!$K$31:$K$76, MATCH(AI1229, Country!$O$31:$O$76, 0), 1)</f>
        <v>Organisations</v>
      </c>
      <c r="D1229" s="385" t="str">
        <f t="shared" si="1164"/>
        <v>Benchmark</v>
      </c>
      <c r="E1229" s="362">
        <f t="shared" ref="E1229:K1229" si="1198">IFERROR(MAX(E1203:E1228), 0)</f>
        <v>0</v>
      </c>
      <c r="F1229" s="362">
        <f t="shared" si="1198"/>
        <v>0</v>
      </c>
      <c r="G1229" s="362">
        <f t="shared" si="1198"/>
        <v>0</v>
      </c>
      <c r="H1229" s="362">
        <f t="shared" si="1198"/>
        <v>0</v>
      </c>
      <c r="I1229" s="362">
        <f t="shared" si="1198"/>
        <v>0</v>
      </c>
      <c r="J1229" s="362">
        <f t="shared" si="1198"/>
        <v>0</v>
      </c>
      <c r="K1229" s="584">
        <f t="shared" si="1198"/>
        <v>0</v>
      </c>
      <c r="L1229" s="585">
        <f t="shared" si="1174"/>
        <v>100</v>
      </c>
      <c r="M1229" s="463">
        <f t="shared" si="1175"/>
        <v>100</v>
      </c>
      <c r="N1229" s="463">
        <f t="shared" si="1176"/>
        <v>100</v>
      </c>
      <c r="O1229" s="463">
        <f t="shared" si="1177"/>
        <v>100</v>
      </c>
      <c r="P1229" s="463">
        <f t="shared" si="1178"/>
        <v>100</v>
      </c>
      <c r="Q1229" s="463">
        <f t="shared" si="1179"/>
        <v>100</v>
      </c>
      <c r="R1229" s="586">
        <f t="shared" si="1180"/>
        <v>100</v>
      </c>
      <c r="S1229" s="393"/>
      <c r="T1229" s="394"/>
      <c r="U1229" s="376"/>
      <c r="V1229" s="376"/>
      <c r="W1229" s="376"/>
      <c r="X1229" s="376"/>
      <c r="Y1229" s="376"/>
      <c r="Z1229" s="423">
        <f t="shared" ref="Z1229:AE1229" si="1199">IFERROR(MAX(Z1203:Z1228), 0)</f>
        <v>1</v>
      </c>
      <c r="AA1229" s="365">
        <f t="shared" si="1199"/>
        <v>1</v>
      </c>
      <c r="AB1229" s="365">
        <f t="shared" si="1199"/>
        <v>1</v>
      </c>
      <c r="AC1229" s="365">
        <f t="shared" si="1199"/>
        <v>1</v>
      </c>
      <c r="AD1229" s="365">
        <f t="shared" si="1199"/>
        <v>1</v>
      </c>
      <c r="AE1229" s="365">
        <f t="shared" si="1199"/>
        <v>1</v>
      </c>
      <c r="AF1229" s="365">
        <f t="shared" ref="AF1229" si="1200">IFERROR(MAX(AF1203:AF1228), 0)</f>
        <v>1</v>
      </c>
      <c r="AG1229" s="406" t="str">
        <f t="shared" si="1116"/>
        <v>4.12 &gt; Benchmark</v>
      </c>
      <c r="AH1229" s="407">
        <f t="shared" si="1119"/>
        <v>1215</v>
      </c>
      <c r="AI1229" s="407">
        <f t="shared" si="1120"/>
        <v>45</v>
      </c>
      <c r="AJ1229" s="880" t="s">
        <v>1526</v>
      </c>
    </row>
    <row r="1230" spans="1:36" x14ac:dyDescent="0.2">
      <c r="A1230" s="587">
        <f>INDEX(Country!$F$31:$G$76, MATCH(AI1230, Country!$O$31:$O$76, 0), 1)</f>
        <v>4.1299999999999972</v>
      </c>
      <c r="B1230" s="588" t="str">
        <f>INDEX(Country!$F$31:$G$76, MATCH(AI1230, Country!$O$31:$O$76, 0), 2)</f>
        <v>Capacity building – think tanks</v>
      </c>
      <c r="C1230" s="589" t="str">
        <f>INDEX(Country!$K$31:$K$76, MATCH(AI1230, Country!$O$31:$O$76, 0), 1)</f>
        <v>Organisations</v>
      </c>
      <c r="D1230" s="590" t="str">
        <f t="shared" ref="D1230:D1256" si="1201">D933</f>
        <v>Argentina</v>
      </c>
      <c r="E1230" s="614"/>
      <c r="F1230" s="614"/>
      <c r="G1230" s="614"/>
      <c r="H1230" s="47"/>
      <c r="I1230" s="47"/>
      <c r="J1230" s="47"/>
      <c r="K1230" s="615"/>
      <c r="L1230" s="580">
        <f t="shared" si="1174"/>
        <v>100</v>
      </c>
      <c r="M1230" s="581">
        <f t="shared" si="1175"/>
        <v>100</v>
      </c>
      <c r="N1230" s="581">
        <f t="shared" si="1176"/>
        <v>100</v>
      </c>
      <c r="O1230" s="581">
        <f t="shared" si="1177"/>
        <v>100</v>
      </c>
      <c r="P1230" s="581">
        <f t="shared" si="1178"/>
        <v>100</v>
      </c>
      <c r="Q1230" s="581">
        <f t="shared" si="1179"/>
        <v>100</v>
      </c>
      <c r="R1230" s="582">
        <f t="shared" si="1180"/>
        <v>100</v>
      </c>
      <c r="S1230" s="455"/>
      <c r="T1230" s="456"/>
      <c r="U1230" s="456"/>
      <c r="V1230" s="456"/>
      <c r="W1230" s="456"/>
      <c r="X1230" s="456"/>
      <c r="Y1230" s="456"/>
      <c r="Z1230" s="472">
        <f t="shared" ref="Z1230:AE1230" si="1202">AA1230</f>
        <v>1</v>
      </c>
      <c r="AA1230" s="378">
        <f t="shared" si="1202"/>
        <v>1</v>
      </c>
      <c r="AB1230" s="378">
        <f t="shared" si="1202"/>
        <v>1</v>
      </c>
      <c r="AC1230" s="78">
        <f t="shared" si="1202"/>
        <v>1</v>
      </c>
      <c r="AD1230" s="78">
        <f t="shared" si="1202"/>
        <v>1</v>
      </c>
      <c r="AE1230" s="78">
        <f t="shared" si="1202"/>
        <v>1</v>
      </c>
      <c r="AF1230" s="388">
        <v>1</v>
      </c>
      <c r="AG1230" s="396" t="str">
        <f t="shared" si="1116"/>
        <v>4.13 &gt; Argentina</v>
      </c>
      <c r="AH1230" s="397">
        <f t="shared" si="1119"/>
        <v>1216</v>
      </c>
      <c r="AI1230" s="397">
        <f t="shared" si="1120"/>
        <v>46</v>
      </c>
      <c r="AJ1230" s="879" t="s">
        <v>1526</v>
      </c>
    </row>
    <row r="1231" spans="1:36" x14ac:dyDescent="0.2">
      <c r="A1231" s="492">
        <f>INDEX(Country!$F$31:$G$76, MATCH(AI1231, Country!$O$31:$O$76, 0), 1)</f>
        <v>4.1299999999999972</v>
      </c>
      <c r="B1231" s="2" t="str">
        <f>INDEX(Country!$F$31:$G$76, MATCH(AI1231, Country!$O$31:$O$76, 0), 2)</f>
        <v>Capacity building – think tanks</v>
      </c>
      <c r="C1231" s="436" t="str">
        <f>INDEX(Country!$K$31:$K$76, MATCH(AI1231, Country!$O$31:$O$76, 0), 1)</f>
        <v>Organisations</v>
      </c>
      <c r="D1231" s="4" t="str">
        <f t="shared" si="1201"/>
        <v>Bahamas</v>
      </c>
      <c r="E1231" s="47"/>
      <c r="F1231" s="47"/>
      <c r="G1231" s="47"/>
      <c r="H1231" s="47"/>
      <c r="I1231" s="47"/>
      <c r="J1231" s="47"/>
      <c r="K1231" s="45"/>
      <c r="L1231" s="457">
        <f t="shared" si="1174"/>
        <v>100</v>
      </c>
      <c r="M1231" s="458">
        <f t="shared" si="1175"/>
        <v>100</v>
      </c>
      <c r="N1231" s="458">
        <f t="shared" si="1176"/>
        <v>100</v>
      </c>
      <c r="O1231" s="458">
        <f t="shared" si="1177"/>
        <v>100</v>
      </c>
      <c r="P1231" s="458">
        <f t="shared" si="1178"/>
        <v>100</v>
      </c>
      <c r="Q1231" s="458">
        <f t="shared" si="1179"/>
        <v>100</v>
      </c>
      <c r="R1231" s="459">
        <f t="shared" si="1180"/>
        <v>100</v>
      </c>
      <c r="S1231" s="455"/>
      <c r="T1231" s="456"/>
      <c r="U1231" s="456"/>
      <c r="V1231" s="456"/>
      <c r="W1231" s="456"/>
      <c r="X1231" s="456"/>
      <c r="Y1231" s="456"/>
      <c r="Z1231" s="79">
        <f t="shared" ref="Z1231:AE1231" si="1203">AA1231</f>
        <v>1</v>
      </c>
      <c r="AA1231" s="78">
        <f t="shared" si="1203"/>
        <v>1</v>
      </c>
      <c r="AB1231" s="78">
        <f t="shared" si="1203"/>
        <v>1</v>
      </c>
      <c r="AC1231" s="78">
        <f t="shared" si="1203"/>
        <v>1</v>
      </c>
      <c r="AD1231" s="78">
        <f t="shared" si="1203"/>
        <v>1</v>
      </c>
      <c r="AE1231" s="78">
        <f t="shared" si="1203"/>
        <v>1</v>
      </c>
      <c r="AF1231" s="6">
        <v>1</v>
      </c>
      <c r="AG1231" s="33" t="str">
        <f t="shared" ref="AG1231:AG1256" si="1204">A1231&amp;" &gt; " &amp;D1231</f>
        <v>4.13 &gt; Bahamas</v>
      </c>
      <c r="AH1231" s="84">
        <f t="shared" si="1119"/>
        <v>1217</v>
      </c>
      <c r="AI1231" s="84">
        <f t="shared" si="1120"/>
        <v>46</v>
      </c>
      <c r="AJ1231" s="877" t="s">
        <v>1526</v>
      </c>
    </row>
    <row r="1232" spans="1:36" x14ac:dyDescent="0.2">
      <c r="A1232" s="492">
        <f>INDEX(Country!$F$31:$G$76, MATCH(AI1232, Country!$O$31:$O$76, 0), 1)</f>
        <v>4.1299999999999972</v>
      </c>
      <c r="B1232" s="2" t="str">
        <f>INDEX(Country!$F$31:$G$76, MATCH(AI1232, Country!$O$31:$O$76, 0), 2)</f>
        <v>Capacity building – think tanks</v>
      </c>
      <c r="C1232" s="436" t="str">
        <f>INDEX(Country!$K$31:$K$76, MATCH(AI1232, Country!$O$31:$O$76, 0), 1)</f>
        <v>Organisations</v>
      </c>
      <c r="D1232" s="4" t="str">
        <f t="shared" si="1201"/>
        <v>Barbados</v>
      </c>
      <c r="E1232" s="47"/>
      <c r="F1232" s="47"/>
      <c r="G1232" s="47"/>
      <c r="H1232" s="47"/>
      <c r="I1232" s="47"/>
      <c r="J1232" s="47"/>
      <c r="K1232" s="45"/>
      <c r="L1232" s="457">
        <f t="shared" si="1174"/>
        <v>100</v>
      </c>
      <c r="M1232" s="458">
        <f t="shared" si="1175"/>
        <v>100</v>
      </c>
      <c r="N1232" s="458">
        <f t="shared" si="1176"/>
        <v>100</v>
      </c>
      <c r="O1232" s="458">
        <f t="shared" si="1177"/>
        <v>100</v>
      </c>
      <c r="P1232" s="458">
        <f t="shared" si="1178"/>
        <v>100</v>
      </c>
      <c r="Q1232" s="458">
        <f t="shared" si="1179"/>
        <v>100</v>
      </c>
      <c r="R1232" s="459">
        <f t="shared" si="1180"/>
        <v>100</v>
      </c>
      <c r="S1232" s="455"/>
      <c r="T1232" s="456"/>
      <c r="U1232" s="456"/>
      <c r="V1232" s="456"/>
      <c r="W1232" s="456"/>
      <c r="X1232" s="456"/>
      <c r="Y1232" s="456"/>
      <c r="Z1232" s="79">
        <f t="shared" ref="Z1232:AE1232" si="1205">AA1232</f>
        <v>1</v>
      </c>
      <c r="AA1232" s="78">
        <f t="shared" si="1205"/>
        <v>1</v>
      </c>
      <c r="AB1232" s="78">
        <f t="shared" si="1205"/>
        <v>1</v>
      </c>
      <c r="AC1232" s="78">
        <f t="shared" si="1205"/>
        <v>1</v>
      </c>
      <c r="AD1232" s="78">
        <f t="shared" si="1205"/>
        <v>1</v>
      </c>
      <c r="AE1232" s="78">
        <f t="shared" si="1205"/>
        <v>1</v>
      </c>
      <c r="AF1232" s="6">
        <v>1</v>
      </c>
      <c r="AG1232" s="33" t="str">
        <f t="shared" si="1204"/>
        <v>4.13 &gt; Barbados</v>
      </c>
      <c r="AH1232" s="84">
        <f t="shared" si="1119"/>
        <v>1218</v>
      </c>
      <c r="AI1232" s="84">
        <f t="shared" si="1120"/>
        <v>46</v>
      </c>
      <c r="AJ1232" s="877" t="s">
        <v>1526</v>
      </c>
    </row>
    <row r="1233" spans="1:36" x14ac:dyDescent="0.2">
      <c r="A1233" s="492">
        <f>INDEX(Country!$F$31:$G$76, MATCH(AI1233, Country!$O$31:$O$76, 0), 1)</f>
        <v>4.1299999999999972</v>
      </c>
      <c r="B1233" s="2" t="str">
        <f>INDEX(Country!$F$31:$G$76, MATCH(AI1233, Country!$O$31:$O$76, 0), 2)</f>
        <v>Capacity building – think tanks</v>
      </c>
      <c r="C1233" s="436" t="str">
        <f>INDEX(Country!$K$31:$K$76, MATCH(AI1233, Country!$O$31:$O$76, 0), 1)</f>
        <v>Organisations</v>
      </c>
      <c r="D1233" s="4" t="str">
        <f t="shared" si="1201"/>
        <v>Belize</v>
      </c>
      <c r="E1233" s="47"/>
      <c r="F1233" s="47"/>
      <c r="G1233" s="47"/>
      <c r="H1233" s="47"/>
      <c r="I1233" s="47"/>
      <c r="J1233" s="47"/>
      <c r="K1233" s="45"/>
      <c r="L1233" s="457">
        <f t="shared" si="1174"/>
        <v>0</v>
      </c>
      <c r="M1233" s="458">
        <f t="shared" si="1175"/>
        <v>0</v>
      </c>
      <c r="N1233" s="458">
        <f t="shared" si="1176"/>
        <v>0</v>
      </c>
      <c r="O1233" s="458">
        <f t="shared" si="1177"/>
        <v>0</v>
      </c>
      <c r="P1233" s="458">
        <f t="shared" si="1178"/>
        <v>0</v>
      </c>
      <c r="Q1233" s="458">
        <f t="shared" si="1179"/>
        <v>0</v>
      </c>
      <c r="R1233" s="459">
        <f t="shared" si="1180"/>
        <v>0</v>
      </c>
      <c r="S1233" s="455"/>
      <c r="T1233" s="456"/>
      <c r="U1233" s="456"/>
      <c r="V1233" s="456"/>
      <c r="W1233" s="456"/>
      <c r="X1233" s="456"/>
      <c r="Y1233" s="456"/>
      <c r="Z1233" s="79">
        <f t="shared" ref="Z1233:AE1233" si="1206">AA1233</f>
        <v>0</v>
      </c>
      <c r="AA1233" s="78">
        <f t="shared" si="1206"/>
        <v>0</v>
      </c>
      <c r="AB1233" s="78">
        <f t="shared" si="1206"/>
        <v>0</v>
      </c>
      <c r="AC1233" s="78">
        <f t="shared" si="1206"/>
        <v>0</v>
      </c>
      <c r="AD1233" s="78">
        <f t="shared" si="1206"/>
        <v>0</v>
      </c>
      <c r="AE1233" s="78">
        <f t="shared" si="1206"/>
        <v>0</v>
      </c>
      <c r="AF1233" s="6">
        <v>0</v>
      </c>
      <c r="AG1233" s="33" t="str">
        <f t="shared" si="1204"/>
        <v>4.13 &gt; Belize</v>
      </c>
      <c r="AH1233" s="84">
        <f t="shared" ref="AH1233:AH1256" si="1207">AH1232+1</f>
        <v>1219</v>
      </c>
      <c r="AI1233" s="84">
        <f t="shared" ref="AI1233:AI1256" si="1208">ROUNDUP(AH1233/COUNTA($D$15:$D$41),0)</f>
        <v>46</v>
      </c>
      <c r="AJ1233" s="877" t="s">
        <v>1526</v>
      </c>
    </row>
    <row r="1234" spans="1:36" x14ac:dyDescent="0.2">
      <c r="A1234" s="492">
        <f>INDEX(Country!$F$31:$G$76, MATCH(AI1234, Country!$O$31:$O$76, 0), 1)</f>
        <v>4.1299999999999972</v>
      </c>
      <c r="B1234" s="2" t="str">
        <f>INDEX(Country!$F$31:$G$76, MATCH(AI1234, Country!$O$31:$O$76, 0), 2)</f>
        <v>Capacity building – think tanks</v>
      </c>
      <c r="C1234" s="436" t="str">
        <f>INDEX(Country!$K$31:$K$76, MATCH(AI1234, Country!$O$31:$O$76, 0), 1)</f>
        <v>Organisations</v>
      </c>
      <c r="D1234" s="4" t="str">
        <f t="shared" si="1201"/>
        <v>Bolivia</v>
      </c>
      <c r="E1234" s="47"/>
      <c r="F1234" s="47"/>
      <c r="G1234" s="47"/>
      <c r="H1234" s="47"/>
      <c r="I1234" s="47"/>
      <c r="J1234" s="47"/>
      <c r="K1234" s="45"/>
      <c r="L1234" s="457">
        <f t="shared" si="1174"/>
        <v>100</v>
      </c>
      <c r="M1234" s="458">
        <f t="shared" si="1175"/>
        <v>100</v>
      </c>
      <c r="N1234" s="458">
        <f t="shared" si="1176"/>
        <v>100</v>
      </c>
      <c r="O1234" s="458">
        <f t="shared" si="1177"/>
        <v>100</v>
      </c>
      <c r="P1234" s="458">
        <f t="shared" si="1178"/>
        <v>100</v>
      </c>
      <c r="Q1234" s="458">
        <f t="shared" si="1179"/>
        <v>100</v>
      </c>
      <c r="R1234" s="459">
        <f t="shared" si="1180"/>
        <v>100</v>
      </c>
      <c r="S1234" s="455"/>
      <c r="T1234" s="456"/>
      <c r="U1234" s="456"/>
      <c r="V1234" s="456"/>
      <c r="W1234" s="456"/>
      <c r="X1234" s="456"/>
      <c r="Y1234" s="456"/>
      <c r="Z1234" s="79">
        <f t="shared" ref="Z1234:AE1234" si="1209">AA1234</f>
        <v>1</v>
      </c>
      <c r="AA1234" s="78">
        <f t="shared" si="1209"/>
        <v>1</v>
      </c>
      <c r="AB1234" s="78">
        <f t="shared" si="1209"/>
        <v>1</v>
      </c>
      <c r="AC1234" s="78">
        <f t="shared" si="1209"/>
        <v>1</v>
      </c>
      <c r="AD1234" s="78">
        <f t="shared" si="1209"/>
        <v>1</v>
      </c>
      <c r="AE1234" s="78">
        <f t="shared" si="1209"/>
        <v>1</v>
      </c>
      <c r="AF1234" s="6">
        <v>1</v>
      </c>
      <c r="AG1234" s="33" t="str">
        <f t="shared" si="1204"/>
        <v>4.13 &gt; Bolivia</v>
      </c>
      <c r="AH1234" s="84">
        <f t="shared" si="1207"/>
        <v>1220</v>
      </c>
      <c r="AI1234" s="84">
        <f t="shared" si="1208"/>
        <v>46</v>
      </c>
      <c r="AJ1234" s="877" t="s">
        <v>1526</v>
      </c>
    </row>
    <row r="1235" spans="1:36" x14ac:dyDescent="0.2">
      <c r="A1235" s="492">
        <f>INDEX(Country!$F$31:$G$76, MATCH(AI1235, Country!$O$31:$O$76, 0), 1)</f>
        <v>4.1299999999999972</v>
      </c>
      <c r="B1235" s="2" t="str">
        <f>INDEX(Country!$F$31:$G$76, MATCH(AI1235, Country!$O$31:$O$76, 0), 2)</f>
        <v>Capacity building – think tanks</v>
      </c>
      <c r="C1235" s="436" t="str">
        <f>INDEX(Country!$K$31:$K$76, MATCH(AI1235, Country!$O$31:$O$76, 0), 1)</f>
        <v>Organisations</v>
      </c>
      <c r="D1235" s="4" t="str">
        <f t="shared" si="1201"/>
        <v>Brazil</v>
      </c>
      <c r="E1235" s="47"/>
      <c r="F1235" s="47"/>
      <c r="G1235" s="47"/>
      <c r="H1235" s="47"/>
      <c r="I1235" s="47"/>
      <c r="J1235" s="47"/>
      <c r="K1235" s="45"/>
      <c r="L1235" s="457">
        <f t="shared" si="1174"/>
        <v>100</v>
      </c>
      <c r="M1235" s="458">
        <f t="shared" si="1175"/>
        <v>100</v>
      </c>
      <c r="N1235" s="458">
        <f t="shared" si="1176"/>
        <v>100</v>
      </c>
      <c r="O1235" s="458">
        <f t="shared" si="1177"/>
        <v>100</v>
      </c>
      <c r="P1235" s="458">
        <f t="shared" si="1178"/>
        <v>100</v>
      </c>
      <c r="Q1235" s="458">
        <f t="shared" si="1179"/>
        <v>100</v>
      </c>
      <c r="R1235" s="459">
        <f t="shared" si="1180"/>
        <v>100</v>
      </c>
      <c r="S1235" s="455"/>
      <c r="T1235" s="456"/>
      <c r="U1235" s="456"/>
      <c r="V1235" s="456"/>
      <c r="W1235" s="456"/>
      <c r="X1235" s="456"/>
      <c r="Y1235" s="456"/>
      <c r="Z1235" s="79">
        <f t="shared" ref="Z1235:AE1235" si="1210">AA1235</f>
        <v>1</v>
      </c>
      <c r="AA1235" s="78">
        <f t="shared" si="1210"/>
        <v>1</v>
      </c>
      <c r="AB1235" s="78">
        <f t="shared" si="1210"/>
        <v>1</v>
      </c>
      <c r="AC1235" s="78">
        <f t="shared" si="1210"/>
        <v>1</v>
      </c>
      <c r="AD1235" s="78">
        <f t="shared" si="1210"/>
        <v>1</v>
      </c>
      <c r="AE1235" s="78">
        <f t="shared" si="1210"/>
        <v>1</v>
      </c>
      <c r="AF1235" s="6">
        <v>1</v>
      </c>
      <c r="AG1235" s="33" t="str">
        <f t="shared" si="1204"/>
        <v>4.13 &gt; Brazil</v>
      </c>
      <c r="AH1235" s="84">
        <f t="shared" si="1207"/>
        <v>1221</v>
      </c>
      <c r="AI1235" s="84">
        <f t="shared" si="1208"/>
        <v>46</v>
      </c>
      <c r="AJ1235" s="877" t="s">
        <v>1526</v>
      </c>
    </row>
    <row r="1236" spans="1:36" x14ac:dyDescent="0.2">
      <c r="A1236" s="492">
        <f>INDEX(Country!$F$31:$G$76, MATCH(AI1236, Country!$O$31:$O$76, 0), 1)</f>
        <v>4.1299999999999972</v>
      </c>
      <c r="B1236" s="2" t="str">
        <f>INDEX(Country!$F$31:$G$76, MATCH(AI1236, Country!$O$31:$O$76, 0), 2)</f>
        <v>Capacity building – think tanks</v>
      </c>
      <c r="C1236" s="436" t="str">
        <f>INDEX(Country!$K$31:$K$76, MATCH(AI1236, Country!$O$31:$O$76, 0), 1)</f>
        <v>Organisations</v>
      </c>
      <c r="D1236" s="4" t="str">
        <f t="shared" si="1201"/>
        <v>Chile</v>
      </c>
      <c r="E1236" s="47"/>
      <c r="F1236" s="47"/>
      <c r="G1236" s="47"/>
      <c r="H1236" s="47"/>
      <c r="I1236" s="47"/>
      <c r="J1236" s="47"/>
      <c r="K1236" s="45"/>
      <c r="L1236" s="457">
        <f t="shared" si="1174"/>
        <v>100</v>
      </c>
      <c r="M1236" s="458">
        <f t="shared" si="1175"/>
        <v>100</v>
      </c>
      <c r="N1236" s="458">
        <f t="shared" si="1176"/>
        <v>100</v>
      </c>
      <c r="O1236" s="458">
        <f t="shared" si="1177"/>
        <v>100</v>
      </c>
      <c r="P1236" s="458">
        <f t="shared" si="1178"/>
        <v>100</v>
      </c>
      <c r="Q1236" s="458">
        <f t="shared" si="1179"/>
        <v>100</v>
      </c>
      <c r="R1236" s="459">
        <f t="shared" si="1180"/>
        <v>100</v>
      </c>
      <c r="S1236" s="455"/>
      <c r="T1236" s="456"/>
      <c r="U1236" s="456"/>
      <c r="V1236" s="456"/>
      <c r="W1236" s="456"/>
      <c r="X1236" s="456"/>
      <c r="Y1236" s="456"/>
      <c r="Z1236" s="79">
        <f t="shared" ref="Z1236:AE1236" si="1211">AA1236</f>
        <v>1</v>
      </c>
      <c r="AA1236" s="78">
        <f t="shared" si="1211"/>
        <v>1</v>
      </c>
      <c r="AB1236" s="78">
        <f t="shared" si="1211"/>
        <v>1</v>
      </c>
      <c r="AC1236" s="78">
        <f t="shared" si="1211"/>
        <v>1</v>
      </c>
      <c r="AD1236" s="78">
        <f t="shared" si="1211"/>
        <v>1</v>
      </c>
      <c r="AE1236" s="78">
        <f t="shared" si="1211"/>
        <v>1</v>
      </c>
      <c r="AF1236" s="6">
        <v>1</v>
      </c>
      <c r="AG1236" s="33" t="str">
        <f t="shared" si="1204"/>
        <v>4.13 &gt; Chile</v>
      </c>
      <c r="AH1236" s="84">
        <f t="shared" si="1207"/>
        <v>1222</v>
      </c>
      <c r="AI1236" s="84">
        <f t="shared" si="1208"/>
        <v>46</v>
      </c>
      <c r="AJ1236" s="877" t="s">
        <v>1526</v>
      </c>
    </row>
    <row r="1237" spans="1:36" x14ac:dyDescent="0.2">
      <c r="A1237" s="492">
        <f>INDEX(Country!$F$31:$G$76, MATCH(AI1237, Country!$O$31:$O$76, 0), 1)</f>
        <v>4.1299999999999972</v>
      </c>
      <c r="B1237" s="2" t="str">
        <f>INDEX(Country!$F$31:$G$76, MATCH(AI1237, Country!$O$31:$O$76, 0), 2)</f>
        <v>Capacity building – think tanks</v>
      </c>
      <c r="C1237" s="436" t="str">
        <f>INDEX(Country!$K$31:$K$76, MATCH(AI1237, Country!$O$31:$O$76, 0), 1)</f>
        <v>Organisations</v>
      </c>
      <c r="D1237" s="4" t="str">
        <f t="shared" si="1201"/>
        <v>Colombia</v>
      </c>
      <c r="E1237" s="47"/>
      <c r="F1237" s="47"/>
      <c r="G1237" s="47"/>
      <c r="H1237" s="47"/>
      <c r="I1237" s="47"/>
      <c r="J1237" s="47"/>
      <c r="K1237" s="45"/>
      <c r="L1237" s="457">
        <f t="shared" si="1174"/>
        <v>100</v>
      </c>
      <c r="M1237" s="458">
        <f t="shared" si="1175"/>
        <v>100</v>
      </c>
      <c r="N1237" s="458">
        <f t="shared" si="1176"/>
        <v>100</v>
      </c>
      <c r="O1237" s="458">
        <f t="shared" si="1177"/>
        <v>100</v>
      </c>
      <c r="P1237" s="458">
        <f t="shared" si="1178"/>
        <v>100</v>
      </c>
      <c r="Q1237" s="458">
        <f t="shared" si="1179"/>
        <v>100</v>
      </c>
      <c r="R1237" s="459">
        <f t="shared" si="1180"/>
        <v>100</v>
      </c>
      <c r="S1237" s="455"/>
      <c r="T1237" s="456"/>
      <c r="U1237" s="456"/>
      <c r="V1237" s="456"/>
      <c r="W1237" s="456"/>
      <c r="X1237" s="456"/>
      <c r="Y1237" s="456"/>
      <c r="Z1237" s="79">
        <f t="shared" ref="Z1237:AE1237" si="1212">AA1237</f>
        <v>1</v>
      </c>
      <c r="AA1237" s="78">
        <f t="shared" si="1212"/>
        <v>1</v>
      </c>
      <c r="AB1237" s="78">
        <f t="shared" si="1212"/>
        <v>1</v>
      </c>
      <c r="AC1237" s="78">
        <f t="shared" si="1212"/>
        <v>1</v>
      </c>
      <c r="AD1237" s="78">
        <f t="shared" si="1212"/>
        <v>1</v>
      </c>
      <c r="AE1237" s="78">
        <f t="shared" si="1212"/>
        <v>1</v>
      </c>
      <c r="AF1237" s="6">
        <v>1</v>
      </c>
      <c r="AG1237" s="33" t="str">
        <f t="shared" si="1204"/>
        <v>4.13 &gt; Colombia</v>
      </c>
      <c r="AH1237" s="84">
        <f t="shared" si="1207"/>
        <v>1223</v>
      </c>
      <c r="AI1237" s="84">
        <f t="shared" si="1208"/>
        <v>46</v>
      </c>
      <c r="AJ1237" s="877" t="s">
        <v>1526</v>
      </c>
    </row>
    <row r="1238" spans="1:36" x14ac:dyDescent="0.2">
      <c r="A1238" s="492">
        <f>INDEX(Country!$F$31:$G$76, MATCH(AI1238, Country!$O$31:$O$76, 0), 1)</f>
        <v>4.1299999999999972</v>
      </c>
      <c r="B1238" s="2" t="str">
        <f>INDEX(Country!$F$31:$G$76, MATCH(AI1238, Country!$O$31:$O$76, 0), 2)</f>
        <v>Capacity building – think tanks</v>
      </c>
      <c r="C1238" s="436" t="str">
        <f>INDEX(Country!$K$31:$K$76, MATCH(AI1238, Country!$O$31:$O$76, 0), 1)</f>
        <v>Organisations</v>
      </c>
      <c r="D1238" s="4" t="str">
        <f t="shared" si="1201"/>
        <v>Costa Rica</v>
      </c>
      <c r="E1238" s="47"/>
      <c r="F1238" s="47"/>
      <c r="G1238" s="47"/>
      <c r="H1238" s="47"/>
      <c r="I1238" s="47"/>
      <c r="J1238" s="47"/>
      <c r="K1238" s="45"/>
      <c r="L1238" s="457">
        <f t="shared" si="1174"/>
        <v>100</v>
      </c>
      <c r="M1238" s="458">
        <f t="shared" si="1175"/>
        <v>100</v>
      </c>
      <c r="N1238" s="458">
        <f t="shared" si="1176"/>
        <v>100</v>
      </c>
      <c r="O1238" s="458">
        <f t="shared" si="1177"/>
        <v>100</v>
      </c>
      <c r="P1238" s="458">
        <f t="shared" si="1178"/>
        <v>100</v>
      </c>
      <c r="Q1238" s="458">
        <f t="shared" si="1179"/>
        <v>100</v>
      </c>
      <c r="R1238" s="459">
        <f t="shared" si="1180"/>
        <v>100</v>
      </c>
      <c r="S1238" s="455"/>
      <c r="T1238" s="456"/>
      <c r="U1238" s="456"/>
      <c r="V1238" s="456"/>
      <c r="W1238" s="456"/>
      <c r="X1238" s="456"/>
      <c r="Y1238" s="456"/>
      <c r="Z1238" s="79">
        <f t="shared" ref="Z1238:AE1238" si="1213">AA1238</f>
        <v>1</v>
      </c>
      <c r="AA1238" s="78">
        <f t="shared" si="1213"/>
        <v>1</v>
      </c>
      <c r="AB1238" s="78">
        <f t="shared" si="1213"/>
        <v>1</v>
      </c>
      <c r="AC1238" s="78">
        <f t="shared" si="1213"/>
        <v>1</v>
      </c>
      <c r="AD1238" s="78">
        <f t="shared" si="1213"/>
        <v>1</v>
      </c>
      <c r="AE1238" s="78">
        <f t="shared" si="1213"/>
        <v>1</v>
      </c>
      <c r="AF1238" s="6">
        <v>1</v>
      </c>
      <c r="AG1238" s="33" t="str">
        <f t="shared" si="1204"/>
        <v>4.13 &gt; Costa Rica</v>
      </c>
      <c r="AH1238" s="84">
        <f t="shared" si="1207"/>
        <v>1224</v>
      </c>
      <c r="AI1238" s="84">
        <f t="shared" si="1208"/>
        <v>46</v>
      </c>
      <c r="AJ1238" s="877" t="s">
        <v>1526</v>
      </c>
    </row>
    <row r="1239" spans="1:36" x14ac:dyDescent="0.2">
      <c r="A1239" s="492">
        <f>INDEX(Country!$F$31:$G$76, MATCH(AI1239, Country!$O$31:$O$76, 0), 1)</f>
        <v>4.1299999999999972</v>
      </c>
      <c r="B1239" s="2" t="str">
        <f>INDEX(Country!$F$31:$G$76, MATCH(AI1239, Country!$O$31:$O$76, 0), 2)</f>
        <v>Capacity building – think tanks</v>
      </c>
      <c r="C1239" s="436" t="str">
        <f>INDEX(Country!$K$31:$K$76, MATCH(AI1239, Country!$O$31:$O$76, 0), 1)</f>
        <v>Organisations</v>
      </c>
      <c r="D1239" s="4" t="str">
        <f t="shared" si="1201"/>
        <v>Dominican Republic</v>
      </c>
      <c r="E1239" s="47"/>
      <c r="F1239" s="47"/>
      <c r="G1239" s="47"/>
      <c r="H1239" s="47"/>
      <c r="I1239" s="47"/>
      <c r="J1239" s="47"/>
      <c r="K1239" s="45"/>
      <c r="L1239" s="457">
        <f t="shared" si="1174"/>
        <v>100</v>
      </c>
      <c r="M1239" s="458">
        <f t="shared" si="1175"/>
        <v>100</v>
      </c>
      <c r="N1239" s="458">
        <f t="shared" si="1176"/>
        <v>100</v>
      </c>
      <c r="O1239" s="458">
        <f t="shared" si="1177"/>
        <v>100</v>
      </c>
      <c r="P1239" s="458">
        <f t="shared" si="1178"/>
        <v>100</v>
      </c>
      <c r="Q1239" s="458">
        <f t="shared" si="1179"/>
        <v>100</v>
      </c>
      <c r="R1239" s="459">
        <f t="shared" si="1180"/>
        <v>100</v>
      </c>
      <c r="S1239" s="455"/>
      <c r="T1239" s="456"/>
      <c r="U1239" s="456"/>
      <c r="V1239" s="456"/>
      <c r="W1239" s="456"/>
      <c r="X1239" s="456"/>
      <c r="Y1239" s="456"/>
      <c r="Z1239" s="79">
        <f t="shared" ref="Z1239:AE1239" si="1214">AA1239</f>
        <v>1</v>
      </c>
      <c r="AA1239" s="78">
        <f t="shared" si="1214"/>
        <v>1</v>
      </c>
      <c r="AB1239" s="78">
        <f t="shared" si="1214"/>
        <v>1</v>
      </c>
      <c r="AC1239" s="78">
        <f t="shared" si="1214"/>
        <v>1</v>
      </c>
      <c r="AD1239" s="78">
        <f t="shared" si="1214"/>
        <v>1</v>
      </c>
      <c r="AE1239" s="78">
        <f t="shared" si="1214"/>
        <v>1</v>
      </c>
      <c r="AF1239" s="6">
        <v>1</v>
      </c>
      <c r="AG1239" s="33" t="str">
        <f t="shared" si="1204"/>
        <v>4.13 &gt; Dominican Republic</v>
      </c>
      <c r="AH1239" s="84">
        <f t="shared" si="1207"/>
        <v>1225</v>
      </c>
      <c r="AI1239" s="84">
        <f t="shared" si="1208"/>
        <v>46</v>
      </c>
      <c r="AJ1239" s="877" t="s">
        <v>1526</v>
      </c>
    </row>
    <row r="1240" spans="1:36" x14ac:dyDescent="0.2">
      <c r="A1240" s="492">
        <f>INDEX(Country!$F$31:$G$76, MATCH(AI1240, Country!$O$31:$O$76, 0), 1)</f>
        <v>4.1299999999999972</v>
      </c>
      <c r="B1240" s="2" t="str">
        <f>INDEX(Country!$F$31:$G$76, MATCH(AI1240, Country!$O$31:$O$76, 0), 2)</f>
        <v>Capacity building – think tanks</v>
      </c>
      <c r="C1240" s="436" t="str">
        <f>INDEX(Country!$K$31:$K$76, MATCH(AI1240, Country!$O$31:$O$76, 0), 1)</f>
        <v>Organisations</v>
      </c>
      <c r="D1240" s="4" t="str">
        <f t="shared" si="1201"/>
        <v>Ecuador</v>
      </c>
      <c r="E1240" s="47"/>
      <c r="F1240" s="47"/>
      <c r="G1240" s="47"/>
      <c r="H1240" s="47"/>
      <c r="I1240" s="47"/>
      <c r="J1240" s="47"/>
      <c r="K1240" s="45"/>
      <c r="L1240" s="457">
        <f t="shared" si="1174"/>
        <v>100</v>
      </c>
      <c r="M1240" s="458">
        <f t="shared" si="1175"/>
        <v>100</v>
      </c>
      <c r="N1240" s="458">
        <f t="shared" si="1176"/>
        <v>100</v>
      </c>
      <c r="O1240" s="458">
        <f t="shared" si="1177"/>
        <v>100</v>
      </c>
      <c r="P1240" s="458">
        <f t="shared" si="1178"/>
        <v>100</v>
      </c>
      <c r="Q1240" s="458">
        <f t="shared" si="1179"/>
        <v>100</v>
      </c>
      <c r="R1240" s="459">
        <f t="shared" si="1180"/>
        <v>100</v>
      </c>
      <c r="S1240" s="455"/>
      <c r="T1240" s="456"/>
      <c r="U1240" s="456"/>
      <c r="V1240" s="456"/>
      <c r="W1240" s="456"/>
      <c r="X1240" s="456"/>
      <c r="Y1240" s="456"/>
      <c r="Z1240" s="79">
        <f t="shared" ref="Z1240:AE1240" si="1215">AA1240</f>
        <v>1</v>
      </c>
      <c r="AA1240" s="78">
        <f t="shared" si="1215"/>
        <v>1</v>
      </c>
      <c r="AB1240" s="78">
        <f t="shared" si="1215"/>
        <v>1</v>
      </c>
      <c r="AC1240" s="78">
        <f t="shared" si="1215"/>
        <v>1</v>
      </c>
      <c r="AD1240" s="78">
        <f t="shared" si="1215"/>
        <v>1</v>
      </c>
      <c r="AE1240" s="78">
        <f t="shared" si="1215"/>
        <v>1</v>
      </c>
      <c r="AF1240" s="6">
        <v>1</v>
      </c>
      <c r="AG1240" s="33" t="str">
        <f t="shared" si="1204"/>
        <v>4.13 &gt; Ecuador</v>
      </c>
      <c r="AH1240" s="84">
        <f t="shared" si="1207"/>
        <v>1226</v>
      </c>
      <c r="AI1240" s="84">
        <f t="shared" si="1208"/>
        <v>46</v>
      </c>
      <c r="AJ1240" s="877" t="s">
        <v>1526</v>
      </c>
    </row>
    <row r="1241" spans="1:36" x14ac:dyDescent="0.2">
      <c r="A1241" s="492">
        <f>INDEX(Country!$F$31:$G$76, MATCH(AI1241, Country!$O$31:$O$76, 0), 1)</f>
        <v>4.1299999999999972</v>
      </c>
      <c r="B1241" s="2" t="str">
        <f>INDEX(Country!$F$31:$G$76, MATCH(AI1241, Country!$O$31:$O$76, 0), 2)</f>
        <v>Capacity building – think tanks</v>
      </c>
      <c r="C1241" s="436" t="str">
        <f>INDEX(Country!$K$31:$K$76, MATCH(AI1241, Country!$O$31:$O$76, 0), 1)</f>
        <v>Organisations</v>
      </c>
      <c r="D1241" s="4" t="str">
        <f t="shared" si="1201"/>
        <v>El Salvador</v>
      </c>
      <c r="E1241" s="47"/>
      <c r="F1241" s="47"/>
      <c r="G1241" s="47"/>
      <c r="H1241" s="47"/>
      <c r="I1241" s="47"/>
      <c r="J1241" s="47"/>
      <c r="K1241" s="45"/>
      <c r="L1241" s="457">
        <f t="shared" si="1174"/>
        <v>100</v>
      </c>
      <c r="M1241" s="458">
        <f t="shared" si="1175"/>
        <v>100</v>
      </c>
      <c r="N1241" s="458">
        <f t="shared" si="1176"/>
        <v>100</v>
      </c>
      <c r="O1241" s="458">
        <f t="shared" si="1177"/>
        <v>100</v>
      </c>
      <c r="P1241" s="458">
        <f t="shared" si="1178"/>
        <v>100</v>
      </c>
      <c r="Q1241" s="458">
        <f t="shared" si="1179"/>
        <v>100</v>
      </c>
      <c r="R1241" s="459">
        <f t="shared" si="1180"/>
        <v>100</v>
      </c>
      <c r="S1241" s="455"/>
      <c r="T1241" s="456"/>
      <c r="U1241" s="456"/>
      <c r="V1241" s="456"/>
      <c r="W1241" s="456"/>
      <c r="X1241" s="456"/>
      <c r="Y1241" s="456"/>
      <c r="Z1241" s="79">
        <f t="shared" ref="Z1241:AE1241" si="1216">AA1241</f>
        <v>1</v>
      </c>
      <c r="AA1241" s="78">
        <f t="shared" si="1216"/>
        <v>1</v>
      </c>
      <c r="AB1241" s="78">
        <f t="shared" si="1216"/>
        <v>1</v>
      </c>
      <c r="AC1241" s="78">
        <f t="shared" si="1216"/>
        <v>1</v>
      </c>
      <c r="AD1241" s="78">
        <f t="shared" si="1216"/>
        <v>1</v>
      </c>
      <c r="AE1241" s="78">
        <f t="shared" si="1216"/>
        <v>1</v>
      </c>
      <c r="AF1241" s="6">
        <v>1</v>
      </c>
      <c r="AG1241" s="33" t="str">
        <f t="shared" si="1204"/>
        <v>4.13 &gt; El Salvador</v>
      </c>
      <c r="AH1241" s="84">
        <f t="shared" si="1207"/>
        <v>1227</v>
      </c>
      <c r="AI1241" s="84">
        <f t="shared" si="1208"/>
        <v>46</v>
      </c>
      <c r="AJ1241" s="877" t="s">
        <v>1526</v>
      </c>
    </row>
    <row r="1242" spans="1:36" x14ac:dyDescent="0.2">
      <c r="A1242" s="492">
        <f>INDEX(Country!$F$31:$G$76, MATCH(AI1242, Country!$O$31:$O$76, 0), 1)</f>
        <v>4.1299999999999972</v>
      </c>
      <c r="B1242" s="2" t="str">
        <f>INDEX(Country!$F$31:$G$76, MATCH(AI1242, Country!$O$31:$O$76, 0), 2)</f>
        <v>Capacity building – think tanks</v>
      </c>
      <c r="C1242" s="436" t="str">
        <f>INDEX(Country!$K$31:$K$76, MATCH(AI1242, Country!$O$31:$O$76, 0), 1)</f>
        <v>Organisations</v>
      </c>
      <c r="D1242" s="4" t="str">
        <f t="shared" si="1201"/>
        <v>Guatemala</v>
      </c>
      <c r="E1242" s="47"/>
      <c r="F1242" s="47"/>
      <c r="G1242" s="47"/>
      <c r="H1242" s="47"/>
      <c r="I1242" s="47"/>
      <c r="J1242" s="47"/>
      <c r="K1242" s="45"/>
      <c r="L1242" s="457">
        <f t="shared" si="1174"/>
        <v>100</v>
      </c>
      <c r="M1242" s="458">
        <f t="shared" si="1175"/>
        <v>100</v>
      </c>
      <c r="N1242" s="458">
        <f t="shared" si="1176"/>
        <v>100</v>
      </c>
      <c r="O1242" s="458">
        <f t="shared" si="1177"/>
        <v>100</v>
      </c>
      <c r="P1242" s="458">
        <f t="shared" si="1178"/>
        <v>100</v>
      </c>
      <c r="Q1242" s="458">
        <f t="shared" si="1179"/>
        <v>100</v>
      </c>
      <c r="R1242" s="459">
        <f t="shared" si="1180"/>
        <v>100</v>
      </c>
      <c r="S1242" s="455"/>
      <c r="T1242" s="456"/>
      <c r="U1242" s="456"/>
      <c r="V1242" s="456"/>
      <c r="W1242" s="456"/>
      <c r="X1242" s="456"/>
      <c r="Y1242" s="456"/>
      <c r="Z1242" s="79">
        <f t="shared" ref="Z1242:AE1242" si="1217">AA1242</f>
        <v>1</v>
      </c>
      <c r="AA1242" s="78">
        <f t="shared" si="1217"/>
        <v>1</v>
      </c>
      <c r="AB1242" s="78">
        <f t="shared" si="1217"/>
        <v>1</v>
      </c>
      <c r="AC1242" s="78">
        <f t="shared" si="1217"/>
        <v>1</v>
      </c>
      <c r="AD1242" s="78">
        <f t="shared" si="1217"/>
        <v>1</v>
      </c>
      <c r="AE1242" s="78">
        <f t="shared" si="1217"/>
        <v>1</v>
      </c>
      <c r="AF1242" s="6">
        <v>1</v>
      </c>
      <c r="AG1242" s="33" t="str">
        <f t="shared" si="1204"/>
        <v>4.13 &gt; Guatemala</v>
      </c>
      <c r="AH1242" s="84">
        <f t="shared" si="1207"/>
        <v>1228</v>
      </c>
      <c r="AI1242" s="84">
        <f t="shared" si="1208"/>
        <v>46</v>
      </c>
      <c r="AJ1242" s="877" t="s">
        <v>1526</v>
      </c>
    </row>
    <row r="1243" spans="1:36" x14ac:dyDescent="0.2">
      <c r="A1243" s="492">
        <f>INDEX(Country!$F$31:$G$76, MATCH(AI1243, Country!$O$31:$O$76, 0), 1)</f>
        <v>4.1299999999999972</v>
      </c>
      <c r="B1243" s="2" t="str">
        <f>INDEX(Country!$F$31:$G$76, MATCH(AI1243, Country!$O$31:$O$76, 0), 2)</f>
        <v>Capacity building – think tanks</v>
      </c>
      <c r="C1243" s="436" t="str">
        <f>INDEX(Country!$K$31:$K$76, MATCH(AI1243, Country!$O$31:$O$76, 0), 1)</f>
        <v>Organisations</v>
      </c>
      <c r="D1243" s="4" t="str">
        <f t="shared" si="1201"/>
        <v>Guyana</v>
      </c>
      <c r="E1243" s="47"/>
      <c r="F1243" s="47"/>
      <c r="G1243" s="47"/>
      <c r="H1243" s="47"/>
      <c r="I1243" s="47"/>
      <c r="J1243" s="47"/>
      <c r="K1243" s="45"/>
      <c r="L1243" s="457">
        <f t="shared" si="1174"/>
        <v>100</v>
      </c>
      <c r="M1243" s="458">
        <f t="shared" si="1175"/>
        <v>100</v>
      </c>
      <c r="N1243" s="458">
        <f t="shared" si="1176"/>
        <v>100</v>
      </c>
      <c r="O1243" s="458">
        <f t="shared" si="1177"/>
        <v>100</v>
      </c>
      <c r="P1243" s="458">
        <f t="shared" si="1178"/>
        <v>100</v>
      </c>
      <c r="Q1243" s="458">
        <f t="shared" si="1179"/>
        <v>100</v>
      </c>
      <c r="R1243" s="459">
        <f t="shared" si="1180"/>
        <v>100</v>
      </c>
      <c r="S1243" s="455"/>
      <c r="T1243" s="456"/>
      <c r="U1243" s="456"/>
      <c r="V1243" s="456"/>
      <c r="W1243" s="456"/>
      <c r="X1243" s="456"/>
      <c r="Y1243" s="456"/>
      <c r="Z1243" s="79">
        <f t="shared" ref="Z1243:AE1243" si="1218">AA1243</f>
        <v>1</v>
      </c>
      <c r="AA1243" s="78">
        <f t="shared" si="1218"/>
        <v>1</v>
      </c>
      <c r="AB1243" s="78">
        <f t="shared" si="1218"/>
        <v>1</v>
      </c>
      <c r="AC1243" s="78">
        <f t="shared" si="1218"/>
        <v>1</v>
      </c>
      <c r="AD1243" s="78">
        <f t="shared" si="1218"/>
        <v>1</v>
      </c>
      <c r="AE1243" s="78">
        <f t="shared" si="1218"/>
        <v>1</v>
      </c>
      <c r="AF1243" s="6">
        <v>1</v>
      </c>
      <c r="AG1243" s="33" t="str">
        <f t="shared" si="1204"/>
        <v>4.13 &gt; Guyana</v>
      </c>
      <c r="AH1243" s="84">
        <f t="shared" si="1207"/>
        <v>1229</v>
      </c>
      <c r="AI1243" s="84">
        <f t="shared" si="1208"/>
        <v>46</v>
      </c>
      <c r="AJ1243" s="877" t="s">
        <v>1526</v>
      </c>
    </row>
    <row r="1244" spans="1:36" x14ac:dyDescent="0.2">
      <c r="A1244" s="492">
        <f>INDEX(Country!$F$31:$G$76, MATCH(AI1244, Country!$O$31:$O$76, 0), 1)</f>
        <v>4.1299999999999972</v>
      </c>
      <c r="B1244" s="2" t="str">
        <f>INDEX(Country!$F$31:$G$76, MATCH(AI1244, Country!$O$31:$O$76, 0), 2)</f>
        <v>Capacity building – think tanks</v>
      </c>
      <c r="C1244" s="436" t="str">
        <f>INDEX(Country!$K$31:$K$76, MATCH(AI1244, Country!$O$31:$O$76, 0), 1)</f>
        <v>Organisations</v>
      </c>
      <c r="D1244" s="4" t="str">
        <f t="shared" si="1201"/>
        <v>Haiti</v>
      </c>
      <c r="E1244" s="47"/>
      <c r="F1244" s="47"/>
      <c r="G1244" s="47"/>
      <c r="H1244" s="47"/>
      <c r="I1244" s="47"/>
      <c r="J1244" s="47"/>
      <c r="K1244" s="45"/>
      <c r="L1244" s="457">
        <f t="shared" ref="L1244:L1256" si="1219">(Z1244)*dbl_BenchmarkMax</f>
        <v>0</v>
      </c>
      <c r="M1244" s="458">
        <f t="shared" ref="M1244:M1256" si="1220">(AA1244)*dbl_BenchmarkMax</f>
        <v>0</v>
      </c>
      <c r="N1244" s="458">
        <f t="shared" ref="N1244:N1256" si="1221">(AB1244)*dbl_BenchmarkMax</f>
        <v>0</v>
      </c>
      <c r="O1244" s="458">
        <f t="shared" ref="O1244:O1256" si="1222">(AC1244)*dbl_BenchmarkMax</f>
        <v>0</v>
      </c>
      <c r="P1244" s="458">
        <f t="shared" ref="P1244:P1256" si="1223">(AD1244)*dbl_BenchmarkMax</f>
        <v>0</v>
      </c>
      <c r="Q1244" s="458">
        <f t="shared" ref="Q1244:Q1256" si="1224">(AE1244)*dbl_BenchmarkMax</f>
        <v>0</v>
      </c>
      <c r="R1244" s="459">
        <f t="shared" ref="R1244:R1256" si="1225">(AF1244)*dbl_BenchmarkMax</f>
        <v>0</v>
      </c>
      <c r="S1244" s="455"/>
      <c r="T1244" s="456"/>
      <c r="U1244" s="456"/>
      <c r="V1244" s="456"/>
      <c r="W1244" s="456"/>
      <c r="X1244" s="456"/>
      <c r="Y1244" s="456"/>
      <c r="Z1244" s="79">
        <f t="shared" ref="Z1244:AE1244" si="1226">AA1244</f>
        <v>0</v>
      </c>
      <c r="AA1244" s="78">
        <f t="shared" si="1226"/>
        <v>0</v>
      </c>
      <c r="AB1244" s="78">
        <f t="shared" si="1226"/>
        <v>0</v>
      </c>
      <c r="AC1244" s="78">
        <f t="shared" si="1226"/>
        <v>0</v>
      </c>
      <c r="AD1244" s="78">
        <f t="shared" si="1226"/>
        <v>0</v>
      </c>
      <c r="AE1244" s="78">
        <f t="shared" si="1226"/>
        <v>0</v>
      </c>
      <c r="AF1244" s="6">
        <v>0</v>
      </c>
      <c r="AG1244" s="33" t="str">
        <f t="shared" si="1204"/>
        <v>4.13 &gt; Haiti</v>
      </c>
      <c r="AH1244" s="84">
        <f t="shared" si="1207"/>
        <v>1230</v>
      </c>
      <c r="AI1244" s="84">
        <f t="shared" si="1208"/>
        <v>46</v>
      </c>
      <c r="AJ1244" s="877" t="s">
        <v>1526</v>
      </c>
    </row>
    <row r="1245" spans="1:36" x14ac:dyDescent="0.2">
      <c r="A1245" s="492">
        <f>INDEX(Country!$F$31:$G$76, MATCH(AI1245, Country!$O$31:$O$76, 0), 1)</f>
        <v>4.1299999999999972</v>
      </c>
      <c r="B1245" s="2" t="str">
        <f>INDEX(Country!$F$31:$G$76, MATCH(AI1245, Country!$O$31:$O$76, 0), 2)</f>
        <v>Capacity building – think tanks</v>
      </c>
      <c r="C1245" s="436" t="str">
        <f>INDEX(Country!$K$31:$K$76, MATCH(AI1245, Country!$O$31:$O$76, 0), 1)</f>
        <v>Organisations</v>
      </c>
      <c r="D1245" s="4" t="str">
        <f t="shared" si="1201"/>
        <v>Honduras</v>
      </c>
      <c r="E1245" s="47"/>
      <c r="F1245" s="47"/>
      <c r="G1245" s="47"/>
      <c r="H1245" s="47"/>
      <c r="I1245" s="47"/>
      <c r="J1245" s="47"/>
      <c r="K1245" s="45"/>
      <c r="L1245" s="457">
        <f t="shared" si="1219"/>
        <v>100</v>
      </c>
      <c r="M1245" s="458">
        <f t="shared" si="1220"/>
        <v>100</v>
      </c>
      <c r="N1245" s="458">
        <f t="shared" si="1221"/>
        <v>100</v>
      </c>
      <c r="O1245" s="458">
        <f t="shared" si="1222"/>
        <v>100</v>
      </c>
      <c r="P1245" s="458">
        <f t="shared" si="1223"/>
        <v>100</v>
      </c>
      <c r="Q1245" s="458">
        <f t="shared" si="1224"/>
        <v>100</v>
      </c>
      <c r="R1245" s="459">
        <f t="shared" si="1225"/>
        <v>100</v>
      </c>
      <c r="S1245" s="455"/>
      <c r="T1245" s="456"/>
      <c r="U1245" s="456"/>
      <c r="V1245" s="456"/>
      <c r="W1245" s="456"/>
      <c r="X1245" s="456"/>
      <c r="Y1245" s="456"/>
      <c r="Z1245" s="79">
        <f t="shared" ref="Z1245:AE1245" si="1227">AA1245</f>
        <v>1</v>
      </c>
      <c r="AA1245" s="78">
        <f t="shared" si="1227"/>
        <v>1</v>
      </c>
      <c r="AB1245" s="78">
        <f t="shared" si="1227"/>
        <v>1</v>
      </c>
      <c r="AC1245" s="78">
        <f t="shared" si="1227"/>
        <v>1</v>
      </c>
      <c r="AD1245" s="78">
        <f t="shared" si="1227"/>
        <v>1</v>
      </c>
      <c r="AE1245" s="78">
        <f t="shared" si="1227"/>
        <v>1</v>
      </c>
      <c r="AF1245" s="6">
        <v>1</v>
      </c>
      <c r="AG1245" s="33" t="str">
        <f t="shared" si="1204"/>
        <v>4.13 &gt; Honduras</v>
      </c>
      <c r="AH1245" s="84">
        <f t="shared" si="1207"/>
        <v>1231</v>
      </c>
      <c r="AI1245" s="84">
        <f t="shared" si="1208"/>
        <v>46</v>
      </c>
      <c r="AJ1245" s="877" t="s">
        <v>1526</v>
      </c>
    </row>
    <row r="1246" spans="1:36" x14ac:dyDescent="0.2">
      <c r="A1246" s="492">
        <f>INDEX(Country!$F$31:$G$76, MATCH(AI1246, Country!$O$31:$O$76, 0), 1)</f>
        <v>4.1299999999999972</v>
      </c>
      <c r="B1246" s="2" t="str">
        <f>INDEX(Country!$F$31:$G$76, MATCH(AI1246, Country!$O$31:$O$76, 0), 2)</f>
        <v>Capacity building – think tanks</v>
      </c>
      <c r="C1246" s="436" t="str">
        <f>INDEX(Country!$K$31:$K$76, MATCH(AI1246, Country!$O$31:$O$76, 0), 1)</f>
        <v>Organisations</v>
      </c>
      <c r="D1246" s="4" t="str">
        <f t="shared" si="1201"/>
        <v>Jamaica</v>
      </c>
      <c r="E1246" s="47"/>
      <c r="F1246" s="47"/>
      <c r="G1246" s="47"/>
      <c r="H1246" s="47"/>
      <c r="I1246" s="47"/>
      <c r="J1246" s="47"/>
      <c r="K1246" s="45"/>
      <c r="L1246" s="457">
        <f t="shared" si="1219"/>
        <v>0</v>
      </c>
      <c r="M1246" s="458">
        <f t="shared" si="1220"/>
        <v>0</v>
      </c>
      <c r="N1246" s="458">
        <f t="shared" si="1221"/>
        <v>0</v>
      </c>
      <c r="O1246" s="458">
        <f t="shared" si="1222"/>
        <v>0</v>
      </c>
      <c r="P1246" s="458">
        <f t="shared" si="1223"/>
        <v>0</v>
      </c>
      <c r="Q1246" s="458">
        <f t="shared" si="1224"/>
        <v>0</v>
      </c>
      <c r="R1246" s="459">
        <f t="shared" si="1225"/>
        <v>0</v>
      </c>
      <c r="S1246" s="455"/>
      <c r="T1246" s="456"/>
      <c r="U1246" s="456"/>
      <c r="V1246" s="456"/>
      <c r="W1246" s="456"/>
      <c r="X1246" s="456"/>
      <c r="Y1246" s="456"/>
      <c r="Z1246" s="79">
        <f t="shared" ref="Z1246:AE1246" si="1228">AA1246</f>
        <v>0</v>
      </c>
      <c r="AA1246" s="78">
        <f t="shared" si="1228"/>
        <v>0</v>
      </c>
      <c r="AB1246" s="78">
        <f t="shared" si="1228"/>
        <v>0</v>
      </c>
      <c r="AC1246" s="78">
        <f t="shared" si="1228"/>
        <v>0</v>
      </c>
      <c r="AD1246" s="78">
        <f t="shared" si="1228"/>
        <v>0</v>
      </c>
      <c r="AE1246" s="78">
        <f t="shared" si="1228"/>
        <v>0</v>
      </c>
      <c r="AF1246" s="6">
        <v>0</v>
      </c>
      <c r="AG1246" s="33" t="str">
        <f t="shared" si="1204"/>
        <v>4.13 &gt; Jamaica</v>
      </c>
      <c r="AH1246" s="84">
        <f t="shared" si="1207"/>
        <v>1232</v>
      </c>
      <c r="AI1246" s="84">
        <f t="shared" si="1208"/>
        <v>46</v>
      </c>
      <c r="AJ1246" s="877" t="s">
        <v>1526</v>
      </c>
    </row>
    <row r="1247" spans="1:36" x14ac:dyDescent="0.2">
      <c r="A1247" s="492">
        <f>INDEX(Country!$F$31:$G$76, MATCH(AI1247, Country!$O$31:$O$76, 0), 1)</f>
        <v>4.1299999999999972</v>
      </c>
      <c r="B1247" s="2" t="str">
        <f>INDEX(Country!$F$31:$G$76, MATCH(AI1247, Country!$O$31:$O$76, 0), 2)</f>
        <v>Capacity building – think tanks</v>
      </c>
      <c r="C1247" s="436" t="str">
        <f>INDEX(Country!$K$31:$K$76, MATCH(AI1247, Country!$O$31:$O$76, 0), 1)</f>
        <v>Organisations</v>
      </c>
      <c r="D1247" s="4" t="str">
        <f t="shared" si="1201"/>
        <v>Mexico</v>
      </c>
      <c r="E1247" s="47"/>
      <c r="F1247" s="47"/>
      <c r="G1247" s="47"/>
      <c r="H1247" s="47"/>
      <c r="I1247" s="47"/>
      <c r="J1247" s="47"/>
      <c r="K1247" s="45"/>
      <c r="L1247" s="457">
        <f t="shared" si="1219"/>
        <v>100</v>
      </c>
      <c r="M1247" s="458">
        <f t="shared" si="1220"/>
        <v>100</v>
      </c>
      <c r="N1247" s="458">
        <f t="shared" si="1221"/>
        <v>100</v>
      </c>
      <c r="O1247" s="458">
        <f t="shared" si="1222"/>
        <v>100</v>
      </c>
      <c r="P1247" s="458">
        <f t="shared" si="1223"/>
        <v>100</v>
      </c>
      <c r="Q1247" s="458">
        <f t="shared" si="1224"/>
        <v>100</v>
      </c>
      <c r="R1247" s="459">
        <f t="shared" si="1225"/>
        <v>100</v>
      </c>
      <c r="S1247" s="455"/>
      <c r="T1247" s="456"/>
      <c r="U1247" s="456"/>
      <c r="V1247" s="456"/>
      <c r="W1247" s="456"/>
      <c r="X1247" s="456"/>
      <c r="Y1247" s="456"/>
      <c r="Z1247" s="79">
        <f t="shared" ref="Z1247:AE1247" si="1229">AA1247</f>
        <v>1</v>
      </c>
      <c r="AA1247" s="78">
        <f t="shared" si="1229"/>
        <v>1</v>
      </c>
      <c r="AB1247" s="78">
        <f t="shared" si="1229"/>
        <v>1</v>
      </c>
      <c r="AC1247" s="78">
        <f t="shared" si="1229"/>
        <v>1</v>
      </c>
      <c r="AD1247" s="78">
        <f t="shared" si="1229"/>
        <v>1</v>
      </c>
      <c r="AE1247" s="78">
        <f t="shared" si="1229"/>
        <v>1</v>
      </c>
      <c r="AF1247" s="6">
        <v>1</v>
      </c>
      <c r="AG1247" s="33" t="str">
        <f t="shared" si="1204"/>
        <v>4.13 &gt; Mexico</v>
      </c>
      <c r="AH1247" s="84">
        <f t="shared" si="1207"/>
        <v>1233</v>
      </c>
      <c r="AI1247" s="84">
        <f t="shared" si="1208"/>
        <v>46</v>
      </c>
      <c r="AJ1247" s="877" t="s">
        <v>1526</v>
      </c>
    </row>
    <row r="1248" spans="1:36" x14ac:dyDescent="0.2">
      <c r="A1248" s="492">
        <f>INDEX(Country!$F$31:$G$76, MATCH(AI1248, Country!$O$31:$O$76, 0), 1)</f>
        <v>4.1299999999999972</v>
      </c>
      <c r="B1248" s="2" t="str">
        <f>INDEX(Country!$F$31:$G$76, MATCH(AI1248, Country!$O$31:$O$76, 0), 2)</f>
        <v>Capacity building – think tanks</v>
      </c>
      <c r="C1248" s="436" t="str">
        <f>INDEX(Country!$K$31:$K$76, MATCH(AI1248, Country!$O$31:$O$76, 0), 1)</f>
        <v>Organisations</v>
      </c>
      <c r="D1248" s="4" t="str">
        <f t="shared" si="1201"/>
        <v>Nicaragua</v>
      </c>
      <c r="E1248" s="47"/>
      <c r="F1248" s="47"/>
      <c r="G1248" s="47"/>
      <c r="H1248" s="47"/>
      <c r="I1248" s="47"/>
      <c r="J1248" s="47"/>
      <c r="K1248" s="45"/>
      <c r="L1248" s="457">
        <f t="shared" si="1219"/>
        <v>100</v>
      </c>
      <c r="M1248" s="458">
        <f t="shared" si="1220"/>
        <v>100</v>
      </c>
      <c r="N1248" s="458">
        <f t="shared" si="1221"/>
        <v>100</v>
      </c>
      <c r="O1248" s="458">
        <f t="shared" si="1222"/>
        <v>100</v>
      </c>
      <c r="P1248" s="458">
        <f t="shared" si="1223"/>
        <v>100</v>
      </c>
      <c r="Q1248" s="458">
        <f t="shared" si="1224"/>
        <v>100</v>
      </c>
      <c r="R1248" s="459">
        <f t="shared" si="1225"/>
        <v>100</v>
      </c>
      <c r="S1248" s="455"/>
      <c r="T1248" s="456"/>
      <c r="U1248" s="456"/>
      <c r="V1248" s="456"/>
      <c r="W1248" s="456"/>
      <c r="X1248" s="456"/>
      <c r="Y1248" s="456"/>
      <c r="Z1248" s="79">
        <f t="shared" ref="Z1248:AE1248" si="1230">AA1248</f>
        <v>1</v>
      </c>
      <c r="AA1248" s="78">
        <f t="shared" si="1230"/>
        <v>1</v>
      </c>
      <c r="AB1248" s="78">
        <f t="shared" si="1230"/>
        <v>1</v>
      </c>
      <c r="AC1248" s="78">
        <f t="shared" si="1230"/>
        <v>1</v>
      </c>
      <c r="AD1248" s="78">
        <f t="shared" si="1230"/>
        <v>1</v>
      </c>
      <c r="AE1248" s="78">
        <f t="shared" si="1230"/>
        <v>1</v>
      </c>
      <c r="AF1248" s="6">
        <v>1</v>
      </c>
      <c r="AG1248" s="33" t="str">
        <f t="shared" si="1204"/>
        <v>4.13 &gt; Nicaragua</v>
      </c>
      <c r="AH1248" s="84">
        <f t="shared" si="1207"/>
        <v>1234</v>
      </c>
      <c r="AI1248" s="84">
        <f t="shared" si="1208"/>
        <v>46</v>
      </c>
      <c r="AJ1248" s="877" t="s">
        <v>1526</v>
      </c>
    </row>
    <row r="1249" spans="1:36" x14ac:dyDescent="0.2">
      <c r="A1249" s="492">
        <f>INDEX(Country!$F$31:$G$76, MATCH(AI1249, Country!$O$31:$O$76, 0), 1)</f>
        <v>4.1299999999999972</v>
      </c>
      <c r="B1249" s="2" t="str">
        <f>INDEX(Country!$F$31:$G$76, MATCH(AI1249, Country!$O$31:$O$76, 0), 2)</f>
        <v>Capacity building – think tanks</v>
      </c>
      <c r="C1249" s="436" t="str">
        <f>INDEX(Country!$K$31:$K$76, MATCH(AI1249, Country!$O$31:$O$76, 0), 1)</f>
        <v>Organisations</v>
      </c>
      <c r="D1249" s="4" t="str">
        <f t="shared" si="1201"/>
        <v>Panama</v>
      </c>
      <c r="E1249" s="47"/>
      <c r="F1249" s="47"/>
      <c r="G1249" s="47"/>
      <c r="H1249" s="47"/>
      <c r="I1249" s="47"/>
      <c r="J1249" s="47"/>
      <c r="K1249" s="45"/>
      <c r="L1249" s="457">
        <f t="shared" si="1219"/>
        <v>100</v>
      </c>
      <c r="M1249" s="458">
        <f t="shared" si="1220"/>
        <v>100</v>
      </c>
      <c r="N1249" s="458">
        <f t="shared" si="1221"/>
        <v>100</v>
      </c>
      <c r="O1249" s="458">
        <f t="shared" si="1222"/>
        <v>100</v>
      </c>
      <c r="P1249" s="458">
        <f t="shared" si="1223"/>
        <v>100</v>
      </c>
      <c r="Q1249" s="458">
        <f t="shared" si="1224"/>
        <v>100</v>
      </c>
      <c r="R1249" s="459">
        <f t="shared" si="1225"/>
        <v>100</v>
      </c>
      <c r="S1249" s="455"/>
      <c r="T1249" s="456"/>
      <c r="U1249" s="456"/>
      <c r="V1249" s="456"/>
      <c r="W1249" s="456"/>
      <c r="X1249" s="456"/>
      <c r="Y1249" s="456"/>
      <c r="Z1249" s="79">
        <f t="shared" ref="Z1249:AE1249" si="1231">AA1249</f>
        <v>1</v>
      </c>
      <c r="AA1249" s="78">
        <f t="shared" si="1231"/>
        <v>1</v>
      </c>
      <c r="AB1249" s="78">
        <f t="shared" si="1231"/>
        <v>1</v>
      </c>
      <c r="AC1249" s="78">
        <f t="shared" si="1231"/>
        <v>1</v>
      </c>
      <c r="AD1249" s="78">
        <f t="shared" si="1231"/>
        <v>1</v>
      </c>
      <c r="AE1249" s="78">
        <f t="shared" si="1231"/>
        <v>1</v>
      </c>
      <c r="AF1249" s="6">
        <v>1</v>
      </c>
      <c r="AG1249" s="33" t="str">
        <f t="shared" si="1204"/>
        <v>4.13 &gt; Panama</v>
      </c>
      <c r="AH1249" s="84">
        <f t="shared" si="1207"/>
        <v>1235</v>
      </c>
      <c r="AI1249" s="84">
        <f t="shared" si="1208"/>
        <v>46</v>
      </c>
      <c r="AJ1249" s="877" t="s">
        <v>1526</v>
      </c>
    </row>
    <row r="1250" spans="1:36" x14ac:dyDescent="0.2">
      <c r="A1250" s="492">
        <f>INDEX(Country!$F$31:$G$76, MATCH(AI1250, Country!$O$31:$O$76, 0), 1)</f>
        <v>4.1299999999999972</v>
      </c>
      <c r="B1250" s="2" t="str">
        <f>INDEX(Country!$F$31:$G$76, MATCH(AI1250, Country!$O$31:$O$76, 0), 2)</f>
        <v>Capacity building – think tanks</v>
      </c>
      <c r="C1250" s="436" t="str">
        <f>INDEX(Country!$K$31:$K$76, MATCH(AI1250, Country!$O$31:$O$76, 0), 1)</f>
        <v>Organisations</v>
      </c>
      <c r="D1250" s="4" t="str">
        <f t="shared" si="1201"/>
        <v>Paraguay</v>
      </c>
      <c r="E1250" s="47"/>
      <c r="F1250" s="47"/>
      <c r="G1250" s="47"/>
      <c r="H1250" s="47"/>
      <c r="I1250" s="47"/>
      <c r="J1250" s="47"/>
      <c r="K1250" s="45"/>
      <c r="L1250" s="457">
        <f t="shared" si="1219"/>
        <v>100</v>
      </c>
      <c r="M1250" s="458">
        <f t="shared" si="1220"/>
        <v>100</v>
      </c>
      <c r="N1250" s="458">
        <f t="shared" si="1221"/>
        <v>100</v>
      </c>
      <c r="O1250" s="458">
        <f t="shared" si="1222"/>
        <v>100</v>
      </c>
      <c r="P1250" s="458">
        <f t="shared" si="1223"/>
        <v>100</v>
      </c>
      <c r="Q1250" s="458">
        <f t="shared" si="1224"/>
        <v>100</v>
      </c>
      <c r="R1250" s="459">
        <f t="shared" si="1225"/>
        <v>100</v>
      </c>
      <c r="S1250" s="455"/>
      <c r="T1250" s="456"/>
      <c r="U1250" s="456"/>
      <c r="V1250" s="456"/>
      <c r="W1250" s="456"/>
      <c r="X1250" s="456"/>
      <c r="Y1250" s="456"/>
      <c r="Z1250" s="79">
        <f t="shared" ref="Z1250:AE1250" si="1232">AA1250</f>
        <v>1</v>
      </c>
      <c r="AA1250" s="78">
        <f t="shared" si="1232"/>
        <v>1</v>
      </c>
      <c r="AB1250" s="78">
        <f t="shared" si="1232"/>
        <v>1</v>
      </c>
      <c r="AC1250" s="78">
        <f t="shared" si="1232"/>
        <v>1</v>
      </c>
      <c r="AD1250" s="78">
        <f t="shared" si="1232"/>
        <v>1</v>
      </c>
      <c r="AE1250" s="78">
        <f t="shared" si="1232"/>
        <v>1</v>
      </c>
      <c r="AF1250" s="6">
        <v>1</v>
      </c>
      <c r="AG1250" s="33" t="str">
        <f t="shared" si="1204"/>
        <v>4.13 &gt; Paraguay</v>
      </c>
      <c r="AH1250" s="84">
        <f t="shared" si="1207"/>
        <v>1236</v>
      </c>
      <c r="AI1250" s="84">
        <f t="shared" si="1208"/>
        <v>46</v>
      </c>
      <c r="AJ1250" s="877" t="s">
        <v>1526</v>
      </c>
    </row>
    <row r="1251" spans="1:36" x14ac:dyDescent="0.2">
      <c r="A1251" s="492">
        <f>INDEX(Country!$F$31:$G$76, MATCH(AI1251, Country!$O$31:$O$76, 0), 1)</f>
        <v>4.1299999999999972</v>
      </c>
      <c r="B1251" s="2" t="str">
        <f>INDEX(Country!$F$31:$G$76, MATCH(AI1251, Country!$O$31:$O$76, 0), 2)</f>
        <v>Capacity building – think tanks</v>
      </c>
      <c r="C1251" s="436" t="str">
        <f>INDEX(Country!$K$31:$K$76, MATCH(AI1251, Country!$O$31:$O$76, 0), 1)</f>
        <v>Organisations</v>
      </c>
      <c r="D1251" s="4" t="str">
        <f t="shared" si="1201"/>
        <v>Peru</v>
      </c>
      <c r="E1251" s="47"/>
      <c r="F1251" s="47"/>
      <c r="G1251" s="47"/>
      <c r="H1251" s="47"/>
      <c r="I1251" s="47"/>
      <c r="J1251" s="47"/>
      <c r="K1251" s="45"/>
      <c r="L1251" s="457">
        <f t="shared" si="1219"/>
        <v>100</v>
      </c>
      <c r="M1251" s="458">
        <f t="shared" si="1220"/>
        <v>100</v>
      </c>
      <c r="N1251" s="458">
        <f t="shared" si="1221"/>
        <v>100</v>
      </c>
      <c r="O1251" s="458">
        <f t="shared" si="1222"/>
        <v>100</v>
      </c>
      <c r="P1251" s="458">
        <f t="shared" si="1223"/>
        <v>100</v>
      </c>
      <c r="Q1251" s="458">
        <f t="shared" si="1224"/>
        <v>100</v>
      </c>
      <c r="R1251" s="459">
        <f t="shared" si="1225"/>
        <v>100</v>
      </c>
      <c r="S1251" s="455"/>
      <c r="T1251" s="456"/>
      <c r="U1251" s="456"/>
      <c r="V1251" s="456"/>
      <c r="W1251" s="456"/>
      <c r="X1251" s="456"/>
      <c r="Y1251" s="456"/>
      <c r="Z1251" s="79">
        <f t="shared" ref="Z1251:AE1251" si="1233">AA1251</f>
        <v>1</v>
      </c>
      <c r="AA1251" s="78">
        <f t="shared" si="1233"/>
        <v>1</v>
      </c>
      <c r="AB1251" s="78">
        <f t="shared" si="1233"/>
        <v>1</v>
      </c>
      <c r="AC1251" s="78">
        <f t="shared" si="1233"/>
        <v>1</v>
      </c>
      <c r="AD1251" s="78">
        <f t="shared" si="1233"/>
        <v>1</v>
      </c>
      <c r="AE1251" s="78">
        <f t="shared" si="1233"/>
        <v>1</v>
      </c>
      <c r="AF1251" s="6">
        <v>1</v>
      </c>
      <c r="AG1251" s="33" t="str">
        <f t="shared" si="1204"/>
        <v>4.13 &gt; Peru</v>
      </c>
      <c r="AH1251" s="84">
        <f t="shared" si="1207"/>
        <v>1237</v>
      </c>
      <c r="AI1251" s="84">
        <f t="shared" si="1208"/>
        <v>46</v>
      </c>
      <c r="AJ1251" s="877" t="s">
        <v>1526</v>
      </c>
    </row>
    <row r="1252" spans="1:36" x14ac:dyDescent="0.2">
      <c r="A1252" s="492">
        <f>INDEX(Country!$F$31:$G$76, MATCH(AI1252, Country!$O$31:$O$76, 0), 1)</f>
        <v>4.1299999999999972</v>
      </c>
      <c r="B1252" s="2" t="str">
        <f>INDEX(Country!$F$31:$G$76, MATCH(AI1252, Country!$O$31:$O$76, 0), 2)</f>
        <v>Capacity building – think tanks</v>
      </c>
      <c r="C1252" s="436" t="str">
        <f>INDEX(Country!$K$31:$K$76, MATCH(AI1252, Country!$O$31:$O$76, 0), 1)</f>
        <v>Organisations</v>
      </c>
      <c r="D1252" s="4" t="str">
        <f t="shared" si="1201"/>
        <v>Suriname</v>
      </c>
      <c r="E1252" s="47"/>
      <c r="F1252" s="47"/>
      <c r="G1252" s="47"/>
      <c r="H1252" s="47"/>
      <c r="I1252" s="47"/>
      <c r="J1252" s="47"/>
      <c r="K1252" s="45"/>
      <c r="L1252" s="457">
        <f t="shared" si="1219"/>
        <v>0</v>
      </c>
      <c r="M1252" s="458">
        <f t="shared" si="1220"/>
        <v>0</v>
      </c>
      <c r="N1252" s="458">
        <f t="shared" si="1221"/>
        <v>0</v>
      </c>
      <c r="O1252" s="458">
        <f t="shared" si="1222"/>
        <v>0</v>
      </c>
      <c r="P1252" s="458">
        <f t="shared" si="1223"/>
        <v>0</v>
      </c>
      <c r="Q1252" s="458">
        <f t="shared" si="1224"/>
        <v>0</v>
      </c>
      <c r="R1252" s="459">
        <f t="shared" si="1225"/>
        <v>0</v>
      </c>
      <c r="S1252" s="455"/>
      <c r="T1252" s="456"/>
      <c r="U1252" s="456"/>
      <c r="V1252" s="456"/>
      <c r="W1252" s="456"/>
      <c r="X1252" s="456"/>
      <c r="Y1252" s="456"/>
      <c r="Z1252" s="79">
        <f t="shared" ref="Z1252:AE1252" si="1234">AA1252</f>
        <v>0</v>
      </c>
      <c r="AA1252" s="78">
        <f t="shared" si="1234"/>
        <v>0</v>
      </c>
      <c r="AB1252" s="78">
        <f t="shared" si="1234"/>
        <v>0</v>
      </c>
      <c r="AC1252" s="78">
        <f t="shared" si="1234"/>
        <v>0</v>
      </c>
      <c r="AD1252" s="78">
        <f t="shared" si="1234"/>
        <v>0</v>
      </c>
      <c r="AE1252" s="78">
        <f t="shared" si="1234"/>
        <v>0</v>
      </c>
      <c r="AF1252" s="6">
        <v>0</v>
      </c>
      <c r="AG1252" s="33" t="str">
        <f t="shared" si="1204"/>
        <v>4.13 &gt; Suriname</v>
      </c>
      <c r="AH1252" s="84">
        <f t="shared" si="1207"/>
        <v>1238</v>
      </c>
      <c r="AI1252" s="84">
        <f t="shared" si="1208"/>
        <v>46</v>
      </c>
      <c r="AJ1252" s="877" t="s">
        <v>1526</v>
      </c>
    </row>
    <row r="1253" spans="1:36" x14ac:dyDescent="0.2">
      <c r="A1253" s="492">
        <f>INDEX(Country!$F$31:$G$76, MATCH(AI1253, Country!$O$31:$O$76, 0), 1)</f>
        <v>4.1299999999999972</v>
      </c>
      <c r="B1253" s="2" t="str">
        <f>INDEX(Country!$F$31:$G$76, MATCH(AI1253, Country!$O$31:$O$76, 0), 2)</f>
        <v>Capacity building – think tanks</v>
      </c>
      <c r="C1253" s="436" t="str">
        <f>INDEX(Country!$K$31:$K$76, MATCH(AI1253, Country!$O$31:$O$76, 0), 1)</f>
        <v>Organisations</v>
      </c>
      <c r="D1253" s="4" t="str">
        <f t="shared" si="1201"/>
        <v>Trinidad &amp; Tobago</v>
      </c>
      <c r="E1253" s="47"/>
      <c r="F1253" s="47"/>
      <c r="G1253" s="47"/>
      <c r="H1253" s="47"/>
      <c r="I1253" s="47"/>
      <c r="J1253" s="47"/>
      <c r="K1253" s="45"/>
      <c r="L1253" s="457">
        <f t="shared" si="1219"/>
        <v>0</v>
      </c>
      <c r="M1253" s="458">
        <f t="shared" si="1220"/>
        <v>0</v>
      </c>
      <c r="N1253" s="458">
        <f t="shared" si="1221"/>
        <v>0</v>
      </c>
      <c r="O1253" s="458">
        <f t="shared" si="1222"/>
        <v>0</v>
      </c>
      <c r="P1253" s="458">
        <f t="shared" si="1223"/>
        <v>0</v>
      </c>
      <c r="Q1253" s="458">
        <f t="shared" si="1224"/>
        <v>0</v>
      </c>
      <c r="R1253" s="459">
        <f t="shared" si="1225"/>
        <v>0</v>
      </c>
      <c r="S1253" s="455"/>
      <c r="T1253" s="456"/>
      <c r="U1253" s="456"/>
      <c r="V1253" s="456"/>
      <c r="W1253" s="456"/>
      <c r="X1253" s="456"/>
      <c r="Y1253" s="456"/>
      <c r="Z1253" s="79">
        <f t="shared" ref="Z1253:AE1253" si="1235">AA1253</f>
        <v>0</v>
      </c>
      <c r="AA1253" s="78">
        <f t="shared" si="1235"/>
        <v>0</v>
      </c>
      <c r="AB1253" s="78">
        <f t="shared" si="1235"/>
        <v>0</v>
      </c>
      <c r="AC1253" s="78">
        <f t="shared" si="1235"/>
        <v>0</v>
      </c>
      <c r="AD1253" s="78">
        <f t="shared" si="1235"/>
        <v>0</v>
      </c>
      <c r="AE1253" s="78">
        <f t="shared" si="1235"/>
        <v>0</v>
      </c>
      <c r="AF1253" s="6">
        <v>0</v>
      </c>
      <c r="AG1253" s="33" t="str">
        <f t="shared" si="1204"/>
        <v>4.13 &gt; Trinidad &amp; Tobago</v>
      </c>
      <c r="AH1253" s="84">
        <f t="shared" si="1207"/>
        <v>1239</v>
      </c>
      <c r="AI1253" s="84">
        <f t="shared" si="1208"/>
        <v>46</v>
      </c>
      <c r="AJ1253" s="877" t="s">
        <v>1526</v>
      </c>
    </row>
    <row r="1254" spans="1:36" x14ac:dyDescent="0.2">
      <c r="A1254" s="492">
        <f>INDEX(Country!$F$31:$G$76, MATCH(AI1254, Country!$O$31:$O$76, 0), 1)</f>
        <v>4.1299999999999972</v>
      </c>
      <c r="B1254" s="2" t="str">
        <f>INDEX(Country!$F$31:$G$76, MATCH(AI1254, Country!$O$31:$O$76, 0), 2)</f>
        <v>Capacity building – think tanks</v>
      </c>
      <c r="C1254" s="436" t="str">
        <f>INDEX(Country!$K$31:$K$76, MATCH(AI1254, Country!$O$31:$O$76, 0), 1)</f>
        <v>Organisations</v>
      </c>
      <c r="D1254" s="4" t="str">
        <f t="shared" si="1201"/>
        <v>Uruguay</v>
      </c>
      <c r="E1254" s="47"/>
      <c r="F1254" s="47"/>
      <c r="G1254" s="47"/>
      <c r="H1254" s="47"/>
      <c r="I1254" s="47"/>
      <c r="J1254" s="47"/>
      <c r="K1254" s="45"/>
      <c r="L1254" s="457">
        <f t="shared" si="1219"/>
        <v>100</v>
      </c>
      <c r="M1254" s="458">
        <f t="shared" si="1220"/>
        <v>100</v>
      </c>
      <c r="N1254" s="458">
        <f t="shared" si="1221"/>
        <v>100</v>
      </c>
      <c r="O1254" s="458">
        <f t="shared" si="1222"/>
        <v>100</v>
      </c>
      <c r="P1254" s="458">
        <f t="shared" si="1223"/>
        <v>100</v>
      </c>
      <c r="Q1254" s="458">
        <f t="shared" si="1224"/>
        <v>100</v>
      </c>
      <c r="R1254" s="459">
        <f t="shared" si="1225"/>
        <v>100</v>
      </c>
      <c r="S1254" s="455"/>
      <c r="T1254" s="456"/>
      <c r="U1254" s="456"/>
      <c r="V1254" s="456"/>
      <c r="W1254" s="456"/>
      <c r="X1254" s="456"/>
      <c r="Y1254" s="456"/>
      <c r="Z1254" s="79">
        <f t="shared" ref="Z1254:AE1254" si="1236">AA1254</f>
        <v>1</v>
      </c>
      <c r="AA1254" s="78">
        <f t="shared" si="1236"/>
        <v>1</v>
      </c>
      <c r="AB1254" s="78">
        <f t="shared" si="1236"/>
        <v>1</v>
      </c>
      <c r="AC1254" s="78">
        <f t="shared" si="1236"/>
        <v>1</v>
      </c>
      <c r="AD1254" s="78">
        <f t="shared" si="1236"/>
        <v>1</v>
      </c>
      <c r="AE1254" s="78">
        <f t="shared" si="1236"/>
        <v>1</v>
      </c>
      <c r="AF1254" s="6">
        <v>1</v>
      </c>
      <c r="AG1254" s="33" t="str">
        <f t="shared" si="1204"/>
        <v>4.13 &gt; Uruguay</v>
      </c>
      <c r="AH1254" s="84">
        <f t="shared" si="1207"/>
        <v>1240</v>
      </c>
      <c r="AI1254" s="84">
        <f t="shared" si="1208"/>
        <v>46</v>
      </c>
      <c r="AJ1254" s="877" t="s">
        <v>1526</v>
      </c>
    </row>
    <row r="1255" spans="1:36" x14ac:dyDescent="0.2">
      <c r="A1255" s="491">
        <f>INDEX(Country!$F$31:$G$76, MATCH(AI1255, Country!$O$31:$O$76, 0), 1)</f>
        <v>4.1299999999999972</v>
      </c>
      <c r="B1255" s="386" t="str">
        <f>INDEX(Country!$F$31:$G$76, MATCH(AI1255, Country!$O$31:$O$76, 0), 2)</f>
        <v>Capacity building – think tanks</v>
      </c>
      <c r="C1255" s="437" t="str">
        <f>INDEX(Country!$K$31:$K$76, MATCH(AI1255, Country!$O$31:$O$76, 0), 1)</f>
        <v>Organisations</v>
      </c>
      <c r="D1255" s="86" t="str">
        <f t="shared" si="1201"/>
        <v>Venezuela</v>
      </c>
      <c r="E1255" s="363"/>
      <c r="F1255" s="363"/>
      <c r="G1255" s="363"/>
      <c r="H1255" s="363"/>
      <c r="I1255" s="363"/>
      <c r="J1255" s="363"/>
      <c r="K1255" s="400"/>
      <c r="L1255" s="460">
        <f t="shared" si="1219"/>
        <v>100</v>
      </c>
      <c r="M1255" s="461">
        <f t="shared" si="1220"/>
        <v>100</v>
      </c>
      <c r="N1255" s="461">
        <f t="shared" si="1221"/>
        <v>100</v>
      </c>
      <c r="O1255" s="461">
        <f t="shared" si="1222"/>
        <v>100</v>
      </c>
      <c r="P1255" s="461">
        <f t="shared" si="1223"/>
        <v>100</v>
      </c>
      <c r="Q1255" s="461">
        <f t="shared" si="1224"/>
        <v>100</v>
      </c>
      <c r="R1255" s="462">
        <f t="shared" si="1225"/>
        <v>100</v>
      </c>
      <c r="S1255" s="455"/>
      <c r="T1255" s="456"/>
      <c r="U1255" s="456"/>
      <c r="V1255" s="456"/>
      <c r="W1255" s="456"/>
      <c r="X1255" s="456"/>
      <c r="Y1255" s="456"/>
      <c r="Z1255" s="93">
        <f t="shared" ref="Z1255:AE1255" si="1237">AA1255</f>
        <v>1</v>
      </c>
      <c r="AA1255" s="379">
        <f t="shared" si="1237"/>
        <v>1</v>
      </c>
      <c r="AB1255" s="379">
        <f t="shared" si="1237"/>
        <v>1</v>
      </c>
      <c r="AC1255" s="379">
        <f t="shared" si="1237"/>
        <v>1</v>
      </c>
      <c r="AD1255" s="379">
        <f t="shared" si="1237"/>
        <v>1</v>
      </c>
      <c r="AE1255" s="379">
        <f t="shared" si="1237"/>
        <v>1</v>
      </c>
      <c r="AF1255" s="390">
        <v>1</v>
      </c>
      <c r="AG1255" s="90" t="str">
        <f t="shared" si="1204"/>
        <v>4.13 &gt; Venezuela</v>
      </c>
      <c r="AH1255" s="392">
        <f t="shared" si="1207"/>
        <v>1241</v>
      </c>
      <c r="AI1255" s="392">
        <f t="shared" si="1208"/>
        <v>46</v>
      </c>
      <c r="AJ1255" s="878" t="s">
        <v>1526</v>
      </c>
    </row>
    <row r="1256" spans="1:36" x14ac:dyDescent="0.2">
      <c r="A1256" s="489">
        <f>INDEX(Country!$F$31:$G$76, MATCH(AI1256, Country!$O$31:$O$76, 0), 1)</f>
        <v>4.1299999999999972</v>
      </c>
      <c r="B1256" s="387" t="str">
        <f>INDEX(Country!$F$31:$G$76, MATCH(AI1256, Country!$O$31:$O$76, 0), 2)</f>
        <v>Capacity building – think tanks</v>
      </c>
      <c r="C1256" s="439" t="str">
        <f>INDEX(Country!$K$31:$K$76, MATCH(AI1256, Country!$O$31:$O$76, 0), 1)</f>
        <v>Organisations</v>
      </c>
      <c r="D1256" s="385" t="str">
        <f t="shared" si="1201"/>
        <v>Benchmark</v>
      </c>
      <c r="E1256" s="362">
        <f t="shared" ref="E1256:K1256" si="1238">IFERROR(MAX(E1230:E1255), 0)</f>
        <v>0</v>
      </c>
      <c r="F1256" s="362">
        <f t="shared" si="1238"/>
        <v>0</v>
      </c>
      <c r="G1256" s="362">
        <f t="shared" si="1238"/>
        <v>0</v>
      </c>
      <c r="H1256" s="362">
        <f t="shared" si="1238"/>
        <v>0</v>
      </c>
      <c r="I1256" s="362">
        <f t="shared" si="1238"/>
        <v>0</v>
      </c>
      <c r="J1256" s="362">
        <f t="shared" si="1238"/>
        <v>0</v>
      </c>
      <c r="K1256" s="584">
        <f t="shared" si="1238"/>
        <v>0</v>
      </c>
      <c r="L1256" s="585">
        <f t="shared" si="1219"/>
        <v>100</v>
      </c>
      <c r="M1256" s="463">
        <f t="shared" si="1220"/>
        <v>100</v>
      </c>
      <c r="N1256" s="463">
        <f t="shared" si="1221"/>
        <v>100</v>
      </c>
      <c r="O1256" s="463">
        <f t="shared" si="1222"/>
        <v>100</v>
      </c>
      <c r="P1256" s="463">
        <f t="shared" si="1223"/>
        <v>100</v>
      </c>
      <c r="Q1256" s="463">
        <f t="shared" si="1224"/>
        <v>100</v>
      </c>
      <c r="R1256" s="586">
        <f t="shared" si="1225"/>
        <v>100</v>
      </c>
      <c r="S1256" s="393"/>
      <c r="T1256" s="394"/>
      <c r="U1256" s="376"/>
      <c r="V1256" s="376"/>
      <c r="W1256" s="376"/>
      <c r="X1256" s="376"/>
      <c r="Y1256" s="376"/>
      <c r="Z1256" s="423">
        <f t="shared" ref="Z1256:AE1256" si="1239">IFERROR(MAX(Z1230:Z1255), 0)</f>
        <v>1</v>
      </c>
      <c r="AA1256" s="365">
        <f t="shared" si="1239"/>
        <v>1</v>
      </c>
      <c r="AB1256" s="365">
        <f t="shared" si="1239"/>
        <v>1</v>
      </c>
      <c r="AC1256" s="365">
        <f t="shared" si="1239"/>
        <v>1</v>
      </c>
      <c r="AD1256" s="365">
        <f t="shared" si="1239"/>
        <v>1</v>
      </c>
      <c r="AE1256" s="365">
        <f t="shared" si="1239"/>
        <v>1</v>
      </c>
      <c r="AF1256" s="365">
        <f>IFERROR(MAX(AF1230:AF1255), 0)</f>
        <v>1</v>
      </c>
      <c r="AG1256" s="406" t="str">
        <f t="shared" si="1204"/>
        <v>4.13 &gt; Benchmark</v>
      </c>
      <c r="AH1256" s="407">
        <f t="shared" si="1207"/>
        <v>1242</v>
      </c>
      <c r="AI1256" s="407">
        <f t="shared" si="1208"/>
        <v>46</v>
      </c>
      <c r="AJ1256" s="880" t="s">
        <v>1526</v>
      </c>
    </row>
    <row r="1257" spans="1:36" x14ac:dyDescent="0.2">
      <c r="AD1257" s="99"/>
      <c r="AE1257" s="99"/>
      <c r="AF1257" s="99"/>
      <c r="AG1257" s="99"/>
      <c r="AH1257" s="99"/>
      <c r="AI1257" s="99"/>
    </row>
  </sheetData>
  <sheetProtection password="ECD7" sheet="1" objects="1" scenarios="1"/>
  <mergeCells count="5">
    <mergeCell ref="L9:R9"/>
    <mergeCell ref="Z9:AF9"/>
    <mergeCell ref="A4:C4"/>
    <mergeCell ref="E9:K9"/>
    <mergeCell ref="S9:Y9"/>
  </mergeCells>
  <conditionalFormatting sqref="E15:AF1256">
    <cfRule type="expression" priority="1" stopIfTrue="1">
      <formula>$D15="Benchmark"</formula>
    </cfRule>
  </conditionalFormatting>
  <conditionalFormatting sqref="E10:R10">
    <cfRule type="expression" dxfId="4" priority="27">
      <formula>E$10=int_Year</formula>
    </cfRule>
  </conditionalFormatting>
  <conditionalFormatting sqref="E15:R1256">
    <cfRule type="expression" dxfId="3" priority="24">
      <formula>E15=""</formula>
    </cfRule>
  </conditionalFormatting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outlinePr summaryBelow="0" summaryRight="0"/>
  </sheetPr>
  <dimension ref="A1:V2790"/>
  <sheetViews>
    <sheetView showGridLines="0" zoomScale="85" zoomScaleNormal="85" workbookViewId="0">
      <pane ySplit="5" topLeftCell="A6" activePane="bottomLeft" state="frozen"/>
      <selection pane="bottomLeft" activeCell="M2853" sqref="M2853"/>
    </sheetView>
  </sheetViews>
  <sheetFormatPr defaultColWidth="8.85546875" defaultRowHeight="12.75" outlineLevelRow="1" x14ac:dyDescent="0.2"/>
  <cols>
    <col min="1" max="1" width="21.140625" style="97" customWidth="1"/>
    <col min="2" max="2" width="15.42578125" style="97" customWidth="1"/>
    <col min="3" max="3" width="14.85546875" style="97" customWidth="1"/>
    <col min="4" max="4" width="19.42578125" style="21" customWidth="1"/>
    <col min="5" max="5" width="19.42578125" style="97" customWidth="1"/>
    <col min="6" max="13" width="12.7109375" style="98" customWidth="1"/>
    <col min="14" max="16384" width="8.85546875" style="97"/>
  </cols>
  <sheetData>
    <row r="1" spans="1:22" s="50" customFormat="1" ht="21" x14ac:dyDescent="0.2">
      <c r="A1" s="951" t="s">
        <v>1544</v>
      </c>
      <c r="B1" s="952"/>
      <c r="C1" s="952"/>
      <c r="D1" s="953"/>
      <c r="E1" s="947"/>
      <c r="F1" s="948"/>
      <c r="G1" s="947"/>
      <c r="H1" s="948"/>
      <c r="I1" s="947"/>
      <c r="J1" s="948"/>
      <c r="K1" s="948"/>
      <c r="L1" s="948"/>
      <c r="M1" s="954"/>
      <c r="N1" s="38"/>
      <c r="O1" s="38"/>
      <c r="P1" s="38"/>
      <c r="Q1" s="38"/>
      <c r="R1" s="38"/>
      <c r="S1" s="38"/>
      <c r="T1" s="38"/>
      <c r="U1" s="38"/>
    </row>
    <row r="2" spans="1:22" s="50" customFormat="1" ht="21" x14ac:dyDescent="0.2">
      <c r="A2" s="300"/>
      <c r="B2" s="301"/>
      <c r="C2" s="301"/>
      <c r="D2" s="302"/>
      <c r="E2" s="303"/>
      <c r="F2" s="304"/>
      <c r="G2" s="303"/>
      <c r="H2" s="304"/>
      <c r="I2" s="303"/>
      <c r="J2" s="304"/>
      <c r="K2" s="304"/>
      <c r="L2" s="304"/>
      <c r="M2" s="305"/>
      <c r="N2" s="38"/>
      <c r="O2" s="38"/>
      <c r="P2" s="38"/>
      <c r="Q2" s="38"/>
      <c r="R2" s="38"/>
      <c r="S2" s="38"/>
      <c r="T2" s="38"/>
      <c r="U2" s="38"/>
    </row>
    <row r="3" spans="1:22" x14ac:dyDescent="0.2">
      <c r="F3" s="97"/>
      <c r="G3" s="97"/>
      <c r="H3" s="97"/>
      <c r="I3" s="97"/>
      <c r="J3" s="97"/>
      <c r="K3" s="97"/>
      <c r="L3" s="99"/>
      <c r="M3" s="99"/>
    </row>
    <row r="4" spans="1:22" s="38" customFormat="1" ht="21" x14ac:dyDescent="0.2">
      <c r="A4" s="923" t="s">
        <v>1247</v>
      </c>
      <c r="B4" s="924"/>
      <c r="C4" s="924"/>
      <c r="D4" s="925"/>
      <c r="E4" s="924"/>
      <c r="F4" s="924"/>
      <c r="G4" s="924"/>
      <c r="H4" s="924"/>
      <c r="I4" s="924"/>
      <c r="J4" s="924"/>
      <c r="K4" s="924"/>
      <c r="L4" s="924"/>
      <c r="M4" s="869" t="s">
        <v>3319</v>
      </c>
    </row>
    <row r="5" spans="1:22" x14ac:dyDescent="0.2">
      <c r="A5" s="907" t="s">
        <v>78</v>
      </c>
      <c r="B5" s="905" t="s">
        <v>71</v>
      </c>
      <c r="C5" s="905" t="s">
        <v>1203</v>
      </c>
      <c r="D5" s="928" t="s">
        <v>1673</v>
      </c>
      <c r="E5" s="905" t="s">
        <v>0</v>
      </c>
      <c r="F5" s="905">
        <v>2006</v>
      </c>
      <c r="G5" s="905">
        <f>F5+1</f>
        <v>2007</v>
      </c>
      <c r="H5" s="905">
        <f t="shared" ref="H5:J5" si="0">G5+1</f>
        <v>2008</v>
      </c>
      <c r="I5" s="905">
        <f t="shared" si="0"/>
        <v>2009</v>
      </c>
      <c r="J5" s="905">
        <f t="shared" si="0"/>
        <v>2010</v>
      </c>
      <c r="K5" s="905">
        <f t="shared" ref="K5:L5" si="1">J5+1</f>
        <v>2011</v>
      </c>
      <c r="L5" s="906">
        <f t="shared" si="1"/>
        <v>2012</v>
      </c>
      <c r="M5" s="922"/>
    </row>
    <row r="6" spans="1:22" collapsed="1" x14ac:dyDescent="0.2">
      <c r="A6" s="926" t="s">
        <v>1248</v>
      </c>
      <c r="B6" s="900"/>
      <c r="C6" s="900"/>
      <c r="D6" s="927"/>
      <c r="E6" s="900"/>
      <c r="F6" s="900"/>
      <c r="G6" s="900"/>
      <c r="H6" s="900"/>
      <c r="I6" s="900"/>
      <c r="J6" s="900"/>
      <c r="K6" s="900"/>
      <c r="L6" s="900"/>
      <c r="M6" s="886"/>
    </row>
    <row r="7" spans="1:22" hidden="1" outlineLevel="1" x14ac:dyDescent="0.2">
      <c r="A7" s="22" t="s">
        <v>1226</v>
      </c>
      <c r="B7" s="2" t="str">
        <f>IF(A7="Capacity", "MW", "GWh")</f>
        <v>MW</v>
      </c>
      <c r="C7" s="2" t="s">
        <v>1219</v>
      </c>
      <c r="D7" s="718">
        <f>IF(C7="","",IF(OR(C7="Wind",C7="Solar",C7="Geothermal",C7="Small Hydro",C7="Biofuels",C7="Biomass &amp; Waste"), 1, 0))</f>
        <v>0</v>
      </c>
      <c r="E7" s="4" t="s">
        <v>4</v>
      </c>
      <c r="F7" s="43">
        <v>9433.7000000000007</v>
      </c>
      <c r="G7" s="43">
        <v>9471.1</v>
      </c>
      <c r="H7" s="43">
        <v>9517.1</v>
      </c>
      <c r="I7" s="43">
        <v>9550.5</v>
      </c>
      <c r="J7" s="43">
        <v>9550.5</v>
      </c>
      <c r="K7" s="43">
        <v>9550.5</v>
      </c>
      <c r="L7" s="43">
        <v>9550.5</v>
      </c>
      <c r="M7" s="887"/>
      <c r="N7" s="16"/>
      <c r="O7" s="16"/>
      <c r="P7" s="16"/>
      <c r="Q7" s="16"/>
      <c r="R7" s="16"/>
      <c r="S7" s="16"/>
      <c r="T7" s="16"/>
      <c r="U7" s="16"/>
      <c r="V7" s="16"/>
    </row>
    <row r="8" spans="1:22" hidden="1" outlineLevel="1" x14ac:dyDescent="0.2">
      <c r="A8" s="22" t="s">
        <v>1226</v>
      </c>
      <c r="B8" s="2" t="str">
        <f t="shared" ref="B8:B71" si="2">IF(A8="Capacity", "MW", "GWh")</f>
        <v>MW</v>
      </c>
      <c r="C8" s="2" t="s">
        <v>1219</v>
      </c>
      <c r="D8" s="716">
        <f t="shared" ref="D8:D74" si="3">IF(C8="","",IF(OR(C8="Wind",C8="Solar",C8="Geothermal",C8="Small Hydro",C8="Biofuels",C8="Biomass &amp; Waste"), 1, 0))</f>
        <v>0</v>
      </c>
      <c r="E8" s="4" t="s">
        <v>5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M8" s="887"/>
      <c r="N8" s="16"/>
      <c r="O8" s="16"/>
      <c r="P8" s="16"/>
      <c r="Q8" s="16"/>
      <c r="R8" s="16"/>
    </row>
    <row r="9" spans="1:22" hidden="1" outlineLevel="1" x14ac:dyDescent="0.2">
      <c r="A9" s="22" t="s">
        <v>1226</v>
      </c>
      <c r="B9" s="2" t="str">
        <f t="shared" si="2"/>
        <v>MW</v>
      </c>
      <c r="C9" s="2" t="s">
        <v>1219</v>
      </c>
      <c r="D9" s="716">
        <f t="shared" si="3"/>
        <v>0</v>
      </c>
      <c r="E9" s="4" t="s">
        <v>6</v>
      </c>
      <c r="F9" s="43">
        <v>0</v>
      </c>
      <c r="G9" s="43">
        <v>0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887"/>
      <c r="N9" s="16"/>
      <c r="O9" s="16"/>
      <c r="P9" s="16"/>
      <c r="Q9" s="16"/>
      <c r="R9" s="16"/>
    </row>
    <row r="10" spans="1:22" hidden="1" outlineLevel="1" x14ac:dyDescent="0.2">
      <c r="A10" s="22" t="s">
        <v>1226</v>
      </c>
      <c r="B10" s="2" t="str">
        <f t="shared" si="2"/>
        <v>MW</v>
      </c>
      <c r="C10" s="2" t="s">
        <v>1219</v>
      </c>
      <c r="D10" s="716">
        <f t="shared" si="3"/>
        <v>0</v>
      </c>
      <c r="E10" s="4" t="s">
        <v>143</v>
      </c>
      <c r="F10" s="43">
        <v>0</v>
      </c>
      <c r="G10" s="43">
        <v>0</v>
      </c>
      <c r="H10" s="43">
        <v>0</v>
      </c>
      <c r="I10" s="43">
        <v>0</v>
      </c>
      <c r="J10" s="43">
        <v>0</v>
      </c>
      <c r="K10" s="43">
        <v>0</v>
      </c>
      <c r="L10" s="43">
        <v>0</v>
      </c>
      <c r="M10" s="887"/>
      <c r="N10" s="16"/>
      <c r="O10" s="16"/>
      <c r="P10" s="16"/>
      <c r="Q10" s="16"/>
      <c r="R10" s="16"/>
    </row>
    <row r="11" spans="1:22" hidden="1" outlineLevel="1" x14ac:dyDescent="0.2">
      <c r="A11" s="22" t="s">
        <v>1226</v>
      </c>
      <c r="B11" s="2" t="str">
        <f t="shared" si="2"/>
        <v>MW</v>
      </c>
      <c r="C11" s="2" t="s">
        <v>1219</v>
      </c>
      <c r="D11" s="716">
        <f t="shared" si="3"/>
        <v>0</v>
      </c>
      <c r="E11" s="4" t="s">
        <v>7</v>
      </c>
      <c r="F11" s="43">
        <v>198.4</v>
      </c>
      <c r="G11" s="43">
        <v>198.4</v>
      </c>
      <c r="H11" s="43">
        <v>198.4</v>
      </c>
      <c r="I11" s="43">
        <v>198.4</v>
      </c>
      <c r="J11" s="43">
        <v>198.4</v>
      </c>
      <c r="K11" s="43">
        <v>203</v>
      </c>
      <c r="L11" s="43">
        <v>203</v>
      </c>
      <c r="M11" s="887"/>
      <c r="N11" s="16"/>
      <c r="O11" s="16"/>
      <c r="P11" s="16"/>
      <c r="Q11" s="16"/>
      <c r="R11" s="16"/>
    </row>
    <row r="12" spans="1:22" hidden="1" outlineLevel="1" x14ac:dyDescent="0.2">
      <c r="A12" s="22" t="s">
        <v>1226</v>
      </c>
      <c r="B12" s="2" t="str">
        <f t="shared" si="2"/>
        <v>MW</v>
      </c>
      <c r="C12" s="2" t="s">
        <v>1219</v>
      </c>
      <c r="D12" s="716">
        <f t="shared" si="3"/>
        <v>0</v>
      </c>
      <c r="E12" s="4" t="s">
        <v>31</v>
      </c>
      <c r="F12" s="43">
        <v>72005</v>
      </c>
      <c r="G12" s="43">
        <v>74937</v>
      </c>
      <c r="H12" s="43">
        <v>74901</v>
      </c>
      <c r="I12" s="43">
        <v>75484</v>
      </c>
      <c r="J12" s="43">
        <v>77090</v>
      </c>
      <c r="K12" s="43">
        <v>78142</v>
      </c>
      <c r="L12" s="43">
        <v>79424</v>
      </c>
      <c r="M12" s="887"/>
      <c r="N12" s="16"/>
      <c r="O12" s="16"/>
      <c r="P12" s="16"/>
      <c r="Q12" s="16"/>
      <c r="R12" s="16"/>
    </row>
    <row r="13" spans="1:22" hidden="1" outlineLevel="1" x14ac:dyDescent="0.2">
      <c r="A13" s="22" t="s">
        <v>1226</v>
      </c>
      <c r="B13" s="2" t="str">
        <f t="shared" si="2"/>
        <v>MW</v>
      </c>
      <c r="C13" s="2" t="s">
        <v>1219</v>
      </c>
      <c r="D13" s="716">
        <f t="shared" si="3"/>
        <v>0</v>
      </c>
      <c r="E13" s="4" t="s">
        <v>8</v>
      </c>
      <c r="F13" s="43">
        <v>4682.0498500000003</v>
      </c>
      <c r="G13" s="43">
        <v>4754.0982300000005</v>
      </c>
      <c r="H13" s="43">
        <v>4809.0982300000005</v>
      </c>
      <c r="I13" s="43">
        <v>4809.0982300000005</v>
      </c>
      <c r="J13" s="43">
        <v>4809.0982300000005</v>
      </c>
      <c r="K13" s="43">
        <v>5239.2654600000005</v>
      </c>
      <c r="L13" s="43">
        <v>5299.2654600000005</v>
      </c>
      <c r="M13" s="887"/>
      <c r="N13" s="16"/>
      <c r="O13" s="16"/>
      <c r="P13" s="16"/>
      <c r="Q13" s="16"/>
      <c r="R13" s="16"/>
    </row>
    <row r="14" spans="1:22" hidden="1" outlineLevel="1" x14ac:dyDescent="0.2">
      <c r="A14" s="22" t="s">
        <v>1226</v>
      </c>
      <c r="B14" s="2" t="str">
        <f t="shared" si="2"/>
        <v>MW</v>
      </c>
      <c r="C14" s="2" t="s">
        <v>1219</v>
      </c>
      <c r="D14" s="716">
        <f t="shared" si="3"/>
        <v>0</v>
      </c>
      <c r="E14" s="4" t="s">
        <v>9</v>
      </c>
      <c r="F14" s="43">
        <v>8511</v>
      </c>
      <c r="G14" s="43">
        <v>8525</v>
      </c>
      <c r="H14" s="43">
        <v>8525</v>
      </c>
      <c r="I14" s="43">
        <v>8525</v>
      </c>
      <c r="J14" s="43">
        <v>8525</v>
      </c>
      <c r="K14" s="43">
        <v>9185</v>
      </c>
      <c r="L14" s="43">
        <v>9185</v>
      </c>
      <c r="M14" s="887"/>
      <c r="N14" s="16"/>
      <c r="O14" s="16"/>
      <c r="P14" s="16"/>
      <c r="Q14" s="16"/>
      <c r="R14" s="16"/>
    </row>
    <row r="15" spans="1:22" hidden="1" outlineLevel="1" x14ac:dyDescent="0.2">
      <c r="A15" s="22" t="s">
        <v>1226</v>
      </c>
      <c r="B15" s="2" t="str">
        <f t="shared" si="2"/>
        <v>MW</v>
      </c>
      <c r="C15" s="2" t="s">
        <v>1219</v>
      </c>
      <c r="D15" s="716">
        <f t="shared" si="3"/>
        <v>0</v>
      </c>
      <c r="E15" s="4" t="s">
        <v>10</v>
      </c>
      <c r="F15" s="43">
        <v>932.88824999999997</v>
      </c>
      <c r="G15" s="43">
        <v>981.38480000000004</v>
      </c>
      <c r="H15" s="43">
        <v>981.38480000000004</v>
      </c>
      <c r="I15" s="43">
        <v>981.38480000000004</v>
      </c>
      <c r="J15" s="43">
        <v>981.38480000000004</v>
      </c>
      <c r="K15" s="43">
        <v>1096.1548</v>
      </c>
      <c r="L15" s="43">
        <v>1096.1548</v>
      </c>
      <c r="M15" s="887"/>
      <c r="N15" s="16"/>
      <c r="O15" s="16"/>
      <c r="P15" s="16"/>
      <c r="Q15" s="16"/>
      <c r="R15" s="16"/>
    </row>
    <row r="16" spans="1:22" hidden="1" outlineLevel="1" x14ac:dyDescent="0.2">
      <c r="A16" s="22" t="s">
        <v>1226</v>
      </c>
      <c r="B16" s="2" t="str">
        <f t="shared" si="2"/>
        <v>MW</v>
      </c>
      <c r="C16" s="2" t="s">
        <v>1219</v>
      </c>
      <c r="D16" s="716">
        <f t="shared" si="3"/>
        <v>0</v>
      </c>
      <c r="E16" s="4" t="s">
        <v>11</v>
      </c>
      <c r="F16" s="43">
        <v>300</v>
      </c>
      <c r="G16" s="43">
        <v>300</v>
      </c>
      <c r="H16" s="43">
        <v>300</v>
      </c>
      <c r="I16" s="43">
        <v>300</v>
      </c>
      <c r="J16" s="43">
        <v>300</v>
      </c>
      <c r="K16" s="43">
        <v>300</v>
      </c>
      <c r="L16" s="43">
        <v>380</v>
      </c>
      <c r="M16" s="887"/>
      <c r="N16" s="16"/>
      <c r="O16" s="16"/>
      <c r="P16" s="16"/>
      <c r="Q16" s="16"/>
      <c r="R16" s="16"/>
    </row>
    <row r="17" spans="1:18" hidden="1" outlineLevel="1" x14ac:dyDescent="0.2">
      <c r="A17" s="22" t="s">
        <v>1226</v>
      </c>
      <c r="B17" s="2" t="str">
        <f t="shared" si="2"/>
        <v>MW</v>
      </c>
      <c r="C17" s="2" t="s">
        <v>1219</v>
      </c>
      <c r="D17" s="716">
        <f t="shared" si="3"/>
        <v>0</v>
      </c>
      <c r="E17" s="4" t="s">
        <v>12</v>
      </c>
      <c r="F17" s="43">
        <v>1524.17</v>
      </c>
      <c r="G17" s="43">
        <v>1752.1699999999998</v>
      </c>
      <c r="H17" s="43">
        <v>1751.4</v>
      </c>
      <c r="I17" s="43">
        <v>1751.31</v>
      </c>
      <c r="J17" s="43">
        <v>1934.88</v>
      </c>
      <c r="K17" s="43">
        <v>1935.37</v>
      </c>
      <c r="L17" s="43">
        <v>1925.67</v>
      </c>
      <c r="M17" s="887"/>
      <c r="N17" s="16"/>
      <c r="O17" s="16"/>
      <c r="P17" s="16"/>
      <c r="Q17" s="16"/>
      <c r="R17" s="16"/>
    </row>
    <row r="18" spans="1:18" hidden="1" outlineLevel="1" x14ac:dyDescent="0.2">
      <c r="A18" s="22" t="s">
        <v>1226</v>
      </c>
      <c r="B18" s="2" t="str">
        <f t="shared" si="2"/>
        <v>MW</v>
      </c>
      <c r="C18" s="2" t="s">
        <v>1219</v>
      </c>
      <c r="D18" s="716">
        <f t="shared" si="3"/>
        <v>0</v>
      </c>
      <c r="E18" s="4" t="s">
        <v>1</v>
      </c>
      <c r="F18" s="43">
        <v>440.50000000000006</v>
      </c>
      <c r="G18" s="43">
        <v>452.20000000000005</v>
      </c>
      <c r="H18" s="43">
        <v>452.20000000000005</v>
      </c>
      <c r="I18" s="43">
        <v>452.20000000000005</v>
      </c>
      <c r="J18" s="43">
        <v>452.20000000000005</v>
      </c>
      <c r="K18" s="43">
        <v>452.20000000000005</v>
      </c>
      <c r="L18" s="43">
        <v>452.20000000000005</v>
      </c>
      <c r="M18" s="887"/>
      <c r="N18" s="16"/>
      <c r="O18" s="16"/>
      <c r="P18" s="16"/>
      <c r="Q18" s="16"/>
      <c r="R18" s="16"/>
    </row>
    <row r="19" spans="1:18" hidden="1" outlineLevel="1" x14ac:dyDescent="0.2">
      <c r="A19" s="22" t="s">
        <v>1226</v>
      </c>
      <c r="B19" s="2" t="str">
        <f t="shared" si="2"/>
        <v>MW</v>
      </c>
      <c r="C19" s="2" t="s">
        <v>1219</v>
      </c>
      <c r="D19" s="716">
        <f t="shared" si="3"/>
        <v>0</v>
      </c>
      <c r="E19" s="4" t="s">
        <v>13</v>
      </c>
      <c r="F19" s="43">
        <v>518.1</v>
      </c>
      <c r="G19" s="43">
        <v>518.1</v>
      </c>
      <c r="H19" s="43">
        <v>518.1</v>
      </c>
      <c r="I19" s="43">
        <v>518.1</v>
      </c>
      <c r="J19" s="43">
        <v>612.1</v>
      </c>
      <c r="K19" s="43">
        <v>612.1</v>
      </c>
      <c r="L19" s="43">
        <v>697.1</v>
      </c>
      <c r="M19" s="887"/>
      <c r="N19" s="16"/>
      <c r="O19" s="16"/>
      <c r="P19" s="16"/>
      <c r="Q19" s="16"/>
      <c r="R19" s="16"/>
    </row>
    <row r="20" spans="1:18" hidden="1" outlineLevel="1" x14ac:dyDescent="0.2">
      <c r="A20" s="22" t="s">
        <v>1226</v>
      </c>
      <c r="B20" s="2" t="str">
        <f t="shared" si="2"/>
        <v>MW</v>
      </c>
      <c r="C20" s="2" t="s">
        <v>1219</v>
      </c>
      <c r="D20" s="716">
        <f t="shared" si="3"/>
        <v>0</v>
      </c>
      <c r="E20" s="4" t="s">
        <v>14</v>
      </c>
      <c r="F20" s="43">
        <v>0</v>
      </c>
      <c r="G20" s="43">
        <v>0</v>
      </c>
      <c r="H20" s="43">
        <v>0</v>
      </c>
      <c r="I20" s="43">
        <v>0</v>
      </c>
      <c r="J20" s="43">
        <v>0</v>
      </c>
      <c r="K20" s="43">
        <v>0</v>
      </c>
      <c r="L20" s="43">
        <v>0</v>
      </c>
      <c r="M20" s="887"/>
      <c r="N20" s="16"/>
      <c r="O20" s="16"/>
      <c r="P20" s="16"/>
      <c r="Q20" s="16"/>
      <c r="R20" s="16"/>
    </row>
    <row r="21" spans="1:18" hidden="1" outlineLevel="1" x14ac:dyDescent="0.2">
      <c r="A21" s="22" t="s">
        <v>1226</v>
      </c>
      <c r="B21" s="2" t="str">
        <f t="shared" si="2"/>
        <v>MW</v>
      </c>
      <c r="C21" s="2" t="s">
        <v>1219</v>
      </c>
      <c r="D21" s="716">
        <f t="shared" si="3"/>
        <v>0</v>
      </c>
      <c r="E21" s="4" t="s">
        <v>15</v>
      </c>
      <c r="F21" s="43">
        <v>0</v>
      </c>
      <c r="G21" s="43">
        <v>0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887"/>
      <c r="N21" s="16"/>
      <c r="O21" s="16"/>
      <c r="P21" s="16"/>
      <c r="Q21" s="16"/>
      <c r="R21" s="16"/>
    </row>
    <row r="22" spans="1:18" hidden="1" outlineLevel="1" x14ac:dyDescent="0.2">
      <c r="A22" s="22" t="s">
        <v>1226</v>
      </c>
      <c r="B22" s="2" t="str">
        <f t="shared" si="2"/>
        <v>MW</v>
      </c>
      <c r="C22" s="2" t="s">
        <v>1219</v>
      </c>
      <c r="D22" s="716">
        <f t="shared" si="3"/>
        <v>0</v>
      </c>
      <c r="E22" s="4" t="s">
        <v>16</v>
      </c>
      <c r="F22" s="43">
        <v>380</v>
      </c>
      <c r="G22" s="43">
        <v>380</v>
      </c>
      <c r="H22" s="43">
        <v>380</v>
      </c>
      <c r="I22" s="43">
        <v>380</v>
      </c>
      <c r="J22" s="43">
        <v>380</v>
      </c>
      <c r="K22" s="43">
        <v>380</v>
      </c>
      <c r="L22" s="43">
        <v>380</v>
      </c>
      <c r="M22" s="887"/>
      <c r="N22" s="16"/>
      <c r="O22" s="16"/>
      <c r="P22" s="16"/>
      <c r="Q22" s="16"/>
      <c r="R22" s="16"/>
    </row>
    <row r="23" spans="1:18" hidden="1" outlineLevel="1" x14ac:dyDescent="0.2">
      <c r="A23" s="22" t="s">
        <v>1226</v>
      </c>
      <c r="B23" s="2" t="str">
        <f t="shared" si="2"/>
        <v>MW</v>
      </c>
      <c r="C23" s="2" t="s">
        <v>1219</v>
      </c>
      <c r="D23" s="716">
        <f t="shared" si="3"/>
        <v>0</v>
      </c>
      <c r="E23" s="4" t="s">
        <v>17</v>
      </c>
      <c r="F23" s="43">
        <v>0</v>
      </c>
      <c r="G23" s="43">
        <v>0</v>
      </c>
      <c r="H23" s="43">
        <v>0</v>
      </c>
      <c r="I23" s="43">
        <v>0</v>
      </c>
      <c r="J23" s="43">
        <v>0</v>
      </c>
      <c r="K23" s="43">
        <v>0</v>
      </c>
      <c r="L23" s="43">
        <v>0</v>
      </c>
      <c r="M23" s="887"/>
      <c r="N23" s="16"/>
      <c r="O23" s="16"/>
      <c r="P23" s="16"/>
      <c r="Q23" s="16"/>
      <c r="R23" s="16"/>
    </row>
    <row r="24" spans="1:18" hidden="1" outlineLevel="1" x14ac:dyDescent="0.2">
      <c r="A24" s="22" t="s">
        <v>1226</v>
      </c>
      <c r="B24" s="2" t="str">
        <f t="shared" si="2"/>
        <v>MW</v>
      </c>
      <c r="C24" s="2" t="s">
        <v>1219</v>
      </c>
      <c r="D24" s="716">
        <f t="shared" si="3"/>
        <v>0</v>
      </c>
      <c r="E24" s="4" t="s">
        <v>18</v>
      </c>
      <c r="F24" s="43">
        <v>10338.449999999999</v>
      </c>
      <c r="G24" s="43">
        <v>11088.449999999999</v>
      </c>
      <c r="H24" s="43">
        <v>11088.449999999999</v>
      </c>
      <c r="I24" s="43">
        <v>11088.449999999999</v>
      </c>
      <c r="J24" s="43">
        <v>11088.449999999999</v>
      </c>
      <c r="K24" s="43">
        <v>11088.449999999999</v>
      </c>
      <c r="L24" s="43">
        <v>11088.449999999999</v>
      </c>
      <c r="M24" s="887"/>
      <c r="N24" s="16"/>
      <c r="O24" s="16"/>
      <c r="P24" s="16"/>
      <c r="Q24" s="16"/>
      <c r="R24" s="16"/>
    </row>
    <row r="25" spans="1:18" hidden="1" outlineLevel="1" x14ac:dyDescent="0.2">
      <c r="A25" s="22" t="s">
        <v>1226</v>
      </c>
      <c r="B25" s="2" t="str">
        <f t="shared" si="2"/>
        <v>MW</v>
      </c>
      <c r="C25" s="2" t="s">
        <v>1219</v>
      </c>
      <c r="D25" s="716">
        <f t="shared" si="3"/>
        <v>0</v>
      </c>
      <c r="E25" s="4" t="s">
        <v>2</v>
      </c>
      <c r="F25" s="43">
        <v>54.4</v>
      </c>
      <c r="G25" s="43">
        <v>54.4</v>
      </c>
      <c r="H25" s="43">
        <v>54.4</v>
      </c>
      <c r="I25" s="43">
        <v>54.4</v>
      </c>
      <c r="J25" s="43">
        <v>54.4</v>
      </c>
      <c r="K25" s="43">
        <v>54.4</v>
      </c>
      <c r="L25" s="43">
        <v>54.4</v>
      </c>
      <c r="M25" s="887"/>
      <c r="N25" s="16"/>
      <c r="O25" s="16"/>
      <c r="P25" s="16"/>
      <c r="Q25" s="16"/>
      <c r="R25" s="16"/>
    </row>
    <row r="26" spans="1:18" hidden="1" outlineLevel="1" x14ac:dyDescent="0.2">
      <c r="A26" s="22" t="s">
        <v>1226</v>
      </c>
      <c r="B26" s="2" t="str">
        <f t="shared" si="2"/>
        <v>MW</v>
      </c>
      <c r="C26" s="2" t="s">
        <v>1219</v>
      </c>
      <c r="D26" s="716">
        <f t="shared" si="3"/>
        <v>0</v>
      </c>
      <c r="E26" s="4" t="s">
        <v>19</v>
      </c>
      <c r="F26" s="43">
        <v>740</v>
      </c>
      <c r="G26" s="43">
        <v>794.8</v>
      </c>
      <c r="H26" s="43">
        <v>794.8</v>
      </c>
      <c r="I26" s="43">
        <v>794.8</v>
      </c>
      <c r="J26" s="43">
        <v>734.76</v>
      </c>
      <c r="K26" s="43">
        <v>956.93</v>
      </c>
      <c r="L26" s="43">
        <v>956.93</v>
      </c>
      <c r="M26" s="887"/>
      <c r="N26" s="16"/>
      <c r="O26" s="16"/>
      <c r="P26" s="16"/>
      <c r="Q26" s="16"/>
      <c r="R26" s="16"/>
    </row>
    <row r="27" spans="1:18" hidden="1" outlineLevel="1" x14ac:dyDescent="0.2">
      <c r="A27" s="22" t="s">
        <v>1226</v>
      </c>
      <c r="B27" s="2" t="str">
        <f t="shared" si="2"/>
        <v>MW</v>
      </c>
      <c r="C27" s="2" t="s">
        <v>1219</v>
      </c>
      <c r="D27" s="716">
        <f t="shared" si="3"/>
        <v>0</v>
      </c>
      <c r="E27" s="4" t="s">
        <v>3</v>
      </c>
      <c r="F27" s="43">
        <v>8810</v>
      </c>
      <c r="G27" s="43">
        <v>8810</v>
      </c>
      <c r="H27" s="43">
        <v>8810</v>
      </c>
      <c r="I27" s="43">
        <v>8810</v>
      </c>
      <c r="J27" s="43">
        <v>8810</v>
      </c>
      <c r="K27" s="43">
        <v>8810</v>
      </c>
      <c r="L27" s="43">
        <v>8810</v>
      </c>
      <c r="M27" s="887"/>
      <c r="N27" s="16"/>
      <c r="O27" s="16"/>
      <c r="P27" s="16"/>
      <c r="Q27" s="16"/>
      <c r="R27" s="16"/>
    </row>
    <row r="28" spans="1:18" hidden="1" outlineLevel="1" x14ac:dyDescent="0.2">
      <c r="A28" s="22" t="s">
        <v>1226</v>
      </c>
      <c r="B28" s="2" t="str">
        <f t="shared" si="2"/>
        <v>MW</v>
      </c>
      <c r="C28" s="2" t="s">
        <v>1219</v>
      </c>
      <c r="D28" s="716">
        <f t="shared" si="3"/>
        <v>0</v>
      </c>
      <c r="E28" s="4" t="s">
        <v>20</v>
      </c>
      <c r="F28" s="43">
        <v>2711.2520000000004</v>
      </c>
      <c r="G28" s="43">
        <v>2726.6840000000002</v>
      </c>
      <c r="H28" s="43">
        <v>2727.98</v>
      </c>
      <c r="I28" s="43">
        <v>2728.0790000000002</v>
      </c>
      <c r="J28" s="43">
        <v>2892.2619999999997</v>
      </c>
      <c r="K28" s="43">
        <v>2892.2619999999997</v>
      </c>
      <c r="L28" s="43">
        <v>2892.2619999999997</v>
      </c>
      <c r="M28" s="887"/>
      <c r="N28" s="16"/>
      <c r="O28" s="16"/>
      <c r="P28" s="16"/>
      <c r="Q28" s="16"/>
      <c r="R28" s="16"/>
    </row>
    <row r="29" spans="1:18" hidden="1" outlineLevel="1" x14ac:dyDescent="0.2">
      <c r="A29" s="22" t="s">
        <v>1226</v>
      </c>
      <c r="B29" s="2" t="str">
        <f t="shared" si="2"/>
        <v>MW</v>
      </c>
      <c r="C29" s="2" t="s">
        <v>1219</v>
      </c>
      <c r="D29" s="716">
        <f t="shared" si="3"/>
        <v>0</v>
      </c>
      <c r="E29" s="4" t="s">
        <v>21</v>
      </c>
      <c r="F29" s="43">
        <v>189</v>
      </c>
      <c r="G29" s="43">
        <v>189</v>
      </c>
      <c r="H29" s="43">
        <v>189</v>
      </c>
      <c r="I29" s="43">
        <v>189</v>
      </c>
      <c r="J29" s="43">
        <v>189</v>
      </c>
      <c r="K29" s="43">
        <v>189</v>
      </c>
      <c r="L29" s="43">
        <v>189</v>
      </c>
      <c r="M29" s="887"/>
      <c r="N29" s="16"/>
      <c r="O29" s="16"/>
      <c r="P29" s="16"/>
      <c r="Q29" s="16"/>
      <c r="R29" s="16"/>
    </row>
    <row r="30" spans="1:18" hidden="1" outlineLevel="1" x14ac:dyDescent="0.2">
      <c r="A30" s="22" t="s">
        <v>1226</v>
      </c>
      <c r="B30" s="2" t="str">
        <f t="shared" si="2"/>
        <v>MW</v>
      </c>
      <c r="C30" s="2" t="s">
        <v>1219</v>
      </c>
      <c r="D30" s="716">
        <f t="shared" si="3"/>
        <v>0</v>
      </c>
      <c r="E30" s="4" t="s">
        <v>1096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887"/>
      <c r="N30" s="16"/>
      <c r="O30" s="16"/>
      <c r="P30" s="16"/>
      <c r="Q30" s="16"/>
      <c r="R30" s="16"/>
    </row>
    <row r="31" spans="1:18" hidden="1" outlineLevel="1" x14ac:dyDescent="0.2">
      <c r="A31" s="22" t="s">
        <v>1226</v>
      </c>
      <c r="B31" s="2" t="str">
        <f t="shared" si="2"/>
        <v>MW</v>
      </c>
      <c r="C31" s="2" t="s">
        <v>1219</v>
      </c>
      <c r="D31" s="716">
        <f t="shared" si="3"/>
        <v>0</v>
      </c>
      <c r="E31" s="4" t="s">
        <v>22</v>
      </c>
      <c r="F31" s="43">
        <v>1538</v>
      </c>
      <c r="G31" s="43">
        <v>1538</v>
      </c>
      <c r="H31" s="43">
        <v>1538</v>
      </c>
      <c r="I31" s="43">
        <v>1538</v>
      </c>
      <c r="J31" s="43">
        <v>1538</v>
      </c>
      <c r="K31" s="43">
        <v>1538</v>
      </c>
      <c r="L31" s="43">
        <v>1538</v>
      </c>
      <c r="M31" s="887"/>
      <c r="N31" s="16"/>
      <c r="O31" s="16"/>
      <c r="P31" s="16"/>
      <c r="Q31" s="16"/>
      <c r="R31" s="16"/>
    </row>
    <row r="32" spans="1:18" hidden="1" outlineLevel="1" x14ac:dyDescent="0.2">
      <c r="A32" s="91" t="s">
        <v>1226</v>
      </c>
      <c r="B32" s="386" t="str">
        <f t="shared" si="2"/>
        <v>MW</v>
      </c>
      <c r="C32" s="386" t="s">
        <v>1219</v>
      </c>
      <c r="D32" s="719">
        <f t="shared" si="3"/>
        <v>0</v>
      </c>
      <c r="E32" s="86" t="s">
        <v>23</v>
      </c>
      <c r="F32" s="374">
        <v>14597</v>
      </c>
      <c r="G32" s="374">
        <v>14597</v>
      </c>
      <c r="H32" s="374">
        <v>14598</v>
      </c>
      <c r="I32" s="374">
        <v>14598</v>
      </c>
      <c r="J32" s="374">
        <v>14597</v>
      </c>
      <c r="K32" s="374">
        <v>14597</v>
      </c>
      <c r="L32" s="374">
        <v>14597</v>
      </c>
      <c r="M32" s="918"/>
      <c r="N32" s="16"/>
      <c r="O32" s="16"/>
      <c r="P32" s="16"/>
      <c r="Q32" s="16"/>
      <c r="R32" s="16"/>
    </row>
    <row r="33" spans="1:18" hidden="1" outlineLevel="1" x14ac:dyDescent="0.2">
      <c r="A33" s="532" t="s">
        <v>1226</v>
      </c>
      <c r="B33" s="533" t="str">
        <f t="shared" si="2"/>
        <v>MW</v>
      </c>
      <c r="C33" s="533" t="s">
        <v>1220</v>
      </c>
      <c r="D33" s="715">
        <f t="shared" si="3"/>
        <v>0</v>
      </c>
      <c r="E33" s="468" t="s">
        <v>4</v>
      </c>
      <c r="F33" s="534">
        <v>4453.9759999999997</v>
      </c>
      <c r="G33" s="534">
        <v>4968.085</v>
      </c>
      <c r="H33" s="534">
        <v>4194.8980000000001</v>
      </c>
      <c r="I33" s="534">
        <v>3374.0230000000001</v>
      </c>
      <c r="J33" s="534">
        <v>4809.0330000000004</v>
      </c>
      <c r="K33" s="534">
        <v>4832.7640000000001</v>
      </c>
      <c r="L33" s="534">
        <v>4832.7640000000001</v>
      </c>
      <c r="M33" s="888"/>
      <c r="N33" s="16"/>
      <c r="O33" s="16"/>
      <c r="P33" s="16"/>
      <c r="Q33" s="16"/>
      <c r="R33" s="16"/>
    </row>
    <row r="34" spans="1:18" hidden="1" outlineLevel="1" x14ac:dyDescent="0.2">
      <c r="A34" s="22" t="s">
        <v>1226</v>
      </c>
      <c r="B34" s="2" t="str">
        <f t="shared" si="2"/>
        <v>MW</v>
      </c>
      <c r="C34" s="2" t="s">
        <v>1220</v>
      </c>
      <c r="D34" s="716">
        <f t="shared" si="3"/>
        <v>0</v>
      </c>
      <c r="E34" s="4" t="s">
        <v>5</v>
      </c>
      <c r="F34" s="43">
        <v>0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887"/>
      <c r="N34" s="16"/>
      <c r="O34" s="16"/>
      <c r="P34" s="16"/>
      <c r="Q34" s="16"/>
      <c r="R34" s="16"/>
    </row>
    <row r="35" spans="1:18" hidden="1" outlineLevel="1" x14ac:dyDescent="0.2">
      <c r="A35" s="22" t="s">
        <v>1226</v>
      </c>
      <c r="B35" s="2" t="str">
        <f t="shared" si="2"/>
        <v>MW</v>
      </c>
      <c r="C35" s="2" t="s">
        <v>1220</v>
      </c>
      <c r="D35" s="716">
        <f t="shared" si="3"/>
        <v>0</v>
      </c>
      <c r="E35" s="4" t="s">
        <v>6</v>
      </c>
      <c r="F35" s="43">
        <v>0</v>
      </c>
      <c r="G35" s="43">
        <v>0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887"/>
      <c r="N35" s="16"/>
      <c r="O35" s="16"/>
      <c r="P35" s="16"/>
      <c r="Q35" s="16"/>
      <c r="R35" s="16"/>
    </row>
    <row r="36" spans="1:18" hidden="1" outlineLevel="1" x14ac:dyDescent="0.2">
      <c r="A36" s="22" t="s">
        <v>1226</v>
      </c>
      <c r="B36" s="2" t="str">
        <f t="shared" si="2"/>
        <v>MW</v>
      </c>
      <c r="C36" s="2" t="s">
        <v>1220</v>
      </c>
      <c r="D36" s="716">
        <f t="shared" si="3"/>
        <v>0</v>
      </c>
      <c r="E36" s="4" t="s">
        <v>143</v>
      </c>
      <c r="F36" s="43">
        <v>0</v>
      </c>
      <c r="G36" s="43">
        <v>0</v>
      </c>
      <c r="H36" s="43">
        <v>0</v>
      </c>
      <c r="I36" s="43">
        <v>0</v>
      </c>
      <c r="J36" s="43">
        <v>0</v>
      </c>
      <c r="K36" s="43">
        <v>0</v>
      </c>
      <c r="L36" s="43">
        <v>0</v>
      </c>
      <c r="M36" s="887"/>
      <c r="N36" s="16"/>
      <c r="O36" s="16"/>
      <c r="P36" s="16"/>
      <c r="Q36" s="16"/>
      <c r="R36" s="16"/>
    </row>
    <row r="37" spans="1:18" hidden="1" outlineLevel="1" x14ac:dyDescent="0.2">
      <c r="A37" s="22" t="s">
        <v>1226</v>
      </c>
      <c r="B37" s="2" t="str">
        <f t="shared" si="2"/>
        <v>MW</v>
      </c>
      <c r="C37" s="2" t="s">
        <v>1220</v>
      </c>
      <c r="D37" s="716">
        <f t="shared" si="3"/>
        <v>0</v>
      </c>
      <c r="E37" s="4" t="s">
        <v>7</v>
      </c>
      <c r="F37" s="43">
        <v>688.80000000000007</v>
      </c>
      <c r="G37" s="43">
        <v>754.7</v>
      </c>
      <c r="H37" s="43">
        <v>754.8</v>
      </c>
      <c r="I37" s="43">
        <v>754.8</v>
      </c>
      <c r="J37" s="43">
        <v>861</v>
      </c>
      <c r="K37" s="43">
        <v>887.2</v>
      </c>
      <c r="L37" s="43">
        <v>887.2</v>
      </c>
      <c r="M37" s="887"/>
      <c r="N37" s="16"/>
      <c r="O37" s="16"/>
      <c r="P37" s="16"/>
      <c r="Q37" s="16"/>
      <c r="R37" s="16"/>
    </row>
    <row r="38" spans="1:18" hidden="1" outlineLevel="1" x14ac:dyDescent="0.2">
      <c r="A38" s="22" t="s">
        <v>1226</v>
      </c>
      <c r="B38" s="2" t="str">
        <f t="shared" si="2"/>
        <v>MW</v>
      </c>
      <c r="C38" s="2" t="s">
        <v>1220</v>
      </c>
      <c r="D38" s="716">
        <f t="shared" si="3"/>
        <v>0</v>
      </c>
      <c r="E38" s="4" t="s">
        <v>31</v>
      </c>
      <c r="F38" s="43">
        <v>9990.7274999999991</v>
      </c>
      <c r="G38" s="43">
        <v>10042.890000000001</v>
      </c>
      <c r="H38" s="43">
        <v>10532.4</v>
      </c>
      <c r="I38" s="43">
        <v>10809</v>
      </c>
      <c r="J38" s="43">
        <v>12539.999999999998</v>
      </c>
      <c r="K38" s="43">
        <v>11424</v>
      </c>
      <c r="L38" s="43">
        <v>11550</v>
      </c>
      <c r="M38" s="887"/>
      <c r="N38" s="16"/>
      <c r="O38" s="16"/>
      <c r="P38" s="16"/>
      <c r="Q38" s="16"/>
      <c r="R38" s="16"/>
    </row>
    <row r="39" spans="1:18" hidden="1" outlineLevel="1" x14ac:dyDescent="0.2">
      <c r="A39" s="22" t="s">
        <v>1226</v>
      </c>
      <c r="B39" s="2" t="str">
        <f t="shared" si="2"/>
        <v>MW</v>
      </c>
      <c r="C39" s="2" t="s">
        <v>1220</v>
      </c>
      <c r="D39" s="716">
        <f t="shared" si="3"/>
        <v>0</v>
      </c>
      <c r="E39" s="4" t="s">
        <v>8</v>
      </c>
      <c r="F39" s="43">
        <v>3896.9312999999997</v>
      </c>
      <c r="G39" s="43">
        <v>3896.9312999999997</v>
      </c>
      <c r="H39" s="43">
        <v>4310.7592999999997</v>
      </c>
      <c r="I39" s="43">
        <v>4317.1592999999993</v>
      </c>
      <c r="J39" s="43">
        <v>4317.9592999999995</v>
      </c>
      <c r="K39" s="43">
        <v>4317.9592999999995</v>
      </c>
      <c r="L39" s="43">
        <v>4317.9592999999995</v>
      </c>
      <c r="M39" s="887"/>
      <c r="N39" s="16"/>
      <c r="O39" s="16"/>
      <c r="P39" s="16"/>
      <c r="Q39" s="16"/>
      <c r="R39" s="16"/>
    </row>
    <row r="40" spans="1:18" hidden="1" outlineLevel="1" x14ac:dyDescent="0.2">
      <c r="A40" s="22" t="s">
        <v>1226</v>
      </c>
      <c r="B40" s="2" t="str">
        <f t="shared" si="2"/>
        <v>MW</v>
      </c>
      <c r="C40" s="2" t="s">
        <v>1220</v>
      </c>
      <c r="D40" s="716">
        <f t="shared" si="3"/>
        <v>0</v>
      </c>
      <c r="E40" s="4" t="s">
        <v>9</v>
      </c>
      <c r="F40" s="43">
        <v>3562</v>
      </c>
      <c r="G40" s="43">
        <v>3598</v>
      </c>
      <c r="H40" s="43">
        <v>2757</v>
      </c>
      <c r="I40" s="43">
        <v>2757</v>
      </c>
      <c r="J40" s="43">
        <v>2478</v>
      </c>
      <c r="K40" s="43">
        <v>2653</v>
      </c>
      <c r="L40" s="43">
        <v>2479</v>
      </c>
      <c r="M40" s="887"/>
      <c r="N40" s="16"/>
      <c r="O40" s="16"/>
      <c r="P40" s="16"/>
      <c r="Q40" s="16"/>
      <c r="R40" s="16"/>
    </row>
    <row r="41" spans="1:18" hidden="1" outlineLevel="1" x14ac:dyDescent="0.2">
      <c r="A41" s="22" t="s">
        <v>1226</v>
      </c>
      <c r="B41" s="2" t="str">
        <f t="shared" si="2"/>
        <v>MW</v>
      </c>
      <c r="C41" s="2" t="s">
        <v>1220</v>
      </c>
      <c r="D41" s="716">
        <f t="shared" si="3"/>
        <v>0</v>
      </c>
      <c r="E41" s="4" t="s">
        <v>10</v>
      </c>
      <c r="F41" s="43">
        <v>347.7</v>
      </c>
      <c r="G41" s="43">
        <v>347.7</v>
      </c>
      <c r="H41" s="43">
        <v>347.7</v>
      </c>
      <c r="I41" s="43">
        <v>347.7</v>
      </c>
      <c r="J41" s="43">
        <v>347.7</v>
      </c>
      <c r="K41" s="43">
        <v>347.7</v>
      </c>
      <c r="L41" s="43">
        <v>347.7</v>
      </c>
      <c r="M41" s="887"/>
      <c r="N41" s="16"/>
      <c r="O41" s="16"/>
      <c r="P41" s="16"/>
      <c r="Q41" s="16"/>
      <c r="R41" s="16"/>
    </row>
    <row r="42" spans="1:18" hidden="1" outlineLevel="1" x14ac:dyDescent="0.2">
      <c r="A42" s="22" t="s">
        <v>1226</v>
      </c>
      <c r="B42" s="2" t="str">
        <f t="shared" si="2"/>
        <v>MW</v>
      </c>
      <c r="C42" s="2" t="s">
        <v>1220</v>
      </c>
      <c r="D42" s="716">
        <f t="shared" si="3"/>
        <v>0</v>
      </c>
      <c r="E42" s="4" t="s">
        <v>11</v>
      </c>
      <c r="F42" s="43">
        <v>555</v>
      </c>
      <c r="G42" s="43">
        <v>555</v>
      </c>
      <c r="H42" s="43">
        <v>555</v>
      </c>
      <c r="I42" s="43">
        <v>555</v>
      </c>
      <c r="J42" s="43">
        <v>555</v>
      </c>
      <c r="K42" s="43">
        <v>688.6</v>
      </c>
      <c r="L42" s="43">
        <v>688.6</v>
      </c>
      <c r="M42" s="887"/>
      <c r="N42" s="16"/>
      <c r="O42" s="16"/>
      <c r="P42" s="16"/>
      <c r="Q42" s="16"/>
      <c r="R42" s="16"/>
    </row>
    <row r="43" spans="1:18" hidden="1" outlineLevel="1" x14ac:dyDescent="0.2">
      <c r="A43" s="22" t="s">
        <v>1226</v>
      </c>
      <c r="B43" s="2" t="str">
        <f t="shared" si="2"/>
        <v>MW</v>
      </c>
      <c r="C43" s="2" t="s">
        <v>1220</v>
      </c>
      <c r="D43" s="716">
        <f t="shared" si="3"/>
        <v>0</v>
      </c>
      <c r="E43" s="4" t="s">
        <v>12</v>
      </c>
      <c r="F43" s="43">
        <v>151.9</v>
      </c>
      <c r="G43" s="43">
        <v>154.5</v>
      </c>
      <c r="H43" s="43">
        <v>154.5</v>
      </c>
      <c r="I43" s="43">
        <v>181.87</v>
      </c>
      <c r="J43" s="43">
        <v>181.87</v>
      </c>
      <c r="K43" s="43">
        <v>168.05</v>
      </c>
      <c r="L43" s="43">
        <v>304.85000000000002</v>
      </c>
      <c r="M43" s="887"/>
      <c r="N43" s="16"/>
      <c r="O43" s="16"/>
      <c r="P43" s="16"/>
      <c r="Q43" s="16"/>
      <c r="R43" s="16"/>
    </row>
    <row r="44" spans="1:18" hidden="1" outlineLevel="1" x14ac:dyDescent="0.2">
      <c r="A44" s="22" t="s">
        <v>1226</v>
      </c>
      <c r="B44" s="2" t="str">
        <f t="shared" si="2"/>
        <v>MW</v>
      </c>
      <c r="C44" s="2" t="s">
        <v>1220</v>
      </c>
      <c r="D44" s="716">
        <f t="shared" si="3"/>
        <v>0</v>
      </c>
      <c r="E44" s="4" t="s">
        <v>1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887"/>
      <c r="N44" s="16"/>
      <c r="O44" s="16"/>
      <c r="P44" s="16"/>
      <c r="Q44" s="16"/>
      <c r="R44" s="16"/>
    </row>
    <row r="45" spans="1:18" hidden="1" outlineLevel="1" x14ac:dyDescent="0.2">
      <c r="A45" s="22" t="s">
        <v>1226</v>
      </c>
      <c r="B45" s="2" t="str">
        <f t="shared" si="2"/>
        <v>MW</v>
      </c>
      <c r="C45" s="2" t="s">
        <v>1220</v>
      </c>
      <c r="D45" s="716">
        <f t="shared" si="3"/>
        <v>0</v>
      </c>
      <c r="E45" s="4" t="s">
        <v>13</v>
      </c>
      <c r="F45" s="43">
        <v>0</v>
      </c>
      <c r="G45" s="43">
        <v>0</v>
      </c>
      <c r="H45" s="43">
        <v>0</v>
      </c>
      <c r="I45" s="43">
        <v>0</v>
      </c>
      <c r="J45" s="43">
        <v>0</v>
      </c>
      <c r="K45" s="43">
        <v>0</v>
      </c>
      <c r="L45" s="43">
        <v>0</v>
      </c>
      <c r="M45" s="887"/>
      <c r="N45" s="16"/>
      <c r="O45" s="16"/>
      <c r="P45" s="16"/>
      <c r="Q45" s="16"/>
      <c r="R45" s="16"/>
    </row>
    <row r="46" spans="1:18" hidden="1" outlineLevel="1" x14ac:dyDescent="0.2">
      <c r="A46" s="22" t="s">
        <v>1226</v>
      </c>
      <c r="B46" s="2" t="str">
        <f t="shared" si="2"/>
        <v>MW</v>
      </c>
      <c r="C46" s="2" t="s">
        <v>1220</v>
      </c>
      <c r="D46" s="716">
        <f t="shared" si="3"/>
        <v>0</v>
      </c>
      <c r="E46" s="4" t="s">
        <v>14</v>
      </c>
      <c r="F46" s="43">
        <v>0</v>
      </c>
      <c r="G46" s="43">
        <v>0</v>
      </c>
      <c r="H46" s="43">
        <v>0</v>
      </c>
      <c r="I46" s="43">
        <v>0</v>
      </c>
      <c r="J46" s="43">
        <v>0</v>
      </c>
      <c r="K46" s="43">
        <v>0</v>
      </c>
      <c r="L46" s="43">
        <v>0</v>
      </c>
      <c r="M46" s="887"/>
      <c r="N46" s="16"/>
      <c r="O46" s="16"/>
      <c r="P46" s="16"/>
      <c r="Q46" s="16"/>
      <c r="R46" s="16"/>
    </row>
    <row r="47" spans="1:18" hidden="1" outlineLevel="1" x14ac:dyDescent="0.2">
      <c r="A47" s="22" t="s">
        <v>1226</v>
      </c>
      <c r="B47" s="2" t="str">
        <f t="shared" si="2"/>
        <v>MW</v>
      </c>
      <c r="C47" s="2" t="s">
        <v>1220</v>
      </c>
      <c r="D47" s="716">
        <f t="shared" si="3"/>
        <v>0</v>
      </c>
      <c r="E47" s="4" t="s">
        <v>15</v>
      </c>
      <c r="F47" s="43">
        <v>0</v>
      </c>
      <c r="G47" s="43">
        <v>0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887"/>
      <c r="N47" s="16"/>
      <c r="O47" s="16"/>
      <c r="P47" s="16"/>
      <c r="Q47" s="16"/>
      <c r="R47" s="16"/>
    </row>
    <row r="48" spans="1:18" hidden="1" outlineLevel="1" x14ac:dyDescent="0.2">
      <c r="A48" s="22" t="s">
        <v>1226</v>
      </c>
      <c r="B48" s="2" t="str">
        <f t="shared" si="2"/>
        <v>MW</v>
      </c>
      <c r="C48" s="2" t="s">
        <v>1220</v>
      </c>
      <c r="D48" s="716">
        <f t="shared" si="3"/>
        <v>0</v>
      </c>
      <c r="E48" s="4" t="s">
        <v>16</v>
      </c>
      <c r="F48" s="43">
        <v>69.5</v>
      </c>
      <c r="G48" s="43">
        <v>72.5</v>
      </c>
      <c r="H48" s="43">
        <v>72.5</v>
      </c>
      <c r="I48" s="43">
        <v>72.5</v>
      </c>
      <c r="J48" s="43">
        <v>72.5</v>
      </c>
      <c r="K48" s="43">
        <v>72.5</v>
      </c>
      <c r="L48" s="43">
        <v>72.5</v>
      </c>
      <c r="M48" s="887"/>
      <c r="N48" s="16"/>
      <c r="O48" s="16"/>
      <c r="P48" s="16"/>
      <c r="Q48" s="16"/>
      <c r="R48" s="16"/>
    </row>
    <row r="49" spans="1:18" hidden="1" outlineLevel="1" x14ac:dyDescent="0.2">
      <c r="A49" s="22" t="s">
        <v>1226</v>
      </c>
      <c r="B49" s="2" t="str">
        <f t="shared" si="2"/>
        <v>MW</v>
      </c>
      <c r="C49" s="2" t="s">
        <v>1220</v>
      </c>
      <c r="D49" s="716">
        <f t="shared" si="3"/>
        <v>0</v>
      </c>
      <c r="E49" s="4" t="s">
        <v>17</v>
      </c>
      <c r="F49" s="43">
        <v>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887"/>
      <c r="N49" s="16"/>
      <c r="O49" s="16"/>
      <c r="P49" s="16"/>
      <c r="Q49" s="16"/>
      <c r="R49" s="16"/>
    </row>
    <row r="50" spans="1:18" hidden="1" outlineLevel="1" x14ac:dyDescent="0.2">
      <c r="A50" s="22" t="s">
        <v>1226</v>
      </c>
      <c r="B50" s="2" t="str">
        <f t="shared" si="2"/>
        <v>MW</v>
      </c>
      <c r="C50" s="2" t="s">
        <v>1220</v>
      </c>
      <c r="D50" s="716">
        <f t="shared" si="3"/>
        <v>0</v>
      </c>
      <c r="E50" s="4" t="s">
        <v>18</v>
      </c>
      <c r="F50" s="43">
        <v>22471.044431269536</v>
      </c>
      <c r="G50" s="43">
        <v>25066.890415644499</v>
      </c>
      <c r="H50" s="43">
        <v>25429.006406877623</v>
      </c>
      <c r="I50" s="43">
        <v>26384.626448027269</v>
      </c>
      <c r="J50" s="43">
        <v>26886.002246036878</v>
      </c>
      <c r="K50" s="43">
        <v>26690.722885229774</v>
      </c>
      <c r="L50" s="43">
        <v>27430.195022870772</v>
      </c>
      <c r="M50" s="887"/>
      <c r="N50" s="16"/>
      <c r="O50" s="16"/>
      <c r="P50" s="16"/>
      <c r="Q50" s="16"/>
      <c r="R50" s="16"/>
    </row>
    <row r="51" spans="1:18" hidden="1" outlineLevel="1" x14ac:dyDescent="0.2">
      <c r="A51" s="22" t="s">
        <v>1226</v>
      </c>
      <c r="B51" s="2" t="str">
        <f t="shared" si="2"/>
        <v>MW</v>
      </c>
      <c r="C51" s="2" t="s">
        <v>1220</v>
      </c>
      <c r="D51" s="716">
        <f t="shared" si="3"/>
        <v>0</v>
      </c>
      <c r="E51" s="4" t="s">
        <v>2</v>
      </c>
      <c r="F51" s="43">
        <v>0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887"/>
      <c r="N51" s="16"/>
      <c r="O51" s="16"/>
      <c r="P51" s="16"/>
      <c r="Q51" s="16"/>
      <c r="R51" s="16"/>
    </row>
    <row r="52" spans="1:18" hidden="1" outlineLevel="1" x14ac:dyDescent="0.2">
      <c r="A52" s="22" t="s">
        <v>1226</v>
      </c>
      <c r="B52" s="2" t="str">
        <f t="shared" si="2"/>
        <v>MW</v>
      </c>
      <c r="C52" s="2" t="s">
        <v>1220</v>
      </c>
      <c r="D52" s="716">
        <f t="shared" si="3"/>
        <v>0</v>
      </c>
      <c r="E52" s="4" t="s">
        <v>19</v>
      </c>
      <c r="F52" s="43">
        <v>0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887"/>
      <c r="N52" s="16"/>
      <c r="O52" s="16"/>
      <c r="P52" s="16"/>
      <c r="Q52" s="16"/>
      <c r="R52" s="16"/>
    </row>
    <row r="53" spans="1:18" hidden="1" outlineLevel="1" x14ac:dyDescent="0.2">
      <c r="A53" s="22" t="s">
        <v>1226</v>
      </c>
      <c r="B53" s="2" t="str">
        <f t="shared" si="2"/>
        <v>MW</v>
      </c>
      <c r="C53" s="2" t="s">
        <v>1220</v>
      </c>
      <c r="D53" s="716">
        <f t="shared" si="3"/>
        <v>0</v>
      </c>
      <c r="E53" s="4" t="s">
        <v>3</v>
      </c>
      <c r="F53" s="43">
        <v>0</v>
      </c>
      <c r="G53" s="43">
        <v>0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887"/>
      <c r="N53" s="16"/>
      <c r="O53" s="16"/>
      <c r="P53" s="16"/>
      <c r="Q53" s="16"/>
      <c r="R53" s="16"/>
    </row>
    <row r="54" spans="1:18" hidden="1" outlineLevel="1" x14ac:dyDescent="0.2">
      <c r="A54" s="22" t="s">
        <v>1226</v>
      </c>
      <c r="B54" s="2" t="str">
        <f t="shared" si="2"/>
        <v>MW</v>
      </c>
      <c r="C54" s="2" t="s">
        <v>1220</v>
      </c>
      <c r="D54" s="716">
        <f t="shared" si="3"/>
        <v>0</v>
      </c>
      <c r="E54" s="4" t="s">
        <v>20</v>
      </c>
      <c r="F54" s="43">
        <v>684.89</v>
      </c>
      <c r="G54" s="43">
        <v>1048.4299999999998</v>
      </c>
      <c r="H54" s="43">
        <v>1117.5339999999999</v>
      </c>
      <c r="I54" s="43">
        <v>1582.1989999999998</v>
      </c>
      <c r="J54" s="43">
        <v>2065.5029999999997</v>
      </c>
      <c r="K54" s="43">
        <v>2065.5029999999997</v>
      </c>
      <c r="L54" s="43">
        <v>2615.7029999999995</v>
      </c>
      <c r="M54" s="887"/>
      <c r="N54" s="16"/>
      <c r="O54" s="16"/>
      <c r="P54" s="16"/>
      <c r="Q54" s="16"/>
      <c r="R54" s="16"/>
    </row>
    <row r="55" spans="1:18" hidden="1" outlineLevel="1" x14ac:dyDescent="0.2">
      <c r="A55" s="22" t="s">
        <v>1226</v>
      </c>
      <c r="B55" s="2" t="str">
        <f t="shared" si="2"/>
        <v>MW</v>
      </c>
      <c r="C55" s="2" t="s">
        <v>1220</v>
      </c>
      <c r="D55" s="716">
        <f t="shared" si="3"/>
        <v>0</v>
      </c>
      <c r="E55" s="4" t="s">
        <v>21</v>
      </c>
      <c r="F55" s="43">
        <v>0</v>
      </c>
      <c r="G55" s="43">
        <v>0</v>
      </c>
      <c r="H55" s="43">
        <v>0</v>
      </c>
      <c r="I55" s="43">
        <v>0</v>
      </c>
      <c r="J55" s="43">
        <v>0</v>
      </c>
      <c r="K55" s="43">
        <v>0</v>
      </c>
      <c r="L55" s="43">
        <v>0</v>
      </c>
      <c r="M55" s="887"/>
      <c r="N55" s="16"/>
      <c r="O55" s="16"/>
      <c r="P55" s="16"/>
      <c r="Q55" s="16"/>
      <c r="R55" s="16"/>
    </row>
    <row r="56" spans="1:18" hidden="1" outlineLevel="1" x14ac:dyDescent="0.2">
      <c r="A56" s="22" t="s">
        <v>1226</v>
      </c>
      <c r="B56" s="2" t="str">
        <f t="shared" si="2"/>
        <v>MW</v>
      </c>
      <c r="C56" s="2" t="s">
        <v>1220</v>
      </c>
      <c r="D56" s="716">
        <f t="shared" si="3"/>
        <v>0</v>
      </c>
      <c r="E56" s="4" t="s">
        <v>1096</v>
      </c>
      <c r="F56" s="43">
        <v>3439</v>
      </c>
      <c r="G56" s="43">
        <v>3647</v>
      </c>
      <c r="H56" s="43">
        <v>3647</v>
      </c>
      <c r="I56" s="43">
        <v>3647</v>
      </c>
      <c r="J56" s="43">
        <v>3575</v>
      </c>
      <c r="K56" s="43">
        <v>3549.82</v>
      </c>
      <c r="L56" s="43">
        <v>4232.3999999999996</v>
      </c>
      <c r="M56" s="887"/>
      <c r="N56" s="16"/>
      <c r="O56" s="16"/>
      <c r="P56" s="16"/>
      <c r="Q56" s="16"/>
      <c r="R56" s="16"/>
    </row>
    <row r="57" spans="1:18" hidden="1" outlineLevel="1" x14ac:dyDescent="0.2">
      <c r="A57" s="22" t="s">
        <v>1226</v>
      </c>
      <c r="B57" s="2" t="str">
        <f t="shared" si="2"/>
        <v>MW</v>
      </c>
      <c r="C57" s="2" t="s">
        <v>1220</v>
      </c>
      <c r="D57" s="716">
        <f t="shared" si="3"/>
        <v>0</v>
      </c>
      <c r="E57" s="4" t="s">
        <v>22</v>
      </c>
      <c r="F57" s="43">
        <v>0</v>
      </c>
      <c r="G57" s="43">
        <v>0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887"/>
      <c r="N57" s="16"/>
      <c r="O57" s="16"/>
      <c r="P57" s="16"/>
      <c r="Q57" s="16"/>
      <c r="R57" s="16"/>
    </row>
    <row r="58" spans="1:18" hidden="1" outlineLevel="1" x14ac:dyDescent="0.2">
      <c r="A58" s="22" t="s">
        <v>1226</v>
      </c>
      <c r="B58" s="2" t="str">
        <f t="shared" si="2"/>
        <v>MW</v>
      </c>
      <c r="C58" s="2" t="s">
        <v>1220</v>
      </c>
      <c r="D58" s="717">
        <f t="shared" si="3"/>
        <v>0</v>
      </c>
      <c r="E58" s="86" t="s">
        <v>23</v>
      </c>
      <c r="F58" s="374">
        <v>3805.44</v>
      </c>
      <c r="G58" s="374">
        <v>3805.44</v>
      </c>
      <c r="H58" s="374">
        <v>4107.3599999999997</v>
      </c>
      <c r="I58" s="374">
        <v>4368.4799999999996</v>
      </c>
      <c r="J58" s="374">
        <v>4911.3599999999997</v>
      </c>
      <c r="K58" s="374">
        <v>5319.84</v>
      </c>
      <c r="L58" s="374">
        <v>6179.5199999999995</v>
      </c>
      <c r="M58" s="918"/>
      <c r="N58" s="16"/>
      <c r="O58" s="16"/>
      <c r="P58" s="16"/>
      <c r="Q58" s="16"/>
      <c r="R58" s="16"/>
    </row>
    <row r="59" spans="1:18" hidden="1" outlineLevel="1" x14ac:dyDescent="0.2">
      <c r="A59" s="532" t="s">
        <v>1226</v>
      </c>
      <c r="B59" s="533" t="str">
        <f t="shared" si="2"/>
        <v>MW</v>
      </c>
      <c r="C59" s="533" t="s">
        <v>1221</v>
      </c>
      <c r="D59" s="718">
        <f t="shared" si="3"/>
        <v>0</v>
      </c>
      <c r="E59" s="468" t="s">
        <v>4</v>
      </c>
      <c r="F59" s="534">
        <v>324.22699999999998</v>
      </c>
      <c r="G59" s="534">
        <v>376.08699999999999</v>
      </c>
      <c r="H59" s="534">
        <v>666.60500000000002</v>
      </c>
      <c r="I59" s="534">
        <v>732.73699999999997</v>
      </c>
      <c r="J59" s="534">
        <v>881.577</v>
      </c>
      <c r="K59" s="534">
        <v>1096.307</v>
      </c>
      <c r="L59" s="534">
        <v>1096.307</v>
      </c>
      <c r="M59" s="888"/>
      <c r="N59" s="16"/>
      <c r="O59" s="16"/>
      <c r="P59" s="16"/>
      <c r="Q59" s="16"/>
      <c r="R59" s="16"/>
    </row>
    <row r="60" spans="1:18" hidden="1" outlineLevel="1" x14ac:dyDescent="0.2">
      <c r="A60" s="22" t="s">
        <v>1226</v>
      </c>
      <c r="B60" s="2" t="str">
        <f t="shared" si="2"/>
        <v>MW</v>
      </c>
      <c r="C60" s="2" t="s">
        <v>1221</v>
      </c>
      <c r="D60" s="716">
        <f t="shared" si="3"/>
        <v>0</v>
      </c>
      <c r="E60" s="4" t="s">
        <v>5</v>
      </c>
      <c r="F60" s="43">
        <v>0</v>
      </c>
      <c r="G60" s="43">
        <v>0</v>
      </c>
      <c r="H60" s="43">
        <v>0</v>
      </c>
      <c r="I60" s="43">
        <v>450</v>
      </c>
      <c r="J60" s="43">
        <v>450</v>
      </c>
      <c r="K60" s="43">
        <v>575</v>
      </c>
      <c r="L60" s="43">
        <v>575</v>
      </c>
      <c r="M60" s="887"/>
      <c r="N60" s="16"/>
      <c r="O60" s="16"/>
      <c r="P60" s="16"/>
      <c r="Q60" s="16"/>
      <c r="R60" s="16"/>
    </row>
    <row r="61" spans="1:18" hidden="1" outlineLevel="1" x14ac:dyDescent="0.2">
      <c r="A61" s="22" t="s">
        <v>1226</v>
      </c>
      <c r="B61" s="2" t="str">
        <f t="shared" si="2"/>
        <v>MW</v>
      </c>
      <c r="C61" s="2" t="s">
        <v>1221</v>
      </c>
      <c r="D61" s="716">
        <f t="shared" si="3"/>
        <v>0</v>
      </c>
      <c r="E61" s="4" t="s">
        <v>6</v>
      </c>
      <c r="F61" s="43">
        <v>239.1</v>
      </c>
      <c r="G61" s="43">
        <v>239.1</v>
      </c>
      <c r="H61" s="43">
        <v>239.1</v>
      </c>
      <c r="I61" s="43">
        <v>239.1</v>
      </c>
      <c r="J61" s="43">
        <v>239.1</v>
      </c>
      <c r="K61" s="43">
        <v>239.1</v>
      </c>
      <c r="L61" s="43">
        <v>239.1</v>
      </c>
      <c r="M61" s="887"/>
      <c r="N61" s="16"/>
      <c r="O61" s="16"/>
      <c r="P61" s="16"/>
      <c r="Q61" s="16"/>
      <c r="R61" s="16"/>
    </row>
    <row r="62" spans="1:18" hidden="1" outlineLevel="1" x14ac:dyDescent="0.2">
      <c r="A62" s="22" t="s">
        <v>1226</v>
      </c>
      <c r="B62" s="2" t="str">
        <f t="shared" si="2"/>
        <v>MW</v>
      </c>
      <c r="C62" s="2" t="s">
        <v>1221</v>
      </c>
      <c r="D62" s="716">
        <f t="shared" si="3"/>
        <v>0</v>
      </c>
      <c r="E62" s="4" t="s">
        <v>143</v>
      </c>
      <c r="F62" s="43">
        <v>36.9</v>
      </c>
      <c r="G62" s="43">
        <v>36.200000000000003</v>
      </c>
      <c r="H62" s="43">
        <v>37</v>
      </c>
      <c r="I62" s="43">
        <v>56.2</v>
      </c>
      <c r="J62" s="43">
        <v>54.8</v>
      </c>
      <c r="K62" s="43">
        <v>50.8</v>
      </c>
      <c r="L62" s="43">
        <v>50.8</v>
      </c>
      <c r="M62" s="887"/>
      <c r="N62" s="16"/>
      <c r="O62" s="16"/>
      <c r="P62" s="16"/>
      <c r="Q62" s="16"/>
      <c r="R62" s="16"/>
    </row>
    <row r="63" spans="1:18" hidden="1" outlineLevel="1" x14ac:dyDescent="0.2">
      <c r="A63" s="22" t="s">
        <v>1226</v>
      </c>
      <c r="B63" s="2" t="str">
        <f t="shared" si="2"/>
        <v>MW</v>
      </c>
      <c r="C63" s="2" t="s">
        <v>1221</v>
      </c>
      <c r="D63" s="716">
        <f t="shared" si="3"/>
        <v>0</v>
      </c>
      <c r="E63" s="4" t="s">
        <v>7</v>
      </c>
      <c r="F63" s="43">
        <v>57.3</v>
      </c>
      <c r="G63" s="43">
        <v>64.699999999999989</v>
      </c>
      <c r="H63" s="43">
        <v>59.300000000000004</v>
      </c>
      <c r="I63" s="43">
        <v>74.100000000000009</v>
      </c>
      <c r="J63" s="43">
        <v>63.800000000000004</v>
      </c>
      <c r="K63" s="43">
        <v>82.000000000000014</v>
      </c>
      <c r="L63" s="43">
        <v>82.000000000000014</v>
      </c>
      <c r="M63" s="887"/>
      <c r="N63" s="16"/>
      <c r="O63" s="16"/>
      <c r="P63" s="16"/>
      <c r="Q63" s="16"/>
      <c r="R63" s="16"/>
    </row>
    <row r="64" spans="1:18" hidden="1" outlineLevel="1" x14ac:dyDescent="0.2">
      <c r="A64" s="22" t="s">
        <v>1226</v>
      </c>
      <c r="B64" s="2" t="str">
        <f t="shared" si="2"/>
        <v>MW</v>
      </c>
      <c r="C64" s="2" t="s">
        <v>1221</v>
      </c>
      <c r="D64" s="716">
        <f t="shared" si="3"/>
        <v>0</v>
      </c>
      <c r="E64" s="4" t="s">
        <v>31</v>
      </c>
      <c r="F64" s="43">
        <v>4995.3637500000004</v>
      </c>
      <c r="G64" s="43">
        <v>5021.4450000000006</v>
      </c>
      <c r="H64" s="43">
        <v>5266.2</v>
      </c>
      <c r="I64" s="43">
        <v>5902</v>
      </c>
      <c r="J64" s="43">
        <v>7370</v>
      </c>
      <c r="K64" s="43">
        <v>7267</v>
      </c>
      <c r="L64" s="43">
        <v>10767.6</v>
      </c>
      <c r="M64" s="887"/>
      <c r="N64" s="16"/>
      <c r="O64" s="16"/>
      <c r="P64" s="16"/>
      <c r="Q64" s="16"/>
      <c r="R64" s="16"/>
    </row>
    <row r="65" spans="1:18" hidden="1" outlineLevel="1" x14ac:dyDescent="0.2">
      <c r="A65" s="22" t="s">
        <v>1226</v>
      </c>
      <c r="B65" s="2" t="str">
        <f t="shared" si="2"/>
        <v>MW</v>
      </c>
      <c r="C65" s="2" t="s">
        <v>1221</v>
      </c>
      <c r="D65" s="716">
        <f t="shared" si="3"/>
        <v>0</v>
      </c>
      <c r="E65" s="4" t="s">
        <v>8</v>
      </c>
      <c r="F65" s="43">
        <v>661.75740500000006</v>
      </c>
      <c r="G65" s="43">
        <v>913.79740500000014</v>
      </c>
      <c r="H65" s="43">
        <v>1105.4974050000001</v>
      </c>
      <c r="I65" s="43">
        <v>2409.1432049999999</v>
      </c>
      <c r="J65" s="43">
        <v>2555.020305</v>
      </c>
      <c r="K65" s="43">
        <v>2596.6583049999999</v>
      </c>
      <c r="L65" s="43">
        <v>2836.6583049999999</v>
      </c>
      <c r="M65" s="887"/>
      <c r="N65" s="16"/>
      <c r="O65" s="16"/>
      <c r="P65" s="16"/>
      <c r="Q65" s="16"/>
      <c r="R65" s="16"/>
    </row>
    <row r="66" spans="1:18" hidden="1" outlineLevel="1" x14ac:dyDescent="0.2">
      <c r="A66" s="22" t="s">
        <v>1226</v>
      </c>
      <c r="B66" s="2" t="str">
        <f t="shared" si="2"/>
        <v>MW</v>
      </c>
      <c r="C66" s="2" t="s">
        <v>1221</v>
      </c>
      <c r="D66" s="716">
        <f t="shared" si="3"/>
        <v>0</v>
      </c>
      <c r="E66" s="4" t="s">
        <v>9</v>
      </c>
      <c r="F66" s="43">
        <v>0</v>
      </c>
      <c r="G66" s="43">
        <v>0</v>
      </c>
      <c r="H66" s="43">
        <v>619</v>
      </c>
      <c r="I66" s="43">
        <v>621</v>
      </c>
      <c r="J66" s="43">
        <v>621</v>
      </c>
      <c r="K66" s="43">
        <v>972</v>
      </c>
      <c r="L66" s="43">
        <v>1031</v>
      </c>
      <c r="M66" s="887"/>
      <c r="N66" s="16"/>
      <c r="O66" s="16"/>
      <c r="P66" s="16"/>
      <c r="Q66" s="16"/>
      <c r="R66" s="16"/>
    </row>
    <row r="67" spans="1:18" hidden="1" outlineLevel="1" x14ac:dyDescent="0.2">
      <c r="A67" s="22" t="s">
        <v>1226</v>
      </c>
      <c r="B67" s="2" t="str">
        <f t="shared" si="2"/>
        <v>MW</v>
      </c>
      <c r="C67" s="2" t="s">
        <v>1221</v>
      </c>
      <c r="D67" s="716">
        <f t="shared" si="3"/>
        <v>0</v>
      </c>
      <c r="E67" s="4" t="s">
        <v>10</v>
      </c>
      <c r="F67" s="43">
        <v>65.16900000000004</v>
      </c>
      <c r="G67" s="43">
        <v>65.16900000000004</v>
      </c>
      <c r="H67" s="43">
        <v>244.21700000000004</v>
      </c>
      <c r="I67" s="43">
        <v>244.21700000000004</v>
      </c>
      <c r="J67" s="43">
        <v>446.61700000000002</v>
      </c>
      <c r="K67" s="43">
        <v>264.90100000000001</v>
      </c>
      <c r="L67" s="43">
        <v>274.089</v>
      </c>
      <c r="M67" s="887"/>
      <c r="N67" s="16"/>
      <c r="O67" s="16"/>
      <c r="P67" s="16"/>
      <c r="Q67" s="16"/>
      <c r="R67" s="16"/>
    </row>
    <row r="68" spans="1:18" hidden="1" outlineLevel="1" x14ac:dyDescent="0.2">
      <c r="A68" s="22" t="s">
        <v>1226</v>
      </c>
      <c r="B68" s="2" t="str">
        <f t="shared" si="2"/>
        <v>MW</v>
      </c>
      <c r="C68" s="2" t="s">
        <v>1221</v>
      </c>
      <c r="D68" s="716">
        <f t="shared" si="3"/>
        <v>0</v>
      </c>
      <c r="E68" s="4" t="s">
        <v>11</v>
      </c>
      <c r="F68" s="43">
        <v>2056.1999999999998</v>
      </c>
      <c r="G68" s="43">
        <v>2056.1999999999998</v>
      </c>
      <c r="H68" s="43">
        <v>1805.1</v>
      </c>
      <c r="I68" s="43">
        <v>1798.9</v>
      </c>
      <c r="J68" s="43">
        <v>1795.8000000000002</v>
      </c>
      <c r="K68" s="43">
        <v>1799.87</v>
      </c>
      <c r="L68" s="43">
        <v>1799.87</v>
      </c>
      <c r="M68" s="887"/>
      <c r="N68" s="16"/>
      <c r="O68" s="16"/>
      <c r="P68" s="16"/>
      <c r="Q68" s="16"/>
      <c r="R68" s="16"/>
    </row>
    <row r="69" spans="1:18" hidden="1" outlineLevel="1" x14ac:dyDescent="0.2">
      <c r="A69" s="22" t="s">
        <v>1226</v>
      </c>
      <c r="B69" s="2" t="str">
        <f t="shared" si="2"/>
        <v>MW</v>
      </c>
      <c r="C69" s="2" t="s">
        <v>1221</v>
      </c>
      <c r="D69" s="716">
        <f t="shared" si="3"/>
        <v>0</v>
      </c>
      <c r="E69" s="4" t="s">
        <v>12</v>
      </c>
      <c r="F69" s="43">
        <v>1884.75</v>
      </c>
      <c r="G69" s="43">
        <v>2015.41</v>
      </c>
      <c r="H69" s="43">
        <v>2037.3399999999997</v>
      </c>
      <c r="I69" s="43">
        <v>2308.8500000000004</v>
      </c>
      <c r="J69" s="43">
        <v>2418.8900000000003</v>
      </c>
      <c r="K69" s="43">
        <v>2453.39</v>
      </c>
      <c r="L69" s="43">
        <v>2564.94</v>
      </c>
      <c r="M69" s="887"/>
      <c r="N69" s="16"/>
      <c r="O69" s="16"/>
      <c r="P69" s="16"/>
      <c r="Q69" s="16"/>
      <c r="R69" s="16"/>
    </row>
    <row r="70" spans="1:18" hidden="1" outlineLevel="1" x14ac:dyDescent="0.2">
      <c r="A70" s="22" t="s">
        <v>1226</v>
      </c>
      <c r="B70" s="2" t="str">
        <f t="shared" si="2"/>
        <v>MW</v>
      </c>
      <c r="C70" s="2" t="s">
        <v>1221</v>
      </c>
      <c r="D70" s="716">
        <f t="shared" si="3"/>
        <v>0</v>
      </c>
      <c r="E70" s="4" t="s">
        <v>1</v>
      </c>
      <c r="F70" s="43">
        <v>603.50000000000011</v>
      </c>
      <c r="G70" s="43">
        <v>635.40000000000009</v>
      </c>
      <c r="H70" s="43">
        <v>642.20000000000005</v>
      </c>
      <c r="I70" s="43">
        <v>691.2</v>
      </c>
      <c r="J70" s="43">
        <v>691.2</v>
      </c>
      <c r="K70" s="43">
        <v>696.7</v>
      </c>
      <c r="L70" s="43">
        <v>696.7</v>
      </c>
      <c r="M70" s="887"/>
      <c r="N70" s="16"/>
      <c r="O70" s="16"/>
      <c r="P70" s="16"/>
      <c r="Q70" s="16"/>
      <c r="R70" s="16"/>
    </row>
    <row r="71" spans="1:18" hidden="1" outlineLevel="1" x14ac:dyDescent="0.2">
      <c r="A71" s="22" t="s">
        <v>1226</v>
      </c>
      <c r="B71" s="2" t="str">
        <f t="shared" si="2"/>
        <v>MW</v>
      </c>
      <c r="C71" s="2" t="s">
        <v>1221</v>
      </c>
      <c r="D71" s="716">
        <f t="shared" si="3"/>
        <v>0</v>
      </c>
      <c r="E71" s="4" t="s">
        <v>13</v>
      </c>
      <c r="F71" s="43">
        <v>1137.1179999999999</v>
      </c>
      <c r="G71" s="43">
        <v>1152.8620000000001</v>
      </c>
      <c r="H71" s="43">
        <v>1213.1619999999998</v>
      </c>
      <c r="I71" s="43">
        <v>1213.1619999999998</v>
      </c>
      <c r="J71" s="43">
        <v>1213.1619999999998</v>
      </c>
      <c r="K71" s="43">
        <v>1213.1619999999998</v>
      </c>
      <c r="L71" s="43">
        <v>1213.1619999999998</v>
      </c>
      <c r="M71" s="887"/>
      <c r="N71" s="16"/>
      <c r="O71" s="16"/>
      <c r="P71" s="16"/>
      <c r="Q71" s="16"/>
      <c r="R71" s="16"/>
    </row>
    <row r="72" spans="1:18" hidden="1" outlineLevel="1" x14ac:dyDescent="0.2">
      <c r="A72" s="22" t="s">
        <v>1226</v>
      </c>
      <c r="B72" s="2" t="str">
        <f t="shared" ref="B72:B135" si="4">IF(A72="Capacity", "MW", "GWh")</f>
        <v>MW</v>
      </c>
      <c r="C72" s="2" t="s">
        <v>1221</v>
      </c>
      <c r="D72" s="716">
        <f t="shared" si="3"/>
        <v>0</v>
      </c>
      <c r="E72" s="4" t="s">
        <v>14</v>
      </c>
      <c r="F72" s="43">
        <v>133.66</v>
      </c>
      <c r="G72" s="43">
        <v>131.94999999999999</v>
      </c>
      <c r="H72" s="43">
        <v>147.52000000000001</v>
      </c>
      <c r="I72" s="43">
        <v>160.32</v>
      </c>
      <c r="J72" s="43">
        <v>158.4</v>
      </c>
      <c r="K72" s="43">
        <v>205.7</v>
      </c>
      <c r="L72" s="43">
        <v>158.4</v>
      </c>
      <c r="M72" s="887"/>
      <c r="N72" s="16"/>
      <c r="O72" s="16"/>
      <c r="P72" s="16"/>
      <c r="Q72" s="16"/>
      <c r="R72" s="16"/>
    </row>
    <row r="73" spans="1:18" hidden="1" outlineLevel="1" x14ac:dyDescent="0.2">
      <c r="A73" s="22" t="s">
        <v>1226</v>
      </c>
      <c r="B73" s="2" t="str">
        <f t="shared" si="4"/>
        <v>MW</v>
      </c>
      <c r="C73" s="2" t="s">
        <v>1221</v>
      </c>
      <c r="D73" s="716">
        <f t="shared" si="3"/>
        <v>0</v>
      </c>
      <c r="E73" s="4" t="s">
        <v>15</v>
      </c>
      <c r="F73" s="43">
        <v>0</v>
      </c>
      <c r="G73" s="43">
        <v>0</v>
      </c>
      <c r="H73" s="43">
        <v>0</v>
      </c>
      <c r="I73" s="43">
        <v>0</v>
      </c>
      <c r="J73" s="43">
        <v>0</v>
      </c>
      <c r="K73" s="43">
        <v>71.2</v>
      </c>
      <c r="L73" s="43">
        <v>186</v>
      </c>
      <c r="M73" s="887"/>
      <c r="N73" s="16"/>
      <c r="O73" s="16"/>
      <c r="P73" s="16"/>
      <c r="Q73" s="16"/>
      <c r="R73" s="16"/>
    </row>
    <row r="74" spans="1:18" hidden="1" outlineLevel="1" x14ac:dyDescent="0.2">
      <c r="A74" s="22" t="s">
        <v>1226</v>
      </c>
      <c r="B74" s="2" t="str">
        <f t="shared" si="4"/>
        <v>MW</v>
      </c>
      <c r="C74" s="2" t="s">
        <v>1221</v>
      </c>
      <c r="D74" s="716">
        <f t="shared" si="3"/>
        <v>0</v>
      </c>
      <c r="E74" s="4" t="s">
        <v>16</v>
      </c>
      <c r="F74" s="43">
        <v>908.4</v>
      </c>
      <c r="G74" s="43">
        <v>908.4</v>
      </c>
      <c r="H74" s="43">
        <v>912.8</v>
      </c>
      <c r="I74" s="43">
        <v>912</v>
      </c>
      <c r="J74" s="43">
        <v>912</v>
      </c>
      <c r="K74" s="43">
        <v>911.5</v>
      </c>
      <c r="L74" s="43">
        <v>911.9</v>
      </c>
      <c r="M74" s="887"/>
      <c r="N74" s="16"/>
      <c r="O74" s="16"/>
      <c r="P74" s="16"/>
      <c r="Q74" s="16"/>
      <c r="R74" s="16"/>
    </row>
    <row r="75" spans="1:18" hidden="1" outlineLevel="1" x14ac:dyDescent="0.2">
      <c r="A75" s="22" t="s">
        <v>1226</v>
      </c>
      <c r="B75" s="2" t="str">
        <f t="shared" si="4"/>
        <v>MW</v>
      </c>
      <c r="C75" s="2" t="s">
        <v>1221</v>
      </c>
      <c r="D75" s="716">
        <f t="shared" ref="D75:D138" si="5">IF(C75="","",IF(OR(C75="Wind",C75="Solar",C75="Geothermal",C75="Small Hydro",C75="Biofuels",C75="Biomass &amp; Waste"), 1, 0))</f>
        <v>0</v>
      </c>
      <c r="E75" s="4" t="s">
        <v>17</v>
      </c>
      <c r="F75" s="43">
        <v>796.16</v>
      </c>
      <c r="G75" s="43">
        <v>796.16</v>
      </c>
      <c r="H75" s="43">
        <v>796.16</v>
      </c>
      <c r="I75" s="43">
        <v>796.16</v>
      </c>
      <c r="J75" s="43">
        <v>808.16</v>
      </c>
      <c r="K75" s="43">
        <v>808.16</v>
      </c>
      <c r="L75" s="43">
        <v>873.66</v>
      </c>
      <c r="M75" s="887"/>
      <c r="N75" s="16"/>
      <c r="O75" s="16"/>
      <c r="P75" s="16"/>
      <c r="Q75" s="16"/>
      <c r="R75" s="16"/>
    </row>
    <row r="76" spans="1:18" hidden="1" outlineLevel="1" x14ac:dyDescent="0.2">
      <c r="A76" s="22" t="s">
        <v>1226</v>
      </c>
      <c r="B76" s="2" t="str">
        <f t="shared" si="4"/>
        <v>MW</v>
      </c>
      <c r="C76" s="2" t="s">
        <v>1221</v>
      </c>
      <c r="D76" s="716">
        <f t="shared" si="5"/>
        <v>0</v>
      </c>
      <c r="E76" s="4" t="s">
        <v>18</v>
      </c>
      <c r="F76" s="43">
        <v>16347.316818730462</v>
      </c>
      <c r="G76" s="43">
        <v>16338.975834355502</v>
      </c>
      <c r="H76" s="43">
        <v>16441.463843122379</v>
      </c>
      <c r="I76" s="43">
        <v>16536.00880197273</v>
      </c>
      <c r="J76" s="43">
        <v>17246.416979549063</v>
      </c>
      <c r="K76" s="43">
        <v>17332.728364770228</v>
      </c>
      <c r="L76" s="43">
        <v>16720.866227129223</v>
      </c>
      <c r="M76" s="887"/>
      <c r="N76" s="16"/>
      <c r="O76" s="16"/>
      <c r="P76" s="16"/>
      <c r="Q76" s="16"/>
      <c r="R76" s="16"/>
    </row>
    <row r="77" spans="1:18" hidden="1" outlineLevel="1" x14ac:dyDescent="0.2">
      <c r="A77" s="22" t="s">
        <v>1226</v>
      </c>
      <c r="B77" s="2" t="str">
        <f t="shared" si="4"/>
        <v>MW</v>
      </c>
      <c r="C77" s="2" t="s">
        <v>1221</v>
      </c>
      <c r="D77" s="716">
        <f t="shared" si="5"/>
        <v>0</v>
      </c>
      <c r="E77" s="4" t="s">
        <v>2</v>
      </c>
      <c r="F77" s="43">
        <v>449.12</v>
      </c>
      <c r="G77" s="43">
        <v>517.12</v>
      </c>
      <c r="H77" s="43">
        <v>576.36</v>
      </c>
      <c r="I77" s="43">
        <v>627.15</v>
      </c>
      <c r="J77" s="43">
        <v>694.99</v>
      </c>
      <c r="K77" s="43">
        <v>730.69</v>
      </c>
      <c r="L77" s="43">
        <v>736.21</v>
      </c>
      <c r="M77" s="887"/>
      <c r="N77" s="16"/>
      <c r="O77" s="16"/>
      <c r="P77" s="16"/>
      <c r="Q77" s="16"/>
      <c r="R77" s="16"/>
    </row>
    <row r="78" spans="1:18" hidden="1" outlineLevel="1" x14ac:dyDescent="0.2">
      <c r="A78" s="22" t="s">
        <v>1226</v>
      </c>
      <c r="B78" s="2" t="str">
        <f t="shared" si="4"/>
        <v>MW</v>
      </c>
      <c r="C78" s="2" t="s">
        <v>1221</v>
      </c>
      <c r="D78" s="716">
        <f t="shared" si="5"/>
        <v>0</v>
      </c>
      <c r="E78" s="4" t="s">
        <v>19</v>
      </c>
      <c r="F78" s="43">
        <v>661.99300000000005</v>
      </c>
      <c r="G78" s="43">
        <v>702.43200000000002</v>
      </c>
      <c r="H78" s="43">
        <v>835.83199999999999</v>
      </c>
      <c r="I78" s="43">
        <v>935.83199999999999</v>
      </c>
      <c r="J78" s="43">
        <v>1051.81</v>
      </c>
      <c r="K78" s="43">
        <v>1008.02</v>
      </c>
      <c r="L78" s="43">
        <v>955.01</v>
      </c>
      <c r="M78" s="887"/>
      <c r="N78" s="16"/>
      <c r="O78" s="16"/>
      <c r="P78" s="16"/>
      <c r="Q78" s="16"/>
      <c r="R78" s="16"/>
    </row>
    <row r="79" spans="1:18" hidden="1" outlineLevel="1" x14ac:dyDescent="0.2">
      <c r="A79" s="22" t="s">
        <v>1226</v>
      </c>
      <c r="B79" s="2" t="str">
        <f t="shared" si="4"/>
        <v>MW</v>
      </c>
      <c r="C79" s="2" t="s">
        <v>1221</v>
      </c>
      <c r="D79" s="716">
        <f t="shared" si="5"/>
        <v>0</v>
      </c>
      <c r="E79" s="4" t="s">
        <v>3</v>
      </c>
      <c r="F79" s="43">
        <v>17</v>
      </c>
      <c r="G79" s="43">
        <v>17</v>
      </c>
      <c r="H79" s="43">
        <v>17</v>
      </c>
      <c r="I79" s="43">
        <v>17</v>
      </c>
      <c r="J79" s="43">
        <v>17</v>
      </c>
      <c r="K79" s="43">
        <v>17</v>
      </c>
      <c r="L79" s="43">
        <v>17</v>
      </c>
      <c r="M79" s="887"/>
      <c r="N79" s="16"/>
      <c r="O79" s="16"/>
      <c r="P79" s="16"/>
      <c r="Q79" s="16"/>
      <c r="R79" s="16"/>
    </row>
    <row r="80" spans="1:18" hidden="1" outlineLevel="1" x14ac:dyDescent="0.2">
      <c r="A80" s="22" t="s">
        <v>1226</v>
      </c>
      <c r="B80" s="2" t="str">
        <f t="shared" si="4"/>
        <v>MW</v>
      </c>
      <c r="C80" s="2" t="s">
        <v>1221</v>
      </c>
      <c r="D80" s="716">
        <f t="shared" si="5"/>
        <v>0</v>
      </c>
      <c r="E80" s="4" t="s">
        <v>20</v>
      </c>
      <c r="F80" s="43">
        <v>1343.9250000000002</v>
      </c>
      <c r="G80" s="43">
        <v>1329.7670000000003</v>
      </c>
      <c r="H80" s="43">
        <v>1362.9230000000002</v>
      </c>
      <c r="I80" s="43">
        <v>1434.9220000000005</v>
      </c>
      <c r="J80" s="43">
        <v>1417.9939999999999</v>
      </c>
      <c r="K80" s="43">
        <v>1393.9939999999999</v>
      </c>
      <c r="L80" s="43">
        <v>1374.194</v>
      </c>
      <c r="M80" s="887"/>
      <c r="N80" s="16"/>
      <c r="O80" s="16"/>
      <c r="P80" s="16"/>
      <c r="Q80" s="16"/>
      <c r="R80" s="16"/>
    </row>
    <row r="81" spans="1:18" hidden="1" outlineLevel="1" x14ac:dyDescent="0.2">
      <c r="A81" s="22" t="s">
        <v>1226</v>
      </c>
      <c r="B81" s="2" t="str">
        <f t="shared" si="4"/>
        <v>MW</v>
      </c>
      <c r="C81" s="2" t="s">
        <v>1221</v>
      </c>
      <c r="D81" s="716">
        <f t="shared" si="5"/>
        <v>0</v>
      </c>
      <c r="E81" s="4" t="s">
        <v>21</v>
      </c>
      <c r="F81" s="43">
        <v>0</v>
      </c>
      <c r="G81" s="43">
        <v>0</v>
      </c>
      <c r="H81" s="43">
        <v>0</v>
      </c>
      <c r="I81" s="43">
        <v>0</v>
      </c>
      <c r="J81" s="43">
        <v>0</v>
      </c>
      <c r="K81" s="43">
        <v>0</v>
      </c>
      <c r="L81" s="43">
        <v>0</v>
      </c>
      <c r="M81" s="887"/>
      <c r="N81" s="16"/>
      <c r="O81" s="16"/>
      <c r="P81" s="16"/>
      <c r="Q81" s="16"/>
      <c r="R81" s="16"/>
    </row>
    <row r="82" spans="1:18" hidden="1" outlineLevel="1" x14ac:dyDescent="0.2">
      <c r="A82" s="22" t="s">
        <v>1226</v>
      </c>
      <c r="B82" s="2" t="str">
        <f t="shared" si="4"/>
        <v>MW</v>
      </c>
      <c r="C82" s="2" t="s">
        <v>1221</v>
      </c>
      <c r="D82" s="716">
        <f t="shared" si="5"/>
        <v>0</v>
      </c>
      <c r="E82" s="4" t="s">
        <v>1096</v>
      </c>
      <c r="F82" s="43">
        <v>22.1</v>
      </c>
      <c r="G82" s="43">
        <v>22.1</v>
      </c>
      <c r="H82" s="43">
        <v>22.1</v>
      </c>
      <c r="I82" s="43">
        <v>86.1</v>
      </c>
      <c r="J82" s="43">
        <v>86.1</v>
      </c>
      <c r="K82" s="43">
        <v>86.1</v>
      </c>
      <c r="L82" s="43">
        <v>86.1</v>
      </c>
      <c r="M82" s="887"/>
      <c r="N82" s="16"/>
      <c r="O82" s="16"/>
      <c r="P82" s="16"/>
      <c r="Q82" s="16"/>
      <c r="R82" s="16"/>
    </row>
    <row r="83" spans="1:18" hidden="1" outlineLevel="1" x14ac:dyDescent="0.2">
      <c r="A83" s="22" t="s">
        <v>1226</v>
      </c>
      <c r="B83" s="2" t="str">
        <f t="shared" si="4"/>
        <v>MW</v>
      </c>
      <c r="C83" s="2" t="s">
        <v>1221</v>
      </c>
      <c r="D83" s="716">
        <f t="shared" si="5"/>
        <v>0</v>
      </c>
      <c r="E83" s="4" t="s">
        <v>22</v>
      </c>
      <c r="F83" s="43">
        <v>693.25</v>
      </c>
      <c r="G83" s="43">
        <v>692.25</v>
      </c>
      <c r="H83" s="43">
        <v>795.45</v>
      </c>
      <c r="I83" s="43">
        <v>876.2</v>
      </c>
      <c r="J83" s="43">
        <v>874.2</v>
      </c>
      <c r="K83" s="43">
        <v>874.2</v>
      </c>
      <c r="L83" s="43">
        <v>1024.2</v>
      </c>
      <c r="M83" s="887"/>
      <c r="N83" s="16"/>
      <c r="O83" s="16"/>
      <c r="P83" s="16"/>
      <c r="Q83" s="16"/>
      <c r="R83" s="16"/>
    </row>
    <row r="84" spans="1:18" hidden="1" outlineLevel="1" x14ac:dyDescent="0.2">
      <c r="A84" s="22" t="s">
        <v>1226</v>
      </c>
      <c r="B84" s="2" t="str">
        <f t="shared" si="4"/>
        <v>MW</v>
      </c>
      <c r="C84" s="2" t="s">
        <v>1221</v>
      </c>
      <c r="D84" s="719">
        <f t="shared" si="5"/>
        <v>0</v>
      </c>
      <c r="E84" s="86" t="s">
        <v>23</v>
      </c>
      <c r="F84" s="374">
        <v>4122.5600000000004</v>
      </c>
      <c r="G84" s="374">
        <v>4122.5600000000004</v>
      </c>
      <c r="H84" s="374">
        <v>4449.6400000000003</v>
      </c>
      <c r="I84" s="374">
        <v>4732.5200000000004</v>
      </c>
      <c r="J84" s="374">
        <v>5320.64</v>
      </c>
      <c r="K84" s="374">
        <v>5763.16</v>
      </c>
      <c r="L84" s="374">
        <v>6694.4800000000005</v>
      </c>
      <c r="M84" s="918"/>
      <c r="N84" s="16"/>
      <c r="O84" s="16"/>
      <c r="P84" s="16"/>
      <c r="Q84" s="16"/>
      <c r="R84" s="16"/>
    </row>
    <row r="85" spans="1:18" hidden="1" outlineLevel="1" x14ac:dyDescent="0.2">
      <c r="A85" s="532" t="s">
        <v>1226</v>
      </c>
      <c r="B85" s="533" t="str">
        <f t="shared" si="4"/>
        <v>MW</v>
      </c>
      <c r="C85" s="533" t="s">
        <v>1222</v>
      </c>
      <c r="D85" s="715">
        <f t="shared" si="5"/>
        <v>0</v>
      </c>
      <c r="E85" s="468" t="s">
        <v>4</v>
      </c>
      <c r="F85" s="534">
        <v>0</v>
      </c>
      <c r="G85" s="534">
        <v>0</v>
      </c>
      <c r="H85" s="534">
        <v>0</v>
      </c>
      <c r="I85" s="534">
        <v>0</v>
      </c>
      <c r="J85" s="534">
        <v>0</v>
      </c>
      <c r="K85" s="534">
        <v>0</v>
      </c>
      <c r="L85" s="534">
        <v>0</v>
      </c>
      <c r="M85" s="888"/>
      <c r="N85" s="16"/>
      <c r="O85" s="16"/>
      <c r="P85" s="16"/>
      <c r="Q85" s="16"/>
      <c r="R85" s="16"/>
    </row>
    <row r="86" spans="1:18" hidden="1" outlineLevel="1" x14ac:dyDescent="0.2">
      <c r="A86" s="22" t="s">
        <v>1226</v>
      </c>
      <c r="B86" s="2" t="str">
        <f t="shared" si="4"/>
        <v>MW</v>
      </c>
      <c r="C86" s="2" t="s">
        <v>1222</v>
      </c>
      <c r="D86" s="716">
        <f t="shared" si="5"/>
        <v>0</v>
      </c>
      <c r="E86" s="4" t="s">
        <v>5</v>
      </c>
      <c r="F86" s="43">
        <v>0</v>
      </c>
      <c r="G86" s="43">
        <v>0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  <c r="M86" s="887"/>
      <c r="N86" s="16"/>
      <c r="O86" s="16"/>
      <c r="P86" s="16"/>
      <c r="Q86" s="16"/>
      <c r="R86" s="16"/>
    </row>
    <row r="87" spans="1:18" hidden="1" outlineLevel="1" x14ac:dyDescent="0.2">
      <c r="A87" s="22" t="s">
        <v>1226</v>
      </c>
      <c r="B87" s="2" t="str">
        <f t="shared" si="4"/>
        <v>MW</v>
      </c>
      <c r="C87" s="2" t="s">
        <v>1222</v>
      </c>
      <c r="D87" s="716">
        <f t="shared" si="5"/>
        <v>0</v>
      </c>
      <c r="E87" s="4" t="s">
        <v>6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887"/>
      <c r="N87" s="16"/>
      <c r="O87" s="16"/>
      <c r="P87" s="16"/>
      <c r="Q87" s="16"/>
      <c r="R87" s="16"/>
    </row>
    <row r="88" spans="1:18" hidden="1" outlineLevel="1" x14ac:dyDescent="0.2">
      <c r="A88" s="22" t="s">
        <v>1226</v>
      </c>
      <c r="B88" s="2" t="str">
        <f t="shared" si="4"/>
        <v>MW</v>
      </c>
      <c r="C88" s="2" t="s">
        <v>1222</v>
      </c>
      <c r="D88" s="716">
        <f t="shared" si="5"/>
        <v>0</v>
      </c>
      <c r="E88" s="4" t="s">
        <v>143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887"/>
      <c r="N88" s="16"/>
      <c r="O88" s="16"/>
      <c r="P88" s="16"/>
      <c r="Q88" s="16"/>
      <c r="R88" s="16"/>
    </row>
    <row r="89" spans="1:18" hidden="1" outlineLevel="1" x14ac:dyDescent="0.2">
      <c r="A89" s="22" t="s">
        <v>1226</v>
      </c>
      <c r="B89" s="2" t="str">
        <f t="shared" si="4"/>
        <v>MW</v>
      </c>
      <c r="C89" s="2" t="s">
        <v>1222</v>
      </c>
      <c r="D89" s="716">
        <f t="shared" si="5"/>
        <v>0</v>
      </c>
      <c r="E89" s="4" t="s">
        <v>7</v>
      </c>
      <c r="F89" s="43">
        <v>0</v>
      </c>
      <c r="G89" s="43">
        <v>0</v>
      </c>
      <c r="H89" s="43">
        <v>0</v>
      </c>
      <c r="I89" s="43">
        <v>0</v>
      </c>
      <c r="J89" s="43">
        <v>0</v>
      </c>
      <c r="K89" s="43">
        <v>0</v>
      </c>
      <c r="L89" s="43">
        <v>0</v>
      </c>
      <c r="M89" s="887"/>
      <c r="N89" s="16"/>
      <c r="O89" s="16"/>
      <c r="P89" s="16"/>
      <c r="Q89" s="16"/>
      <c r="R89" s="16"/>
    </row>
    <row r="90" spans="1:18" hidden="1" outlineLevel="1" x14ac:dyDescent="0.2">
      <c r="A90" s="22" t="s">
        <v>1226</v>
      </c>
      <c r="B90" s="2" t="str">
        <f t="shared" si="4"/>
        <v>MW</v>
      </c>
      <c r="C90" s="2" t="s">
        <v>1222</v>
      </c>
      <c r="D90" s="716">
        <f t="shared" si="5"/>
        <v>0</v>
      </c>
      <c r="E90" s="4" t="s">
        <v>31</v>
      </c>
      <c r="F90" s="43">
        <v>1665.1212499999999</v>
      </c>
      <c r="G90" s="43">
        <v>1673.8150000000003</v>
      </c>
      <c r="H90" s="43">
        <v>1755.4</v>
      </c>
      <c r="I90" s="43">
        <v>1530</v>
      </c>
      <c r="J90" s="43">
        <v>2090</v>
      </c>
      <c r="K90" s="43">
        <v>1944</v>
      </c>
      <c r="L90" s="43">
        <v>2304.1999999999998</v>
      </c>
      <c r="M90" s="887"/>
      <c r="N90" s="16"/>
      <c r="O90" s="16"/>
      <c r="P90" s="16"/>
      <c r="Q90" s="16"/>
      <c r="R90" s="16"/>
    </row>
    <row r="91" spans="1:18" hidden="1" outlineLevel="1" x14ac:dyDescent="0.2">
      <c r="A91" s="22" t="s">
        <v>1226</v>
      </c>
      <c r="B91" s="2" t="str">
        <f t="shared" si="4"/>
        <v>MW</v>
      </c>
      <c r="C91" s="2" t="s">
        <v>1222</v>
      </c>
      <c r="D91" s="716">
        <f t="shared" si="5"/>
        <v>0</v>
      </c>
      <c r="E91" s="4" t="s">
        <v>8</v>
      </c>
      <c r="F91" s="43">
        <v>1573.0029999999997</v>
      </c>
      <c r="G91" s="43">
        <v>1573.0029999999997</v>
      </c>
      <c r="H91" s="43">
        <v>1573.0029999999997</v>
      </c>
      <c r="I91" s="43">
        <v>1575.0029999999997</v>
      </c>
      <c r="J91" s="43">
        <v>2380.6029999999996</v>
      </c>
      <c r="K91" s="43">
        <v>3175.4059999999995</v>
      </c>
      <c r="L91" s="43">
        <v>3795.4059999999995</v>
      </c>
      <c r="M91" s="887"/>
      <c r="N91" s="16"/>
      <c r="O91" s="16"/>
      <c r="P91" s="16"/>
      <c r="Q91" s="16"/>
      <c r="R91" s="16"/>
    </row>
    <row r="92" spans="1:18" hidden="1" outlineLevel="1" x14ac:dyDescent="0.2">
      <c r="A92" s="22" t="s">
        <v>1226</v>
      </c>
      <c r="B92" s="2" t="str">
        <f t="shared" si="4"/>
        <v>MW</v>
      </c>
      <c r="C92" s="2" t="s">
        <v>1222</v>
      </c>
      <c r="D92" s="716">
        <f t="shared" si="5"/>
        <v>0</v>
      </c>
      <c r="E92" s="4" t="s">
        <v>9</v>
      </c>
      <c r="F92" s="43">
        <v>722.8</v>
      </c>
      <c r="G92" s="43">
        <v>776.7</v>
      </c>
      <c r="H92" s="43">
        <v>1044.5999999999999</v>
      </c>
      <c r="I92" s="43">
        <v>1067.4000000000001</v>
      </c>
      <c r="J92" s="43">
        <v>1073.4000000000001</v>
      </c>
      <c r="K92" s="43">
        <v>991</v>
      </c>
      <c r="L92" s="43">
        <v>997</v>
      </c>
      <c r="M92" s="887"/>
      <c r="N92" s="16"/>
      <c r="O92" s="16"/>
      <c r="P92" s="16"/>
      <c r="Q92" s="16"/>
      <c r="R92" s="16"/>
    </row>
    <row r="93" spans="1:18" hidden="1" outlineLevel="1" x14ac:dyDescent="0.2">
      <c r="A93" s="22" t="s">
        <v>1226</v>
      </c>
      <c r="B93" s="2" t="str">
        <f t="shared" si="4"/>
        <v>MW</v>
      </c>
      <c r="C93" s="2" t="s">
        <v>1222</v>
      </c>
      <c r="D93" s="716">
        <f t="shared" si="5"/>
        <v>0</v>
      </c>
      <c r="E93" s="4" t="s">
        <v>10</v>
      </c>
      <c r="F93" s="43">
        <v>0</v>
      </c>
      <c r="G93" s="43">
        <v>0</v>
      </c>
      <c r="H93" s="43">
        <v>0</v>
      </c>
      <c r="I93" s="43">
        <v>0</v>
      </c>
      <c r="J93" s="43">
        <v>0</v>
      </c>
      <c r="K93" s="43">
        <v>0</v>
      </c>
      <c r="L93" s="43">
        <v>0</v>
      </c>
      <c r="M93" s="887"/>
      <c r="N93" s="16"/>
      <c r="O93" s="16"/>
      <c r="P93" s="16"/>
      <c r="Q93" s="16"/>
      <c r="R93" s="16"/>
    </row>
    <row r="94" spans="1:18" hidden="1" outlineLevel="1" x14ac:dyDescent="0.2">
      <c r="A94" s="22" t="s">
        <v>1226</v>
      </c>
      <c r="B94" s="2" t="str">
        <f t="shared" si="4"/>
        <v>MW</v>
      </c>
      <c r="C94" s="2" t="s">
        <v>1222</v>
      </c>
      <c r="D94" s="716">
        <f t="shared" si="5"/>
        <v>0</v>
      </c>
      <c r="E94" s="4" t="s">
        <v>11</v>
      </c>
      <c r="F94" s="43">
        <v>313.60000000000002</v>
      </c>
      <c r="G94" s="43">
        <v>313.60000000000002</v>
      </c>
      <c r="H94" s="43">
        <v>313.60000000000002</v>
      </c>
      <c r="I94" s="43">
        <v>313.63</v>
      </c>
      <c r="J94" s="43">
        <v>313.63</v>
      </c>
      <c r="K94" s="43">
        <v>313.63</v>
      </c>
      <c r="L94" s="43">
        <v>313.60000000000002</v>
      </c>
      <c r="M94" s="887"/>
      <c r="N94" s="16"/>
      <c r="O94" s="16"/>
      <c r="P94" s="16"/>
      <c r="Q94" s="16"/>
      <c r="R94" s="16"/>
    </row>
    <row r="95" spans="1:18" hidden="1" outlineLevel="1" x14ac:dyDescent="0.2">
      <c r="A95" s="22" t="s">
        <v>1226</v>
      </c>
      <c r="B95" s="2" t="str">
        <f t="shared" si="4"/>
        <v>MW</v>
      </c>
      <c r="C95" s="2" t="s">
        <v>1222</v>
      </c>
      <c r="D95" s="716">
        <f t="shared" si="5"/>
        <v>0</v>
      </c>
      <c r="E95" s="4" t="s">
        <v>12</v>
      </c>
      <c r="F95" s="43">
        <v>0</v>
      </c>
      <c r="G95" s="43">
        <v>0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  <c r="M95" s="887"/>
      <c r="N95" s="16"/>
      <c r="O95" s="16"/>
      <c r="P95" s="16"/>
      <c r="Q95" s="16"/>
      <c r="R95" s="16"/>
    </row>
    <row r="96" spans="1:18" hidden="1" outlineLevel="1" x14ac:dyDescent="0.2">
      <c r="A96" s="22" t="s">
        <v>1226</v>
      </c>
      <c r="B96" s="2" t="str">
        <f t="shared" si="4"/>
        <v>MW</v>
      </c>
      <c r="C96" s="2" t="s">
        <v>1222</v>
      </c>
      <c r="D96" s="716">
        <f t="shared" si="5"/>
        <v>0</v>
      </c>
      <c r="E96" s="4" t="s">
        <v>1</v>
      </c>
      <c r="F96" s="43">
        <v>0</v>
      </c>
      <c r="G96" s="43">
        <v>0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  <c r="M96" s="887"/>
      <c r="N96" s="16"/>
      <c r="O96" s="16"/>
      <c r="P96" s="16"/>
      <c r="Q96" s="16"/>
      <c r="R96" s="16"/>
    </row>
    <row r="97" spans="1:18" hidden="1" outlineLevel="1" x14ac:dyDescent="0.2">
      <c r="A97" s="22" t="s">
        <v>1226</v>
      </c>
      <c r="B97" s="2" t="str">
        <f t="shared" si="4"/>
        <v>MW</v>
      </c>
      <c r="C97" s="2" t="s">
        <v>1222</v>
      </c>
      <c r="D97" s="716">
        <f t="shared" si="5"/>
        <v>0</v>
      </c>
      <c r="E97" s="4" t="s">
        <v>13</v>
      </c>
      <c r="F97" s="43">
        <v>139</v>
      </c>
      <c r="G97" s="43">
        <v>139</v>
      </c>
      <c r="H97" s="43">
        <v>159</v>
      </c>
      <c r="I97" s="43">
        <v>159</v>
      </c>
      <c r="J97" s="43">
        <v>159</v>
      </c>
      <c r="K97" s="43">
        <v>159</v>
      </c>
      <c r="L97" s="43">
        <v>242</v>
      </c>
      <c r="M97" s="887"/>
      <c r="N97" s="16"/>
      <c r="O97" s="16"/>
      <c r="P97" s="16"/>
      <c r="Q97" s="16"/>
      <c r="R97" s="16"/>
    </row>
    <row r="98" spans="1:18" hidden="1" outlineLevel="1" x14ac:dyDescent="0.2">
      <c r="A98" s="22" t="s">
        <v>1226</v>
      </c>
      <c r="B98" s="2" t="str">
        <f t="shared" si="4"/>
        <v>MW</v>
      </c>
      <c r="C98" s="2" t="s">
        <v>1222</v>
      </c>
      <c r="D98" s="716">
        <f t="shared" si="5"/>
        <v>0</v>
      </c>
      <c r="E98" s="4" t="s">
        <v>14</v>
      </c>
      <c r="F98" s="43">
        <v>0</v>
      </c>
      <c r="G98" s="43">
        <v>0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  <c r="M98" s="887"/>
      <c r="N98" s="16"/>
      <c r="O98" s="16"/>
      <c r="P98" s="16"/>
      <c r="Q98" s="16"/>
      <c r="R98" s="16"/>
    </row>
    <row r="99" spans="1:18" hidden="1" outlineLevel="1" x14ac:dyDescent="0.2">
      <c r="A99" s="22" t="s">
        <v>1226</v>
      </c>
      <c r="B99" s="2" t="str">
        <f t="shared" si="4"/>
        <v>MW</v>
      </c>
      <c r="C99" s="2" t="s">
        <v>1222</v>
      </c>
      <c r="D99" s="716">
        <f t="shared" si="5"/>
        <v>0</v>
      </c>
      <c r="E99" s="4" t="s">
        <v>15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887"/>
      <c r="N99" s="16"/>
      <c r="O99" s="16"/>
      <c r="P99" s="16"/>
      <c r="Q99" s="16"/>
      <c r="R99" s="16"/>
    </row>
    <row r="100" spans="1:18" hidden="1" outlineLevel="1" x14ac:dyDescent="0.2">
      <c r="A100" s="22" t="s">
        <v>1226</v>
      </c>
      <c r="B100" s="2" t="str">
        <f t="shared" si="4"/>
        <v>MW</v>
      </c>
      <c r="C100" s="2" t="s">
        <v>1222</v>
      </c>
      <c r="D100" s="716">
        <f t="shared" si="5"/>
        <v>0</v>
      </c>
      <c r="E100" s="4" t="s">
        <v>16</v>
      </c>
      <c r="F100" s="43">
        <v>0</v>
      </c>
      <c r="G100" s="43">
        <v>0</v>
      </c>
      <c r="H100" s="43">
        <v>8</v>
      </c>
      <c r="I100" s="43">
        <v>8</v>
      </c>
      <c r="J100" s="43">
        <v>8</v>
      </c>
      <c r="K100" s="43">
        <v>21</v>
      </c>
      <c r="L100" s="43">
        <v>21</v>
      </c>
      <c r="M100" s="887"/>
      <c r="N100" s="16"/>
      <c r="O100" s="16"/>
      <c r="P100" s="16"/>
      <c r="Q100" s="16"/>
      <c r="R100" s="16"/>
    </row>
    <row r="101" spans="1:18" hidden="1" outlineLevel="1" x14ac:dyDescent="0.2">
      <c r="A101" s="22" t="s">
        <v>1226</v>
      </c>
      <c r="B101" s="2" t="str">
        <f t="shared" si="4"/>
        <v>MW</v>
      </c>
      <c r="C101" s="2" t="s">
        <v>1222</v>
      </c>
      <c r="D101" s="716">
        <f t="shared" si="5"/>
        <v>0</v>
      </c>
      <c r="E101" s="4" t="s">
        <v>17</v>
      </c>
      <c r="F101" s="43">
        <v>0</v>
      </c>
      <c r="G101" s="43">
        <v>0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887"/>
      <c r="N101" s="16"/>
      <c r="O101" s="16"/>
      <c r="P101" s="16"/>
      <c r="Q101" s="16"/>
      <c r="R101" s="16"/>
    </row>
    <row r="102" spans="1:18" hidden="1" outlineLevel="1" x14ac:dyDescent="0.2">
      <c r="A102" s="22" t="s">
        <v>1226</v>
      </c>
      <c r="B102" s="2" t="str">
        <f t="shared" si="4"/>
        <v>MW</v>
      </c>
      <c r="C102" s="2" t="s">
        <v>1222</v>
      </c>
      <c r="D102" s="716">
        <f t="shared" si="5"/>
        <v>0</v>
      </c>
      <c r="E102" s="4" t="s">
        <v>18</v>
      </c>
      <c r="F102" s="43">
        <v>2600</v>
      </c>
      <c r="G102" s="43">
        <v>2665</v>
      </c>
      <c r="H102" s="43">
        <v>2665</v>
      </c>
      <c r="I102" s="43">
        <v>2665</v>
      </c>
      <c r="J102" s="43">
        <v>2665</v>
      </c>
      <c r="K102" s="43">
        <v>2665</v>
      </c>
      <c r="L102" s="43">
        <v>2665</v>
      </c>
      <c r="M102" s="887"/>
      <c r="N102" s="16"/>
      <c r="O102" s="16"/>
      <c r="P102" s="16"/>
      <c r="Q102" s="16"/>
      <c r="R102" s="16"/>
    </row>
    <row r="103" spans="1:18" hidden="1" outlineLevel="1" x14ac:dyDescent="0.2">
      <c r="A103" s="22" t="s">
        <v>1226</v>
      </c>
      <c r="B103" s="2" t="str">
        <f t="shared" si="4"/>
        <v>MW</v>
      </c>
      <c r="C103" s="2" t="s">
        <v>1222</v>
      </c>
      <c r="D103" s="716">
        <f t="shared" si="5"/>
        <v>0</v>
      </c>
      <c r="E103" s="4" t="s">
        <v>2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887"/>
      <c r="N103" s="16"/>
      <c r="O103" s="16"/>
      <c r="P103" s="16"/>
      <c r="Q103" s="16"/>
      <c r="R103" s="16"/>
    </row>
    <row r="104" spans="1:18" hidden="1" outlineLevel="1" x14ac:dyDescent="0.2">
      <c r="A104" s="22" t="s">
        <v>1226</v>
      </c>
      <c r="B104" s="2" t="str">
        <f t="shared" si="4"/>
        <v>MW</v>
      </c>
      <c r="C104" s="2" t="s">
        <v>1222</v>
      </c>
      <c r="D104" s="716">
        <f t="shared" si="5"/>
        <v>0</v>
      </c>
      <c r="E104" s="4" t="s">
        <v>19</v>
      </c>
      <c r="F104" s="43">
        <v>0</v>
      </c>
      <c r="G104" s="43">
        <v>0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887"/>
      <c r="N104" s="16"/>
      <c r="O104" s="16"/>
      <c r="P104" s="16"/>
      <c r="Q104" s="16"/>
      <c r="R104" s="16"/>
    </row>
    <row r="105" spans="1:18" hidden="1" outlineLevel="1" x14ac:dyDescent="0.2">
      <c r="A105" s="22" t="s">
        <v>1226</v>
      </c>
      <c r="B105" s="2" t="str">
        <f t="shared" si="4"/>
        <v>MW</v>
      </c>
      <c r="C105" s="2" t="s">
        <v>1222</v>
      </c>
      <c r="D105" s="716">
        <f t="shared" si="5"/>
        <v>0</v>
      </c>
      <c r="E105" s="4" t="s">
        <v>3</v>
      </c>
      <c r="F105" s="43">
        <v>0</v>
      </c>
      <c r="G105" s="43">
        <v>0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  <c r="M105" s="887"/>
      <c r="N105" s="16"/>
      <c r="O105" s="16"/>
      <c r="P105" s="16"/>
      <c r="Q105" s="16"/>
      <c r="R105" s="16"/>
    </row>
    <row r="106" spans="1:18" hidden="1" outlineLevel="1" x14ac:dyDescent="0.2">
      <c r="A106" s="22" t="s">
        <v>1226</v>
      </c>
      <c r="B106" s="2" t="str">
        <f t="shared" si="4"/>
        <v>MW</v>
      </c>
      <c r="C106" s="2" t="s">
        <v>1222</v>
      </c>
      <c r="D106" s="716">
        <f t="shared" si="5"/>
        <v>0</v>
      </c>
      <c r="E106" s="4" t="s">
        <v>20</v>
      </c>
      <c r="F106" s="43">
        <v>156.82900000000001</v>
      </c>
      <c r="G106" s="43">
        <v>156.82900000000001</v>
      </c>
      <c r="H106" s="43">
        <v>156.87299999999999</v>
      </c>
      <c r="I106" s="43">
        <v>156.87299999999999</v>
      </c>
      <c r="J106" s="43">
        <v>150</v>
      </c>
      <c r="K106" s="43">
        <v>150</v>
      </c>
      <c r="L106" s="43">
        <v>150</v>
      </c>
      <c r="M106" s="887"/>
      <c r="N106" s="16"/>
      <c r="O106" s="16"/>
      <c r="P106" s="16"/>
      <c r="Q106" s="16"/>
      <c r="R106" s="16"/>
    </row>
    <row r="107" spans="1:18" hidden="1" outlineLevel="1" x14ac:dyDescent="0.2">
      <c r="A107" s="22" t="s">
        <v>1226</v>
      </c>
      <c r="B107" s="2" t="str">
        <f t="shared" si="4"/>
        <v>MW</v>
      </c>
      <c r="C107" s="2" t="s">
        <v>1222</v>
      </c>
      <c r="D107" s="716">
        <f t="shared" si="5"/>
        <v>0</v>
      </c>
      <c r="E107" s="4" t="s">
        <v>21</v>
      </c>
      <c r="F107" s="43">
        <v>0</v>
      </c>
      <c r="G107" s="43">
        <v>0</v>
      </c>
      <c r="H107" s="43">
        <v>0</v>
      </c>
      <c r="I107" s="43">
        <v>0</v>
      </c>
      <c r="J107" s="43">
        <v>0</v>
      </c>
      <c r="K107" s="43">
        <v>0</v>
      </c>
      <c r="L107" s="43">
        <v>0</v>
      </c>
      <c r="M107" s="887"/>
      <c r="N107" s="16"/>
      <c r="O107" s="16"/>
      <c r="P107" s="16"/>
      <c r="Q107" s="16"/>
      <c r="R107" s="16"/>
    </row>
    <row r="108" spans="1:18" hidden="1" outlineLevel="1" x14ac:dyDescent="0.2">
      <c r="A108" s="22" t="s">
        <v>1226</v>
      </c>
      <c r="B108" s="2" t="str">
        <f t="shared" si="4"/>
        <v>MW</v>
      </c>
      <c r="C108" s="2" t="s">
        <v>1222</v>
      </c>
      <c r="D108" s="716">
        <f t="shared" si="5"/>
        <v>0</v>
      </c>
      <c r="E108" s="4" t="s">
        <v>1096</v>
      </c>
      <c r="F108" s="43">
        <v>0</v>
      </c>
      <c r="G108" s="43">
        <v>0</v>
      </c>
      <c r="H108" s="43">
        <v>0</v>
      </c>
      <c r="I108" s="43">
        <v>0</v>
      </c>
      <c r="J108" s="43">
        <v>0</v>
      </c>
      <c r="K108" s="43">
        <v>0</v>
      </c>
      <c r="L108" s="43">
        <v>0</v>
      </c>
      <c r="M108" s="887"/>
      <c r="N108" s="16"/>
      <c r="O108" s="16"/>
      <c r="P108" s="16"/>
      <c r="Q108" s="16"/>
      <c r="R108" s="16"/>
    </row>
    <row r="109" spans="1:18" hidden="1" outlineLevel="1" x14ac:dyDescent="0.2">
      <c r="A109" s="22" t="s">
        <v>1226</v>
      </c>
      <c r="B109" s="2" t="str">
        <f t="shared" si="4"/>
        <v>MW</v>
      </c>
      <c r="C109" s="2" t="s">
        <v>1222</v>
      </c>
      <c r="D109" s="716">
        <f t="shared" si="5"/>
        <v>0</v>
      </c>
      <c r="E109" s="4" t="s">
        <v>22</v>
      </c>
      <c r="F109" s="43">
        <v>0</v>
      </c>
      <c r="G109" s="43">
        <v>0</v>
      </c>
      <c r="H109" s="43">
        <v>0</v>
      </c>
      <c r="I109" s="43">
        <v>0</v>
      </c>
      <c r="J109" s="43">
        <v>0</v>
      </c>
      <c r="K109" s="43">
        <v>0</v>
      </c>
      <c r="L109" s="43">
        <v>0</v>
      </c>
      <c r="M109" s="887"/>
      <c r="N109" s="16"/>
      <c r="O109" s="16"/>
      <c r="P109" s="16"/>
      <c r="Q109" s="16"/>
      <c r="R109" s="16"/>
    </row>
    <row r="110" spans="1:18" hidden="1" outlineLevel="1" x14ac:dyDescent="0.2">
      <c r="A110" s="22" t="s">
        <v>1226</v>
      </c>
      <c r="B110" s="2" t="str">
        <f t="shared" si="4"/>
        <v>MW</v>
      </c>
      <c r="C110" s="2" t="s">
        <v>1222</v>
      </c>
      <c r="D110" s="717">
        <f t="shared" si="5"/>
        <v>0</v>
      </c>
      <c r="E110" s="86" t="s">
        <v>23</v>
      </c>
      <c r="F110" s="374">
        <v>0</v>
      </c>
      <c r="G110" s="374">
        <v>0</v>
      </c>
      <c r="H110" s="374">
        <v>0</v>
      </c>
      <c r="I110" s="374">
        <v>0</v>
      </c>
      <c r="J110" s="374">
        <v>0</v>
      </c>
      <c r="K110" s="374">
        <v>0</v>
      </c>
      <c r="L110" s="374">
        <v>0</v>
      </c>
      <c r="M110" s="918"/>
      <c r="N110" s="16"/>
      <c r="O110" s="16"/>
      <c r="P110" s="16"/>
      <c r="Q110" s="16"/>
      <c r="R110" s="16"/>
    </row>
    <row r="111" spans="1:18" hidden="1" outlineLevel="1" x14ac:dyDescent="0.2">
      <c r="A111" s="532" t="s">
        <v>1226</v>
      </c>
      <c r="B111" s="533" t="str">
        <f t="shared" si="4"/>
        <v>MW</v>
      </c>
      <c r="C111" s="533" t="s">
        <v>125</v>
      </c>
      <c r="D111" s="718">
        <f t="shared" si="5"/>
        <v>1</v>
      </c>
      <c r="E111" s="468" t="s">
        <v>4</v>
      </c>
      <c r="F111" s="534">
        <v>506.74200000000002</v>
      </c>
      <c r="G111" s="534">
        <v>492.84300000000002</v>
      </c>
      <c r="H111" s="534">
        <v>494.44299999999998</v>
      </c>
      <c r="I111" s="534">
        <v>494.19400000000002</v>
      </c>
      <c r="J111" s="534">
        <v>495.11700000000002</v>
      </c>
      <c r="K111" s="534">
        <v>494.97300000000001</v>
      </c>
      <c r="L111" s="534">
        <v>494.97300000000001</v>
      </c>
      <c r="M111" s="888"/>
      <c r="N111" s="16"/>
      <c r="O111" s="16"/>
      <c r="P111" s="16"/>
      <c r="Q111" s="16"/>
      <c r="R111" s="16"/>
    </row>
    <row r="112" spans="1:18" hidden="1" outlineLevel="1" x14ac:dyDescent="0.2">
      <c r="A112" s="22" t="s">
        <v>1226</v>
      </c>
      <c r="B112" s="2" t="str">
        <f t="shared" si="4"/>
        <v>MW</v>
      </c>
      <c r="C112" s="2" t="s">
        <v>125</v>
      </c>
      <c r="D112" s="716">
        <f t="shared" si="5"/>
        <v>1</v>
      </c>
      <c r="E112" s="4" t="s">
        <v>5</v>
      </c>
      <c r="F112" s="43">
        <v>0</v>
      </c>
      <c r="G112" s="43">
        <v>0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887"/>
      <c r="N112" s="16"/>
      <c r="O112" s="16"/>
      <c r="P112" s="16"/>
      <c r="Q112" s="16"/>
      <c r="R112" s="16"/>
    </row>
    <row r="113" spans="1:18" hidden="1" outlineLevel="1" x14ac:dyDescent="0.2">
      <c r="A113" s="22" t="s">
        <v>1226</v>
      </c>
      <c r="B113" s="2" t="str">
        <f t="shared" si="4"/>
        <v>MW</v>
      </c>
      <c r="C113" s="2" t="s">
        <v>125</v>
      </c>
      <c r="D113" s="716">
        <f t="shared" si="5"/>
        <v>1</v>
      </c>
      <c r="E113" s="4" t="s">
        <v>6</v>
      </c>
      <c r="F113" s="43">
        <v>0</v>
      </c>
      <c r="G113" s="43">
        <v>0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  <c r="M113" s="887"/>
      <c r="N113" s="16"/>
      <c r="O113" s="16"/>
      <c r="P113" s="16"/>
      <c r="Q113" s="16"/>
      <c r="R113" s="16"/>
    </row>
    <row r="114" spans="1:18" hidden="1" outlineLevel="1" x14ac:dyDescent="0.2">
      <c r="A114" s="22" t="s">
        <v>1226</v>
      </c>
      <c r="B114" s="2" t="str">
        <f t="shared" si="4"/>
        <v>MW</v>
      </c>
      <c r="C114" s="2" t="s">
        <v>125</v>
      </c>
      <c r="D114" s="716">
        <f t="shared" si="5"/>
        <v>1</v>
      </c>
      <c r="E114" s="4" t="s">
        <v>143</v>
      </c>
      <c r="F114" s="43">
        <v>32.200000000000003</v>
      </c>
      <c r="G114" s="43">
        <v>35.300000000000004</v>
      </c>
      <c r="H114" s="43">
        <v>35.300000000000004</v>
      </c>
      <c r="I114" s="43">
        <v>35.300000000000004</v>
      </c>
      <c r="J114" s="43">
        <v>54.300000000000004</v>
      </c>
      <c r="K114" s="43">
        <v>54.300000000000004</v>
      </c>
      <c r="L114" s="43">
        <v>54.300000000000004</v>
      </c>
      <c r="M114" s="887"/>
      <c r="N114" s="16"/>
      <c r="O114" s="16"/>
      <c r="P114" s="16"/>
      <c r="Q114" s="16"/>
      <c r="R114" s="16"/>
    </row>
    <row r="115" spans="1:18" hidden="1" outlineLevel="1" x14ac:dyDescent="0.2">
      <c r="A115" s="22" t="s">
        <v>1226</v>
      </c>
      <c r="B115" s="2" t="str">
        <f t="shared" si="4"/>
        <v>MW</v>
      </c>
      <c r="C115" s="2" t="s">
        <v>125</v>
      </c>
      <c r="D115" s="716">
        <f t="shared" si="5"/>
        <v>1</v>
      </c>
      <c r="E115" s="4" t="s">
        <v>7</v>
      </c>
      <c r="F115" s="43">
        <v>282.60000000000002</v>
      </c>
      <c r="G115" s="43">
        <v>282.60000000000002</v>
      </c>
      <c r="H115" s="43">
        <v>285.40000000000003</v>
      </c>
      <c r="I115" s="43">
        <v>285.40000000000003</v>
      </c>
      <c r="J115" s="43">
        <v>285.40000000000003</v>
      </c>
      <c r="K115" s="43">
        <v>286.30000000000007</v>
      </c>
      <c r="L115" s="43">
        <v>286.30000000000007</v>
      </c>
      <c r="M115" s="887"/>
      <c r="N115" s="16"/>
      <c r="O115" s="16"/>
      <c r="P115" s="16"/>
      <c r="Q115" s="16"/>
      <c r="R115" s="16"/>
    </row>
    <row r="116" spans="1:18" hidden="1" outlineLevel="1" x14ac:dyDescent="0.2">
      <c r="A116" s="22" t="s">
        <v>1226</v>
      </c>
      <c r="B116" s="2" t="str">
        <f t="shared" si="4"/>
        <v>MW</v>
      </c>
      <c r="C116" s="2" t="s">
        <v>125</v>
      </c>
      <c r="D116" s="716">
        <f t="shared" si="5"/>
        <v>1</v>
      </c>
      <c r="E116" s="4" t="s">
        <v>31</v>
      </c>
      <c r="F116" s="43">
        <v>1673</v>
      </c>
      <c r="G116" s="43">
        <v>1932</v>
      </c>
      <c r="H116" s="43">
        <v>2644</v>
      </c>
      <c r="I116" s="43">
        <v>3126</v>
      </c>
      <c r="J116" s="43">
        <v>3613</v>
      </c>
      <c r="K116" s="43">
        <v>3989</v>
      </c>
      <c r="L116" s="43">
        <v>4247.8</v>
      </c>
      <c r="M116" s="887"/>
      <c r="N116" s="16"/>
      <c r="O116" s="16"/>
      <c r="P116" s="16"/>
      <c r="Q116" s="16"/>
      <c r="R116" s="16"/>
    </row>
    <row r="117" spans="1:18" hidden="1" outlineLevel="1" x14ac:dyDescent="0.2">
      <c r="A117" s="22" t="s">
        <v>1226</v>
      </c>
      <c r="B117" s="2" t="str">
        <f t="shared" si="4"/>
        <v>MW</v>
      </c>
      <c r="C117" s="2" t="s">
        <v>125</v>
      </c>
      <c r="D117" s="716">
        <f t="shared" si="5"/>
        <v>1</v>
      </c>
      <c r="E117" s="4" t="s">
        <v>8</v>
      </c>
      <c r="F117" s="43">
        <v>474.34424999999999</v>
      </c>
      <c r="G117" s="43">
        <v>525.50424999999996</v>
      </c>
      <c r="H117" s="43">
        <v>558.31925000000001</v>
      </c>
      <c r="I117" s="43">
        <v>578.77925000000005</v>
      </c>
      <c r="J117" s="43">
        <v>605.93925000000002</v>
      </c>
      <c r="K117" s="43">
        <v>654.82349999999997</v>
      </c>
      <c r="L117" s="43">
        <v>687.82349999999997</v>
      </c>
      <c r="M117" s="887"/>
      <c r="N117" s="16"/>
      <c r="O117" s="16"/>
      <c r="P117" s="16"/>
      <c r="Q117" s="16"/>
      <c r="R117" s="16"/>
    </row>
    <row r="118" spans="1:18" hidden="1" outlineLevel="1" x14ac:dyDescent="0.2">
      <c r="A118" s="22" t="s">
        <v>1226</v>
      </c>
      <c r="B118" s="2" t="str">
        <f t="shared" si="4"/>
        <v>MW</v>
      </c>
      <c r="C118" s="2" t="s">
        <v>125</v>
      </c>
      <c r="D118" s="716">
        <f t="shared" si="5"/>
        <v>1</v>
      </c>
      <c r="E118" s="4" t="s">
        <v>9</v>
      </c>
      <c r="F118" s="43">
        <v>438.5</v>
      </c>
      <c r="G118" s="43">
        <v>463.1</v>
      </c>
      <c r="H118" s="43">
        <v>468.3</v>
      </c>
      <c r="I118" s="43">
        <v>472</v>
      </c>
      <c r="J118" s="43">
        <v>518.79999999999995</v>
      </c>
      <c r="K118" s="43">
        <v>533</v>
      </c>
      <c r="L118" s="43">
        <v>594</v>
      </c>
      <c r="M118" s="887"/>
      <c r="N118" s="16"/>
      <c r="O118" s="16"/>
      <c r="P118" s="16"/>
      <c r="Q118" s="16"/>
      <c r="R118" s="16"/>
    </row>
    <row r="119" spans="1:18" hidden="1" outlineLevel="1" x14ac:dyDescent="0.2">
      <c r="A119" s="22" t="s">
        <v>1226</v>
      </c>
      <c r="B119" s="2" t="str">
        <f t="shared" si="4"/>
        <v>MW</v>
      </c>
      <c r="C119" s="2" t="s">
        <v>125</v>
      </c>
      <c r="D119" s="716">
        <f t="shared" si="5"/>
        <v>1</v>
      </c>
      <c r="E119" s="4" t="s">
        <v>10</v>
      </c>
      <c r="F119" s="43">
        <v>478.54199999999997</v>
      </c>
      <c r="G119" s="43">
        <v>512.57619999999997</v>
      </c>
      <c r="H119" s="43">
        <v>530.07619999999997</v>
      </c>
      <c r="I119" s="43">
        <v>550.92619999999988</v>
      </c>
      <c r="J119" s="43">
        <v>550.92619999999988</v>
      </c>
      <c r="K119" s="43">
        <v>551.43520000000001</v>
      </c>
      <c r="L119" s="43">
        <v>588.41020000000003</v>
      </c>
      <c r="M119" s="887"/>
      <c r="N119" s="16"/>
      <c r="O119" s="16"/>
      <c r="P119" s="16"/>
      <c r="Q119" s="16"/>
      <c r="R119" s="16"/>
    </row>
    <row r="120" spans="1:18" hidden="1" outlineLevel="1" x14ac:dyDescent="0.2">
      <c r="A120" s="22" t="s">
        <v>1226</v>
      </c>
      <c r="B120" s="2" t="str">
        <f t="shared" si="4"/>
        <v>MW</v>
      </c>
      <c r="C120" s="2" t="s">
        <v>125</v>
      </c>
      <c r="D120" s="716">
        <f t="shared" si="5"/>
        <v>1</v>
      </c>
      <c r="E120" s="4" t="s">
        <v>11</v>
      </c>
      <c r="F120" s="43">
        <v>169.3</v>
      </c>
      <c r="G120" s="43">
        <v>169.3</v>
      </c>
      <c r="H120" s="43">
        <v>172.3</v>
      </c>
      <c r="I120" s="43">
        <v>223.15</v>
      </c>
      <c r="J120" s="43">
        <v>223.15</v>
      </c>
      <c r="K120" s="43">
        <v>219.7</v>
      </c>
      <c r="L120" s="43">
        <v>227</v>
      </c>
      <c r="M120" s="887"/>
      <c r="N120" s="16"/>
      <c r="O120" s="16"/>
      <c r="P120" s="16"/>
      <c r="Q120" s="16"/>
      <c r="R120" s="16"/>
    </row>
    <row r="121" spans="1:18" hidden="1" outlineLevel="1" x14ac:dyDescent="0.2">
      <c r="A121" s="22" t="s">
        <v>1226</v>
      </c>
      <c r="B121" s="2" t="str">
        <f t="shared" si="4"/>
        <v>MW</v>
      </c>
      <c r="C121" s="2" t="s">
        <v>125</v>
      </c>
      <c r="D121" s="716">
        <f t="shared" si="5"/>
        <v>1</v>
      </c>
      <c r="E121" s="4" t="s">
        <v>12</v>
      </c>
      <c r="F121" s="43">
        <v>277.28999999999996</v>
      </c>
      <c r="G121" s="43">
        <v>305.24</v>
      </c>
      <c r="H121" s="43">
        <v>305.02</v>
      </c>
      <c r="I121" s="43">
        <v>307.65999999999997</v>
      </c>
      <c r="J121" s="43">
        <v>307.53999999999991</v>
      </c>
      <c r="K121" s="43">
        <v>299.03999999999991</v>
      </c>
      <c r="L121" s="43">
        <v>338.21999999999991</v>
      </c>
      <c r="M121" s="887"/>
      <c r="N121" s="16"/>
      <c r="O121" s="16"/>
      <c r="P121" s="16"/>
      <c r="Q121" s="16"/>
      <c r="R121" s="16"/>
    </row>
    <row r="122" spans="1:18" hidden="1" outlineLevel="1" x14ac:dyDescent="0.2">
      <c r="A122" s="22" t="s">
        <v>1226</v>
      </c>
      <c r="B122" s="2" t="str">
        <f t="shared" si="4"/>
        <v>MW</v>
      </c>
      <c r="C122" s="2" t="s">
        <v>125</v>
      </c>
      <c r="D122" s="716">
        <f t="shared" si="5"/>
        <v>1</v>
      </c>
      <c r="E122" s="4" t="s">
        <v>1</v>
      </c>
      <c r="F122" s="43">
        <v>12.3</v>
      </c>
      <c r="G122" s="43">
        <v>33.5</v>
      </c>
      <c r="H122" s="43">
        <v>33.5</v>
      </c>
      <c r="I122" s="43">
        <v>33.5</v>
      </c>
      <c r="J122" s="43">
        <v>34.299999999999997</v>
      </c>
      <c r="K122" s="43">
        <v>34.299999999999997</v>
      </c>
      <c r="L122" s="43">
        <v>34.299999999999997</v>
      </c>
      <c r="M122" s="887"/>
      <c r="N122" s="16"/>
      <c r="O122" s="16"/>
      <c r="P122" s="16"/>
      <c r="Q122" s="16"/>
      <c r="R122" s="16"/>
    </row>
    <row r="123" spans="1:18" hidden="1" outlineLevel="1" x14ac:dyDescent="0.2">
      <c r="A123" s="22" t="s">
        <v>1226</v>
      </c>
      <c r="B123" s="2" t="str">
        <f t="shared" si="4"/>
        <v>MW</v>
      </c>
      <c r="C123" s="2" t="s">
        <v>125</v>
      </c>
      <c r="D123" s="716">
        <f t="shared" si="5"/>
        <v>1</v>
      </c>
      <c r="E123" s="4" t="s">
        <v>13</v>
      </c>
      <c r="F123" s="43">
        <v>208.32199999999997</v>
      </c>
      <c r="G123" s="43">
        <v>234.32199999999997</v>
      </c>
      <c r="H123" s="43">
        <v>234.48199999999997</v>
      </c>
      <c r="I123" s="43">
        <v>237.98199999999997</v>
      </c>
      <c r="J123" s="43">
        <v>242.51999999999995</v>
      </c>
      <c r="K123" s="43">
        <v>284.40000000000003</v>
      </c>
      <c r="L123" s="43">
        <v>288.86</v>
      </c>
      <c r="M123" s="887"/>
      <c r="N123" s="16"/>
      <c r="O123" s="16"/>
      <c r="P123" s="16"/>
      <c r="Q123" s="16"/>
      <c r="R123" s="16"/>
    </row>
    <row r="124" spans="1:18" hidden="1" outlineLevel="1" x14ac:dyDescent="0.2">
      <c r="A124" s="22" t="s">
        <v>1226</v>
      </c>
      <c r="B124" s="2" t="str">
        <f t="shared" si="4"/>
        <v>MW</v>
      </c>
      <c r="C124" s="2" t="s">
        <v>125</v>
      </c>
      <c r="D124" s="716">
        <f t="shared" si="5"/>
        <v>1</v>
      </c>
      <c r="E124" s="4" t="s">
        <v>14</v>
      </c>
      <c r="F124" s="43">
        <v>0</v>
      </c>
      <c r="G124" s="43">
        <v>0</v>
      </c>
      <c r="H124" s="43">
        <v>0</v>
      </c>
      <c r="I124" s="43">
        <v>0</v>
      </c>
      <c r="J124" s="43">
        <v>0</v>
      </c>
      <c r="K124" s="43">
        <v>0</v>
      </c>
      <c r="L124" s="43">
        <v>0</v>
      </c>
      <c r="M124" s="887"/>
      <c r="N124" s="16"/>
      <c r="O124" s="16"/>
      <c r="P124" s="16"/>
      <c r="Q124" s="16"/>
      <c r="R124" s="16"/>
    </row>
    <row r="125" spans="1:18" hidden="1" outlineLevel="1" x14ac:dyDescent="0.2">
      <c r="A125" s="22" t="s">
        <v>1226</v>
      </c>
      <c r="B125" s="2" t="str">
        <f t="shared" si="4"/>
        <v>MW</v>
      </c>
      <c r="C125" s="2" t="s">
        <v>125</v>
      </c>
      <c r="D125" s="716">
        <f t="shared" si="5"/>
        <v>1</v>
      </c>
      <c r="E125" s="4" t="s">
        <v>15</v>
      </c>
      <c r="F125" s="43">
        <v>0</v>
      </c>
      <c r="G125" s="43">
        <v>0</v>
      </c>
      <c r="H125" s="43">
        <v>0</v>
      </c>
      <c r="I125" s="43">
        <v>0</v>
      </c>
      <c r="J125" s="43">
        <v>0</v>
      </c>
      <c r="K125" s="43">
        <v>48</v>
      </c>
      <c r="L125" s="43">
        <v>55</v>
      </c>
      <c r="M125" s="887"/>
      <c r="N125" s="16"/>
      <c r="O125" s="16"/>
      <c r="P125" s="16"/>
      <c r="Q125" s="16"/>
      <c r="R125" s="16"/>
    </row>
    <row r="126" spans="1:18" hidden="1" outlineLevel="1" x14ac:dyDescent="0.2">
      <c r="A126" s="22" t="s">
        <v>1226</v>
      </c>
      <c r="B126" s="2" t="str">
        <f t="shared" si="4"/>
        <v>MW</v>
      </c>
      <c r="C126" s="2" t="s">
        <v>125</v>
      </c>
      <c r="D126" s="716">
        <f t="shared" si="5"/>
        <v>1</v>
      </c>
      <c r="E126" s="4" t="s">
        <v>16</v>
      </c>
      <c r="F126" s="43">
        <v>123</v>
      </c>
      <c r="G126" s="43">
        <v>139.69999999999999</v>
      </c>
      <c r="H126" s="43">
        <v>142</v>
      </c>
      <c r="I126" s="43">
        <v>147</v>
      </c>
      <c r="J126" s="43">
        <v>146.5</v>
      </c>
      <c r="K126" s="43">
        <v>149.17999999999998</v>
      </c>
      <c r="L126" s="43">
        <v>157.79</v>
      </c>
      <c r="M126" s="887"/>
      <c r="N126" s="16"/>
      <c r="O126" s="16"/>
      <c r="P126" s="16"/>
      <c r="Q126" s="16"/>
      <c r="R126" s="16"/>
    </row>
    <row r="127" spans="1:18" hidden="1" outlineLevel="1" x14ac:dyDescent="0.2">
      <c r="A127" s="22" t="s">
        <v>1226</v>
      </c>
      <c r="B127" s="2" t="str">
        <f t="shared" si="4"/>
        <v>MW</v>
      </c>
      <c r="C127" s="2" t="s">
        <v>125</v>
      </c>
      <c r="D127" s="716">
        <f t="shared" si="5"/>
        <v>1</v>
      </c>
      <c r="E127" s="4" t="s">
        <v>17</v>
      </c>
      <c r="F127" s="43">
        <v>21.7</v>
      </c>
      <c r="G127" s="43">
        <v>22.8</v>
      </c>
      <c r="H127" s="43">
        <v>22.8</v>
      </c>
      <c r="I127" s="43">
        <v>22.8</v>
      </c>
      <c r="J127" s="43">
        <v>22.8</v>
      </c>
      <c r="K127" s="43">
        <v>22.8</v>
      </c>
      <c r="L127" s="43">
        <v>22.8</v>
      </c>
      <c r="M127" s="887"/>
      <c r="N127" s="16"/>
      <c r="O127" s="16"/>
      <c r="P127" s="16"/>
      <c r="Q127" s="16"/>
      <c r="R127" s="16"/>
    </row>
    <row r="128" spans="1:18" hidden="1" outlineLevel="1" x14ac:dyDescent="0.2">
      <c r="A128" s="22" t="s">
        <v>1226</v>
      </c>
      <c r="B128" s="2" t="str">
        <f t="shared" si="4"/>
        <v>MW</v>
      </c>
      <c r="C128" s="2" t="s">
        <v>125</v>
      </c>
      <c r="D128" s="716">
        <f t="shared" si="5"/>
        <v>1</v>
      </c>
      <c r="E128" s="4" t="s">
        <v>18</v>
      </c>
      <c r="F128" s="43">
        <v>289.8280000000002</v>
      </c>
      <c r="G128" s="43">
        <v>316.8280000000002</v>
      </c>
      <c r="H128" s="43">
        <v>323.98800000000028</v>
      </c>
      <c r="I128" s="43">
        <v>391.97040000000027</v>
      </c>
      <c r="J128" s="43">
        <v>515.51239827337372</v>
      </c>
      <c r="K128" s="43">
        <v>519.5300000000002</v>
      </c>
      <c r="L128" s="43">
        <v>567.91200000000003</v>
      </c>
      <c r="M128" s="887"/>
      <c r="N128" s="16"/>
      <c r="O128" s="16"/>
      <c r="P128" s="16"/>
      <c r="Q128" s="16"/>
      <c r="R128" s="16"/>
    </row>
    <row r="129" spans="1:18" hidden="1" outlineLevel="1" x14ac:dyDescent="0.2">
      <c r="A129" s="22" t="s">
        <v>1226</v>
      </c>
      <c r="B129" s="2" t="str">
        <f t="shared" si="4"/>
        <v>MW</v>
      </c>
      <c r="C129" s="2" t="s">
        <v>125</v>
      </c>
      <c r="D129" s="716">
        <f t="shared" si="5"/>
        <v>1</v>
      </c>
      <c r="E129" s="4" t="s">
        <v>2</v>
      </c>
      <c r="F129" s="43">
        <v>50.23</v>
      </c>
      <c r="G129" s="43">
        <v>50.9</v>
      </c>
      <c r="H129" s="43">
        <v>50.9</v>
      </c>
      <c r="I129" s="43">
        <v>50.9</v>
      </c>
      <c r="J129" s="43">
        <v>50.9</v>
      </c>
      <c r="K129" s="43">
        <v>50.9</v>
      </c>
      <c r="L129" s="43">
        <v>50.9</v>
      </c>
      <c r="M129" s="887"/>
      <c r="N129" s="16"/>
      <c r="O129" s="16"/>
      <c r="P129" s="16"/>
      <c r="Q129" s="16"/>
      <c r="R129" s="16"/>
    </row>
    <row r="130" spans="1:18" hidden="1" outlineLevel="1" x14ac:dyDescent="0.2">
      <c r="A130" s="22" t="s">
        <v>1226</v>
      </c>
      <c r="B130" s="2" t="str">
        <f t="shared" si="4"/>
        <v>MW</v>
      </c>
      <c r="C130" s="2" t="s">
        <v>125</v>
      </c>
      <c r="D130" s="716">
        <f t="shared" si="5"/>
        <v>1</v>
      </c>
      <c r="E130" s="4" t="s">
        <v>19</v>
      </c>
      <c r="F130" s="43">
        <v>106.535</v>
      </c>
      <c r="G130" s="43">
        <v>63.744999999999997</v>
      </c>
      <c r="H130" s="43">
        <v>74.248999999999995</v>
      </c>
      <c r="I130" s="43">
        <v>84.108999999999995</v>
      </c>
      <c r="J130" s="43">
        <v>200.03</v>
      </c>
      <c r="K130" s="43">
        <v>274.38</v>
      </c>
      <c r="L130" s="43">
        <v>279.8</v>
      </c>
      <c r="M130" s="887"/>
      <c r="N130" s="16"/>
      <c r="O130" s="16"/>
      <c r="P130" s="16"/>
      <c r="Q130" s="16"/>
      <c r="R130" s="16"/>
    </row>
    <row r="131" spans="1:18" hidden="1" outlineLevel="1" x14ac:dyDescent="0.2">
      <c r="A131" s="22" t="s">
        <v>1226</v>
      </c>
      <c r="B131" s="2" t="str">
        <f t="shared" si="4"/>
        <v>MW</v>
      </c>
      <c r="C131" s="2" t="s">
        <v>125</v>
      </c>
      <c r="D131" s="716">
        <f t="shared" si="5"/>
        <v>1</v>
      </c>
      <c r="E131" s="4" t="s">
        <v>3</v>
      </c>
      <c r="F131" s="43">
        <v>0</v>
      </c>
      <c r="G131" s="43">
        <v>0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  <c r="M131" s="887"/>
      <c r="N131" s="16"/>
      <c r="O131" s="16"/>
      <c r="P131" s="16"/>
      <c r="Q131" s="16"/>
      <c r="R131" s="16"/>
    </row>
    <row r="132" spans="1:18" hidden="1" outlineLevel="1" x14ac:dyDescent="0.2">
      <c r="A132" s="22" t="s">
        <v>1226</v>
      </c>
      <c r="B132" s="2" t="str">
        <f t="shared" si="4"/>
        <v>MW</v>
      </c>
      <c r="C132" s="2" t="s">
        <v>125</v>
      </c>
      <c r="D132" s="716">
        <f t="shared" si="5"/>
        <v>1</v>
      </c>
      <c r="E132" s="4" t="s">
        <v>20</v>
      </c>
      <c r="F132" s="43">
        <v>491.78700000000003</v>
      </c>
      <c r="G132" s="43">
        <v>493.95</v>
      </c>
      <c r="H132" s="43">
        <v>501.08200000000005</v>
      </c>
      <c r="I132" s="43">
        <v>536.221</v>
      </c>
      <c r="J132" s="43">
        <v>532.17600000000004</v>
      </c>
      <c r="K132" s="43">
        <v>542.67599999999993</v>
      </c>
      <c r="L132" s="43">
        <v>573.37599999999998</v>
      </c>
      <c r="M132" s="887"/>
      <c r="N132" s="16"/>
      <c r="O132" s="16"/>
      <c r="P132" s="16"/>
      <c r="Q132" s="16"/>
      <c r="R132" s="16"/>
    </row>
    <row r="133" spans="1:18" hidden="1" outlineLevel="1" x14ac:dyDescent="0.2">
      <c r="A133" s="22" t="s">
        <v>1226</v>
      </c>
      <c r="B133" s="2" t="str">
        <f t="shared" si="4"/>
        <v>MW</v>
      </c>
      <c r="C133" s="2" t="s">
        <v>125</v>
      </c>
      <c r="D133" s="716">
        <f t="shared" si="5"/>
        <v>1</v>
      </c>
      <c r="E133" s="4" t="s">
        <v>21</v>
      </c>
      <c r="F133" s="43">
        <v>0</v>
      </c>
      <c r="G133" s="43">
        <v>0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  <c r="M133" s="887"/>
      <c r="N133" s="16"/>
      <c r="O133" s="16"/>
      <c r="P133" s="16"/>
      <c r="Q133" s="16"/>
      <c r="R133" s="16"/>
    </row>
    <row r="134" spans="1:18" hidden="1" outlineLevel="1" x14ac:dyDescent="0.2">
      <c r="A134" s="22" t="s">
        <v>1226</v>
      </c>
      <c r="B134" s="2" t="str">
        <f t="shared" si="4"/>
        <v>MW</v>
      </c>
      <c r="C134" s="2" t="s">
        <v>125</v>
      </c>
      <c r="D134" s="716">
        <f t="shared" si="5"/>
        <v>1</v>
      </c>
      <c r="E134" s="4" t="s">
        <v>1096</v>
      </c>
      <c r="F134" s="43">
        <v>0</v>
      </c>
      <c r="G134" s="43">
        <v>0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  <c r="M134" s="887"/>
      <c r="N134" s="16"/>
      <c r="O134" s="16"/>
      <c r="P134" s="16"/>
      <c r="Q134" s="16"/>
      <c r="R134" s="16"/>
    </row>
    <row r="135" spans="1:18" hidden="1" outlineLevel="1" x14ac:dyDescent="0.2">
      <c r="A135" s="22" t="s">
        <v>1226</v>
      </c>
      <c r="B135" s="2" t="str">
        <f t="shared" si="4"/>
        <v>MW</v>
      </c>
      <c r="C135" s="2" t="s">
        <v>125</v>
      </c>
      <c r="D135" s="716">
        <f t="shared" si="5"/>
        <v>1</v>
      </c>
      <c r="E135" s="4" t="s">
        <v>22</v>
      </c>
      <c r="F135" s="43">
        <v>0</v>
      </c>
      <c r="G135" s="43">
        <v>0</v>
      </c>
      <c r="H135" s="43">
        <v>0</v>
      </c>
      <c r="I135" s="43">
        <v>0</v>
      </c>
      <c r="J135" s="43">
        <v>0</v>
      </c>
      <c r="K135" s="43">
        <v>0</v>
      </c>
      <c r="L135" s="43">
        <v>0</v>
      </c>
      <c r="M135" s="887"/>
      <c r="N135" s="16"/>
      <c r="O135" s="16"/>
      <c r="P135" s="16"/>
      <c r="Q135" s="16"/>
      <c r="R135" s="16"/>
    </row>
    <row r="136" spans="1:18" hidden="1" outlineLevel="1" x14ac:dyDescent="0.2">
      <c r="A136" s="22" t="s">
        <v>1226</v>
      </c>
      <c r="B136" s="2" t="str">
        <f t="shared" ref="B136:B199" si="6">IF(A136="Capacity", "MW", "GWh")</f>
        <v>MW</v>
      </c>
      <c r="C136" s="2" t="s">
        <v>125</v>
      </c>
      <c r="D136" s="719">
        <f t="shared" si="5"/>
        <v>1</v>
      </c>
      <c r="E136" s="86" t="s">
        <v>23</v>
      </c>
      <c r="F136" s="374">
        <v>0</v>
      </c>
      <c r="G136" s="374">
        <v>0</v>
      </c>
      <c r="H136" s="374">
        <v>0</v>
      </c>
      <c r="I136" s="374">
        <v>26.33</v>
      </c>
      <c r="J136" s="374">
        <v>26.33</v>
      </c>
      <c r="K136" s="374">
        <v>26.33</v>
      </c>
      <c r="L136" s="374">
        <v>26.33</v>
      </c>
      <c r="M136" s="918"/>
      <c r="N136" s="16"/>
      <c r="O136" s="16"/>
      <c r="P136" s="16"/>
      <c r="Q136" s="16"/>
      <c r="R136" s="16"/>
    </row>
    <row r="137" spans="1:18" hidden="1" outlineLevel="1" x14ac:dyDescent="0.2">
      <c r="A137" s="532" t="s">
        <v>1226</v>
      </c>
      <c r="B137" s="533" t="str">
        <f t="shared" si="6"/>
        <v>MW</v>
      </c>
      <c r="C137" s="533" t="s">
        <v>101</v>
      </c>
      <c r="D137" s="715">
        <f t="shared" si="5"/>
        <v>1</v>
      </c>
      <c r="E137" s="468" t="s">
        <v>4</v>
      </c>
      <c r="F137" s="534">
        <v>27.831</v>
      </c>
      <c r="G137" s="534">
        <v>27.827000000000002</v>
      </c>
      <c r="H137" s="534">
        <v>27.831199999999999</v>
      </c>
      <c r="I137" s="534">
        <v>27.831199999999999</v>
      </c>
      <c r="J137" s="534">
        <v>29.831199999999999</v>
      </c>
      <c r="K137" s="534">
        <v>61.579599999999992</v>
      </c>
      <c r="L137" s="534">
        <v>61.579599999999992</v>
      </c>
      <c r="M137" s="888"/>
      <c r="N137" s="16"/>
      <c r="O137" s="16"/>
      <c r="P137" s="16"/>
      <c r="Q137" s="16"/>
      <c r="R137" s="16"/>
    </row>
    <row r="138" spans="1:18" hidden="1" outlineLevel="1" x14ac:dyDescent="0.2">
      <c r="A138" s="22" t="s">
        <v>1226</v>
      </c>
      <c r="B138" s="2" t="str">
        <f t="shared" si="6"/>
        <v>MW</v>
      </c>
      <c r="C138" s="2" t="s">
        <v>101</v>
      </c>
      <c r="D138" s="716">
        <f t="shared" si="5"/>
        <v>1</v>
      </c>
      <c r="E138" s="4" t="s">
        <v>5</v>
      </c>
      <c r="F138" s="43">
        <v>0</v>
      </c>
      <c r="G138" s="43">
        <v>0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887"/>
      <c r="N138" s="16"/>
      <c r="O138" s="16"/>
      <c r="P138" s="16"/>
      <c r="Q138" s="16"/>
      <c r="R138" s="16"/>
    </row>
    <row r="139" spans="1:18" hidden="1" outlineLevel="1" x14ac:dyDescent="0.2">
      <c r="A139" s="22" t="s">
        <v>1226</v>
      </c>
      <c r="B139" s="2" t="str">
        <f t="shared" si="6"/>
        <v>MW</v>
      </c>
      <c r="C139" s="2" t="s">
        <v>101</v>
      </c>
      <c r="D139" s="716">
        <f t="shared" ref="D139:D202" si="7">IF(C139="","",IF(OR(C139="Wind",C139="Solar",C139="Geothermal",C139="Small Hydro",C139="Biofuels",C139="Biomass &amp; Waste"), 1, 0))</f>
        <v>1</v>
      </c>
      <c r="E139" s="4" t="s">
        <v>6</v>
      </c>
      <c r="F139" s="43">
        <v>0</v>
      </c>
      <c r="G139" s="43">
        <v>0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887"/>
      <c r="N139" s="16"/>
      <c r="O139" s="16"/>
      <c r="P139" s="16"/>
      <c r="Q139" s="16"/>
      <c r="R139" s="16"/>
    </row>
    <row r="140" spans="1:18" hidden="1" outlineLevel="1" x14ac:dyDescent="0.2">
      <c r="A140" s="22" t="s">
        <v>1226</v>
      </c>
      <c r="B140" s="2" t="str">
        <f t="shared" si="6"/>
        <v>MW</v>
      </c>
      <c r="C140" s="2" t="s">
        <v>101</v>
      </c>
      <c r="D140" s="716">
        <f t="shared" si="7"/>
        <v>1</v>
      </c>
      <c r="E140" s="4" t="s">
        <v>143</v>
      </c>
      <c r="F140" s="43">
        <v>0</v>
      </c>
      <c r="G140" s="43">
        <v>0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887"/>
      <c r="N140" s="16"/>
      <c r="O140" s="16"/>
      <c r="P140" s="16"/>
      <c r="Q140" s="16"/>
      <c r="R140" s="16"/>
    </row>
    <row r="141" spans="1:18" hidden="1" outlineLevel="1" x14ac:dyDescent="0.2">
      <c r="A141" s="22" t="s">
        <v>1226</v>
      </c>
      <c r="B141" s="2" t="str">
        <f t="shared" si="6"/>
        <v>MW</v>
      </c>
      <c r="C141" s="2" t="s">
        <v>101</v>
      </c>
      <c r="D141" s="716">
        <f t="shared" si="7"/>
        <v>1</v>
      </c>
      <c r="E141" s="4" t="s">
        <v>7</v>
      </c>
      <c r="F141" s="43"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887"/>
      <c r="N141" s="16"/>
      <c r="O141" s="16"/>
      <c r="P141" s="16"/>
      <c r="Q141" s="16"/>
      <c r="R141" s="16"/>
    </row>
    <row r="142" spans="1:18" hidden="1" outlineLevel="1" x14ac:dyDescent="0.2">
      <c r="A142" s="22" t="s">
        <v>1226</v>
      </c>
      <c r="B142" s="2" t="str">
        <f t="shared" si="6"/>
        <v>MW</v>
      </c>
      <c r="C142" s="2" t="s">
        <v>101</v>
      </c>
      <c r="D142" s="716">
        <f t="shared" si="7"/>
        <v>1</v>
      </c>
      <c r="E142" s="4" t="s">
        <v>31</v>
      </c>
      <c r="F142" s="43">
        <v>237</v>
      </c>
      <c r="G142" s="43">
        <v>247</v>
      </c>
      <c r="H142" s="43">
        <v>398</v>
      </c>
      <c r="I142" s="43">
        <v>602</v>
      </c>
      <c r="J142" s="43">
        <v>927</v>
      </c>
      <c r="K142" s="43">
        <v>1250</v>
      </c>
      <c r="L142" s="43">
        <v>1815.7</v>
      </c>
      <c r="M142" s="887"/>
      <c r="N142" s="16"/>
      <c r="O142" s="16"/>
      <c r="P142" s="16"/>
      <c r="Q142" s="16"/>
      <c r="R142" s="16"/>
    </row>
    <row r="143" spans="1:18" hidden="1" outlineLevel="1" x14ac:dyDescent="0.2">
      <c r="A143" s="22" t="s">
        <v>1226</v>
      </c>
      <c r="B143" s="2" t="str">
        <f t="shared" si="6"/>
        <v>MW</v>
      </c>
      <c r="C143" s="2" t="s">
        <v>101</v>
      </c>
      <c r="D143" s="716">
        <f t="shared" si="7"/>
        <v>1</v>
      </c>
      <c r="E143" s="4" t="s">
        <v>8</v>
      </c>
      <c r="F143" s="43">
        <v>1.98</v>
      </c>
      <c r="G143" s="43">
        <v>19.948500000000003</v>
      </c>
      <c r="H143" s="43">
        <v>19.948500000000003</v>
      </c>
      <c r="I143" s="43">
        <v>85.82650000000001</v>
      </c>
      <c r="J143" s="43">
        <v>178.88650000000001</v>
      </c>
      <c r="K143" s="43">
        <v>198.68650000000002</v>
      </c>
      <c r="L143" s="43">
        <v>198.68650000000002</v>
      </c>
      <c r="M143" s="887"/>
      <c r="N143" s="16"/>
      <c r="O143" s="16"/>
      <c r="P143" s="16"/>
      <c r="Q143" s="16"/>
      <c r="R143" s="16"/>
    </row>
    <row r="144" spans="1:18" hidden="1" outlineLevel="1" x14ac:dyDescent="0.2">
      <c r="A144" s="22" t="s">
        <v>1226</v>
      </c>
      <c r="B144" s="2" t="str">
        <f t="shared" si="6"/>
        <v>MW</v>
      </c>
      <c r="C144" s="2" t="s">
        <v>101</v>
      </c>
      <c r="D144" s="716">
        <f t="shared" si="7"/>
        <v>1</v>
      </c>
      <c r="E144" s="4" t="s">
        <v>9</v>
      </c>
      <c r="F144" s="43">
        <v>18.399999999999999</v>
      </c>
      <c r="G144" s="43">
        <v>18.399999999999999</v>
      </c>
      <c r="H144" s="43">
        <v>18.399999999999999</v>
      </c>
      <c r="I144" s="43">
        <v>18.399999999999999</v>
      </c>
      <c r="J144" s="43">
        <v>18.399999999999999</v>
      </c>
      <c r="K144" s="43">
        <v>18.399999999999999</v>
      </c>
      <c r="L144" s="43">
        <v>18.399999999999999</v>
      </c>
      <c r="M144" s="887"/>
      <c r="N144" s="16"/>
      <c r="O144" s="16"/>
      <c r="P144" s="16"/>
      <c r="Q144" s="16"/>
      <c r="R144" s="16"/>
    </row>
    <row r="145" spans="1:18" hidden="1" outlineLevel="1" x14ac:dyDescent="0.2">
      <c r="A145" s="22" t="s">
        <v>1226</v>
      </c>
      <c r="B145" s="2" t="str">
        <f t="shared" si="6"/>
        <v>MW</v>
      </c>
      <c r="C145" s="2" t="s">
        <v>101</v>
      </c>
      <c r="D145" s="716">
        <f t="shared" si="7"/>
        <v>1</v>
      </c>
      <c r="E145" s="4" t="s">
        <v>10</v>
      </c>
      <c r="F145" s="43">
        <v>66</v>
      </c>
      <c r="G145" s="43">
        <v>66</v>
      </c>
      <c r="H145" s="43">
        <v>66</v>
      </c>
      <c r="I145" s="43">
        <v>91.2</v>
      </c>
      <c r="J145" s="43">
        <v>91.2</v>
      </c>
      <c r="K145" s="43">
        <v>132.78</v>
      </c>
      <c r="L145" s="43">
        <v>143.55000000000001</v>
      </c>
      <c r="M145" s="887"/>
      <c r="N145" s="16"/>
      <c r="O145" s="16"/>
      <c r="P145" s="16"/>
      <c r="Q145" s="16"/>
      <c r="R145" s="16"/>
    </row>
    <row r="146" spans="1:18" hidden="1" outlineLevel="1" x14ac:dyDescent="0.2">
      <c r="A146" s="22" t="s">
        <v>1226</v>
      </c>
      <c r="B146" s="2" t="str">
        <f t="shared" si="6"/>
        <v>MW</v>
      </c>
      <c r="C146" s="2" t="s">
        <v>101</v>
      </c>
      <c r="D146" s="716">
        <f t="shared" si="7"/>
        <v>1</v>
      </c>
      <c r="E146" s="4" t="s">
        <v>11</v>
      </c>
      <c r="F146" s="43">
        <v>0</v>
      </c>
      <c r="G146" s="43">
        <v>0</v>
      </c>
      <c r="H146" s="43">
        <v>0</v>
      </c>
      <c r="I146" s="43">
        <v>0</v>
      </c>
      <c r="J146" s="43">
        <v>0</v>
      </c>
      <c r="K146" s="43">
        <v>33.450000000000003</v>
      </c>
      <c r="L146" s="43">
        <v>33.450000000000003</v>
      </c>
      <c r="M146" s="887"/>
      <c r="N146" s="16"/>
      <c r="O146" s="16"/>
      <c r="P146" s="16"/>
      <c r="Q146" s="16"/>
      <c r="R146" s="16"/>
    </row>
    <row r="147" spans="1:18" hidden="1" outlineLevel="1" x14ac:dyDescent="0.2">
      <c r="A147" s="22" t="s">
        <v>1226</v>
      </c>
      <c r="B147" s="2" t="str">
        <f t="shared" si="6"/>
        <v>MW</v>
      </c>
      <c r="C147" s="2" t="s">
        <v>101</v>
      </c>
      <c r="D147" s="716">
        <f t="shared" si="7"/>
        <v>1</v>
      </c>
      <c r="E147" s="4" t="s">
        <v>12</v>
      </c>
      <c r="F147" s="43">
        <v>0</v>
      </c>
      <c r="G147" s="43">
        <v>2.4</v>
      </c>
      <c r="H147" s="43">
        <v>2.4</v>
      </c>
      <c r="I147" s="43">
        <v>2.4</v>
      </c>
      <c r="J147" s="43">
        <v>2.4</v>
      </c>
      <c r="K147" s="43">
        <v>2.4</v>
      </c>
      <c r="L147" s="43">
        <v>2.4</v>
      </c>
      <c r="M147" s="887"/>
      <c r="N147" s="16"/>
      <c r="O147" s="16"/>
      <c r="P147" s="16"/>
      <c r="Q147" s="16"/>
      <c r="R147" s="16"/>
    </row>
    <row r="148" spans="1:18" hidden="1" outlineLevel="1" x14ac:dyDescent="0.2">
      <c r="A148" s="22" t="s">
        <v>1226</v>
      </c>
      <c r="B148" s="2" t="str">
        <f t="shared" si="6"/>
        <v>MW</v>
      </c>
      <c r="C148" s="2" t="s">
        <v>101</v>
      </c>
      <c r="D148" s="716">
        <f t="shared" si="7"/>
        <v>1</v>
      </c>
      <c r="E148" s="4" t="s">
        <v>1</v>
      </c>
      <c r="F148" s="43">
        <v>0</v>
      </c>
      <c r="G148" s="43">
        <v>0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  <c r="M148" s="887"/>
      <c r="N148" s="16"/>
      <c r="O148" s="16"/>
      <c r="P148" s="16"/>
      <c r="Q148" s="16"/>
      <c r="R148" s="16"/>
    </row>
    <row r="149" spans="1:18" hidden="1" outlineLevel="1" x14ac:dyDescent="0.2">
      <c r="A149" s="22" t="s">
        <v>1226</v>
      </c>
      <c r="B149" s="2" t="str">
        <f t="shared" si="6"/>
        <v>MW</v>
      </c>
      <c r="C149" s="2" t="s">
        <v>101</v>
      </c>
      <c r="D149" s="716">
        <f t="shared" si="7"/>
        <v>1</v>
      </c>
      <c r="E149" s="4" t="s">
        <v>13</v>
      </c>
      <c r="F149" s="43">
        <v>0</v>
      </c>
      <c r="G149" s="43">
        <v>0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  <c r="M149" s="887"/>
      <c r="N149" s="16"/>
      <c r="O149" s="16"/>
      <c r="P149" s="16"/>
      <c r="Q149" s="16"/>
      <c r="R149" s="16"/>
    </row>
    <row r="150" spans="1:18" hidden="1" outlineLevel="1" x14ac:dyDescent="0.2">
      <c r="A150" s="22" t="s">
        <v>1226</v>
      </c>
      <c r="B150" s="2" t="str">
        <f t="shared" si="6"/>
        <v>MW</v>
      </c>
      <c r="C150" s="2" t="s">
        <v>101</v>
      </c>
      <c r="D150" s="716">
        <f t="shared" si="7"/>
        <v>1</v>
      </c>
      <c r="E150" s="4" t="s">
        <v>14</v>
      </c>
      <c r="F150" s="43">
        <v>0</v>
      </c>
      <c r="G150" s="43">
        <v>0</v>
      </c>
      <c r="H150" s="43">
        <v>0</v>
      </c>
      <c r="I150" s="43">
        <v>0</v>
      </c>
      <c r="J150" s="43">
        <v>0</v>
      </c>
      <c r="K150" s="43">
        <v>0</v>
      </c>
      <c r="L150" s="43">
        <v>0</v>
      </c>
      <c r="M150" s="887"/>
      <c r="N150" s="16"/>
      <c r="O150" s="16"/>
      <c r="P150" s="16"/>
      <c r="Q150" s="16"/>
      <c r="R150" s="16"/>
    </row>
    <row r="151" spans="1:18" hidden="1" outlineLevel="1" x14ac:dyDescent="0.2">
      <c r="A151" s="22" t="s">
        <v>1226</v>
      </c>
      <c r="B151" s="2" t="str">
        <f t="shared" si="6"/>
        <v>MW</v>
      </c>
      <c r="C151" s="2" t="s">
        <v>101</v>
      </c>
      <c r="D151" s="716">
        <f t="shared" si="7"/>
        <v>1</v>
      </c>
      <c r="E151" s="4" t="s">
        <v>15</v>
      </c>
      <c r="F151" s="43">
        <v>0</v>
      </c>
      <c r="G151" s="43">
        <v>0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  <c r="M151" s="887"/>
      <c r="N151" s="16"/>
      <c r="O151" s="16"/>
      <c r="P151" s="16"/>
      <c r="Q151" s="16"/>
      <c r="R151" s="16"/>
    </row>
    <row r="152" spans="1:18" hidden="1" outlineLevel="1" x14ac:dyDescent="0.2">
      <c r="A152" s="22" t="s">
        <v>1226</v>
      </c>
      <c r="B152" s="2" t="str">
        <f t="shared" si="6"/>
        <v>MW</v>
      </c>
      <c r="C152" s="2" t="s">
        <v>101</v>
      </c>
      <c r="D152" s="716">
        <f t="shared" si="7"/>
        <v>1</v>
      </c>
      <c r="E152" s="4" t="s">
        <v>16</v>
      </c>
      <c r="F152" s="43">
        <v>0</v>
      </c>
      <c r="G152" s="43">
        <v>0</v>
      </c>
      <c r="H152" s="43">
        <v>0</v>
      </c>
      <c r="I152" s="43">
        <v>0</v>
      </c>
      <c r="J152" s="43">
        <v>0</v>
      </c>
      <c r="K152" s="43">
        <v>102</v>
      </c>
      <c r="L152" s="43">
        <v>102</v>
      </c>
      <c r="M152" s="887"/>
      <c r="N152" s="16"/>
      <c r="O152" s="16"/>
      <c r="P152" s="16"/>
      <c r="Q152" s="16"/>
      <c r="R152" s="16"/>
    </row>
    <row r="153" spans="1:18" hidden="1" outlineLevel="1" x14ac:dyDescent="0.2">
      <c r="A153" s="22" t="s">
        <v>1226</v>
      </c>
      <c r="B153" s="2" t="str">
        <f t="shared" si="6"/>
        <v>MW</v>
      </c>
      <c r="C153" s="2" t="s">
        <v>101</v>
      </c>
      <c r="D153" s="716">
        <f t="shared" si="7"/>
        <v>1</v>
      </c>
      <c r="E153" s="4" t="s">
        <v>17</v>
      </c>
      <c r="F153" s="43">
        <v>20.7</v>
      </c>
      <c r="G153" s="43">
        <v>20.7</v>
      </c>
      <c r="H153" s="43">
        <v>20.7</v>
      </c>
      <c r="I153" s="43">
        <v>20.7</v>
      </c>
      <c r="J153" s="43">
        <v>23.7</v>
      </c>
      <c r="K153" s="43">
        <v>41.7</v>
      </c>
      <c r="L153" s="43">
        <v>41.7</v>
      </c>
      <c r="M153" s="887"/>
      <c r="N153" s="16"/>
      <c r="O153" s="16"/>
      <c r="P153" s="16"/>
      <c r="Q153" s="16"/>
      <c r="R153" s="16"/>
    </row>
    <row r="154" spans="1:18" hidden="1" outlineLevel="1" x14ac:dyDescent="0.2">
      <c r="A154" s="22" t="s">
        <v>1226</v>
      </c>
      <c r="B154" s="2" t="str">
        <f t="shared" si="6"/>
        <v>MW</v>
      </c>
      <c r="C154" s="2" t="s">
        <v>101</v>
      </c>
      <c r="D154" s="716">
        <f t="shared" si="7"/>
        <v>1</v>
      </c>
      <c r="E154" s="4" t="s">
        <v>18</v>
      </c>
      <c r="F154" s="43">
        <v>2.1749999999999998</v>
      </c>
      <c r="G154" s="43">
        <v>85.474999999999994</v>
      </c>
      <c r="H154" s="43">
        <v>85.25</v>
      </c>
      <c r="I154" s="43">
        <v>494.7</v>
      </c>
      <c r="J154" s="43">
        <v>593.54999999999995</v>
      </c>
      <c r="K154" s="43">
        <v>675.05000000000007</v>
      </c>
      <c r="L154" s="43">
        <v>1288.7</v>
      </c>
      <c r="M154" s="887"/>
      <c r="N154" s="16"/>
      <c r="O154" s="16"/>
      <c r="P154" s="16"/>
      <c r="Q154" s="16"/>
      <c r="R154" s="16"/>
    </row>
    <row r="155" spans="1:18" hidden="1" outlineLevel="1" x14ac:dyDescent="0.2">
      <c r="A155" s="22" t="s">
        <v>1226</v>
      </c>
      <c r="B155" s="2" t="str">
        <f t="shared" si="6"/>
        <v>MW</v>
      </c>
      <c r="C155" s="2" t="s">
        <v>101</v>
      </c>
      <c r="D155" s="716">
        <f t="shared" si="7"/>
        <v>1</v>
      </c>
      <c r="E155" s="4" t="s">
        <v>2</v>
      </c>
      <c r="F155" s="43">
        <v>0</v>
      </c>
      <c r="G155" s="43">
        <v>0</v>
      </c>
      <c r="H155" s="43">
        <v>0</v>
      </c>
      <c r="I155" s="43">
        <v>40</v>
      </c>
      <c r="J155" s="43">
        <v>63</v>
      </c>
      <c r="K155" s="43">
        <v>63</v>
      </c>
      <c r="L155" s="43">
        <v>102.6</v>
      </c>
      <c r="M155" s="887"/>
      <c r="N155" s="16"/>
      <c r="O155" s="16"/>
      <c r="P155" s="16"/>
      <c r="Q155" s="16"/>
      <c r="R155" s="16"/>
    </row>
    <row r="156" spans="1:18" hidden="1" outlineLevel="1" x14ac:dyDescent="0.2">
      <c r="A156" s="22" t="s">
        <v>1226</v>
      </c>
      <c r="B156" s="2" t="str">
        <f t="shared" si="6"/>
        <v>MW</v>
      </c>
      <c r="C156" s="2" t="s">
        <v>101</v>
      </c>
      <c r="D156" s="716">
        <f t="shared" si="7"/>
        <v>1</v>
      </c>
      <c r="E156" s="4" t="s">
        <v>19</v>
      </c>
      <c r="F156" s="43">
        <v>0</v>
      </c>
      <c r="G156" s="43">
        <v>0</v>
      </c>
      <c r="H156" s="43">
        <v>0</v>
      </c>
      <c r="I156" s="43">
        <v>0</v>
      </c>
      <c r="J156" s="43">
        <v>0</v>
      </c>
      <c r="K156" s="43">
        <v>0</v>
      </c>
      <c r="L156" s="43">
        <v>0</v>
      </c>
      <c r="M156" s="887"/>
      <c r="N156" s="16"/>
      <c r="O156" s="16"/>
      <c r="P156" s="16"/>
      <c r="Q156" s="16"/>
      <c r="R156" s="16"/>
    </row>
    <row r="157" spans="1:18" hidden="1" outlineLevel="1" x14ac:dyDescent="0.2">
      <c r="A157" s="22" t="s">
        <v>1226</v>
      </c>
      <c r="B157" s="2" t="str">
        <f t="shared" si="6"/>
        <v>MW</v>
      </c>
      <c r="C157" s="2" t="s">
        <v>101</v>
      </c>
      <c r="D157" s="716">
        <f t="shared" si="7"/>
        <v>1</v>
      </c>
      <c r="E157" s="4" t="s">
        <v>3</v>
      </c>
      <c r="F157" s="43">
        <v>0</v>
      </c>
      <c r="G157" s="43">
        <v>0</v>
      </c>
      <c r="H157" s="43">
        <v>0</v>
      </c>
      <c r="I157" s="43">
        <v>0</v>
      </c>
      <c r="J157" s="43">
        <v>0</v>
      </c>
      <c r="K157" s="43">
        <v>0</v>
      </c>
      <c r="L157" s="43">
        <v>0</v>
      </c>
      <c r="M157" s="887"/>
      <c r="N157" s="16"/>
      <c r="O157" s="16"/>
      <c r="P157" s="16"/>
      <c r="Q157" s="16"/>
      <c r="R157" s="16"/>
    </row>
    <row r="158" spans="1:18" hidden="1" outlineLevel="1" x14ac:dyDescent="0.2">
      <c r="A158" s="22" t="s">
        <v>1226</v>
      </c>
      <c r="B158" s="2" t="str">
        <f t="shared" si="6"/>
        <v>MW</v>
      </c>
      <c r="C158" s="2" t="s">
        <v>101</v>
      </c>
      <c r="D158" s="716">
        <f t="shared" si="7"/>
        <v>1</v>
      </c>
      <c r="E158" s="4" t="s">
        <v>20</v>
      </c>
      <c r="F158" s="43">
        <v>0</v>
      </c>
      <c r="G158" s="43">
        <v>0</v>
      </c>
      <c r="H158" s="43">
        <v>0</v>
      </c>
      <c r="I158" s="43">
        <v>0</v>
      </c>
      <c r="J158" s="43">
        <v>0</v>
      </c>
      <c r="K158" s="43">
        <v>0</v>
      </c>
      <c r="L158" s="43">
        <v>0</v>
      </c>
      <c r="M158" s="887"/>
      <c r="N158" s="16"/>
      <c r="O158" s="16"/>
      <c r="P158" s="16"/>
      <c r="Q158" s="16"/>
      <c r="R158" s="16"/>
    </row>
    <row r="159" spans="1:18" hidden="1" outlineLevel="1" x14ac:dyDescent="0.2">
      <c r="A159" s="22" t="s">
        <v>1226</v>
      </c>
      <c r="B159" s="2" t="str">
        <f t="shared" si="6"/>
        <v>MW</v>
      </c>
      <c r="C159" s="2" t="s">
        <v>101</v>
      </c>
      <c r="D159" s="716">
        <f t="shared" si="7"/>
        <v>1</v>
      </c>
      <c r="E159" s="4" t="s">
        <v>21</v>
      </c>
      <c r="F159" s="43">
        <v>0</v>
      </c>
      <c r="G159" s="43">
        <v>0</v>
      </c>
      <c r="H159" s="43">
        <v>0</v>
      </c>
      <c r="I159" s="43">
        <v>0</v>
      </c>
      <c r="J159" s="43">
        <v>0</v>
      </c>
      <c r="K159" s="43">
        <v>0</v>
      </c>
      <c r="L159" s="43">
        <v>0</v>
      </c>
      <c r="M159" s="887"/>
      <c r="N159" s="16"/>
      <c r="O159" s="16"/>
      <c r="P159" s="16"/>
      <c r="Q159" s="16"/>
      <c r="R159" s="16"/>
    </row>
    <row r="160" spans="1:18" hidden="1" outlineLevel="1" x14ac:dyDescent="0.2">
      <c r="A160" s="22" t="s">
        <v>1226</v>
      </c>
      <c r="B160" s="2" t="str">
        <f t="shared" si="6"/>
        <v>MW</v>
      </c>
      <c r="C160" s="2" t="s">
        <v>101</v>
      </c>
      <c r="D160" s="716">
        <f t="shared" si="7"/>
        <v>1</v>
      </c>
      <c r="E160" s="4" t="s">
        <v>1096</v>
      </c>
      <c r="F160" s="43">
        <v>0</v>
      </c>
      <c r="G160" s="43">
        <v>0</v>
      </c>
      <c r="H160" s="43">
        <v>0</v>
      </c>
      <c r="I160" s="43">
        <v>0</v>
      </c>
      <c r="J160" s="43">
        <v>0</v>
      </c>
      <c r="K160" s="43">
        <v>0</v>
      </c>
      <c r="L160" s="43">
        <v>0</v>
      </c>
      <c r="M160" s="887"/>
      <c r="N160" s="16"/>
      <c r="O160" s="16"/>
      <c r="P160" s="16"/>
      <c r="Q160" s="16"/>
      <c r="R160" s="16"/>
    </row>
    <row r="161" spans="1:18" hidden="1" outlineLevel="1" x14ac:dyDescent="0.2">
      <c r="A161" s="22" t="s">
        <v>1226</v>
      </c>
      <c r="B161" s="2" t="str">
        <f t="shared" si="6"/>
        <v>MW</v>
      </c>
      <c r="C161" s="2" t="s">
        <v>101</v>
      </c>
      <c r="D161" s="716">
        <f t="shared" si="7"/>
        <v>1</v>
      </c>
      <c r="E161" s="4" t="s">
        <v>22</v>
      </c>
      <c r="F161" s="43">
        <v>0</v>
      </c>
      <c r="G161" s="43">
        <v>0</v>
      </c>
      <c r="H161" s="43">
        <v>14.45</v>
      </c>
      <c r="I161" s="43">
        <v>30.45</v>
      </c>
      <c r="J161" s="43">
        <v>40.450000000000003</v>
      </c>
      <c r="K161" s="43">
        <v>43.455000000000005</v>
      </c>
      <c r="L161" s="43">
        <v>52.455000000000005</v>
      </c>
      <c r="M161" s="887"/>
      <c r="N161" s="16"/>
      <c r="O161" s="16"/>
      <c r="P161" s="16"/>
      <c r="Q161" s="16"/>
      <c r="R161" s="16"/>
    </row>
    <row r="162" spans="1:18" hidden="1" outlineLevel="1" x14ac:dyDescent="0.2">
      <c r="A162" s="22" t="s">
        <v>1226</v>
      </c>
      <c r="B162" s="2" t="str">
        <f t="shared" si="6"/>
        <v>MW</v>
      </c>
      <c r="C162" s="2" t="s">
        <v>101</v>
      </c>
      <c r="D162" s="717">
        <f t="shared" si="7"/>
        <v>1</v>
      </c>
      <c r="E162" s="86" t="s">
        <v>23</v>
      </c>
      <c r="F162" s="374">
        <v>0</v>
      </c>
      <c r="G162" s="374">
        <v>0</v>
      </c>
      <c r="H162" s="374">
        <v>0</v>
      </c>
      <c r="I162" s="374">
        <v>0</v>
      </c>
      <c r="J162" s="374">
        <v>0</v>
      </c>
      <c r="K162" s="374">
        <v>0</v>
      </c>
      <c r="L162" s="374">
        <v>6.3</v>
      </c>
      <c r="M162" s="918"/>
      <c r="N162" s="16"/>
      <c r="O162" s="16"/>
      <c r="P162" s="16"/>
      <c r="Q162" s="16"/>
      <c r="R162" s="16"/>
    </row>
    <row r="163" spans="1:18" hidden="1" outlineLevel="1" x14ac:dyDescent="0.2">
      <c r="A163" s="532" t="s">
        <v>1226</v>
      </c>
      <c r="B163" s="533" t="str">
        <f t="shared" si="6"/>
        <v>MW</v>
      </c>
      <c r="C163" s="533" t="s">
        <v>80</v>
      </c>
      <c r="D163" s="718">
        <f t="shared" si="7"/>
        <v>1</v>
      </c>
      <c r="E163" s="468" t="s">
        <v>4</v>
      </c>
      <c r="F163" s="534">
        <v>2.5000000000000001E-2</v>
      </c>
      <c r="G163" s="534">
        <v>2.5000000000000001E-2</v>
      </c>
      <c r="H163" s="534">
        <v>2.5000000000000001E-2</v>
      </c>
      <c r="I163" s="534">
        <v>2.5000000000000001E-2</v>
      </c>
      <c r="J163" s="534">
        <v>2.5000000000000001E-2</v>
      </c>
      <c r="K163" s="534">
        <v>1.2259</v>
      </c>
      <c r="L163" s="534">
        <v>1.2259</v>
      </c>
      <c r="M163" s="888"/>
      <c r="N163" s="16"/>
      <c r="O163" s="16"/>
      <c r="P163" s="16"/>
      <c r="Q163" s="16"/>
      <c r="R163" s="16"/>
    </row>
    <row r="164" spans="1:18" hidden="1" outlineLevel="1" x14ac:dyDescent="0.2">
      <c r="A164" s="22" t="s">
        <v>1226</v>
      </c>
      <c r="B164" s="2" t="str">
        <f t="shared" si="6"/>
        <v>MW</v>
      </c>
      <c r="C164" s="2" t="s">
        <v>80</v>
      </c>
      <c r="D164" s="716">
        <f t="shared" si="7"/>
        <v>1</v>
      </c>
      <c r="E164" s="4" t="s">
        <v>5</v>
      </c>
      <c r="F164" s="43">
        <v>0</v>
      </c>
      <c r="G164" s="43">
        <v>0</v>
      </c>
      <c r="H164" s="43">
        <v>0</v>
      </c>
      <c r="I164" s="43">
        <v>0</v>
      </c>
      <c r="J164" s="43">
        <v>0</v>
      </c>
      <c r="K164" s="43">
        <v>0</v>
      </c>
      <c r="L164" s="43">
        <v>0</v>
      </c>
      <c r="M164" s="887"/>
      <c r="N164" s="16"/>
      <c r="O164" s="16"/>
      <c r="P164" s="16"/>
      <c r="Q164" s="16"/>
      <c r="R164" s="16"/>
    </row>
    <row r="165" spans="1:18" hidden="1" outlineLevel="1" x14ac:dyDescent="0.2">
      <c r="A165" s="22" t="s">
        <v>1226</v>
      </c>
      <c r="B165" s="2" t="str">
        <f t="shared" si="6"/>
        <v>MW</v>
      </c>
      <c r="C165" s="2" t="s">
        <v>80</v>
      </c>
      <c r="D165" s="716">
        <f t="shared" si="7"/>
        <v>1</v>
      </c>
      <c r="E165" s="4" t="s">
        <v>6</v>
      </c>
      <c r="F165" s="43">
        <v>0</v>
      </c>
      <c r="G165" s="43">
        <v>0</v>
      </c>
      <c r="H165" s="43">
        <v>0</v>
      </c>
      <c r="I165" s="43">
        <v>0</v>
      </c>
      <c r="J165" s="43">
        <v>0</v>
      </c>
      <c r="K165" s="43">
        <v>0</v>
      </c>
      <c r="L165" s="43">
        <v>0</v>
      </c>
      <c r="M165" s="887"/>
      <c r="N165" s="16"/>
      <c r="O165" s="16"/>
      <c r="P165" s="16"/>
      <c r="Q165" s="16"/>
      <c r="R165" s="16"/>
    </row>
    <row r="166" spans="1:18" hidden="1" outlineLevel="1" x14ac:dyDescent="0.2">
      <c r="A166" s="22" t="s">
        <v>1226</v>
      </c>
      <c r="B166" s="2" t="str">
        <f t="shared" si="6"/>
        <v>MW</v>
      </c>
      <c r="C166" s="2" t="s">
        <v>80</v>
      </c>
      <c r="D166" s="716">
        <f t="shared" si="7"/>
        <v>1</v>
      </c>
      <c r="E166" s="4" t="s">
        <v>143</v>
      </c>
      <c r="F166" s="43">
        <v>0</v>
      </c>
      <c r="G166" s="43">
        <v>0</v>
      </c>
      <c r="H166" s="43">
        <v>0</v>
      </c>
      <c r="I166" s="43">
        <v>0</v>
      </c>
      <c r="J166" s="43">
        <v>0</v>
      </c>
      <c r="K166" s="43">
        <v>0</v>
      </c>
      <c r="L166" s="43">
        <v>0.48</v>
      </c>
      <c r="M166" s="887"/>
      <c r="N166" s="16"/>
      <c r="O166" s="16"/>
      <c r="P166" s="16"/>
      <c r="Q166" s="16"/>
      <c r="R166" s="16"/>
    </row>
    <row r="167" spans="1:18" hidden="1" outlineLevel="1" x14ac:dyDescent="0.2">
      <c r="A167" s="22" t="s">
        <v>1226</v>
      </c>
      <c r="B167" s="2" t="str">
        <f t="shared" si="6"/>
        <v>MW</v>
      </c>
      <c r="C167" s="2" t="s">
        <v>80</v>
      </c>
      <c r="D167" s="716">
        <f t="shared" si="7"/>
        <v>1</v>
      </c>
      <c r="E167" s="4" t="s">
        <v>7</v>
      </c>
      <c r="F167" s="43">
        <v>0</v>
      </c>
      <c r="G167" s="43">
        <v>0</v>
      </c>
      <c r="H167" s="43">
        <v>0</v>
      </c>
      <c r="I167" s="43">
        <v>0</v>
      </c>
      <c r="J167" s="43">
        <v>0</v>
      </c>
      <c r="K167" s="43">
        <v>0</v>
      </c>
      <c r="L167" s="43">
        <v>0</v>
      </c>
      <c r="M167" s="887"/>
      <c r="N167" s="16"/>
      <c r="O167" s="16"/>
      <c r="P167" s="16"/>
      <c r="Q167" s="16"/>
      <c r="R167" s="16"/>
    </row>
    <row r="168" spans="1:18" hidden="1" outlineLevel="1" x14ac:dyDescent="0.2">
      <c r="A168" s="22" t="s">
        <v>1226</v>
      </c>
      <c r="B168" s="2" t="str">
        <f t="shared" si="6"/>
        <v>MW</v>
      </c>
      <c r="C168" s="2" t="s">
        <v>80</v>
      </c>
      <c r="D168" s="716">
        <f t="shared" si="7"/>
        <v>1</v>
      </c>
      <c r="E168" s="4" t="s">
        <v>31</v>
      </c>
      <c r="F168" s="43">
        <v>0</v>
      </c>
      <c r="G168" s="43">
        <v>0</v>
      </c>
      <c r="H168" s="43">
        <v>0</v>
      </c>
      <c r="I168" s="43">
        <v>0</v>
      </c>
      <c r="J168" s="43">
        <v>1</v>
      </c>
      <c r="K168" s="43">
        <v>1.1000000000000001</v>
      </c>
      <c r="L168" s="43">
        <v>1.5</v>
      </c>
      <c r="M168" s="887"/>
      <c r="N168" s="16"/>
      <c r="O168" s="16"/>
      <c r="P168" s="16"/>
      <c r="Q168" s="16"/>
      <c r="R168" s="16"/>
    </row>
    <row r="169" spans="1:18" hidden="1" outlineLevel="1" x14ac:dyDescent="0.2">
      <c r="A169" s="22" t="s">
        <v>1226</v>
      </c>
      <c r="B169" s="2" t="str">
        <f t="shared" si="6"/>
        <v>MW</v>
      </c>
      <c r="C169" s="2" t="s">
        <v>80</v>
      </c>
      <c r="D169" s="716">
        <f t="shared" si="7"/>
        <v>1</v>
      </c>
      <c r="E169" s="4" t="s">
        <v>8</v>
      </c>
      <c r="F169" s="43">
        <v>0</v>
      </c>
      <c r="G169" s="43">
        <v>0</v>
      </c>
      <c r="H169" s="43">
        <v>0</v>
      </c>
      <c r="I169" s="43">
        <v>0</v>
      </c>
      <c r="J169" s="43">
        <v>0</v>
      </c>
      <c r="K169" s="43">
        <v>0</v>
      </c>
      <c r="L169" s="43">
        <v>2.5999999999999996</v>
      </c>
      <c r="M169" s="887"/>
      <c r="N169" s="16"/>
      <c r="O169" s="16"/>
      <c r="P169" s="16"/>
      <c r="Q169" s="16"/>
      <c r="R169" s="16"/>
    </row>
    <row r="170" spans="1:18" hidden="1" outlineLevel="1" x14ac:dyDescent="0.2">
      <c r="A170" s="22" t="s">
        <v>1226</v>
      </c>
      <c r="B170" s="2" t="str">
        <f t="shared" si="6"/>
        <v>MW</v>
      </c>
      <c r="C170" s="2" t="s">
        <v>80</v>
      </c>
      <c r="D170" s="716">
        <f t="shared" si="7"/>
        <v>1</v>
      </c>
      <c r="E170" s="4" t="s">
        <v>9</v>
      </c>
      <c r="F170" s="43">
        <v>0</v>
      </c>
      <c r="G170" s="43">
        <v>0</v>
      </c>
      <c r="H170" s="43">
        <v>0</v>
      </c>
      <c r="I170" s="43">
        <v>0</v>
      </c>
      <c r="J170" s="43">
        <v>0</v>
      </c>
      <c r="K170" s="43">
        <v>0</v>
      </c>
      <c r="L170" s="43">
        <v>0</v>
      </c>
      <c r="M170" s="887"/>
      <c r="N170" s="16"/>
      <c r="O170" s="16"/>
      <c r="P170" s="16"/>
      <c r="Q170" s="16"/>
      <c r="R170" s="16"/>
    </row>
    <row r="171" spans="1:18" hidden="1" outlineLevel="1" x14ac:dyDescent="0.2">
      <c r="A171" s="22" t="s">
        <v>1226</v>
      </c>
      <c r="B171" s="2" t="str">
        <f t="shared" si="6"/>
        <v>MW</v>
      </c>
      <c r="C171" s="2" t="s">
        <v>80</v>
      </c>
      <c r="D171" s="716">
        <f t="shared" si="7"/>
        <v>1</v>
      </c>
      <c r="E171" s="4" t="s">
        <v>10</v>
      </c>
      <c r="F171" s="43">
        <v>0</v>
      </c>
      <c r="G171" s="43">
        <v>0</v>
      </c>
      <c r="H171" s="43">
        <v>0</v>
      </c>
      <c r="I171" s="43">
        <v>0</v>
      </c>
      <c r="J171" s="43">
        <v>0</v>
      </c>
      <c r="K171" s="43">
        <v>0</v>
      </c>
      <c r="L171" s="43">
        <v>1.01</v>
      </c>
      <c r="M171" s="887"/>
      <c r="N171" s="16"/>
      <c r="O171" s="16"/>
      <c r="P171" s="16"/>
      <c r="Q171" s="16"/>
      <c r="R171" s="16"/>
    </row>
    <row r="172" spans="1:18" hidden="1" outlineLevel="1" x14ac:dyDescent="0.2">
      <c r="A172" s="22" t="s">
        <v>1226</v>
      </c>
      <c r="B172" s="2" t="str">
        <f t="shared" si="6"/>
        <v>MW</v>
      </c>
      <c r="C172" s="2" t="s">
        <v>80</v>
      </c>
      <c r="D172" s="716">
        <f t="shared" si="7"/>
        <v>1</v>
      </c>
      <c r="E172" s="4" t="s">
        <v>11</v>
      </c>
      <c r="F172" s="43">
        <v>0</v>
      </c>
      <c r="G172" s="43">
        <v>0</v>
      </c>
      <c r="H172" s="43">
        <v>0</v>
      </c>
      <c r="I172" s="43">
        <v>0</v>
      </c>
      <c r="J172" s="43">
        <v>0</v>
      </c>
      <c r="K172" s="43">
        <v>0</v>
      </c>
      <c r="L172" s="43">
        <v>0</v>
      </c>
      <c r="M172" s="887"/>
      <c r="N172" s="16"/>
      <c r="O172" s="16"/>
      <c r="P172" s="16"/>
      <c r="Q172" s="16"/>
      <c r="R172" s="16"/>
    </row>
    <row r="173" spans="1:18" hidden="1" outlineLevel="1" x14ac:dyDescent="0.2">
      <c r="A173" s="22" t="s">
        <v>1226</v>
      </c>
      <c r="B173" s="2" t="str">
        <f t="shared" si="6"/>
        <v>MW</v>
      </c>
      <c r="C173" s="2" t="s">
        <v>80</v>
      </c>
      <c r="D173" s="716">
        <f t="shared" si="7"/>
        <v>1</v>
      </c>
      <c r="E173" s="4" t="s">
        <v>12</v>
      </c>
      <c r="F173" s="43">
        <v>0.02</v>
      </c>
      <c r="G173" s="43">
        <v>0.02</v>
      </c>
      <c r="H173" s="43">
        <v>0.02</v>
      </c>
      <c r="I173" s="43">
        <v>0.02</v>
      </c>
      <c r="J173" s="43">
        <v>0.02</v>
      </c>
      <c r="K173" s="43">
        <v>0.05</v>
      </c>
      <c r="L173" s="43">
        <v>0.09</v>
      </c>
      <c r="M173" s="887"/>
      <c r="N173" s="16"/>
      <c r="O173" s="16"/>
      <c r="P173" s="16"/>
      <c r="Q173" s="16"/>
      <c r="R173" s="16"/>
    </row>
    <row r="174" spans="1:18" hidden="1" outlineLevel="1" x14ac:dyDescent="0.2">
      <c r="A174" s="22" t="s">
        <v>1226</v>
      </c>
      <c r="B174" s="2" t="str">
        <f t="shared" si="6"/>
        <v>MW</v>
      </c>
      <c r="C174" s="2" t="s">
        <v>80</v>
      </c>
      <c r="D174" s="716">
        <f t="shared" si="7"/>
        <v>1</v>
      </c>
      <c r="E174" s="4" t="s">
        <v>1</v>
      </c>
      <c r="F174" s="43">
        <v>0</v>
      </c>
      <c r="G174" s="43">
        <v>0</v>
      </c>
      <c r="H174" s="43">
        <v>0</v>
      </c>
      <c r="I174" s="43">
        <v>0</v>
      </c>
      <c r="J174" s="43">
        <v>0</v>
      </c>
      <c r="K174" s="43">
        <v>0</v>
      </c>
      <c r="L174" s="43">
        <v>0</v>
      </c>
      <c r="M174" s="887"/>
      <c r="N174" s="16"/>
      <c r="O174" s="16"/>
      <c r="P174" s="16"/>
      <c r="Q174" s="16"/>
      <c r="R174" s="16"/>
    </row>
    <row r="175" spans="1:18" hidden="1" outlineLevel="1" x14ac:dyDescent="0.2">
      <c r="A175" s="22" t="s">
        <v>1226</v>
      </c>
      <c r="B175" s="2" t="str">
        <f t="shared" si="6"/>
        <v>MW</v>
      </c>
      <c r="C175" s="2" t="s">
        <v>80</v>
      </c>
      <c r="D175" s="716">
        <f t="shared" si="7"/>
        <v>1</v>
      </c>
      <c r="E175" s="4" t="s">
        <v>13</v>
      </c>
      <c r="F175" s="43">
        <v>0</v>
      </c>
      <c r="G175" s="43">
        <v>0</v>
      </c>
      <c r="H175" s="43">
        <v>0</v>
      </c>
      <c r="I175" s="43">
        <v>0</v>
      </c>
      <c r="J175" s="43">
        <v>0</v>
      </c>
      <c r="K175" s="43">
        <v>0</v>
      </c>
      <c r="L175" s="43">
        <v>0</v>
      </c>
      <c r="M175" s="887"/>
      <c r="N175" s="16"/>
      <c r="O175" s="16"/>
      <c r="P175" s="16"/>
      <c r="Q175" s="16"/>
      <c r="R175" s="16"/>
    </row>
    <row r="176" spans="1:18" hidden="1" outlineLevel="1" x14ac:dyDescent="0.2">
      <c r="A176" s="22" t="s">
        <v>1226</v>
      </c>
      <c r="B176" s="2" t="str">
        <f t="shared" si="6"/>
        <v>MW</v>
      </c>
      <c r="C176" s="2" t="s">
        <v>80</v>
      </c>
      <c r="D176" s="716">
        <f t="shared" si="7"/>
        <v>1</v>
      </c>
      <c r="E176" s="4" t="s">
        <v>14</v>
      </c>
      <c r="F176" s="43">
        <v>0</v>
      </c>
      <c r="G176" s="43">
        <v>0</v>
      </c>
      <c r="H176" s="43">
        <v>0</v>
      </c>
      <c r="I176" s="43">
        <v>0</v>
      </c>
      <c r="J176" s="43">
        <v>0</v>
      </c>
      <c r="K176" s="43">
        <v>0</v>
      </c>
      <c r="L176" s="43">
        <v>0</v>
      </c>
      <c r="M176" s="887"/>
      <c r="N176" s="16"/>
      <c r="O176" s="16"/>
      <c r="P176" s="16"/>
      <c r="Q176" s="16"/>
      <c r="R176" s="16"/>
    </row>
    <row r="177" spans="1:18" hidden="1" outlineLevel="1" x14ac:dyDescent="0.2">
      <c r="A177" s="22" t="s">
        <v>1226</v>
      </c>
      <c r="B177" s="2" t="str">
        <f t="shared" si="6"/>
        <v>MW</v>
      </c>
      <c r="C177" s="2" t="s">
        <v>80</v>
      </c>
      <c r="D177" s="716">
        <f t="shared" si="7"/>
        <v>1</v>
      </c>
      <c r="E177" s="4" t="s">
        <v>15</v>
      </c>
      <c r="F177" s="43">
        <v>0</v>
      </c>
      <c r="G177" s="43">
        <v>0</v>
      </c>
      <c r="H177" s="43">
        <v>0</v>
      </c>
      <c r="I177" s="43">
        <v>0</v>
      </c>
      <c r="J177" s="43">
        <v>0</v>
      </c>
      <c r="K177" s="43">
        <v>0</v>
      </c>
      <c r="L177" s="43">
        <v>0</v>
      </c>
      <c r="M177" s="887"/>
      <c r="N177" s="16"/>
      <c r="O177" s="16"/>
      <c r="P177" s="16"/>
      <c r="Q177" s="16"/>
      <c r="R177" s="16"/>
    </row>
    <row r="178" spans="1:18" hidden="1" outlineLevel="1" x14ac:dyDescent="0.2">
      <c r="A178" s="22" t="s">
        <v>1226</v>
      </c>
      <c r="B178" s="2" t="str">
        <f t="shared" si="6"/>
        <v>MW</v>
      </c>
      <c r="C178" s="2" t="s">
        <v>80</v>
      </c>
      <c r="D178" s="716">
        <f t="shared" si="7"/>
        <v>1</v>
      </c>
      <c r="E178" s="4" t="s">
        <v>16</v>
      </c>
      <c r="F178" s="43">
        <v>0</v>
      </c>
      <c r="G178" s="43">
        <v>0</v>
      </c>
      <c r="H178" s="43">
        <v>0</v>
      </c>
      <c r="I178" s="43">
        <v>0</v>
      </c>
      <c r="J178" s="43">
        <v>0</v>
      </c>
      <c r="K178" s="43">
        <v>0</v>
      </c>
      <c r="L178" s="43">
        <v>0</v>
      </c>
      <c r="M178" s="887"/>
      <c r="N178" s="16"/>
      <c r="O178" s="16"/>
      <c r="P178" s="16"/>
      <c r="Q178" s="16"/>
      <c r="R178" s="16"/>
    </row>
    <row r="179" spans="1:18" hidden="1" outlineLevel="1" x14ac:dyDescent="0.2">
      <c r="A179" s="22" t="s">
        <v>1226</v>
      </c>
      <c r="B179" s="2" t="str">
        <f t="shared" si="6"/>
        <v>MW</v>
      </c>
      <c r="C179" s="2" t="s">
        <v>80</v>
      </c>
      <c r="D179" s="716">
        <f t="shared" si="7"/>
        <v>1</v>
      </c>
      <c r="E179" s="4" t="s">
        <v>17</v>
      </c>
      <c r="F179" s="43">
        <v>0</v>
      </c>
      <c r="G179" s="43">
        <v>0</v>
      </c>
      <c r="H179" s="43">
        <v>0</v>
      </c>
      <c r="I179" s="43">
        <v>0</v>
      </c>
      <c r="J179" s="43">
        <v>0</v>
      </c>
      <c r="K179" s="43">
        <v>0</v>
      </c>
      <c r="L179" s="43">
        <v>0</v>
      </c>
      <c r="M179" s="887"/>
      <c r="N179" s="16"/>
      <c r="O179" s="16"/>
      <c r="P179" s="16"/>
      <c r="Q179" s="16"/>
      <c r="R179" s="16"/>
    </row>
    <row r="180" spans="1:18" hidden="1" outlineLevel="1" x14ac:dyDescent="0.2">
      <c r="A180" s="22" t="s">
        <v>1226</v>
      </c>
      <c r="B180" s="2" t="str">
        <f t="shared" si="6"/>
        <v>MW</v>
      </c>
      <c r="C180" s="2" t="s">
        <v>80</v>
      </c>
      <c r="D180" s="716">
        <f t="shared" si="7"/>
        <v>1</v>
      </c>
      <c r="E180" s="4" t="s">
        <v>18</v>
      </c>
      <c r="F180" s="43">
        <v>0</v>
      </c>
      <c r="G180" s="43">
        <v>0</v>
      </c>
      <c r="H180" s="43">
        <v>0</v>
      </c>
      <c r="I180" s="43">
        <v>0</v>
      </c>
      <c r="J180" s="43">
        <v>0</v>
      </c>
      <c r="K180" s="43">
        <v>0</v>
      </c>
      <c r="L180" s="43">
        <v>3.26</v>
      </c>
      <c r="M180" s="887"/>
      <c r="N180" s="16"/>
      <c r="O180" s="16"/>
      <c r="P180" s="16"/>
      <c r="Q180" s="16"/>
      <c r="R180" s="16"/>
    </row>
    <row r="181" spans="1:18" hidden="1" outlineLevel="1" x14ac:dyDescent="0.2">
      <c r="A181" s="22" t="s">
        <v>1226</v>
      </c>
      <c r="B181" s="2" t="str">
        <f t="shared" si="6"/>
        <v>MW</v>
      </c>
      <c r="C181" s="2" t="s">
        <v>80</v>
      </c>
      <c r="D181" s="716">
        <f t="shared" si="7"/>
        <v>1</v>
      </c>
      <c r="E181" s="4" t="s">
        <v>2</v>
      </c>
      <c r="F181" s="43">
        <v>0</v>
      </c>
      <c r="G181" s="43">
        <v>0</v>
      </c>
      <c r="H181" s="43">
        <v>0</v>
      </c>
      <c r="I181" s="43">
        <v>0</v>
      </c>
      <c r="J181" s="43">
        <v>0</v>
      </c>
      <c r="K181" s="43">
        <v>0</v>
      </c>
      <c r="L181" s="43">
        <v>0</v>
      </c>
      <c r="M181" s="887"/>
      <c r="N181" s="16"/>
      <c r="O181" s="16"/>
      <c r="P181" s="16"/>
      <c r="Q181" s="16"/>
      <c r="R181" s="16"/>
    </row>
    <row r="182" spans="1:18" hidden="1" outlineLevel="1" x14ac:dyDescent="0.2">
      <c r="A182" s="22" t="s">
        <v>1226</v>
      </c>
      <c r="B182" s="2" t="str">
        <f t="shared" si="6"/>
        <v>MW</v>
      </c>
      <c r="C182" s="2" t="s">
        <v>80</v>
      </c>
      <c r="D182" s="716">
        <f t="shared" si="7"/>
        <v>1</v>
      </c>
      <c r="E182" s="4" t="s">
        <v>19</v>
      </c>
      <c r="F182" s="43">
        <v>0</v>
      </c>
      <c r="G182" s="43">
        <v>0</v>
      </c>
      <c r="H182" s="43">
        <v>0</v>
      </c>
      <c r="I182" s="43">
        <v>0</v>
      </c>
      <c r="J182" s="43">
        <v>0</v>
      </c>
      <c r="K182" s="43">
        <v>0</v>
      </c>
      <c r="L182" s="43">
        <v>0</v>
      </c>
      <c r="M182" s="887"/>
      <c r="N182" s="16"/>
      <c r="O182" s="16"/>
      <c r="P182" s="16"/>
      <c r="Q182" s="16"/>
      <c r="R182" s="16"/>
    </row>
    <row r="183" spans="1:18" hidden="1" outlineLevel="1" x14ac:dyDescent="0.2">
      <c r="A183" s="22" t="s">
        <v>1226</v>
      </c>
      <c r="B183" s="2" t="str">
        <f t="shared" si="6"/>
        <v>MW</v>
      </c>
      <c r="C183" s="2" t="s">
        <v>80</v>
      </c>
      <c r="D183" s="716">
        <f t="shared" si="7"/>
        <v>1</v>
      </c>
      <c r="E183" s="4" t="s">
        <v>3</v>
      </c>
      <c r="F183" s="43">
        <v>0</v>
      </c>
      <c r="G183" s="43">
        <v>0</v>
      </c>
      <c r="H183" s="43">
        <v>0</v>
      </c>
      <c r="I183" s="43">
        <v>0</v>
      </c>
      <c r="J183" s="43">
        <v>0</v>
      </c>
      <c r="K183" s="43">
        <v>0</v>
      </c>
      <c r="L183" s="43">
        <v>0</v>
      </c>
      <c r="M183" s="887"/>
      <c r="N183" s="16"/>
      <c r="O183" s="16"/>
      <c r="P183" s="16"/>
      <c r="Q183" s="16"/>
      <c r="R183" s="16"/>
    </row>
    <row r="184" spans="1:18" hidden="1" outlineLevel="1" x14ac:dyDescent="0.2">
      <c r="A184" s="22" t="s">
        <v>1226</v>
      </c>
      <c r="B184" s="2" t="str">
        <f t="shared" si="6"/>
        <v>MW</v>
      </c>
      <c r="C184" s="2" t="s">
        <v>80</v>
      </c>
      <c r="D184" s="716">
        <f t="shared" si="7"/>
        <v>1</v>
      </c>
      <c r="E184" s="4" t="s">
        <v>20</v>
      </c>
      <c r="F184" s="43">
        <v>0</v>
      </c>
      <c r="G184" s="43">
        <v>0</v>
      </c>
      <c r="H184" s="43">
        <v>0</v>
      </c>
      <c r="I184" s="43">
        <v>0</v>
      </c>
      <c r="J184" s="43">
        <v>0</v>
      </c>
      <c r="K184" s="43">
        <v>0</v>
      </c>
      <c r="L184" s="43">
        <v>80</v>
      </c>
      <c r="M184" s="887"/>
      <c r="N184" s="16"/>
      <c r="O184" s="16"/>
      <c r="P184" s="16"/>
      <c r="Q184" s="16"/>
      <c r="R184" s="16"/>
    </row>
    <row r="185" spans="1:18" hidden="1" outlineLevel="1" x14ac:dyDescent="0.2">
      <c r="A185" s="22" t="s">
        <v>1226</v>
      </c>
      <c r="B185" s="2" t="str">
        <f t="shared" si="6"/>
        <v>MW</v>
      </c>
      <c r="C185" s="2" t="s">
        <v>80</v>
      </c>
      <c r="D185" s="716">
        <f t="shared" si="7"/>
        <v>1</v>
      </c>
      <c r="E185" s="4" t="s">
        <v>21</v>
      </c>
      <c r="F185" s="43">
        <v>0</v>
      </c>
      <c r="G185" s="43">
        <v>0</v>
      </c>
      <c r="H185" s="43">
        <v>0</v>
      </c>
      <c r="I185" s="43">
        <v>0</v>
      </c>
      <c r="J185" s="43">
        <v>0</v>
      </c>
      <c r="K185" s="43">
        <v>0</v>
      </c>
      <c r="L185" s="43">
        <v>0</v>
      </c>
      <c r="M185" s="887"/>
      <c r="N185" s="16"/>
      <c r="O185" s="16"/>
      <c r="P185" s="16"/>
      <c r="Q185" s="16"/>
      <c r="R185" s="16"/>
    </row>
    <row r="186" spans="1:18" hidden="1" outlineLevel="1" x14ac:dyDescent="0.2">
      <c r="A186" s="22" t="s">
        <v>1226</v>
      </c>
      <c r="B186" s="2" t="str">
        <f t="shared" si="6"/>
        <v>MW</v>
      </c>
      <c r="C186" s="2" t="s">
        <v>80</v>
      </c>
      <c r="D186" s="716">
        <f t="shared" si="7"/>
        <v>1</v>
      </c>
      <c r="E186" s="4" t="s">
        <v>1096</v>
      </c>
      <c r="F186" s="43">
        <v>0</v>
      </c>
      <c r="G186" s="43">
        <v>0</v>
      </c>
      <c r="H186" s="43">
        <v>0</v>
      </c>
      <c r="I186" s="43">
        <v>0</v>
      </c>
      <c r="J186" s="43">
        <v>0</v>
      </c>
      <c r="K186" s="43">
        <v>0</v>
      </c>
      <c r="L186" s="43">
        <v>0</v>
      </c>
      <c r="M186" s="887"/>
      <c r="N186" s="16"/>
      <c r="O186" s="16"/>
      <c r="P186" s="16"/>
      <c r="Q186" s="16"/>
      <c r="R186" s="16"/>
    </row>
    <row r="187" spans="1:18" hidden="1" outlineLevel="1" x14ac:dyDescent="0.2">
      <c r="A187" s="22" t="s">
        <v>1226</v>
      </c>
      <c r="B187" s="2" t="str">
        <f t="shared" si="6"/>
        <v>MW</v>
      </c>
      <c r="C187" s="2" t="s">
        <v>80</v>
      </c>
      <c r="D187" s="716">
        <f t="shared" si="7"/>
        <v>1</v>
      </c>
      <c r="E187" s="4" t="s">
        <v>22</v>
      </c>
      <c r="F187" s="43">
        <v>0</v>
      </c>
      <c r="G187" s="43">
        <v>0</v>
      </c>
      <c r="H187" s="43">
        <v>0</v>
      </c>
      <c r="I187" s="43">
        <v>0</v>
      </c>
      <c r="J187" s="43">
        <v>0</v>
      </c>
      <c r="K187" s="43">
        <v>2.7850000000000003E-2</v>
      </c>
      <c r="L187" s="43">
        <v>0.10797999999999999</v>
      </c>
      <c r="M187" s="887"/>
      <c r="N187" s="16"/>
      <c r="O187" s="16"/>
      <c r="P187" s="16"/>
      <c r="Q187" s="16"/>
      <c r="R187" s="16"/>
    </row>
    <row r="188" spans="1:18" hidden="1" outlineLevel="1" x14ac:dyDescent="0.2">
      <c r="A188" s="22" t="s">
        <v>1226</v>
      </c>
      <c r="B188" s="2" t="str">
        <f t="shared" si="6"/>
        <v>MW</v>
      </c>
      <c r="C188" s="2" t="s">
        <v>80</v>
      </c>
      <c r="D188" s="719">
        <f t="shared" si="7"/>
        <v>1</v>
      </c>
      <c r="E188" s="86" t="s">
        <v>23</v>
      </c>
      <c r="F188" s="43">
        <v>0</v>
      </c>
      <c r="G188" s="43">
        <v>0</v>
      </c>
      <c r="H188" s="43">
        <v>0</v>
      </c>
      <c r="I188" s="43">
        <v>0</v>
      </c>
      <c r="J188" s="43">
        <v>0</v>
      </c>
      <c r="K188" s="43">
        <v>0</v>
      </c>
      <c r="L188" s="43">
        <v>0</v>
      </c>
      <c r="M188" s="918"/>
      <c r="N188" s="16"/>
      <c r="O188" s="16"/>
      <c r="P188" s="16"/>
      <c r="Q188" s="16"/>
      <c r="R188" s="16"/>
    </row>
    <row r="189" spans="1:18" hidden="1" outlineLevel="1" x14ac:dyDescent="0.2">
      <c r="A189" s="532" t="s">
        <v>1226</v>
      </c>
      <c r="B189" s="533" t="str">
        <f t="shared" si="6"/>
        <v>MW</v>
      </c>
      <c r="C189" s="533" t="s">
        <v>157</v>
      </c>
      <c r="D189" s="715">
        <f t="shared" si="7"/>
        <v>1</v>
      </c>
      <c r="E189" s="468" t="s">
        <v>4</v>
      </c>
      <c r="F189" s="534">
        <v>0.6</v>
      </c>
      <c r="G189" s="534">
        <v>0.6</v>
      </c>
      <c r="H189" s="534">
        <v>0.6</v>
      </c>
      <c r="I189" s="534">
        <v>0</v>
      </c>
      <c r="J189" s="534">
        <v>0</v>
      </c>
      <c r="K189" s="534">
        <v>0</v>
      </c>
      <c r="L189" s="534">
        <v>0</v>
      </c>
      <c r="M189" s="888"/>
      <c r="N189" s="16"/>
      <c r="O189" s="16"/>
      <c r="P189" s="16"/>
      <c r="Q189" s="16"/>
      <c r="R189" s="16"/>
    </row>
    <row r="190" spans="1:18" hidden="1" outlineLevel="1" x14ac:dyDescent="0.2">
      <c r="A190" s="22" t="s">
        <v>1226</v>
      </c>
      <c r="B190" s="2" t="str">
        <f t="shared" si="6"/>
        <v>MW</v>
      </c>
      <c r="C190" s="2" t="s">
        <v>157</v>
      </c>
      <c r="D190" s="716">
        <f t="shared" si="7"/>
        <v>1</v>
      </c>
      <c r="E190" s="4" t="s">
        <v>5</v>
      </c>
      <c r="F190" s="43">
        <v>0</v>
      </c>
      <c r="G190" s="43">
        <v>0</v>
      </c>
      <c r="H190" s="43">
        <v>0</v>
      </c>
      <c r="I190" s="43">
        <v>0</v>
      </c>
      <c r="J190" s="43">
        <v>0</v>
      </c>
      <c r="K190" s="43">
        <v>0</v>
      </c>
      <c r="L190" s="43">
        <v>0</v>
      </c>
      <c r="M190" s="887"/>
      <c r="N190" s="16"/>
      <c r="O190" s="16"/>
      <c r="P190" s="16"/>
      <c r="Q190" s="16"/>
      <c r="R190" s="16"/>
    </row>
    <row r="191" spans="1:18" hidden="1" outlineLevel="1" x14ac:dyDescent="0.2">
      <c r="A191" s="22" t="s">
        <v>1226</v>
      </c>
      <c r="B191" s="2" t="str">
        <f t="shared" si="6"/>
        <v>MW</v>
      </c>
      <c r="C191" s="2" t="s">
        <v>157</v>
      </c>
      <c r="D191" s="716">
        <f t="shared" si="7"/>
        <v>1</v>
      </c>
      <c r="E191" s="4" t="s">
        <v>6</v>
      </c>
      <c r="F191" s="43">
        <v>0</v>
      </c>
      <c r="G191" s="43">
        <v>0</v>
      </c>
      <c r="H191" s="43">
        <v>0</v>
      </c>
      <c r="I191" s="43">
        <v>0</v>
      </c>
      <c r="J191" s="43">
        <v>0</v>
      </c>
      <c r="K191" s="43">
        <v>0</v>
      </c>
      <c r="L191" s="43">
        <v>0</v>
      </c>
      <c r="M191" s="887"/>
      <c r="N191" s="16"/>
      <c r="O191" s="16"/>
      <c r="P191" s="16"/>
      <c r="Q191" s="16"/>
      <c r="R191" s="16"/>
    </row>
    <row r="192" spans="1:18" hidden="1" outlineLevel="1" x14ac:dyDescent="0.2">
      <c r="A192" s="22" t="s">
        <v>1226</v>
      </c>
      <c r="B192" s="2" t="str">
        <f t="shared" si="6"/>
        <v>MW</v>
      </c>
      <c r="C192" s="2" t="s">
        <v>157</v>
      </c>
      <c r="D192" s="716">
        <f t="shared" si="7"/>
        <v>1</v>
      </c>
      <c r="E192" s="4" t="s">
        <v>143</v>
      </c>
      <c r="F192" s="43">
        <v>0</v>
      </c>
      <c r="G192" s="43">
        <v>0</v>
      </c>
      <c r="H192" s="43">
        <v>0</v>
      </c>
      <c r="I192" s="43">
        <v>0</v>
      </c>
      <c r="J192" s="43">
        <v>0</v>
      </c>
      <c r="K192" s="43">
        <v>0</v>
      </c>
      <c r="L192" s="43">
        <v>0</v>
      </c>
      <c r="M192" s="887"/>
      <c r="N192" s="16"/>
      <c r="O192" s="16"/>
      <c r="P192" s="16"/>
      <c r="Q192" s="16"/>
      <c r="R192" s="16"/>
    </row>
    <row r="193" spans="1:18" hidden="1" outlineLevel="1" x14ac:dyDescent="0.2">
      <c r="A193" s="22" t="s">
        <v>1226</v>
      </c>
      <c r="B193" s="2" t="str">
        <f t="shared" si="6"/>
        <v>MW</v>
      </c>
      <c r="C193" s="2" t="s">
        <v>157</v>
      </c>
      <c r="D193" s="716">
        <f t="shared" si="7"/>
        <v>1</v>
      </c>
      <c r="E193" s="4" t="s">
        <v>7</v>
      </c>
      <c r="F193" s="43">
        <v>0</v>
      </c>
      <c r="G193" s="43">
        <v>0</v>
      </c>
      <c r="H193" s="43">
        <v>0</v>
      </c>
      <c r="I193" s="43">
        <v>0</v>
      </c>
      <c r="J193" s="43">
        <v>0</v>
      </c>
      <c r="K193" s="43">
        <v>0</v>
      </c>
      <c r="L193" s="43">
        <v>0</v>
      </c>
      <c r="M193" s="887"/>
      <c r="N193" s="16"/>
      <c r="O193" s="16"/>
      <c r="P193" s="16"/>
      <c r="Q193" s="16"/>
      <c r="R193" s="16"/>
    </row>
    <row r="194" spans="1:18" hidden="1" outlineLevel="1" x14ac:dyDescent="0.2">
      <c r="A194" s="22" t="s">
        <v>1226</v>
      </c>
      <c r="B194" s="2" t="str">
        <f t="shared" si="6"/>
        <v>MW</v>
      </c>
      <c r="C194" s="2" t="s">
        <v>157</v>
      </c>
      <c r="D194" s="716">
        <f t="shared" si="7"/>
        <v>1</v>
      </c>
      <c r="E194" s="4" t="s">
        <v>31</v>
      </c>
      <c r="F194" s="43">
        <v>0</v>
      </c>
      <c r="G194" s="43">
        <v>0</v>
      </c>
      <c r="H194" s="43">
        <v>0</v>
      </c>
      <c r="I194" s="43">
        <v>0</v>
      </c>
      <c r="J194" s="43">
        <v>0</v>
      </c>
      <c r="K194" s="43">
        <v>0</v>
      </c>
      <c r="L194" s="43">
        <v>0</v>
      </c>
      <c r="M194" s="887"/>
      <c r="N194" s="16"/>
      <c r="O194" s="16"/>
      <c r="P194" s="16"/>
      <c r="Q194" s="16"/>
      <c r="R194" s="16"/>
    </row>
    <row r="195" spans="1:18" hidden="1" outlineLevel="1" x14ac:dyDescent="0.2">
      <c r="A195" s="22" t="s">
        <v>1226</v>
      </c>
      <c r="B195" s="2" t="str">
        <f t="shared" si="6"/>
        <v>MW</v>
      </c>
      <c r="C195" s="2" t="s">
        <v>157</v>
      </c>
      <c r="D195" s="716">
        <f t="shared" si="7"/>
        <v>1</v>
      </c>
      <c r="E195" s="4" t="s">
        <v>8</v>
      </c>
      <c r="F195" s="43">
        <v>0</v>
      </c>
      <c r="G195" s="43">
        <v>0</v>
      </c>
      <c r="H195" s="43">
        <v>0</v>
      </c>
      <c r="I195" s="43">
        <v>0</v>
      </c>
      <c r="J195" s="43">
        <v>0</v>
      </c>
      <c r="K195" s="43">
        <v>0</v>
      </c>
      <c r="L195" s="43">
        <v>0</v>
      </c>
      <c r="M195" s="887"/>
      <c r="N195" s="16"/>
      <c r="O195" s="16"/>
      <c r="P195" s="16"/>
      <c r="Q195" s="16"/>
      <c r="R195" s="16"/>
    </row>
    <row r="196" spans="1:18" hidden="1" outlineLevel="1" x14ac:dyDescent="0.2">
      <c r="A196" s="22" t="s">
        <v>1226</v>
      </c>
      <c r="B196" s="2" t="str">
        <f t="shared" si="6"/>
        <v>MW</v>
      </c>
      <c r="C196" s="2" t="s">
        <v>157</v>
      </c>
      <c r="D196" s="716">
        <f t="shared" si="7"/>
        <v>1</v>
      </c>
      <c r="E196" s="4" t="s">
        <v>9</v>
      </c>
      <c r="F196" s="43">
        <v>0</v>
      </c>
      <c r="G196" s="43">
        <v>0</v>
      </c>
      <c r="H196" s="43">
        <v>0</v>
      </c>
      <c r="I196" s="43">
        <v>0</v>
      </c>
      <c r="J196" s="43">
        <v>0</v>
      </c>
      <c r="K196" s="43">
        <v>0</v>
      </c>
      <c r="L196" s="43">
        <v>0</v>
      </c>
      <c r="M196" s="887"/>
      <c r="N196" s="16"/>
      <c r="O196" s="16"/>
      <c r="P196" s="16"/>
      <c r="Q196" s="16"/>
      <c r="R196" s="16"/>
    </row>
    <row r="197" spans="1:18" hidden="1" outlineLevel="1" x14ac:dyDescent="0.2">
      <c r="A197" s="22" t="s">
        <v>1226</v>
      </c>
      <c r="B197" s="2" t="str">
        <f t="shared" si="6"/>
        <v>MW</v>
      </c>
      <c r="C197" s="2" t="s">
        <v>157</v>
      </c>
      <c r="D197" s="716">
        <f t="shared" si="7"/>
        <v>1</v>
      </c>
      <c r="E197" s="4" t="s">
        <v>10</v>
      </c>
      <c r="F197" s="43">
        <v>163.66</v>
      </c>
      <c r="G197" s="43">
        <v>163.66</v>
      </c>
      <c r="H197" s="43">
        <v>163.66</v>
      </c>
      <c r="I197" s="43">
        <v>163.66</v>
      </c>
      <c r="J197" s="43">
        <v>163.66</v>
      </c>
      <c r="K197" s="43">
        <v>217.46</v>
      </c>
      <c r="L197" s="43">
        <v>208.66</v>
      </c>
      <c r="M197" s="887"/>
      <c r="N197" s="16"/>
      <c r="O197" s="16"/>
      <c r="P197" s="16"/>
      <c r="Q197" s="16"/>
      <c r="R197" s="16"/>
    </row>
    <row r="198" spans="1:18" hidden="1" outlineLevel="1" x14ac:dyDescent="0.2">
      <c r="A198" s="22" t="s">
        <v>1226</v>
      </c>
      <c r="B198" s="2" t="str">
        <f t="shared" si="6"/>
        <v>MW</v>
      </c>
      <c r="C198" s="2" t="s">
        <v>157</v>
      </c>
      <c r="D198" s="716">
        <f t="shared" si="7"/>
        <v>1</v>
      </c>
      <c r="E198" s="4" t="s">
        <v>11</v>
      </c>
      <c r="F198" s="43">
        <v>0</v>
      </c>
      <c r="G198" s="43">
        <v>0</v>
      </c>
      <c r="H198" s="43">
        <v>0</v>
      </c>
      <c r="I198" s="43">
        <v>0</v>
      </c>
      <c r="J198" s="43">
        <v>0</v>
      </c>
      <c r="K198" s="43">
        <v>0</v>
      </c>
      <c r="L198" s="43">
        <v>0</v>
      </c>
      <c r="M198" s="887"/>
      <c r="N198" s="16"/>
      <c r="O198" s="16"/>
      <c r="P198" s="16"/>
      <c r="Q198" s="16"/>
      <c r="R198" s="16"/>
    </row>
    <row r="199" spans="1:18" hidden="1" outlineLevel="1" x14ac:dyDescent="0.2">
      <c r="A199" s="22" t="s">
        <v>1226</v>
      </c>
      <c r="B199" s="2" t="str">
        <f t="shared" si="6"/>
        <v>MW</v>
      </c>
      <c r="C199" s="2" t="s">
        <v>157</v>
      </c>
      <c r="D199" s="716">
        <f t="shared" si="7"/>
        <v>1</v>
      </c>
      <c r="E199" s="4" t="s">
        <v>12</v>
      </c>
      <c r="F199" s="43">
        <v>0</v>
      </c>
      <c r="G199" s="43">
        <v>0</v>
      </c>
      <c r="H199" s="43">
        <v>0</v>
      </c>
      <c r="I199" s="43">
        <v>0</v>
      </c>
      <c r="J199" s="43">
        <v>0</v>
      </c>
      <c r="K199" s="43">
        <v>0</v>
      </c>
      <c r="L199" s="43">
        <v>0</v>
      </c>
      <c r="M199" s="887"/>
      <c r="N199" s="16"/>
      <c r="O199" s="16"/>
      <c r="P199" s="16"/>
      <c r="Q199" s="16"/>
      <c r="R199" s="16"/>
    </row>
    <row r="200" spans="1:18" hidden="1" outlineLevel="1" x14ac:dyDescent="0.2">
      <c r="A200" s="22" t="s">
        <v>1226</v>
      </c>
      <c r="B200" s="2" t="str">
        <f t="shared" ref="B200:B263" si="8">IF(A200="Capacity", "MW", "GWh")</f>
        <v>MW</v>
      </c>
      <c r="C200" s="2" t="s">
        <v>157</v>
      </c>
      <c r="D200" s="716">
        <f t="shared" si="7"/>
        <v>1</v>
      </c>
      <c r="E200" s="4" t="s">
        <v>1</v>
      </c>
      <c r="F200" s="43">
        <v>151.19999999999999</v>
      </c>
      <c r="G200" s="43">
        <v>204.4</v>
      </c>
      <c r="H200" s="43">
        <v>204.4</v>
      </c>
      <c r="I200" s="43">
        <v>204.4</v>
      </c>
      <c r="J200" s="43">
        <v>204.4</v>
      </c>
      <c r="K200" s="43">
        <v>204.4</v>
      </c>
      <c r="L200" s="43">
        <v>204.4</v>
      </c>
      <c r="M200" s="887"/>
      <c r="N200" s="16"/>
      <c r="O200" s="16"/>
      <c r="P200" s="16"/>
      <c r="Q200" s="16"/>
      <c r="R200" s="16"/>
    </row>
    <row r="201" spans="1:18" hidden="1" outlineLevel="1" x14ac:dyDescent="0.2">
      <c r="A201" s="22" t="s">
        <v>1226</v>
      </c>
      <c r="B201" s="2" t="str">
        <f t="shared" si="8"/>
        <v>MW</v>
      </c>
      <c r="C201" s="2" t="s">
        <v>157</v>
      </c>
      <c r="D201" s="716">
        <f t="shared" si="7"/>
        <v>1</v>
      </c>
      <c r="E201" s="4" t="s">
        <v>13</v>
      </c>
      <c r="F201" s="43">
        <v>24</v>
      </c>
      <c r="G201" s="43">
        <v>49.2</v>
      </c>
      <c r="H201" s="43">
        <v>49.2</v>
      </c>
      <c r="I201" s="43">
        <v>49.2</v>
      </c>
      <c r="J201" s="43">
        <v>49.2</v>
      </c>
      <c r="K201" s="43">
        <v>49.2</v>
      </c>
      <c r="L201" s="43">
        <v>49.2</v>
      </c>
      <c r="M201" s="887"/>
      <c r="N201" s="16"/>
      <c r="O201" s="16"/>
      <c r="P201" s="16"/>
      <c r="Q201" s="16"/>
      <c r="R201" s="16"/>
    </row>
    <row r="202" spans="1:18" hidden="1" outlineLevel="1" x14ac:dyDescent="0.2">
      <c r="A202" s="22" t="s">
        <v>1226</v>
      </c>
      <c r="B202" s="2" t="str">
        <f t="shared" si="8"/>
        <v>MW</v>
      </c>
      <c r="C202" s="2" t="s">
        <v>157</v>
      </c>
      <c r="D202" s="716">
        <f t="shared" si="7"/>
        <v>1</v>
      </c>
      <c r="E202" s="4" t="s">
        <v>14</v>
      </c>
      <c r="F202" s="43">
        <v>0</v>
      </c>
      <c r="G202" s="43">
        <v>0</v>
      </c>
      <c r="H202" s="43">
        <v>0</v>
      </c>
      <c r="I202" s="43">
        <v>0</v>
      </c>
      <c r="J202" s="43">
        <v>0</v>
      </c>
      <c r="K202" s="43">
        <v>0</v>
      </c>
      <c r="L202" s="43">
        <v>0</v>
      </c>
      <c r="M202" s="887"/>
      <c r="N202" s="16"/>
      <c r="O202" s="16"/>
      <c r="P202" s="16"/>
      <c r="Q202" s="16"/>
      <c r="R202" s="16"/>
    </row>
    <row r="203" spans="1:18" hidden="1" outlineLevel="1" x14ac:dyDescent="0.2">
      <c r="A203" s="22" t="s">
        <v>1226</v>
      </c>
      <c r="B203" s="2" t="str">
        <f t="shared" si="8"/>
        <v>MW</v>
      </c>
      <c r="C203" s="2" t="s">
        <v>157</v>
      </c>
      <c r="D203" s="716">
        <f t="shared" ref="D203:D267" si="9">IF(C203="","",IF(OR(C203="Wind",C203="Solar",C203="Geothermal",C203="Small Hydro",C203="Biofuels",C203="Biomass &amp; Waste"), 1, 0))</f>
        <v>1</v>
      </c>
      <c r="E203" s="4" t="s">
        <v>15</v>
      </c>
      <c r="F203" s="43">
        <v>0</v>
      </c>
      <c r="G203" s="43">
        <v>0</v>
      </c>
      <c r="H203" s="43">
        <v>0</v>
      </c>
      <c r="I203" s="43">
        <v>0</v>
      </c>
      <c r="J203" s="43">
        <v>0</v>
      </c>
      <c r="K203" s="43">
        <v>0</v>
      </c>
      <c r="L203" s="43">
        <v>0</v>
      </c>
      <c r="M203" s="887"/>
      <c r="N203" s="16"/>
      <c r="O203" s="16"/>
      <c r="P203" s="16"/>
      <c r="Q203" s="16"/>
      <c r="R203" s="16"/>
    </row>
    <row r="204" spans="1:18" hidden="1" outlineLevel="1" x14ac:dyDescent="0.2">
      <c r="A204" s="22" t="s">
        <v>1226</v>
      </c>
      <c r="B204" s="2" t="str">
        <f t="shared" si="8"/>
        <v>MW</v>
      </c>
      <c r="C204" s="2" t="s">
        <v>157</v>
      </c>
      <c r="D204" s="716">
        <f t="shared" si="9"/>
        <v>1</v>
      </c>
      <c r="E204" s="4" t="s">
        <v>16</v>
      </c>
      <c r="F204" s="43">
        <v>0</v>
      </c>
      <c r="G204" s="43">
        <v>0</v>
      </c>
      <c r="H204" s="43">
        <v>0</v>
      </c>
      <c r="I204" s="43">
        <v>0</v>
      </c>
      <c r="J204" s="43">
        <v>0</v>
      </c>
      <c r="K204" s="43">
        <v>0</v>
      </c>
      <c r="L204" s="43">
        <v>0</v>
      </c>
      <c r="M204" s="887"/>
      <c r="N204" s="16"/>
      <c r="O204" s="16"/>
      <c r="P204" s="16"/>
      <c r="Q204" s="16"/>
      <c r="R204" s="16"/>
    </row>
    <row r="205" spans="1:18" hidden="1" outlineLevel="1" x14ac:dyDescent="0.2">
      <c r="A205" s="22" t="s">
        <v>1226</v>
      </c>
      <c r="B205" s="2" t="str">
        <f t="shared" si="8"/>
        <v>MW</v>
      </c>
      <c r="C205" s="2" t="s">
        <v>157</v>
      </c>
      <c r="D205" s="716">
        <f t="shared" si="9"/>
        <v>1</v>
      </c>
      <c r="E205" s="4" t="s">
        <v>17</v>
      </c>
      <c r="F205" s="43">
        <v>0</v>
      </c>
      <c r="G205" s="43">
        <v>0</v>
      </c>
      <c r="H205" s="43">
        <v>0</v>
      </c>
      <c r="I205" s="43">
        <v>0</v>
      </c>
      <c r="J205" s="43">
        <v>0</v>
      </c>
      <c r="K205" s="43">
        <v>0</v>
      </c>
      <c r="L205" s="43">
        <v>0</v>
      </c>
      <c r="M205" s="887"/>
      <c r="N205" s="16"/>
      <c r="O205" s="16"/>
      <c r="P205" s="16"/>
      <c r="Q205" s="16"/>
      <c r="R205" s="16"/>
    </row>
    <row r="206" spans="1:18" hidden="1" outlineLevel="1" x14ac:dyDescent="0.2">
      <c r="A206" s="22" t="s">
        <v>1226</v>
      </c>
      <c r="B206" s="2" t="str">
        <f t="shared" si="8"/>
        <v>MW</v>
      </c>
      <c r="C206" s="2" t="s">
        <v>157</v>
      </c>
      <c r="D206" s="716">
        <f t="shared" si="9"/>
        <v>1</v>
      </c>
      <c r="E206" s="4" t="s">
        <v>18</v>
      </c>
      <c r="F206" s="43">
        <v>959.5</v>
      </c>
      <c r="G206" s="43">
        <v>959.5</v>
      </c>
      <c r="H206" s="43">
        <v>964.5</v>
      </c>
      <c r="I206" s="43">
        <v>964.5</v>
      </c>
      <c r="J206" s="43">
        <v>964.5</v>
      </c>
      <c r="K206" s="43">
        <v>886.6</v>
      </c>
      <c r="L206" s="43">
        <v>811.6</v>
      </c>
      <c r="M206" s="887"/>
      <c r="N206" s="16"/>
      <c r="O206" s="16"/>
      <c r="P206" s="16"/>
      <c r="Q206" s="16"/>
      <c r="R206" s="16"/>
    </row>
    <row r="207" spans="1:18" hidden="1" outlineLevel="1" x14ac:dyDescent="0.2">
      <c r="A207" s="22" t="s">
        <v>1226</v>
      </c>
      <c r="B207" s="2" t="str">
        <f t="shared" si="8"/>
        <v>MW</v>
      </c>
      <c r="C207" s="2" t="s">
        <v>157</v>
      </c>
      <c r="D207" s="716">
        <f t="shared" si="9"/>
        <v>1</v>
      </c>
      <c r="E207" s="4" t="s">
        <v>2</v>
      </c>
      <c r="F207" s="43">
        <v>87.5</v>
      </c>
      <c r="G207" s="43">
        <v>87.5</v>
      </c>
      <c r="H207" s="43">
        <v>87.5</v>
      </c>
      <c r="I207" s="43">
        <v>87.5</v>
      </c>
      <c r="J207" s="43">
        <v>87.5</v>
      </c>
      <c r="K207" s="43">
        <v>87.5</v>
      </c>
      <c r="L207" s="43">
        <v>164.5</v>
      </c>
      <c r="M207" s="887"/>
      <c r="N207" s="16"/>
      <c r="O207" s="16"/>
      <c r="P207" s="16"/>
      <c r="Q207" s="16"/>
      <c r="R207" s="16"/>
    </row>
    <row r="208" spans="1:18" hidden="1" outlineLevel="1" x14ac:dyDescent="0.2">
      <c r="A208" s="22" t="s">
        <v>1226</v>
      </c>
      <c r="B208" s="2" t="str">
        <f t="shared" si="8"/>
        <v>MW</v>
      </c>
      <c r="C208" s="2" t="s">
        <v>157</v>
      </c>
      <c r="D208" s="716">
        <f t="shared" si="9"/>
        <v>1</v>
      </c>
      <c r="E208" s="4" t="s">
        <v>19</v>
      </c>
      <c r="F208" s="43">
        <v>0</v>
      </c>
      <c r="G208" s="43">
        <v>0</v>
      </c>
      <c r="H208" s="43">
        <v>0</v>
      </c>
      <c r="I208" s="43">
        <v>0</v>
      </c>
      <c r="J208" s="43">
        <v>0</v>
      </c>
      <c r="K208" s="43">
        <v>0</v>
      </c>
      <c r="L208" s="43">
        <v>0</v>
      </c>
      <c r="M208" s="887"/>
      <c r="N208" s="16"/>
      <c r="O208" s="16"/>
      <c r="P208" s="16"/>
      <c r="Q208" s="16"/>
      <c r="R208" s="16"/>
    </row>
    <row r="209" spans="1:18" hidden="1" outlineLevel="1" x14ac:dyDescent="0.2">
      <c r="A209" s="22" t="s">
        <v>1226</v>
      </c>
      <c r="B209" s="2" t="str">
        <f t="shared" si="8"/>
        <v>MW</v>
      </c>
      <c r="C209" s="2" t="s">
        <v>157</v>
      </c>
      <c r="D209" s="716">
        <f t="shared" si="9"/>
        <v>1</v>
      </c>
      <c r="E209" s="4" t="s">
        <v>3</v>
      </c>
      <c r="F209" s="43">
        <v>0</v>
      </c>
      <c r="G209" s="43">
        <v>0</v>
      </c>
      <c r="H209" s="43">
        <v>0</v>
      </c>
      <c r="I209" s="43">
        <v>0</v>
      </c>
      <c r="J209" s="43">
        <v>0</v>
      </c>
      <c r="K209" s="43">
        <v>0</v>
      </c>
      <c r="L209" s="43">
        <v>0</v>
      </c>
      <c r="M209" s="887"/>
      <c r="N209" s="16"/>
      <c r="O209" s="16"/>
      <c r="P209" s="16"/>
      <c r="Q209" s="16"/>
      <c r="R209" s="16"/>
    </row>
    <row r="210" spans="1:18" hidden="1" outlineLevel="1" x14ac:dyDescent="0.2">
      <c r="A210" s="22" t="s">
        <v>1226</v>
      </c>
      <c r="B210" s="2" t="str">
        <f t="shared" si="8"/>
        <v>MW</v>
      </c>
      <c r="C210" s="2" t="s">
        <v>157</v>
      </c>
      <c r="D210" s="716">
        <f t="shared" si="9"/>
        <v>1</v>
      </c>
      <c r="E210" s="4" t="s">
        <v>20</v>
      </c>
      <c r="F210" s="43">
        <v>0</v>
      </c>
      <c r="G210" s="43">
        <v>0</v>
      </c>
      <c r="H210" s="43">
        <v>0</v>
      </c>
      <c r="I210" s="43">
        <v>0</v>
      </c>
      <c r="J210" s="43">
        <v>0</v>
      </c>
      <c r="K210" s="43">
        <v>0</v>
      </c>
      <c r="L210" s="43">
        <v>0</v>
      </c>
      <c r="M210" s="887"/>
      <c r="N210" s="16"/>
      <c r="O210" s="16"/>
      <c r="P210" s="16"/>
      <c r="Q210" s="16"/>
      <c r="R210" s="16"/>
    </row>
    <row r="211" spans="1:18" hidden="1" outlineLevel="1" x14ac:dyDescent="0.2">
      <c r="A211" s="22" t="s">
        <v>1226</v>
      </c>
      <c r="B211" s="2" t="str">
        <f t="shared" si="8"/>
        <v>MW</v>
      </c>
      <c r="C211" s="2" t="s">
        <v>157</v>
      </c>
      <c r="D211" s="716">
        <f t="shared" si="9"/>
        <v>1</v>
      </c>
      <c r="E211" s="4" t="s">
        <v>21</v>
      </c>
      <c r="F211" s="43">
        <v>0</v>
      </c>
      <c r="G211" s="43">
        <v>0</v>
      </c>
      <c r="H211" s="43">
        <v>0</v>
      </c>
      <c r="I211" s="43">
        <v>0</v>
      </c>
      <c r="J211" s="43">
        <v>0</v>
      </c>
      <c r="K211" s="43">
        <v>0</v>
      </c>
      <c r="L211" s="43">
        <v>0</v>
      </c>
      <c r="M211" s="887"/>
      <c r="N211" s="16"/>
      <c r="O211" s="16"/>
      <c r="P211" s="16"/>
      <c r="Q211" s="16"/>
      <c r="R211" s="16"/>
    </row>
    <row r="212" spans="1:18" hidden="1" outlineLevel="1" x14ac:dyDescent="0.2">
      <c r="A212" s="22" t="s">
        <v>1226</v>
      </c>
      <c r="B212" s="2" t="str">
        <f t="shared" si="8"/>
        <v>MW</v>
      </c>
      <c r="C212" s="2" t="s">
        <v>157</v>
      </c>
      <c r="D212" s="716">
        <f t="shared" si="9"/>
        <v>1</v>
      </c>
      <c r="E212" s="4" t="s">
        <v>1096</v>
      </c>
      <c r="F212" s="43">
        <v>0</v>
      </c>
      <c r="G212" s="43">
        <v>0</v>
      </c>
      <c r="H212" s="43">
        <v>0</v>
      </c>
      <c r="I212" s="43">
        <v>0</v>
      </c>
      <c r="J212" s="43">
        <v>0</v>
      </c>
      <c r="K212" s="43">
        <v>0</v>
      </c>
      <c r="L212" s="43">
        <v>0</v>
      </c>
      <c r="M212" s="887"/>
      <c r="N212" s="16"/>
      <c r="O212" s="16"/>
      <c r="P212" s="16"/>
      <c r="Q212" s="16"/>
      <c r="R212" s="16"/>
    </row>
    <row r="213" spans="1:18" hidden="1" outlineLevel="1" x14ac:dyDescent="0.2">
      <c r="A213" s="22" t="s">
        <v>1226</v>
      </c>
      <c r="B213" s="2" t="str">
        <f t="shared" si="8"/>
        <v>MW</v>
      </c>
      <c r="C213" s="2" t="s">
        <v>157</v>
      </c>
      <c r="D213" s="716">
        <f t="shared" si="9"/>
        <v>1</v>
      </c>
      <c r="E213" s="4" t="s">
        <v>22</v>
      </c>
      <c r="F213" s="43">
        <v>0</v>
      </c>
      <c r="G213" s="43">
        <v>0</v>
      </c>
      <c r="H213" s="43">
        <v>0</v>
      </c>
      <c r="I213" s="43">
        <v>0</v>
      </c>
      <c r="J213" s="43">
        <v>0</v>
      </c>
      <c r="K213" s="43">
        <v>0</v>
      </c>
      <c r="L213" s="43">
        <v>0</v>
      </c>
      <c r="M213" s="887"/>
      <c r="N213" s="16"/>
      <c r="O213" s="16"/>
      <c r="P213" s="16"/>
      <c r="Q213" s="16"/>
      <c r="R213" s="16"/>
    </row>
    <row r="214" spans="1:18" hidden="1" outlineLevel="1" x14ac:dyDescent="0.2">
      <c r="A214" s="22" t="s">
        <v>1226</v>
      </c>
      <c r="B214" s="2" t="str">
        <f t="shared" si="8"/>
        <v>MW</v>
      </c>
      <c r="C214" s="2" t="s">
        <v>157</v>
      </c>
      <c r="D214" s="717">
        <f t="shared" si="9"/>
        <v>1</v>
      </c>
      <c r="E214" s="86" t="s">
        <v>23</v>
      </c>
      <c r="F214" s="43">
        <v>0</v>
      </c>
      <c r="G214" s="43">
        <v>0</v>
      </c>
      <c r="H214" s="43">
        <v>0</v>
      </c>
      <c r="I214" s="43">
        <v>0</v>
      </c>
      <c r="J214" s="43">
        <v>0</v>
      </c>
      <c r="K214" s="43">
        <v>0</v>
      </c>
      <c r="L214" s="43">
        <v>0</v>
      </c>
      <c r="M214" s="918"/>
      <c r="N214" s="16"/>
      <c r="O214" s="16"/>
      <c r="P214" s="16"/>
      <c r="Q214" s="16"/>
      <c r="R214" s="16"/>
    </row>
    <row r="215" spans="1:18" hidden="1" outlineLevel="1" x14ac:dyDescent="0.2">
      <c r="A215" s="532" t="s">
        <v>1226</v>
      </c>
      <c r="B215" s="533" t="str">
        <f t="shared" si="8"/>
        <v>MW</v>
      </c>
      <c r="C215" s="533" t="s">
        <v>114</v>
      </c>
      <c r="D215" s="718">
        <f t="shared" si="9"/>
        <v>1</v>
      </c>
      <c r="E215" s="468" t="s">
        <v>4</v>
      </c>
      <c r="F215" s="534">
        <v>0</v>
      </c>
      <c r="G215" s="534">
        <v>0</v>
      </c>
      <c r="H215" s="534">
        <v>0</v>
      </c>
      <c r="I215" s="534">
        <v>0.2</v>
      </c>
      <c r="J215" s="534">
        <v>0.2</v>
      </c>
      <c r="K215" s="534">
        <v>0.2</v>
      </c>
      <c r="L215" s="534">
        <v>0.2</v>
      </c>
      <c r="M215" s="888"/>
      <c r="N215" s="16"/>
      <c r="O215" s="16"/>
      <c r="P215" s="16"/>
      <c r="Q215" s="16"/>
      <c r="R215" s="16"/>
    </row>
    <row r="216" spans="1:18" hidden="1" outlineLevel="1" x14ac:dyDescent="0.2">
      <c r="A216" s="22" t="s">
        <v>1226</v>
      </c>
      <c r="B216" s="2" t="str">
        <f t="shared" si="8"/>
        <v>MW</v>
      </c>
      <c r="C216" s="2" t="s">
        <v>114</v>
      </c>
      <c r="D216" s="716">
        <f t="shared" si="9"/>
        <v>1</v>
      </c>
      <c r="E216" s="4" t="s">
        <v>5</v>
      </c>
      <c r="F216" s="43">
        <v>0</v>
      </c>
      <c r="G216" s="43">
        <v>0</v>
      </c>
      <c r="H216" s="43">
        <v>0</v>
      </c>
      <c r="I216" s="43">
        <v>0</v>
      </c>
      <c r="J216" s="43">
        <v>0</v>
      </c>
      <c r="K216" s="43">
        <v>0</v>
      </c>
      <c r="L216" s="43">
        <v>0</v>
      </c>
      <c r="M216" s="887"/>
      <c r="N216" s="16"/>
      <c r="O216" s="16"/>
      <c r="P216" s="16"/>
      <c r="Q216" s="16"/>
      <c r="R216" s="16"/>
    </row>
    <row r="217" spans="1:18" hidden="1" outlineLevel="1" x14ac:dyDescent="0.2">
      <c r="A217" s="22" t="s">
        <v>1226</v>
      </c>
      <c r="B217" s="2" t="str">
        <f t="shared" si="8"/>
        <v>MW</v>
      </c>
      <c r="C217" s="2" t="s">
        <v>114</v>
      </c>
      <c r="D217" s="716">
        <f t="shared" si="9"/>
        <v>1</v>
      </c>
      <c r="E217" s="4" t="s">
        <v>6</v>
      </c>
      <c r="F217" s="43">
        <v>0</v>
      </c>
      <c r="G217" s="43">
        <v>0</v>
      </c>
      <c r="H217" s="43">
        <v>0</v>
      </c>
      <c r="I217" s="43">
        <v>0</v>
      </c>
      <c r="J217" s="43">
        <v>0</v>
      </c>
      <c r="K217" s="43">
        <v>0</v>
      </c>
      <c r="L217" s="43">
        <v>0</v>
      </c>
      <c r="M217" s="887"/>
      <c r="N217" s="16"/>
      <c r="O217" s="16"/>
      <c r="P217" s="16"/>
      <c r="Q217" s="16"/>
      <c r="R217" s="16"/>
    </row>
    <row r="218" spans="1:18" hidden="1" outlineLevel="1" x14ac:dyDescent="0.2">
      <c r="A218" s="22" t="s">
        <v>1226</v>
      </c>
      <c r="B218" s="2" t="str">
        <f t="shared" si="8"/>
        <v>MW</v>
      </c>
      <c r="C218" s="2" t="s">
        <v>114</v>
      </c>
      <c r="D218" s="716">
        <f t="shared" si="9"/>
        <v>1</v>
      </c>
      <c r="E218" s="4" t="s">
        <v>143</v>
      </c>
      <c r="F218" s="43">
        <v>0</v>
      </c>
      <c r="G218" s="43">
        <v>0</v>
      </c>
      <c r="H218" s="43">
        <v>0</v>
      </c>
      <c r="I218" s="43">
        <v>31.5</v>
      </c>
      <c r="J218" s="43">
        <v>31.5</v>
      </c>
      <c r="K218" s="43">
        <v>31.5</v>
      </c>
      <c r="L218" s="43">
        <v>31.5</v>
      </c>
      <c r="M218" s="887"/>
      <c r="N218" s="16"/>
      <c r="O218" s="16"/>
      <c r="P218" s="16"/>
      <c r="Q218" s="16"/>
      <c r="R218" s="16"/>
    </row>
    <row r="219" spans="1:18" hidden="1" outlineLevel="1" x14ac:dyDescent="0.2">
      <c r="A219" s="22" t="s">
        <v>1226</v>
      </c>
      <c r="B219" s="2" t="str">
        <f t="shared" si="8"/>
        <v>MW</v>
      </c>
      <c r="C219" s="2" t="s">
        <v>114</v>
      </c>
      <c r="D219" s="716">
        <f t="shared" si="9"/>
        <v>1</v>
      </c>
      <c r="E219" s="4" t="s">
        <v>7</v>
      </c>
      <c r="F219" s="43">
        <v>25</v>
      </c>
      <c r="G219" s="43">
        <v>25</v>
      </c>
      <c r="H219" s="43">
        <v>25</v>
      </c>
      <c r="I219" s="43">
        <v>25</v>
      </c>
      <c r="J219" s="43">
        <v>25</v>
      </c>
      <c r="K219" s="43">
        <v>25</v>
      </c>
      <c r="L219" s="43">
        <v>25</v>
      </c>
      <c r="M219" s="887"/>
      <c r="N219" s="16"/>
      <c r="O219" s="16"/>
      <c r="P219" s="16"/>
      <c r="Q219" s="16"/>
      <c r="R219" s="16"/>
    </row>
    <row r="220" spans="1:18" hidden="1" outlineLevel="1" x14ac:dyDescent="0.2">
      <c r="A220" s="22" t="s">
        <v>1226</v>
      </c>
      <c r="B220" s="2" t="str">
        <f t="shared" si="8"/>
        <v>MW</v>
      </c>
      <c r="C220" s="2" t="s">
        <v>114</v>
      </c>
      <c r="D220" s="716">
        <f t="shared" si="9"/>
        <v>1</v>
      </c>
      <c r="E220" s="4" t="s">
        <v>31</v>
      </c>
      <c r="F220" s="43">
        <v>2909.4400000000005</v>
      </c>
      <c r="G220" s="43">
        <v>3636.8</v>
      </c>
      <c r="H220" s="43">
        <v>4546</v>
      </c>
      <c r="I220" s="43">
        <v>5439</v>
      </c>
      <c r="J220" s="43">
        <v>6703</v>
      </c>
      <c r="K220" s="43">
        <v>8622</v>
      </c>
      <c r="L220" s="43">
        <v>9815.9</v>
      </c>
      <c r="M220" s="887"/>
      <c r="N220" s="16"/>
      <c r="O220" s="16"/>
      <c r="P220" s="16"/>
      <c r="Q220" s="16"/>
      <c r="R220" s="16"/>
    </row>
    <row r="221" spans="1:18" hidden="1" outlineLevel="1" x14ac:dyDescent="0.2">
      <c r="A221" s="22" t="s">
        <v>1226</v>
      </c>
      <c r="B221" s="2" t="str">
        <f t="shared" si="8"/>
        <v>MW</v>
      </c>
      <c r="C221" s="2" t="s">
        <v>114</v>
      </c>
      <c r="D221" s="716">
        <f t="shared" si="9"/>
        <v>1</v>
      </c>
      <c r="E221" s="4" t="s">
        <v>8</v>
      </c>
      <c r="F221" s="43">
        <v>130.1</v>
      </c>
      <c r="G221" s="43">
        <v>152.1215</v>
      </c>
      <c r="H221" s="43">
        <v>189.1215</v>
      </c>
      <c r="I221" s="43">
        <v>206.7465</v>
      </c>
      <c r="J221" s="43">
        <v>209.2465</v>
      </c>
      <c r="K221" s="43">
        <v>230.86750000000001</v>
      </c>
      <c r="L221" s="43">
        <v>322.26749999999998</v>
      </c>
      <c r="M221" s="887"/>
      <c r="N221" s="16"/>
      <c r="O221" s="16"/>
      <c r="P221" s="16"/>
      <c r="Q221" s="16"/>
      <c r="R221" s="16"/>
    </row>
    <row r="222" spans="1:18" hidden="1" outlineLevel="1" x14ac:dyDescent="0.2">
      <c r="A222" s="22" t="s">
        <v>1226</v>
      </c>
      <c r="B222" s="2" t="str">
        <f t="shared" si="8"/>
        <v>MW</v>
      </c>
      <c r="C222" s="2" t="s">
        <v>114</v>
      </c>
      <c r="D222" s="716">
        <f t="shared" si="9"/>
        <v>1</v>
      </c>
      <c r="E222" s="4" t="s">
        <v>9</v>
      </c>
      <c r="F222" s="43">
        <v>24.5</v>
      </c>
      <c r="G222" s="43">
        <v>24.5</v>
      </c>
      <c r="H222" s="43">
        <v>24.5</v>
      </c>
      <c r="I222" s="43">
        <v>35</v>
      </c>
      <c r="J222" s="43">
        <v>54.9</v>
      </c>
      <c r="K222" s="43">
        <v>54.8</v>
      </c>
      <c r="L222" s="43">
        <v>57.3</v>
      </c>
      <c r="M222" s="887"/>
      <c r="N222" s="16"/>
      <c r="O222" s="16"/>
      <c r="P222" s="16"/>
      <c r="Q222" s="16"/>
      <c r="R222" s="16"/>
    </row>
    <row r="223" spans="1:18" hidden="1" outlineLevel="1" x14ac:dyDescent="0.2">
      <c r="A223" s="22" t="s">
        <v>1226</v>
      </c>
      <c r="B223" s="2" t="str">
        <f t="shared" si="8"/>
        <v>MW</v>
      </c>
      <c r="C223" s="2" t="s">
        <v>114</v>
      </c>
      <c r="D223" s="716">
        <f t="shared" si="9"/>
        <v>1</v>
      </c>
      <c r="E223" s="4" t="s">
        <v>10</v>
      </c>
      <c r="F223" s="43">
        <v>19.5</v>
      </c>
      <c r="G223" s="43">
        <v>19.5</v>
      </c>
      <c r="H223" s="43">
        <v>32.5</v>
      </c>
      <c r="I223" s="43">
        <v>32.5</v>
      </c>
      <c r="J223" s="43">
        <v>32.5</v>
      </c>
      <c r="K223" s="43">
        <v>40</v>
      </c>
      <c r="L223" s="43">
        <v>30</v>
      </c>
      <c r="M223" s="887"/>
      <c r="N223" s="16"/>
      <c r="O223" s="16"/>
      <c r="P223" s="16"/>
      <c r="Q223" s="16"/>
      <c r="R223" s="16"/>
    </row>
    <row r="224" spans="1:18" hidden="1" outlineLevel="1" x14ac:dyDescent="0.2">
      <c r="A224" s="22" t="s">
        <v>1226</v>
      </c>
      <c r="B224" s="2" t="str">
        <f t="shared" si="8"/>
        <v>MW</v>
      </c>
      <c r="C224" s="2" t="s">
        <v>114</v>
      </c>
      <c r="D224" s="716">
        <f t="shared" si="9"/>
        <v>1</v>
      </c>
      <c r="E224" s="4" t="s">
        <v>11</v>
      </c>
      <c r="F224" s="43">
        <v>0</v>
      </c>
      <c r="G224" s="43">
        <v>0</v>
      </c>
      <c r="H224" s="43">
        <v>0</v>
      </c>
      <c r="I224" s="43">
        <v>0</v>
      </c>
      <c r="J224" s="43">
        <v>0</v>
      </c>
      <c r="K224" s="43">
        <v>0</v>
      </c>
      <c r="L224" s="43">
        <v>0</v>
      </c>
      <c r="M224" s="887"/>
      <c r="N224" s="16"/>
      <c r="O224" s="16"/>
      <c r="P224" s="16"/>
      <c r="Q224" s="16"/>
      <c r="R224" s="16"/>
    </row>
    <row r="225" spans="1:18" hidden="1" outlineLevel="1" x14ac:dyDescent="0.2">
      <c r="A225" s="22" t="s">
        <v>1226</v>
      </c>
      <c r="B225" s="2" t="str">
        <f t="shared" si="8"/>
        <v>MW</v>
      </c>
      <c r="C225" s="2" t="s">
        <v>114</v>
      </c>
      <c r="D225" s="716">
        <f t="shared" si="9"/>
        <v>1</v>
      </c>
      <c r="E225" s="4" t="s">
        <v>12</v>
      </c>
      <c r="F225" s="43">
        <v>73.8</v>
      </c>
      <c r="G225" s="43">
        <v>73.8</v>
      </c>
      <c r="H225" s="43">
        <v>106.8</v>
      </c>
      <c r="I225" s="43">
        <v>106.8</v>
      </c>
      <c r="J225" s="43">
        <v>101.3</v>
      </c>
      <c r="K225" s="43">
        <v>101.3</v>
      </c>
      <c r="L225" s="43">
        <v>101.3</v>
      </c>
      <c r="M225" s="887"/>
      <c r="N225" s="16"/>
      <c r="O225" s="16"/>
      <c r="P225" s="16"/>
      <c r="Q225" s="16"/>
      <c r="R225" s="16"/>
    </row>
    <row r="226" spans="1:18" hidden="1" outlineLevel="1" x14ac:dyDescent="0.2">
      <c r="A226" s="22" t="s">
        <v>1226</v>
      </c>
      <c r="B226" s="2" t="str">
        <f t="shared" si="8"/>
        <v>MW</v>
      </c>
      <c r="C226" s="2" t="s">
        <v>114</v>
      </c>
      <c r="D226" s="716">
        <f t="shared" si="9"/>
        <v>1</v>
      </c>
      <c r="E226" s="4" t="s">
        <v>1</v>
      </c>
      <c r="F226" s="43">
        <v>85.5</v>
      </c>
      <c r="G226" s="43">
        <v>113</v>
      </c>
      <c r="H226" s="43">
        <v>109</v>
      </c>
      <c r="I226" s="43">
        <v>109</v>
      </c>
      <c r="J226" s="43">
        <v>99</v>
      </c>
      <c r="K226" s="43">
        <v>109.5</v>
      </c>
      <c r="L226" s="43">
        <v>109.5</v>
      </c>
      <c r="M226" s="887"/>
      <c r="N226" s="16"/>
      <c r="O226" s="16"/>
      <c r="P226" s="16"/>
      <c r="Q226" s="16"/>
      <c r="R226" s="16"/>
    </row>
    <row r="227" spans="1:18" hidden="1" outlineLevel="1" x14ac:dyDescent="0.2">
      <c r="A227" s="22" t="s">
        <v>1226</v>
      </c>
      <c r="B227" s="2" t="str">
        <f t="shared" si="8"/>
        <v>MW</v>
      </c>
      <c r="C227" s="2" t="s">
        <v>114</v>
      </c>
      <c r="D227" s="716">
        <f t="shared" si="9"/>
        <v>1</v>
      </c>
      <c r="E227" s="4" t="s">
        <v>13</v>
      </c>
      <c r="F227" s="43">
        <v>246.75</v>
      </c>
      <c r="G227" s="43">
        <v>246.75</v>
      </c>
      <c r="H227" s="43">
        <v>246.75</v>
      </c>
      <c r="I227" s="43">
        <v>256.75</v>
      </c>
      <c r="J227" s="43">
        <v>256.75</v>
      </c>
      <c r="K227" s="43">
        <v>287.75</v>
      </c>
      <c r="L227" s="43">
        <v>298.25</v>
      </c>
      <c r="M227" s="887"/>
      <c r="N227" s="16"/>
      <c r="O227" s="16"/>
      <c r="P227" s="16"/>
      <c r="Q227" s="16"/>
      <c r="R227" s="16"/>
    </row>
    <row r="228" spans="1:18" hidden="1" outlineLevel="1" x14ac:dyDescent="0.2">
      <c r="A228" s="22" t="s">
        <v>1226</v>
      </c>
      <c r="B228" s="2" t="str">
        <f t="shared" si="8"/>
        <v>MW</v>
      </c>
      <c r="C228" s="2" t="s">
        <v>114</v>
      </c>
      <c r="D228" s="716">
        <f t="shared" si="9"/>
        <v>1</v>
      </c>
      <c r="E228" s="4" t="s">
        <v>14</v>
      </c>
      <c r="F228" s="43">
        <v>0</v>
      </c>
      <c r="G228" s="43">
        <v>0</v>
      </c>
      <c r="H228" s="43">
        <v>0</v>
      </c>
      <c r="I228" s="43">
        <v>15</v>
      </c>
      <c r="J228" s="43">
        <v>15</v>
      </c>
      <c r="K228" s="43">
        <v>15</v>
      </c>
      <c r="L228" s="43">
        <v>15</v>
      </c>
      <c r="M228" s="887"/>
      <c r="N228" s="16"/>
      <c r="O228" s="16"/>
      <c r="P228" s="16"/>
      <c r="Q228" s="16"/>
      <c r="R228" s="16"/>
    </row>
    <row r="229" spans="1:18" hidden="1" outlineLevel="1" x14ac:dyDescent="0.2">
      <c r="A229" s="22" t="s">
        <v>1226</v>
      </c>
      <c r="B229" s="2" t="str">
        <f t="shared" si="8"/>
        <v>MW</v>
      </c>
      <c r="C229" s="2" t="s">
        <v>114</v>
      </c>
      <c r="D229" s="716">
        <f t="shared" si="9"/>
        <v>1</v>
      </c>
      <c r="E229" s="4" t="s">
        <v>15</v>
      </c>
      <c r="F229" s="43">
        <v>0</v>
      </c>
      <c r="G229" s="43">
        <v>0</v>
      </c>
      <c r="H229" s="43">
        <v>0</v>
      </c>
      <c r="I229" s="43">
        <v>0</v>
      </c>
      <c r="J229" s="43">
        <v>0</v>
      </c>
      <c r="K229" s="43">
        <v>0</v>
      </c>
      <c r="L229" s="43">
        <v>0</v>
      </c>
      <c r="M229" s="887"/>
      <c r="N229" s="16"/>
      <c r="O229" s="16"/>
      <c r="P229" s="16"/>
      <c r="Q229" s="16"/>
      <c r="R229" s="16"/>
    </row>
    <row r="230" spans="1:18" hidden="1" outlineLevel="1" x14ac:dyDescent="0.2">
      <c r="A230" s="22" t="s">
        <v>1226</v>
      </c>
      <c r="B230" s="2" t="str">
        <f t="shared" si="8"/>
        <v>MW</v>
      </c>
      <c r="C230" s="2" t="s">
        <v>114</v>
      </c>
      <c r="D230" s="716">
        <f t="shared" si="9"/>
        <v>1</v>
      </c>
      <c r="E230" s="4" t="s">
        <v>16</v>
      </c>
      <c r="F230" s="43">
        <v>87.9</v>
      </c>
      <c r="G230" s="43">
        <v>107.9</v>
      </c>
      <c r="H230" s="43">
        <v>114.8</v>
      </c>
      <c r="I230" s="43">
        <v>116.3</v>
      </c>
      <c r="J230" s="43">
        <v>116.3</v>
      </c>
      <c r="K230" s="43">
        <v>137.44999999999999</v>
      </c>
      <c r="L230" s="43">
        <v>137.44999999999996</v>
      </c>
      <c r="M230" s="887"/>
      <c r="N230" s="16"/>
      <c r="O230" s="16"/>
      <c r="P230" s="16"/>
      <c r="Q230" s="16"/>
      <c r="R230" s="16"/>
    </row>
    <row r="231" spans="1:18" hidden="1" outlineLevel="1" x14ac:dyDescent="0.2">
      <c r="A231" s="22" t="s">
        <v>1226</v>
      </c>
      <c r="B231" s="2" t="str">
        <f t="shared" si="8"/>
        <v>MW</v>
      </c>
      <c r="C231" s="2" t="s">
        <v>114</v>
      </c>
      <c r="D231" s="716">
        <f t="shared" si="9"/>
        <v>1</v>
      </c>
      <c r="E231" s="4" t="s">
        <v>17</v>
      </c>
      <c r="F231" s="43">
        <v>0</v>
      </c>
      <c r="G231" s="43">
        <v>0</v>
      </c>
      <c r="H231" s="43">
        <v>0</v>
      </c>
      <c r="I231" s="43">
        <v>0</v>
      </c>
      <c r="J231" s="43">
        <v>0</v>
      </c>
      <c r="K231" s="43">
        <v>0</v>
      </c>
      <c r="L231" s="43">
        <v>0</v>
      </c>
      <c r="M231" s="887"/>
      <c r="N231" s="16"/>
      <c r="O231" s="16"/>
      <c r="P231" s="16"/>
      <c r="Q231" s="16"/>
      <c r="R231" s="16"/>
    </row>
    <row r="232" spans="1:18" hidden="1" outlineLevel="1" x14ac:dyDescent="0.2">
      <c r="A232" s="22" t="s">
        <v>1226</v>
      </c>
      <c r="B232" s="2" t="str">
        <f t="shared" si="8"/>
        <v>MW</v>
      </c>
      <c r="C232" s="2" t="s">
        <v>114</v>
      </c>
      <c r="D232" s="716">
        <f t="shared" si="9"/>
        <v>1</v>
      </c>
      <c r="E232" s="4" t="s">
        <v>18</v>
      </c>
      <c r="F232" s="43">
        <v>155.76999999999998</v>
      </c>
      <c r="G232" s="43">
        <v>155.76999999999998</v>
      </c>
      <c r="H232" s="43">
        <v>155.76999999999998</v>
      </c>
      <c r="I232" s="43">
        <v>156.57</v>
      </c>
      <c r="J232" s="43">
        <v>157.619</v>
      </c>
      <c r="K232" s="43">
        <v>208.95299999999997</v>
      </c>
      <c r="L232" s="43">
        <v>259.73899999999998</v>
      </c>
      <c r="M232" s="887"/>
      <c r="N232" s="16"/>
      <c r="O232" s="16"/>
      <c r="P232" s="16"/>
      <c r="Q232" s="16"/>
      <c r="R232" s="16"/>
    </row>
    <row r="233" spans="1:18" hidden="1" outlineLevel="1" x14ac:dyDescent="0.2">
      <c r="A233" s="22" t="s">
        <v>1226</v>
      </c>
      <c r="B233" s="2" t="str">
        <f t="shared" si="8"/>
        <v>MW</v>
      </c>
      <c r="C233" s="2" t="s">
        <v>114</v>
      </c>
      <c r="D233" s="716">
        <f t="shared" si="9"/>
        <v>1</v>
      </c>
      <c r="E233" s="4" t="s">
        <v>2</v>
      </c>
      <c r="F233" s="43">
        <v>121.8</v>
      </c>
      <c r="G233" s="43">
        <v>121.8</v>
      </c>
      <c r="H233" s="43">
        <v>121.8</v>
      </c>
      <c r="I233" s="43">
        <v>121.8</v>
      </c>
      <c r="J233" s="43">
        <v>121.8</v>
      </c>
      <c r="K233" s="43">
        <v>121.8</v>
      </c>
      <c r="L233" s="43">
        <v>133.80000000000001</v>
      </c>
      <c r="M233" s="887"/>
      <c r="N233" s="16"/>
      <c r="O233" s="16"/>
      <c r="P233" s="16"/>
      <c r="Q233" s="16"/>
      <c r="R233" s="16"/>
    </row>
    <row r="234" spans="1:18" hidden="1" outlineLevel="1" x14ac:dyDescent="0.2">
      <c r="A234" s="22" t="s">
        <v>1226</v>
      </c>
      <c r="B234" s="2" t="str">
        <f t="shared" si="8"/>
        <v>MW</v>
      </c>
      <c r="C234" s="2" t="s">
        <v>114</v>
      </c>
      <c r="D234" s="716">
        <f t="shared" si="9"/>
        <v>1</v>
      </c>
      <c r="E234" s="4" t="s">
        <v>19</v>
      </c>
      <c r="F234" s="43">
        <v>0</v>
      </c>
      <c r="G234" s="43">
        <v>0</v>
      </c>
      <c r="H234" s="43">
        <v>0</v>
      </c>
      <c r="I234" s="43">
        <v>0</v>
      </c>
      <c r="J234" s="43">
        <v>0</v>
      </c>
      <c r="K234" s="43">
        <v>0</v>
      </c>
      <c r="L234" s="43">
        <v>0</v>
      </c>
      <c r="M234" s="887"/>
      <c r="N234" s="16"/>
      <c r="O234" s="16"/>
      <c r="P234" s="16"/>
      <c r="Q234" s="16"/>
      <c r="R234" s="16"/>
    </row>
    <row r="235" spans="1:18" hidden="1" outlineLevel="1" x14ac:dyDescent="0.2">
      <c r="A235" s="22" t="s">
        <v>1226</v>
      </c>
      <c r="B235" s="2" t="str">
        <f t="shared" si="8"/>
        <v>MW</v>
      </c>
      <c r="C235" s="2" t="s">
        <v>114</v>
      </c>
      <c r="D235" s="716">
        <f t="shared" si="9"/>
        <v>1</v>
      </c>
      <c r="E235" s="4" t="s">
        <v>3</v>
      </c>
      <c r="F235" s="43">
        <v>0</v>
      </c>
      <c r="G235" s="43">
        <v>0</v>
      </c>
      <c r="H235" s="43">
        <v>0</v>
      </c>
      <c r="I235" s="43">
        <v>0</v>
      </c>
      <c r="J235" s="43">
        <v>0</v>
      </c>
      <c r="K235" s="43">
        <v>0</v>
      </c>
      <c r="L235" s="43">
        <v>0</v>
      </c>
      <c r="M235" s="887"/>
      <c r="N235" s="16"/>
      <c r="O235" s="16"/>
      <c r="P235" s="16"/>
      <c r="Q235" s="16"/>
      <c r="R235" s="16"/>
    </row>
    <row r="236" spans="1:18" hidden="1" outlineLevel="1" x14ac:dyDescent="0.2">
      <c r="A236" s="22" t="s">
        <v>1226</v>
      </c>
      <c r="B236" s="2" t="str">
        <f t="shared" si="8"/>
        <v>MW</v>
      </c>
      <c r="C236" s="2" t="s">
        <v>114</v>
      </c>
      <c r="D236" s="716">
        <f t="shared" si="9"/>
        <v>1</v>
      </c>
      <c r="E236" s="4" t="s">
        <v>20</v>
      </c>
      <c r="F236" s="43">
        <v>18.200000000000003</v>
      </c>
      <c r="G236" s="43">
        <v>18.200000000000003</v>
      </c>
      <c r="H236" s="43">
        <v>18.200000000000003</v>
      </c>
      <c r="I236" s="43">
        <v>53.199999999999996</v>
      </c>
      <c r="J236" s="43">
        <v>53.199999999999996</v>
      </c>
      <c r="K236" s="43">
        <v>53.199999999999996</v>
      </c>
      <c r="L236" s="43">
        <v>84.5</v>
      </c>
      <c r="M236" s="887"/>
      <c r="N236" s="16"/>
      <c r="O236" s="16"/>
      <c r="P236" s="16"/>
      <c r="Q236" s="16"/>
      <c r="R236" s="16"/>
    </row>
    <row r="237" spans="1:18" hidden="1" outlineLevel="1" x14ac:dyDescent="0.2">
      <c r="A237" s="22" t="s">
        <v>1226</v>
      </c>
      <c r="B237" s="2" t="str">
        <f t="shared" si="8"/>
        <v>MW</v>
      </c>
      <c r="C237" s="2" t="s">
        <v>114</v>
      </c>
      <c r="D237" s="716">
        <f t="shared" si="9"/>
        <v>1</v>
      </c>
      <c r="E237" s="4" t="s">
        <v>21</v>
      </c>
      <c r="F237" s="43">
        <v>0</v>
      </c>
      <c r="G237" s="43">
        <v>0</v>
      </c>
      <c r="H237" s="43">
        <v>0</v>
      </c>
      <c r="I237" s="43">
        <v>0</v>
      </c>
      <c r="J237" s="43">
        <v>0</v>
      </c>
      <c r="K237" s="43">
        <v>0</v>
      </c>
      <c r="L237" s="43">
        <v>0</v>
      </c>
      <c r="M237" s="887"/>
      <c r="N237" s="16"/>
      <c r="O237" s="16"/>
      <c r="P237" s="16"/>
      <c r="Q237" s="16"/>
      <c r="R237" s="16"/>
    </row>
    <row r="238" spans="1:18" hidden="1" outlineLevel="1" x14ac:dyDescent="0.2">
      <c r="A238" s="22" t="s">
        <v>1226</v>
      </c>
      <c r="B238" s="2" t="str">
        <f t="shared" si="8"/>
        <v>MW</v>
      </c>
      <c r="C238" s="2" t="s">
        <v>114</v>
      </c>
      <c r="D238" s="716">
        <f t="shared" si="9"/>
        <v>1</v>
      </c>
      <c r="E238" s="4" t="s">
        <v>1096</v>
      </c>
      <c r="F238" s="43">
        <v>0</v>
      </c>
      <c r="G238" s="43">
        <v>0</v>
      </c>
      <c r="H238" s="43">
        <v>0</v>
      </c>
      <c r="I238" s="43">
        <v>0</v>
      </c>
      <c r="J238" s="43">
        <v>0</v>
      </c>
      <c r="K238" s="43">
        <v>0</v>
      </c>
      <c r="L238" s="43">
        <v>0</v>
      </c>
      <c r="M238" s="887"/>
      <c r="N238" s="16"/>
      <c r="O238" s="16"/>
      <c r="P238" s="16"/>
      <c r="Q238" s="16"/>
      <c r="R238" s="16"/>
    </row>
    <row r="239" spans="1:18" hidden="1" outlineLevel="1" x14ac:dyDescent="0.2">
      <c r="A239" s="22" t="s">
        <v>1226</v>
      </c>
      <c r="B239" s="2" t="str">
        <f t="shared" si="8"/>
        <v>MW</v>
      </c>
      <c r="C239" s="2" t="s">
        <v>114</v>
      </c>
      <c r="D239" s="716">
        <f t="shared" si="9"/>
        <v>1</v>
      </c>
      <c r="E239" s="4" t="s">
        <v>22</v>
      </c>
      <c r="F239" s="43">
        <v>15.559999999999999</v>
      </c>
      <c r="G239" s="43">
        <v>176.56</v>
      </c>
      <c r="H239" s="43">
        <v>176.56</v>
      </c>
      <c r="I239" s="43">
        <v>176.56</v>
      </c>
      <c r="J239" s="43">
        <v>239.71</v>
      </c>
      <c r="K239" s="43">
        <v>251.82</v>
      </c>
      <c r="L239" s="43">
        <v>251.82</v>
      </c>
      <c r="M239" s="887"/>
      <c r="N239" s="16"/>
      <c r="O239" s="16"/>
      <c r="P239" s="16"/>
      <c r="Q239" s="16"/>
      <c r="R239" s="16"/>
    </row>
    <row r="240" spans="1:18" hidden="1" outlineLevel="1" x14ac:dyDescent="0.2">
      <c r="A240" s="22" t="s">
        <v>1226</v>
      </c>
      <c r="B240" s="2" t="str">
        <f t="shared" si="8"/>
        <v>MW</v>
      </c>
      <c r="C240" s="2" t="s">
        <v>114</v>
      </c>
      <c r="D240" s="719">
        <f t="shared" si="9"/>
        <v>1</v>
      </c>
      <c r="E240" s="86" t="s">
        <v>23</v>
      </c>
      <c r="F240" s="374">
        <v>0</v>
      </c>
      <c r="G240" s="374">
        <v>0</v>
      </c>
      <c r="H240" s="374">
        <v>0</v>
      </c>
      <c r="I240" s="374">
        <v>0</v>
      </c>
      <c r="J240" s="374">
        <v>0</v>
      </c>
      <c r="K240" s="374">
        <v>0</v>
      </c>
      <c r="L240" s="374">
        <v>0</v>
      </c>
      <c r="M240" s="918"/>
      <c r="N240" s="16"/>
      <c r="O240" s="16"/>
      <c r="P240" s="16"/>
      <c r="Q240" s="16"/>
      <c r="R240" s="16"/>
    </row>
    <row r="241" spans="1:18" hidden="1" outlineLevel="1" x14ac:dyDescent="0.2">
      <c r="A241" s="532" t="s">
        <v>1226</v>
      </c>
      <c r="B241" s="533" t="str">
        <f t="shared" si="8"/>
        <v>MW</v>
      </c>
      <c r="C241" s="533" t="s">
        <v>1223</v>
      </c>
      <c r="D241" s="715">
        <f t="shared" si="9"/>
        <v>0</v>
      </c>
      <c r="E241" s="468" t="s">
        <v>4</v>
      </c>
      <c r="F241" s="534">
        <v>1018</v>
      </c>
      <c r="G241" s="534">
        <v>1018</v>
      </c>
      <c r="H241" s="534">
        <v>1018</v>
      </c>
      <c r="I241" s="534">
        <v>1018</v>
      </c>
      <c r="J241" s="534">
        <v>1018</v>
      </c>
      <c r="K241" s="534">
        <v>1018</v>
      </c>
      <c r="L241" s="534">
        <v>1018</v>
      </c>
      <c r="M241" s="888"/>
      <c r="N241" s="16"/>
      <c r="O241" s="16"/>
      <c r="P241" s="16"/>
      <c r="Q241" s="16"/>
      <c r="R241" s="16"/>
    </row>
    <row r="242" spans="1:18" hidden="1" outlineLevel="1" x14ac:dyDescent="0.2">
      <c r="A242" s="22" t="s">
        <v>1226</v>
      </c>
      <c r="B242" s="2" t="str">
        <f t="shared" si="8"/>
        <v>MW</v>
      </c>
      <c r="C242" s="2" t="s">
        <v>1223</v>
      </c>
      <c r="D242" s="716">
        <f t="shared" si="9"/>
        <v>0</v>
      </c>
      <c r="E242" s="4" t="s">
        <v>5</v>
      </c>
      <c r="F242" s="43">
        <v>0</v>
      </c>
      <c r="G242" s="43">
        <v>0</v>
      </c>
      <c r="H242" s="43">
        <v>0</v>
      </c>
      <c r="I242" s="43">
        <v>0</v>
      </c>
      <c r="J242" s="43">
        <v>0</v>
      </c>
      <c r="K242" s="43">
        <v>0</v>
      </c>
      <c r="L242" s="43">
        <v>0</v>
      </c>
      <c r="M242" s="887"/>
      <c r="N242" s="16"/>
      <c r="O242" s="16"/>
      <c r="P242" s="16"/>
      <c r="Q242" s="16"/>
      <c r="R242" s="16"/>
    </row>
    <row r="243" spans="1:18" hidden="1" outlineLevel="1" x14ac:dyDescent="0.2">
      <c r="A243" s="22" t="s">
        <v>1226</v>
      </c>
      <c r="B243" s="2" t="str">
        <f t="shared" si="8"/>
        <v>MW</v>
      </c>
      <c r="C243" s="2" t="s">
        <v>1223</v>
      </c>
      <c r="D243" s="716">
        <f t="shared" si="9"/>
        <v>0</v>
      </c>
      <c r="E243" s="4" t="s">
        <v>6</v>
      </c>
      <c r="F243" s="43">
        <v>0</v>
      </c>
      <c r="G243" s="43">
        <v>0</v>
      </c>
      <c r="H243" s="43">
        <v>0</v>
      </c>
      <c r="I243" s="43">
        <v>0</v>
      </c>
      <c r="J243" s="43">
        <v>0</v>
      </c>
      <c r="K243" s="43">
        <v>0</v>
      </c>
      <c r="L243" s="43">
        <v>0</v>
      </c>
      <c r="M243" s="887"/>
      <c r="N243" s="16"/>
      <c r="O243" s="16"/>
      <c r="P243" s="16"/>
      <c r="Q243" s="16"/>
      <c r="R243" s="16"/>
    </row>
    <row r="244" spans="1:18" hidden="1" outlineLevel="1" x14ac:dyDescent="0.2">
      <c r="A244" s="22" t="s">
        <v>1226</v>
      </c>
      <c r="B244" s="2" t="str">
        <f t="shared" si="8"/>
        <v>MW</v>
      </c>
      <c r="C244" s="2" t="s">
        <v>1223</v>
      </c>
      <c r="D244" s="716">
        <f t="shared" si="9"/>
        <v>0</v>
      </c>
      <c r="E244" s="4" t="s">
        <v>143</v>
      </c>
      <c r="F244" s="43">
        <v>0</v>
      </c>
      <c r="G244" s="43">
        <v>0</v>
      </c>
      <c r="H244" s="43">
        <v>0</v>
      </c>
      <c r="I244" s="43">
        <v>0</v>
      </c>
      <c r="J244" s="43">
        <v>0</v>
      </c>
      <c r="K244" s="43">
        <v>0</v>
      </c>
      <c r="L244" s="43">
        <v>0</v>
      </c>
      <c r="M244" s="887"/>
      <c r="N244" s="16"/>
      <c r="O244" s="16"/>
      <c r="P244" s="16"/>
      <c r="Q244" s="16"/>
      <c r="R244" s="16"/>
    </row>
    <row r="245" spans="1:18" hidden="1" outlineLevel="1" x14ac:dyDescent="0.2">
      <c r="A245" s="22" t="s">
        <v>1226</v>
      </c>
      <c r="B245" s="2" t="str">
        <f t="shared" si="8"/>
        <v>MW</v>
      </c>
      <c r="C245" s="2" t="s">
        <v>1223</v>
      </c>
      <c r="D245" s="716">
        <f t="shared" si="9"/>
        <v>0</v>
      </c>
      <c r="E245" s="4" t="s">
        <v>7</v>
      </c>
      <c r="F245" s="43">
        <v>0</v>
      </c>
      <c r="G245" s="43">
        <v>0</v>
      </c>
      <c r="H245" s="43">
        <v>0</v>
      </c>
      <c r="I245" s="43">
        <v>0</v>
      </c>
      <c r="J245" s="43">
        <v>0</v>
      </c>
      <c r="K245" s="43">
        <v>0</v>
      </c>
      <c r="L245" s="43">
        <v>0</v>
      </c>
      <c r="M245" s="887"/>
      <c r="N245" s="16"/>
      <c r="O245" s="16"/>
      <c r="P245" s="16"/>
      <c r="Q245" s="16"/>
      <c r="R245" s="16"/>
    </row>
    <row r="246" spans="1:18" hidden="1" outlineLevel="1" x14ac:dyDescent="0.2">
      <c r="A246" s="22" t="s">
        <v>1226</v>
      </c>
      <c r="B246" s="2" t="str">
        <f t="shared" si="8"/>
        <v>MW</v>
      </c>
      <c r="C246" s="2" t="s">
        <v>1223</v>
      </c>
      <c r="D246" s="716">
        <f t="shared" si="9"/>
        <v>0</v>
      </c>
      <c r="E246" s="4" t="s">
        <v>31</v>
      </c>
      <c r="F246" s="43">
        <v>2007</v>
      </c>
      <c r="G246" s="43">
        <v>2007</v>
      </c>
      <c r="H246" s="43">
        <v>2007</v>
      </c>
      <c r="I246" s="43">
        <v>2007</v>
      </c>
      <c r="J246" s="43">
        <v>2007</v>
      </c>
      <c r="K246" s="43">
        <v>2007</v>
      </c>
      <c r="L246" s="43">
        <v>2007</v>
      </c>
      <c r="M246" s="887"/>
      <c r="N246" s="16"/>
      <c r="O246" s="16"/>
      <c r="P246" s="16"/>
      <c r="Q246" s="16"/>
      <c r="R246" s="16"/>
    </row>
    <row r="247" spans="1:18" hidden="1" outlineLevel="1" x14ac:dyDescent="0.2">
      <c r="A247" s="22" t="s">
        <v>1226</v>
      </c>
      <c r="B247" s="2" t="str">
        <f t="shared" si="8"/>
        <v>MW</v>
      </c>
      <c r="C247" s="2" t="s">
        <v>1223</v>
      </c>
      <c r="D247" s="716">
        <f t="shared" si="9"/>
        <v>0</v>
      </c>
      <c r="E247" s="4" t="s">
        <v>8</v>
      </c>
      <c r="F247" s="43">
        <v>0</v>
      </c>
      <c r="G247" s="43">
        <v>0</v>
      </c>
      <c r="H247" s="43">
        <v>0</v>
      </c>
      <c r="I247" s="43">
        <v>0</v>
      </c>
      <c r="J247" s="43">
        <v>0</v>
      </c>
      <c r="K247" s="43">
        <v>0</v>
      </c>
      <c r="L247" s="43">
        <v>0</v>
      </c>
      <c r="M247" s="887"/>
      <c r="N247" s="16"/>
      <c r="O247" s="16"/>
      <c r="P247" s="16"/>
      <c r="Q247" s="16"/>
      <c r="R247" s="16"/>
    </row>
    <row r="248" spans="1:18" hidden="1" outlineLevel="1" x14ac:dyDescent="0.2">
      <c r="A248" s="22" t="s">
        <v>1226</v>
      </c>
      <c r="B248" s="2" t="str">
        <f t="shared" si="8"/>
        <v>MW</v>
      </c>
      <c r="C248" s="2" t="s">
        <v>1223</v>
      </c>
      <c r="D248" s="716">
        <f t="shared" si="9"/>
        <v>0</v>
      </c>
      <c r="E248" s="4" t="s">
        <v>9</v>
      </c>
      <c r="F248" s="43">
        <v>0</v>
      </c>
      <c r="G248" s="43">
        <v>0</v>
      </c>
      <c r="H248" s="43">
        <v>0</v>
      </c>
      <c r="I248" s="43">
        <v>0</v>
      </c>
      <c r="J248" s="43">
        <v>0</v>
      </c>
      <c r="K248" s="43">
        <v>0</v>
      </c>
      <c r="L248" s="43">
        <v>0</v>
      </c>
      <c r="M248" s="887"/>
      <c r="N248" s="16"/>
      <c r="O248" s="16"/>
      <c r="P248" s="16"/>
      <c r="Q248" s="16"/>
      <c r="R248" s="16"/>
    </row>
    <row r="249" spans="1:18" hidden="1" outlineLevel="1" x14ac:dyDescent="0.2">
      <c r="A249" s="22" t="s">
        <v>1226</v>
      </c>
      <c r="B249" s="2" t="str">
        <f t="shared" si="8"/>
        <v>MW</v>
      </c>
      <c r="C249" s="2" t="s">
        <v>1223</v>
      </c>
      <c r="D249" s="716">
        <f t="shared" si="9"/>
        <v>0</v>
      </c>
      <c r="E249" s="4" t="s">
        <v>10</v>
      </c>
      <c r="F249" s="43">
        <v>0</v>
      </c>
      <c r="G249" s="43">
        <v>0</v>
      </c>
      <c r="H249" s="43">
        <v>0</v>
      </c>
      <c r="I249" s="43">
        <v>0</v>
      </c>
      <c r="J249" s="43">
        <v>0</v>
      </c>
      <c r="K249" s="43">
        <v>0</v>
      </c>
      <c r="L249" s="43">
        <v>0</v>
      </c>
      <c r="M249" s="887"/>
      <c r="N249" s="16"/>
      <c r="O249" s="16"/>
      <c r="P249" s="16"/>
      <c r="Q249" s="16"/>
      <c r="R249" s="16"/>
    </row>
    <row r="250" spans="1:18" hidden="1" outlineLevel="1" x14ac:dyDescent="0.2">
      <c r="A250" s="22" t="s">
        <v>1226</v>
      </c>
      <c r="B250" s="2" t="str">
        <f t="shared" si="8"/>
        <v>MW</v>
      </c>
      <c r="C250" s="2" t="s">
        <v>1223</v>
      </c>
      <c r="D250" s="716">
        <f t="shared" si="9"/>
        <v>0</v>
      </c>
      <c r="E250" s="4" t="s">
        <v>11</v>
      </c>
      <c r="F250" s="43">
        <v>0</v>
      </c>
      <c r="G250" s="43">
        <v>0</v>
      </c>
      <c r="H250" s="43">
        <v>0</v>
      </c>
      <c r="I250" s="43">
        <v>0</v>
      </c>
      <c r="J250" s="43">
        <v>0</v>
      </c>
      <c r="K250" s="43">
        <v>0</v>
      </c>
      <c r="L250" s="43">
        <v>0</v>
      </c>
      <c r="M250" s="887"/>
      <c r="N250" s="16"/>
      <c r="O250" s="16"/>
      <c r="P250" s="16"/>
      <c r="Q250" s="16"/>
      <c r="R250" s="16"/>
    </row>
    <row r="251" spans="1:18" hidden="1" outlineLevel="1" x14ac:dyDescent="0.2">
      <c r="A251" s="22" t="s">
        <v>1226</v>
      </c>
      <c r="B251" s="2" t="str">
        <f t="shared" si="8"/>
        <v>MW</v>
      </c>
      <c r="C251" s="2" t="s">
        <v>1223</v>
      </c>
      <c r="D251" s="716">
        <f t="shared" si="9"/>
        <v>0</v>
      </c>
      <c r="E251" s="4" t="s">
        <v>12</v>
      </c>
      <c r="F251" s="43">
        <v>0</v>
      </c>
      <c r="G251" s="43">
        <v>0</v>
      </c>
      <c r="H251" s="43">
        <v>0</v>
      </c>
      <c r="I251" s="43">
        <v>0</v>
      </c>
      <c r="J251" s="43">
        <v>0</v>
      </c>
      <c r="K251" s="43">
        <v>0</v>
      </c>
      <c r="L251" s="43">
        <v>0</v>
      </c>
      <c r="M251" s="887"/>
      <c r="N251" s="16"/>
      <c r="O251" s="16"/>
      <c r="P251" s="16"/>
      <c r="Q251" s="16"/>
      <c r="R251" s="16"/>
    </row>
    <row r="252" spans="1:18" hidden="1" outlineLevel="1" x14ac:dyDescent="0.2">
      <c r="A252" s="22" t="s">
        <v>1226</v>
      </c>
      <c r="B252" s="2" t="str">
        <f t="shared" si="8"/>
        <v>MW</v>
      </c>
      <c r="C252" s="2" t="s">
        <v>1223</v>
      </c>
      <c r="D252" s="716">
        <f t="shared" si="9"/>
        <v>0</v>
      </c>
      <c r="E252" s="4" t="s">
        <v>1</v>
      </c>
      <c r="F252" s="43">
        <v>0</v>
      </c>
      <c r="G252" s="43">
        <v>0</v>
      </c>
      <c r="H252" s="43">
        <v>0</v>
      </c>
      <c r="I252" s="43">
        <v>0</v>
      </c>
      <c r="J252" s="43">
        <v>0</v>
      </c>
      <c r="K252" s="43">
        <v>0</v>
      </c>
      <c r="L252" s="43">
        <v>0</v>
      </c>
      <c r="M252" s="887"/>
      <c r="N252" s="16"/>
      <c r="O252" s="16"/>
      <c r="P252" s="16"/>
      <c r="Q252" s="16"/>
      <c r="R252" s="16"/>
    </row>
    <row r="253" spans="1:18" hidden="1" outlineLevel="1" x14ac:dyDescent="0.2">
      <c r="A253" s="22" t="s">
        <v>1226</v>
      </c>
      <c r="B253" s="2" t="str">
        <f t="shared" si="8"/>
        <v>MW</v>
      </c>
      <c r="C253" s="2" t="s">
        <v>1223</v>
      </c>
      <c r="D253" s="716">
        <f t="shared" si="9"/>
        <v>0</v>
      </c>
      <c r="E253" s="4" t="s">
        <v>13</v>
      </c>
      <c r="F253" s="43">
        <v>0</v>
      </c>
      <c r="G253" s="43">
        <v>0</v>
      </c>
      <c r="H253" s="43">
        <v>0</v>
      </c>
      <c r="I253" s="43">
        <v>0</v>
      </c>
      <c r="J253" s="43">
        <v>0</v>
      </c>
      <c r="K253" s="43">
        <v>0</v>
      </c>
      <c r="L253" s="43">
        <v>0</v>
      </c>
      <c r="M253" s="887"/>
      <c r="N253" s="16"/>
      <c r="O253" s="16"/>
      <c r="P253" s="16"/>
      <c r="Q253" s="16"/>
      <c r="R253" s="16"/>
    </row>
    <row r="254" spans="1:18" hidden="1" outlineLevel="1" x14ac:dyDescent="0.2">
      <c r="A254" s="22" t="s">
        <v>1226</v>
      </c>
      <c r="B254" s="2" t="str">
        <f t="shared" si="8"/>
        <v>MW</v>
      </c>
      <c r="C254" s="2" t="s">
        <v>1223</v>
      </c>
      <c r="D254" s="716">
        <f t="shared" si="9"/>
        <v>0</v>
      </c>
      <c r="E254" s="4" t="s">
        <v>14</v>
      </c>
      <c r="F254" s="43">
        <v>0</v>
      </c>
      <c r="G254" s="43">
        <v>0</v>
      </c>
      <c r="H254" s="43">
        <v>0</v>
      </c>
      <c r="I254" s="43">
        <v>0</v>
      </c>
      <c r="J254" s="43">
        <v>0</v>
      </c>
      <c r="K254" s="43">
        <v>0</v>
      </c>
      <c r="L254" s="43">
        <v>0</v>
      </c>
      <c r="M254" s="887"/>
      <c r="N254" s="16"/>
      <c r="O254" s="16"/>
      <c r="P254" s="16"/>
      <c r="Q254" s="16"/>
      <c r="R254" s="16"/>
    </row>
    <row r="255" spans="1:18" hidden="1" outlineLevel="1" x14ac:dyDescent="0.2">
      <c r="A255" s="22" t="s">
        <v>1226</v>
      </c>
      <c r="B255" s="2" t="str">
        <f t="shared" si="8"/>
        <v>MW</v>
      </c>
      <c r="C255" s="2" t="s">
        <v>1223</v>
      </c>
      <c r="D255" s="716">
        <f t="shared" si="9"/>
        <v>0</v>
      </c>
      <c r="E255" s="4" t="s">
        <v>15</v>
      </c>
      <c r="F255" s="43">
        <v>0</v>
      </c>
      <c r="G255" s="43">
        <v>0</v>
      </c>
      <c r="H255" s="43">
        <v>0</v>
      </c>
      <c r="I255" s="43">
        <v>0</v>
      </c>
      <c r="J255" s="43">
        <v>0</v>
      </c>
      <c r="K255" s="43">
        <v>0</v>
      </c>
      <c r="L255" s="43">
        <v>0</v>
      </c>
      <c r="M255" s="887"/>
      <c r="N255" s="16"/>
      <c r="O255" s="16"/>
      <c r="P255" s="16"/>
      <c r="Q255" s="16"/>
      <c r="R255" s="16"/>
    </row>
    <row r="256" spans="1:18" hidden="1" outlineLevel="1" x14ac:dyDescent="0.2">
      <c r="A256" s="22" t="s">
        <v>1226</v>
      </c>
      <c r="B256" s="2" t="str">
        <f t="shared" si="8"/>
        <v>MW</v>
      </c>
      <c r="C256" s="2" t="s">
        <v>1223</v>
      </c>
      <c r="D256" s="716">
        <f t="shared" si="9"/>
        <v>0</v>
      </c>
      <c r="E256" s="4" t="s">
        <v>16</v>
      </c>
      <c r="F256" s="43">
        <v>0</v>
      </c>
      <c r="G256" s="43">
        <v>0</v>
      </c>
      <c r="H256" s="43">
        <v>0</v>
      </c>
      <c r="I256" s="43">
        <v>0</v>
      </c>
      <c r="J256" s="43">
        <v>0</v>
      </c>
      <c r="K256" s="43">
        <v>0</v>
      </c>
      <c r="L256" s="43">
        <v>0</v>
      </c>
      <c r="M256" s="887"/>
      <c r="N256" s="16"/>
      <c r="O256" s="16"/>
      <c r="P256" s="16"/>
      <c r="Q256" s="16"/>
      <c r="R256" s="16"/>
    </row>
    <row r="257" spans="1:18" hidden="1" outlineLevel="1" x14ac:dyDescent="0.2">
      <c r="A257" s="22" t="s">
        <v>1226</v>
      </c>
      <c r="B257" s="2" t="str">
        <f t="shared" si="8"/>
        <v>MW</v>
      </c>
      <c r="C257" s="2" t="s">
        <v>1223</v>
      </c>
      <c r="D257" s="716">
        <f t="shared" si="9"/>
        <v>0</v>
      </c>
      <c r="E257" s="4" t="s">
        <v>17</v>
      </c>
      <c r="F257" s="43">
        <v>0</v>
      </c>
      <c r="G257" s="43">
        <v>0</v>
      </c>
      <c r="H257" s="43">
        <v>0</v>
      </c>
      <c r="I257" s="43">
        <v>0</v>
      </c>
      <c r="J257" s="43">
        <v>0</v>
      </c>
      <c r="K257" s="43">
        <v>0</v>
      </c>
      <c r="L257" s="43">
        <v>0</v>
      </c>
      <c r="M257" s="887"/>
      <c r="N257" s="16"/>
      <c r="O257" s="16"/>
      <c r="P257" s="16"/>
      <c r="Q257" s="16"/>
      <c r="R257" s="16"/>
    </row>
    <row r="258" spans="1:18" hidden="1" outlineLevel="1" x14ac:dyDescent="0.2">
      <c r="A258" s="22" t="s">
        <v>1226</v>
      </c>
      <c r="B258" s="2" t="str">
        <f t="shared" si="8"/>
        <v>MW</v>
      </c>
      <c r="C258" s="2" t="s">
        <v>1223</v>
      </c>
      <c r="D258" s="716">
        <f t="shared" si="9"/>
        <v>0</v>
      </c>
      <c r="E258" s="4" t="s">
        <v>18</v>
      </c>
      <c r="F258" s="43">
        <v>1364.88</v>
      </c>
      <c r="G258" s="43">
        <v>1364.88</v>
      </c>
      <c r="H258" s="43">
        <v>1364.88</v>
      </c>
      <c r="I258" s="43">
        <v>1364.88</v>
      </c>
      <c r="J258" s="43">
        <v>1364.88</v>
      </c>
      <c r="K258" s="43">
        <v>1364.88</v>
      </c>
      <c r="L258" s="43">
        <v>1610</v>
      </c>
      <c r="M258" s="887"/>
      <c r="N258" s="16"/>
      <c r="O258" s="16"/>
      <c r="P258" s="16"/>
      <c r="Q258" s="16"/>
      <c r="R258" s="16"/>
    </row>
    <row r="259" spans="1:18" hidden="1" outlineLevel="1" x14ac:dyDescent="0.2">
      <c r="A259" s="22" t="s">
        <v>1226</v>
      </c>
      <c r="B259" s="2" t="str">
        <f t="shared" si="8"/>
        <v>MW</v>
      </c>
      <c r="C259" s="2" t="s">
        <v>1223</v>
      </c>
      <c r="D259" s="716">
        <f t="shared" si="9"/>
        <v>0</v>
      </c>
      <c r="E259" s="4" t="s">
        <v>2</v>
      </c>
      <c r="F259" s="43">
        <v>0</v>
      </c>
      <c r="G259" s="43">
        <v>0</v>
      </c>
      <c r="H259" s="43">
        <v>0</v>
      </c>
      <c r="I259" s="43">
        <v>0</v>
      </c>
      <c r="J259" s="43">
        <v>0</v>
      </c>
      <c r="K259" s="43">
        <v>0</v>
      </c>
      <c r="L259" s="43">
        <v>0</v>
      </c>
      <c r="M259" s="887"/>
      <c r="N259" s="16"/>
      <c r="O259" s="16"/>
      <c r="P259" s="16"/>
      <c r="Q259" s="16"/>
      <c r="R259" s="16"/>
    </row>
    <row r="260" spans="1:18" hidden="1" outlineLevel="1" x14ac:dyDescent="0.2">
      <c r="A260" s="22" t="s">
        <v>1226</v>
      </c>
      <c r="B260" s="2" t="str">
        <f t="shared" si="8"/>
        <v>MW</v>
      </c>
      <c r="C260" s="2" t="s">
        <v>1223</v>
      </c>
      <c r="D260" s="716">
        <f t="shared" si="9"/>
        <v>0</v>
      </c>
      <c r="E260" s="4" t="s">
        <v>19</v>
      </c>
      <c r="F260" s="43">
        <v>0</v>
      </c>
      <c r="G260" s="43">
        <v>0</v>
      </c>
      <c r="H260" s="43">
        <v>0</v>
      </c>
      <c r="I260" s="43">
        <v>0</v>
      </c>
      <c r="J260" s="43">
        <v>0</v>
      </c>
      <c r="K260" s="43">
        <v>0</v>
      </c>
      <c r="L260" s="43">
        <v>0</v>
      </c>
      <c r="M260" s="887"/>
      <c r="N260" s="16"/>
      <c r="O260" s="16"/>
      <c r="P260" s="16"/>
      <c r="Q260" s="16"/>
      <c r="R260" s="16"/>
    </row>
    <row r="261" spans="1:18" hidden="1" outlineLevel="1" x14ac:dyDescent="0.2">
      <c r="A261" s="22" t="s">
        <v>1226</v>
      </c>
      <c r="B261" s="2" t="str">
        <f t="shared" si="8"/>
        <v>MW</v>
      </c>
      <c r="C261" s="2" t="s">
        <v>1223</v>
      </c>
      <c r="D261" s="716">
        <f t="shared" si="9"/>
        <v>0</v>
      </c>
      <c r="E261" s="4" t="s">
        <v>3</v>
      </c>
      <c r="F261" s="43">
        <v>0</v>
      </c>
      <c r="G261" s="43">
        <v>0</v>
      </c>
      <c r="H261" s="43">
        <v>0</v>
      </c>
      <c r="I261" s="43">
        <v>0</v>
      </c>
      <c r="J261" s="43">
        <v>0</v>
      </c>
      <c r="K261" s="43">
        <v>0</v>
      </c>
      <c r="L261" s="43">
        <v>0</v>
      </c>
      <c r="M261" s="887"/>
      <c r="N261" s="16"/>
      <c r="O261" s="16"/>
      <c r="P261" s="16"/>
      <c r="Q261" s="16"/>
      <c r="R261" s="16"/>
    </row>
    <row r="262" spans="1:18" hidden="1" outlineLevel="1" x14ac:dyDescent="0.2">
      <c r="A262" s="22" t="s">
        <v>1226</v>
      </c>
      <c r="B262" s="2" t="str">
        <f t="shared" si="8"/>
        <v>MW</v>
      </c>
      <c r="C262" s="2" t="s">
        <v>1223</v>
      </c>
      <c r="D262" s="716">
        <f t="shared" si="9"/>
        <v>0</v>
      </c>
      <c r="E262" s="4" t="s">
        <v>20</v>
      </c>
      <c r="F262" s="43">
        <v>0</v>
      </c>
      <c r="G262" s="43">
        <v>0</v>
      </c>
      <c r="H262" s="43">
        <v>0</v>
      </c>
      <c r="I262" s="43">
        <v>0</v>
      </c>
      <c r="J262" s="43">
        <v>0</v>
      </c>
      <c r="K262" s="43">
        <v>0</v>
      </c>
      <c r="L262" s="43">
        <v>0</v>
      </c>
      <c r="M262" s="887"/>
      <c r="N262" s="16"/>
      <c r="O262" s="16"/>
      <c r="P262" s="16"/>
      <c r="Q262" s="16"/>
      <c r="R262" s="16"/>
    </row>
    <row r="263" spans="1:18" hidden="1" outlineLevel="1" x14ac:dyDescent="0.2">
      <c r="A263" s="22" t="s">
        <v>1226</v>
      </c>
      <c r="B263" s="2" t="str">
        <f t="shared" si="8"/>
        <v>MW</v>
      </c>
      <c r="C263" s="2" t="s">
        <v>1223</v>
      </c>
      <c r="D263" s="716">
        <f t="shared" si="9"/>
        <v>0</v>
      </c>
      <c r="E263" s="4" t="s">
        <v>21</v>
      </c>
      <c r="F263" s="43">
        <v>0</v>
      </c>
      <c r="G263" s="43">
        <v>0</v>
      </c>
      <c r="H263" s="43">
        <v>0</v>
      </c>
      <c r="I263" s="43">
        <v>0</v>
      </c>
      <c r="J263" s="43">
        <v>0</v>
      </c>
      <c r="K263" s="43">
        <v>0</v>
      </c>
      <c r="L263" s="43">
        <v>0</v>
      </c>
      <c r="M263" s="887"/>
      <c r="N263" s="16"/>
      <c r="O263" s="16"/>
      <c r="P263" s="16"/>
      <c r="Q263" s="16"/>
      <c r="R263" s="16"/>
    </row>
    <row r="264" spans="1:18" hidden="1" outlineLevel="1" x14ac:dyDescent="0.2">
      <c r="A264" s="22" t="s">
        <v>1226</v>
      </c>
      <c r="B264" s="2" t="str">
        <f t="shared" ref="B264:B327" si="10">IF(A264="Capacity", "MW", "GWh")</f>
        <v>MW</v>
      </c>
      <c r="C264" s="2" t="s">
        <v>1223</v>
      </c>
      <c r="D264" s="716">
        <f t="shared" si="9"/>
        <v>0</v>
      </c>
      <c r="E264" s="4" t="s">
        <v>1096</v>
      </c>
      <c r="F264" s="43">
        <v>0</v>
      </c>
      <c r="G264" s="43">
        <v>0</v>
      </c>
      <c r="H264" s="43">
        <v>0</v>
      </c>
      <c r="I264" s="43">
        <v>0</v>
      </c>
      <c r="J264" s="43">
        <v>0</v>
      </c>
      <c r="K264" s="43">
        <v>0</v>
      </c>
      <c r="L264" s="43">
        <v>0</v>
      </c>
      <c r="M264" s="887"/>
      <c r="N264" s="16"/>
      <c r="O264" s="16"/>
      <c r="P264" s="16"/>
      <c r="Q264" s="16"/>
      <c r="R264" s="16"/>
    </row>
    <row r="265" spans="1:18" hidden="1" outlineLevel="1" x14ac:dyDescent="0.2">
      <c r="A265" s="22" t="s">
        <v>1226</v>
      </c>
      <c r="B265" s="2" t="str">
        <f t="shared" si="10"/>
        <v>MW</v>
      </c>
      <c r="C265" s="2" t="s">
        <v>1223</v>
      </c>
      <c r="D265" s="716">
        <f t="shared" si="9"/>
        <v>0</v>
      </c>
      <c r="E265" s="4" t="s">
        <v>22</v>
      </c>
      <c r="F265" s="43">
        <v>0</v>
      </c>
      <c r="G265" s="43">
        <v>0</v>
      </c>
      <c r="H265" s="43">
        <v>0</v>
      </c>
      <c r="I265" s="43">
        <v>0</v>
      </c>
      <c r="J265" s="43">
        <v>0</v>
      </c>
      <c r="K265" s="43">
        <v>0</v>
      </c>
      <c r="L265" s="43">
        <v>0</v>
      </c>
      <c r="M265" s="887"/>
      <c r="N265" s="16"/>
      <c r="O265" s="16"/>
      <c r="P265" s="16"/>
      <c r="Q265" s="16"/>
      <c r="R265" s="16"/>
    </row>
    <row r="266" spans="1:18" hidden="1" outlineLevel="1" x14ac:dyDescent="0.2">
      <c r="A266" s="22" t="s">
        <v>1226</v>
      </c>
      <c r="B266" s="2" t="str">
        <f t="shared" si="10"/>
        <v>MW</v>
      </c>
      <c r="C266" s="2" t="s">
        <v>1223</v>
      </c>
      <c r="D266" s="717">
        <f t="shared" si="9"/>
        <v>0</v>
      </c>
      <c r="E266" s="86" t="s">
        <v>23</v>
      </c>
      <c r="F266" s="374">
        <v>0</v>
      </c>
      <c r="G266" s="374">
        <v>0</v>
      </c>
      <c r="H266" s="374">
        <v>0</v>
      </c>
      <c r="I266" s="374">
        <v>0</v>
      </c>
      <c r="J266" s="374">
        <v>0</v>
      </c>
      <c r="K266" s="374">
        <v>0</v>
      </c>
      <c r="L266" s="374">
        <v>0</v>
      </c>
      <c r="M266" s="918"/>
      <c r="N266" s="16"/>
      <c r="O266" s="16"/>
      <c r="P266" s="16"/>
      <c r="Q266" s="16"/>
      <c r="R266" s="16"/>
    </row>
    <row r="267" spans="1:18" hidden="1" outlineLevel="1" x14ac:dyDescent="0.2">
      <c r="A267" s="532" t="s">
        <v>1226</v>
      </c>
      <c r="B267" s="533" t="str">
        <f t="shared" si="10"/>
        <v>MW</v>
      </c>
      <c r="C267" s="533" t="s">
        <v>1224</v>
      </c>
      <c r="D267" s="718">
        <f t="shared" si="9"/>
        <v>0</v>
      </c>
      <c r="E267" s="468" t="s">
        <v>4</v>
      </c>
      <c r="F267" s="534">
        <v>12594.120999999999</v>
      </c>
      <c r="G267" s="534">
        <v>12511.906000000001</v>
      </c>
      <c r="H267" s="534">
        <v>15064.504999999999</v>
      </c>
      <c r="I267" s="534">
        <v>16927.717000000001</v>
      </c>
      <c r="J267" s="534">
        <v>16092.237999999999</v>
      </c>
      <c r="K267" s="534">
        <v>16736.614000000001</v>
      </c>
      <c r="L267" s="534">
        <v>16736.614000000001</v>
      </c>
      <c r="M267" s="888"/>
      <c r="N267" s="16"/>
      <c r="O267" s="16"/>
      <c r="P267" s="16"/>
      <c r="Q267" s="16"/>
      <c r="R267" s="16"/>
    </row>
    <row r="268" spans="1:18" hidden="1" outlineLevel="1" x14ac:dyDescent="0.2">
      <c r="A268" s="22" t="s">
        <v>1226</v>
      </c>
      <c r="B268" s="2" t="str">
        <f t="shared" si="10"/>
        <v>MW</v>
      </c>
      <c r="C268" s="2" t="s">
        <v>1224</v>
      </c>
      <c r="D268" s="716">
        <f t="shared" ref="D268:D292" si="11">IF(C268="","",IF(OR(C268="Wind",C268="Solar",C268="Geothermal",C268="Small Hydro",C268="Biofuels",C268="Biomass &amp; Waste"), 1, 0))</f>
        <v>0</v>
      </c>
      <c r="E268" s="4" t="s">
        <v>5</v>
      </c>
      <c r="F268" s="43">
        <v>0</v>
      </c>
      <c r="G268" s="43">
        <v>0</v>
      </c>
      <c r="H268" s="43">
        <v>0</v>
      </c>
      <c r="I268" s="43">
        <v>0</v>
      </c>
      <c r="J268" s="43">
        <v>0</v>
      </c>
      <c r="K268" s="43">
        <v>0</v>
      </c>
      <c r="L268" s="43">
        <v>0</v>
      </c>
      <c r="M268" s="887"/>
      <c r="N268" s="16"/>
      <c r="O268" s="16"/>
      <c r="P268" s="16"/>
      <c r="Q268" s="16"/>
      <c r="R268" s="16"/>
    </row>
    <row r="269" spans="1:18" hidden="1" outlineLevel="1" x14ac:dyDescent="0.2">
      <c r="A269" s="22" t="s">
        <v>1226</v>
      </c>
      <c r="B269" s="2" t="str">
        <f t="shared" si="10"/>
        <v>MW</v>
      </c>
      <c r="C269" s="2" t="s">
        <v>1224</v>
      </c>
      <c r="D269" s="716">
        <f t="shared" si="11"/>
        <v>0</v>
      </c>
      <c r="E269" s="4" t="s">
        <v>6</v>
      </c>
      <c r="F269" s="43">
        <v>0</v>
      </c>
      <c r="G269" s="43">
        <v>0</v>
      </c>
      <c r="H269" s="43">
        <v>0</v>
      </c>
      <c r="I269" s="43">
        <v>0</v>
      </c>
      <c r="J269" s="43">
        <v>0</v>
      </c>
      <c r="K269" s="43">
        <v>0</v>
      </c>
      <c r="L269" s="43">
        <v>0</v>
      </c>
      <c r="M269" s="887"/>
      <c r="N269" s="16"/>
      <c r="O269" s="16"/>
      <c r="P269" s="16"/>
      <c r="Q269" s="16"/>
      <c r="R269" s="16"/>
    </row>
    <row r="270" spans="1:18" hidden="1" outlineLevel="1" x14ac:dyDescent="0.2">
      <c r="A270" s="22" t="s">
        <v>1226</v>
      </c>
      <c r="B270" s="2" t="str">
        <f t="shared" si="10"/>
        <v>MW</v>
      </c>
      <c r="C270" s="2" t="s">
        <v>1224</v>
      </c>
      <c r="D270" s="716">
        <f t="shared" si="11"/>
        <v>0</v>
      </c>
      <c r="E270" s="4" t="s">
        <v>143</v>
      </c>
      <c r="F270" s="43">
        <v>0</v>
      </c>
      <c r="G270" s="43">
        <v>0</v>
      </c>
      <c r="H270" s="43">
        <v>0</v>
      </c>
      <c r="I270" s="43">
        <v>0</v>
      </c>
      <c r="J270" s="43">
        <v>0</v>
      </c>
      <c r="K270" s="43">
        <v>0</v>
      </c>
      <c r="L270" s="43">
        <v>0</v>
      </c>
      <c r="M270" s="887"/>
      <c r="N270" s="16"/>
      <c r="O270" s="16"/>
      <c r="P270" s="16"/>
      <c r="Q270" s="16"/>
      <c r="R270" s="16"/>
    </row>
    <row r="271" spans="1:18" hidden="1" outlineLevel="1" x14ac:dyDescent="0.2">
      <c r="A271" s="22" t="s">
        <v>1226</v>
      </c>
      <c r="B271" s="2" t="str">
        <f t="shared" si="10"/>
        <v>MW</v>
      </c>
      <c r="C271" s="2" t="s">
        <v>1224</v>
      </c>
      <c r="D271" s="716">
        <f t="shared" si="11"/>
        <v>0</v>
      </c>
      <c r="E271" s="4" t="s">
        <v>7</v>
      </c>
      <c r="F271" s="43">
        <v>213.5</v>
      </c>
      <c r="G271" s="43">
        <v>169.60000000000002</v>
      </c>
      <c r="H271" s="43">
        <v>178</v>
      </c>
      <c r="I271" s="43">
        <v>190.89999999999998</v>
      </c>
      <c r="J271" s="43">
        <v>205.5</v>
      </c>
      <c r="K271" s="43">
        <v>194.60000000000002</v>
      </c>
      <c r="L271" s="43">
        <v>194.60000000000002</v>
      </c>
      <c r="M271" s="887"/>
      <c r="N271" s="16"/>
      <c r="O271" s="16"/>
      <c r="P271" s="16"/>
      <c r="Q271" s="16"/>
      <c r="R271" s="16"/>
    </row>
    <row r="272" spans="1:18" hidden="1" outlineLevel="1" x14ac:dyDescent="0.2">
      <c r="A272" s="22" t="s">
        <v>1226</v>
      </c>
      <c r="B272" s="2" t="str">
        <f t="shared" si="10"/>
        <v>MW</v>
      </c>
      <c r="C272" s="2" t="s">
        <v>1224</v>
      </c>
      <c r="D272" s="716">
        <f t="shared" si="11"/>
        <v>0</v>
      </c>
      <c r="E272" s="4" t="s">
        <v>31</v>
      </c>
      <c r="F272" s="43">
        <v>811.34749999999997</v>
      </c>
      <c r="G272" s="43">
        <v>854.05</v>
      </c>
      <c r="H272" s="43">
        <v>899</v>
      </c>
      <c r="I272" s="43">
        <v>964</v>
      </c>
      <c r="J272" s="43">
        <v>986</v>
      </c>
      <c r="K272" s="43">
        <v>1485</v>
      </c>
      <c r="L272" s="43">
        <v>1511</v>
      </c>
      <c r="M272" s="887"/>
      <c r="N272" s="16"/>
      <c r="O272" s="16"/>
      <c r="P272" s="16"/>
      <c r="Q272" s="16"/>
      <c r="R272" s="16"/>
    </row>
    <row r="273" spans="1:18" hidden="1" outlineLevel="1" x14ac:dyDescent="0.2">
      <c r="A273" s="22" t="s">
        <v>1226</v>
      </c>
      <c r="B273" s="2" t="str">
        <f t="shared" si="10"/>
        <v>MW</v>
      </c>
      <c r="C273" s="2" t="s">
        <v>1224</v>
      </c>
      <c r="D273" s="716">
        <f t="shared" si="11"/>
        <v>0</v>
      </c>
      <c r="E273" s="4" t="s">
        <v>8</v>
      </c>
      <c r="F273" s="43">
        <v>66.5</v>
      </c>
      <c r="G273" s="43">
        <v>66.5</v>
      </c>
      <c r="H273" s="43">
        <v>66.5</v>
      </c>
      <c r="I273" s="43">
        <v>66.5</v>
      </c>
      <c r="J273" s="43">
        <v>66.5</v>
      </c>
      <c r="K273" s="43">
        <v>66.5</v>
      </c>
      <c r="L273" s="43">
        <v>93.02</v>
      </c>
      <c r="M273" s="887"/>
      <c r="N273" s="16"/>
      <c r="O273" s="16"/>
      <c r="P273" s="16"/>
      <c r="Q273" s="16"/>
      <c r="R273" s="16"/>
    </row>
    <row r="274" spans="1:18" hidden="1" outlineLevel="1" x14ac:dyDescent="0.2">
      <c r="A274" s="22" t="s">
        <v>1226</v>
      </c>
      <c r="B274" s="2" t="str">
        <f t="shared" si="10"/>
        <v>MW</v>
      </c>
      <c r="C274" s="2" t="s">
        <v>1224</v>
      </c>
      <c r="D274" s="716">
        <f t="shared" si="11"/>
        <v>0</v>
      </c>
      <c r="E274" s="4" t="s">
        <v>9</v>
      </c>
      <c r="F274" s="43">
        <v>0</v>
      </c>
      <c r="G274" s="43">
        <v>0</v>
      </c>
      <c r="H274" s="43">
        <v>0</v>
      </c>
      <c r="I274" s="43">
        <v>0</v>
      </c>
      <c r="J274" s="43">
        <v>0</v>
      </c>
      <c r="K274" s="43">
        <v>0</v>
      </c>
      <c r="L274" s="43">
        <v>0</v>
      </c>
      <c r="M274" s="887"/>
      <c r="N274" s="16"/>
      <c r="O274" s="16"/>
      <c r="P274" s="16"/>
      <c r="Q274" s="16"/>
      <c r="R274" s="16"/>
    </row>
    <row r="275" spans="1:18" hidden="1" outlineLevel="1" x14ac:dyDescent="0.2">
      <c r="A275" s="22" t="s">
        <v>1226</v>
      </c>
      <c r="B275" s="2" t="str">
        <f t="shared" si="10"/>
        <v>MW</v>
      </c>
      <c r="C275" s="2" t="s">
        <v>1224</v>
      </c>
      <c r="D275" s="716">
        <f t="shared" si="11"/>
        <v>0</v>
      </c>
      <c r="E275" s="4" t="s">
        <v>10</v>
      </c>
      <c r="F275" s="43">
        <v>0</v>
      </c>
      <c r="G275" s="43">
        <v>0</v>
      </c>
      <c r="H275" s="43">
        <v>0</v>
      </c>
      <c r="I275" s="43">
        <v>0</v>
      </c>
      <c r="J275" s="43">
        <v>0</v>
      </c>
      <c r="K275" s="43">
        <v>0</v>
      </c>
      <c r="L275" s="43">
        <v>0</v>
      </c>
      <c r="M275" s="887"/>
      <c r="N275" s="16"/>
      <c r="O275" s="16"/>
      <c r="P275" s="16"/>
      <c r="Q275" s="16"/>
      <c r="R275" s="16"/>
    </row>
    <row r="276" spans="1:18" hidden="1" outlineLevel="1" x14ac:dyDescent="0.2">
      <c r="A276" s="22" t="s">
        <v>1226</v>
      </c>
      <c r="B276" s="2" t="str">
        <f t="shared" si="10"/>
        <v>MW</v>
      </c>
      <c r="C276" s="2" t="s">
        <v>1224</v>
      </c>
      <c r="D276" s="716">
        <f t="shared" si="11"/>
        <v>0</v>
      </c>
      <c r="E276" s="4" t="s">
        <v>11</v>
      </c>
      <c r="F276" s="43">
        <v>0</v>
      </c>
      <c r="G276" s="43">
        <v>0</v>
      </c>
      <c r="H276" s="43">
        <v>0</v>
      </c>
      <c r="I276" s="43">
        <v>0</v>
      </c>
      <c r="J276" s="43">
        <v>0</v>
      </c>
      <c r="K276" s="43">
        <v>0</v>
      </c>
      <c r="L276" s="43">
        <v>0</v>
      </c>
      <c r="M276" s="887"/>
      <c r="N276" s="16"/>
      <c r="O276" s="16"/>
      <c r="P276" s="16"/>
      <c r="Q276" s="16"/>
      <c r="R276" s="16"/>
    </row>
    <row r="277" spans="1:18" hidden="1" outlineLevel="1" x14ac:dyDescent="0.2">
      <c r="A277" s="22" t="s">
        <v>1226</v>
      </c>
      <c r="B277" s="2" t="str">
        <f t="shared" si="10"/>
        <v>MW</v>
      </c>
      <c r="C277" s="2" t="s">
        <v>1224</v>
      </c>
      <c r="D277" s="716">
        <f t="shared" si="11"/>
        <v>0</v>
      </c>
      <c r="E277" s="4" t="s">
        <v>12</v>
      </c>
      <c r="F277" s="43">
        <v>85.839999999999989</v>
      </c>
      <c r="G277" s="43">
        <v>185.51000000000002</v>
      </c>
      <c r="H277" s="43">
        <v>198.88000000000002</v>
      </c>
      <c r="I277" s="43">
        <v>179.79000000000002</v>
      </c>
      <c r="J277" s="43">
        <v>195.79000000000002</v>
      </c>
      <c r="K277" s="43">
        <v>272.31000000000006</v>
      </c>
      <c r="L277" s="43">
        <v>272.31000000000006</v>
      </c>
      <c r="M277" s="887"/>
      <c r="N277" s="16"/>
      <c r="O277" s="16"/>
      <c r="P277" s="16"/>
      <c r="Q277" s="16"/>
      <c r="R277" s="16"/>
    </row>
    <row r="278" spans="1:18" hidden="1" outlineLevel="1" x14ac:dyDescent="0.2">
      <c r="A278" s="22" t="s">
        <v>1226</v>
      </c>
      <c r="B278" s="2" t="str">
        <f t="shared" si="10"/>
        <v>MW</v>
      </c>
      <c r="C278" s="2" t="s">
        <v>1224</v>
      </c>
      <c r="D278" s="716">
        <f t="shared" si="11"/>
        <v>0</v>
      </c>
      <c r="E278" s="4" t="s">
        <v>1</v>
      </c>
      <c r="F278" s="43">
        <v>0</v>
      </c>
      <c r="G278" s="43">
        <v>0</v>
      </c>
      <c r="H278" s="43">
        <v>0</v>
      </c>
      <c r="I278" s="43">
        <v>0</v>
      </c>
      <c r="J278" s="43">
        <v>0</v>
      </c>
      <c r="K278" s="43">
        <v>0</v>
      </c>
      <c r="L278" s="43">
        <v>0</v>
      </c>
      <c r="M278" s="887"/>
      <c r="N278" s="16"/>
      <c r="O278" s="16"/>
      <c r="P278" s="16"/>
      <c r="Q278" s="16"/>
      <c r="R278" s="16"/>
    </row>
    <row r="279" spans="1:18" hidden="1" outlineLevel="1" x14ac:dyDescent="0.2">
      <c r="A279" s="22" t="s">
        <v>1226</v>
      </c>
      <c r="B279" s="2" t="str">
        <f t="shared" si="10"/>
        <v>MW</v>
      </c>
      <c r="C279" s="2" t="s">
        <v>1224</v>
      </c>
      <c r="D279" s="716">
        <f t="shared" si="11"/>
        <v>0</v>
      </c>
      <c r="E279" s="4" t="s">
        <v>13</v>
      </c>
      <c r="F279" s="43">
        <v>1.5</v>
      </c>
      <c r="G279" s="43">
        <v>1.5</v>
      </c>
      <c r="H279" s="43">
        <v>1.5</v>
      </c>
      <c r="I279" s="43">
        <v>1.5</v>
      </c>
      <c r="J279" s="43">
        <v>1.5</v>
      </c>
      <c r="K279" s="43">
        <v>1.5</v>
      </c>
      <c r="L279" s="43">
        <v>1.5</v>
      </c>
      <c r="M279" s="887"/>
      <c r="N279" s="16"/>
      <c r="O279" s="16"/>
      <c r="P279" s="16"/>
      <c r="Q279" s="16"/>
      <c r="R279" s="16"/>
    </row>
    <row r="280" spans="1:18" hidden="1" outlineLevel="1" x14ac:dyDescent="0.2">
      <c r="A280" s="22" t="s">
        <v>1226</v>
      </c>
      <c r="B280" s="2" t="str">
        <f t="shared" si="10"/>
        <v>MW</v>
      </c>
      <c r="C280" s="2" t="s">
        <v>1224</v>
      </c>
      <c r="D280" s="716">
        <f t="shared" si="11"/>
        <v>0</v>
      </c>
      <c r="E280" s="4" t="s">
        <v>14</v>
      </c>
      <c r="F280" s="43">
        <v>0</v>
      </c>
      <c r="G280" s="43">
        <v>0</v>
      </c>
      <c r="H280" s="43">
        <v>0</v>
      </c>
      <c r="I280" s="43">
        <v>0</v>
      </c>
      <c r="J280" s="43">
        <v>0</v>
      </c>
      <c r="K280" s="43">
        <v>0</v>
      </c>
      <c r="L280" s="43">
        <v>0</v>
      </c>
      <c r="M280" s="887"/>
      <c r="N280" s="16"/>
      <c r="O280" s="16"/>
      <c r="P280" s="16"/>
      <c r="Q280" s="16"/>
      <c r="R280" s="16"/>
    </row>
    <row r="281" spans="1:18" hidden="1" outlineLevel="1" x14ac:dyDescent="0.2">
      <c r="A281" s="22" t="s">
        <v>1226</v>
      </c>
      <c r="B281" s="2" t="str">
        <f t="shared" si="10"/>
        <v>MW</v>
      </c>
      <c r="C281" s="2" t="s">
        <v>1224</v>
      </c>
      <c r="D281" s="716">
        <f t="shared" si="11"/>
        <v>0</v>
      </c>
      <c r="E281" s="4" t="s">
        <v>15</v>
      </c>
      <c r="F281" s="43">
        <v>0</v>
      </c>
      <c r="G281" s="43">
        <v>0</v>
      </c>
      <c r="H281" s="43">
        <v>0</v>
      </c>
      <c r="I281" s="43">
        <v>0</v>
      </c>
      <c r="J281" s="43">
        <v>0</v>
      </c>
      <c r="K281" s="43">
        <v>0</v>
      </c>
      <c r="L281" s="43">
        <v>0</v>
      </c>
      <c r="M281" s="887"/>
      <c r="N281" s="16"/>
      <c r="O281" s="16"/>
      <c r="P281" s="16"/>
      <c r="Q281" s="16"/>
      <c r="R281" s="16"/>
    </row>
    <row r="282" spans="1:18" hidden="1" outlineLevel="1" x14ac:dyDescent="0.2">
      <c r="A282" s="22" t="s">
        <v>1226</v>
      </c>
      <c r="B282" s="2" t="str">
        <f t="shared" si="10"/>
        <v>MW</v>
      </c>
      <c r="C282" s="2" t="s">
        <v>1224</v>
      </c>
      <c r="D282" s="716">
        <f t="shared" si="11"/>
        <v>0</v>
      </c>
      <c r="E282" s="4" t="s">
        <v>16</v>
      </c>
      <c r="F282" s="43">
        <v>0</v>
      </c>
      <c r="G282" s="43">
        <v>0</v>
      </c>
      <c r="H282" s="43">
        <v>0</v>
      </c>
      <c r="I282" s="43">
        <v>0</v>
      </c>
      <c r="J282" s="43">
        <v>0</v>
      </c>
      <c r="K282" s="43">
        <v>0</v>
      </c>
      <c r="L282" s="43">
        <v>0</v>
      </c>
      <c r="M282" s="887"/>
      <c r="N282" s="16"/>
      <c r="O282" s="16"/>
      <c r="P282" s="16"/>
      <c r="Q282" s="16"/>
      <c r="R282" s="16"/>
    </row>
    <row r="283" spans="1:18" hidden="1" outlineLevel="1" x14ac:dyDescent="0.2">
      <c r="A283" s="22" t="s">
        <v>1226</v>
      </c>
      <c r="B283" s="2" t="str">
        <f t="shared" si="10"/>
        <v>MW</v>
      </c>
      <c r="C283" s="2" t="s">
        <v>1224</v>
      </c>
      <c r="D283" s="716">
        <f t="shared" si="11"/>
        <v>0</v>
      </c>
      <c r="E283" s="4" t="s">
        <v>17</v>
      </c>
      <c r="F283" s="43">
        <v>0</v>
      </c>
      <c r="G283" s="43">
        <v>0</v>
      </c>
      <c r="H283" s="43">
        <v>0</v>
      </c>
      <c r="I283" s="43">
        <v>0</v>
      </c>
      <c r="J283" s="43">
        <v>0</v>
      </c>
      <c r="K283" s="43">
        <v>0</v>
      </c>
      <c r="L283" s="43">
        <v>0</v>
      </c>
      <c r="M283" s="887"/>
      <c r="N283" s="16"/>
      <c r="O283" s="16"/>
      <c r="P283" s="16"/>
      <c r="Q283" s="16"/>
      <c r="R283" s="16"/>
    </row>
    <row r="284" spans="1:18" hidden="1" outlineLevel="1" x14ac:dyDescent="0.2">
      <c r="A284" s="22" t="s">
        <v>1226</v>
      </c>
      <c r="B284" s="2" t="str">
        <f t="shared" si="10"/>
        <v>MW</v>
      </c>
      <c r="C284" s="2" t="s">
        <v>1224</v>
      </c>
      <c r="D284" s="716">
        <f t="shared" si="11"/>
        <v>0</v>
      </c>
      <c r="E284" s="4" t="s">
        <v>18</v>
      </c>
      <c r="F284" s="43">
        <v>0</v>
      </c>
      <c r="G284" s="43">
        <v>0</v>
      </c>
      <c r="H284" s="43">
        <v>0</v>
      </c>
      <c r="I284" s="43">
        <v>0</v>
      </c>
      <c r="J284" s="43">
        <v>0</v>
      </c>
      <c r="K284" s="43">
        <v>0</v>
      </c>
      <c r="L284" s="43">
        <v>0</v>
      </c>
      <c r="M284" s="887"/>
      <c r="N284" s="16"/>
      <c r="O284" s="16"/>
      <c r="P284" s="16"/>
      <c r="Q284" s="16"/>
      <c r="R284" s="16"/>
    </row>
    <row r="285" spans="1:18" hidden="1" outlineLevel="1" x14ac:dyDescent="0.2">
      <c r="A285" s="22" t="s">
        <v>1226</v>
      </c>
      <c r="B285" s="2" t="str">
        <f t="shared" si="10"/>
        <v>MW</v>
      </c>
      <c r="C285" s="2" t="s">
        <v>1224</v>
      </c>
      <c r="D285" s="716">
        <f t="shared" si="11"/>
        <v>0</v>
      </c>
      <c r="E285" s="4" t="s">
        <v>2</v>
      </c>
      <c r="F285" s="43">
        <v>0</v>
      </c>
      <c r="G285" s="43">
        <v>0</v>
      </c>
      <c r="H285" s="43">
        <v>0</v>
      </c>
      <c r="I285" s="43">
        <v>0</v>
      </c>
      <c r="J285" s="43">
        <v>0</v>
      </c>
      <c r="K285" s="43">
        <v>0</v>
      </c>
      <c r="L285" s="43">
        <v>0</v>
      </c>
      <c r="M285" s="887"/>
      <c r="N285" s="16"/>
      <c r="O285" s="16"/>
      <c r="P285" s="16"/>
      <c r="Q285" s="16"/>
      <c r="R285" s="16"/>
    </row>
    <row r="286" spans="1:18" hidden="1" outlineLevel="1" x14ac:dyDescent="0.2">
      <c r="A286" s="22" t="s">
        <v>1226</v>
      </c>
      <c r="B286" s="2" t="str">
        <f t="shared" si="10"/>
        <v>MW</v>
      </c>
      <c r="C286" s="2" t="s">
        <v>1224</v>
      </c>
      <c r="D286" s="716">
        <f t="shared" si="11"/>
        <v>0</v>
      </c>
      <c r="E286" s="4" t="s">
        <v>19</v>
      </c>
      <c r="F286" s="43">
        <v>0</v>
      </c>
      <c r="G286" s="43">
        <v>0</v>
      </c>
      <c r="H286" s="43">
        <v>0</v>
      </c>
      <c r="I286" s="43">
        <v>0</v>
      </c>
      <c r="J286" s="43">
        <v>0</v>
      </c>
      <c r="K286" s="43">
        <v>0</v>
      </c>
      <c r="L286" s="43">
        <v>0</v>
      </c>
      <c r="M286" s="887"/>
      <c r="N286" s="16"/>
      <c r="O286" s="16"/>
      <c r="P286" s="16"/>
      <c r="Q286" s="16"/>
      <c r="R286" s="16"/>
    </row>
    <row r="287" spans="1:18" hidden="1" outlineLevel="1" x14ac:dyDescent="0.2">
      <c r="A287" s="22" t="s">
        <v>1226</v>
      </c>
      <c r="B287" s="2" t="str">
        <f t="shared" si="10"/>
        <v>MW</v>
      </c>
      <c r="C287" s="2" t="s">
        <v>1224</v>
      </c>
      <c r="D287" s="716">
        <f t="shared" si="11"/>
        <v>0</v>
      </c>
      <c r="E287" s="4" t="s">
        <v>3</v>
      </c>
      <c r="F287" s="43">
        <v>0</v>
      </c>
      <c r="G287" s="43">
        <v>0</v>
      </c>
      <c r="H287" s="43">
        <v>0</v>
      </c>
      <c r="I287" s="43">
        <v>0</v>
      </c>
      <c r="J287" s="43">
        <v>0</v>
      </c>
      <c r="K287" s="43">
        <v>0</v>
      </c>
      <c r="L287" s="43">
        <v>0</v>
      </c>
      <c r="M287" s="887"/>
      <c r="N287" s="16"/>
      <c r="O287" s="16"/>
      <c r="P287" s="16"/>
      <c r="Q287" s="16"/>
      <c r="R287" s="16"/>
    </row>
    <row r="288" spans="1:18" hidden="1" outlineLevel="1" x14ac:dyDescent="0.2">
      <c r="A288" s="22" t="s">
        <v>1226</v>
      </c>
      <c r="B288" s="2" t="str">
        <f t="shared" si="10"/>
        <v>MW</v>
      </c>
      <c r="C288" s="2" t="s">
        <v>1224</v>
      </c>
      <c r="D288" s="716">
        <f t="shared" si="11"/>
        <v>0</v>
      </c>
      <c r="E288" s="4" t="s">
        <v>20</v>
      </c>
      <c r="F288" s="43">
        <v>869.99400000000003</v>
      </c>
      <c r="G288" s="43">
        <v>874.93</v>
      </c>
      <c r="H288" s="43">
        <v>894.61599999999987</v>
      </c>
      <c r="I288" s="43">
        <v>1114.81</v>
      </c>
      <c r="J288" s="43">
        <v>1121.23</v>
      </c>
      <c r="K288" s="43">
        <v>1121.23</v>
      </c>
      <c r="L288" s="43">
        <v>1121.23</v>
      </c>
      <c r="M288" s="887"/>
      <c r="N288" s="16"/>
      <c r="O288" s="16"/>
      <c r="P288" s="16"/>
      <c r="Q288" s="16"/>
      <c r="R288" s="16"/>
    </row>
    <row r="289" spans="1:18" hidden="1" outlineLevel="1" x14ac:dyDescent="0.2">
      <c r="A289" s="22" t="s">
        <v>1226</v>
      </c>
      <c r="B289" s="2" t="str">
        <f t="shared" si="10"/>
        <v>MW</v>
      </c>
      <c r="C289" s="2" t="s">
        <v>1224</v>
      </c>
      <c r="D289" s="716">
        <f t="shared" si="11"/>
        <v>0</v>
      </c>
      <c r="E289" s="4" t="s">
        <v>21</v>
      </c>
      <c r="F289" s="43">
        <v>148</v>
      </c>
      <c r="G289" s="43">
        <v>159</v>
      </c>
      <c r="H289" s="43">
        <v>146</v>
      </c>
      <c r="I289" s="43">
        <v>159</v>
      </c>
      <c r="J289" s="43">
        <v>197</v>
      </c>
      <c r="K289" s="43">
        <v>190</v>
      </c>
      <c r="L289" s="43">
        <v>190</v>
      </c>
      <c r="M289" s="887"/>
      <c r="N289" s="16"/>
      <c r="O289" s="16"/>
      <c r="P289" s="16"/>
      <c r="Q289" s="16"/>
      <c r="R289" s="16"/>
    </row>
    <row r="290" spans="1:18" hidden="1" outlineLevel="1" x14ac:dyDescent="0.2">
      <c r="A290" s="22" t="s">
        <v>1226</v>
      </c>
      <c r="B290" s="2" t="str">
        <f t="shared" si="10"/>
        <v>MW</v>
      </c>
      <c r="C290" s="2" t="s">
        <v>1224</v>
      </c>
      <c r="D290" s="716">
        <f t="shared" si="11"/>
        <v>0</v>
      </c>
      <c r="E290" s="4" t="s">
        <v>1096</v>
      </c>
      <c r="F290" s="43">
        <v>0</v>
      </c>
      <c r="G290" s="43">
        <v>0</v>
      </c>
      <c r="H290" s="43">
        <v>0</v>
      </c>
      <c r="I290" s="43">
        <v>0</v>
      </c>
      <c r="J290" s="43">
        <v>0</v>
      </c>
      <c r="K290" s="43">
        <v>0</v>
      </c>
      <c r="L290" s="43">
        <v>0</v>
      </c>
      <c r="M290" s="887"/>
      <c r="N290" s="16"/>
      <c r="O290" s="16"/>
      <c r="P290" s="16"/>
      <c r="Q290" s="16"/>
      <c r="R290" s="16"/>
    </row>
    <row r="291" spans="1:18" hidden="1" outlineLevel="1" x14ac:dyDescent="0.2">
      <c r="A291" s="22" t="s">
        <v>1226</v>
      </c>
      <c r="B291" s="2" t="str">
        <f t="shared" si="10"/>
        <v>MW</v>
      </c>
      <c r="C291" s="2" t="s">
        <v>1224</v>
      </c>
      <c r="D291" s="716">
        <f t="shared" si="11"/>
        <v>0</v>
      </c>
      <c r="E291" s="4" t="s">
        <v>22</v>
      </c>
      <c r="F291" s="43">
        <v>0</v>
      </c>
      <c r="G291" s="43">
        <v>0</v>
      </c>
      <c r="H291" s="43">
        <v>0</v>
      </c>
      <c r="I291" s="43">
        <v>0</v>
      </c>
      <c r="J291" s="43">
        <v>0</v>
      </c>
      <c r="K291" s="43">
        <v>0</v>
      </c>
      <c r="L291" s="43">
        <v>0</v>
      </c>
      <c r="M291" s="887"/>
      <c r="N291" s="16"/>
      <c r="O291" s="16"/>
      <c r="P291" s="16"/>
      <c r="Q291" s="16"/>
      <c r="R291" s="16"/>
    </row>
    <row r="292" spans="1:18" hidden="1" outlineLevel="1" x14ac:dyDescent="0.2">
      <c r="A292" s="22" t="s">
        <v>1226</v>
      </c>
      <c r="B292" s="2" t="str">
        <f t="shared" si="10"/>
        <v>MW</v>
      </c>
      <c r="C292" s="2" t="s">
        <v>1224</v>
      </c>
      <c r="D292" s="719">
        <f t="shared" si="11"/>
        <v>0</v>
      </c>
      <c r="E292" s="4" t="s">
        <v>23</v>
      </c>
      <c r="F292" s="374">
        <v>0</v>
      </c>
      <c r="G292" s="374">
        <v>0</v>
      </c>
      <c r="H292" s="374">
        <v>0</v>
      </c>
      <c r="I292" s="374">
        <v>0</v>
      </c>
      <c r="J292" s="374">
        <v>0</v>
      </c>
      <c r="K292" s="374">
        <v>0</v>
      </c>
      <c r="L292" s="374">
        <v>0</v>
      </c>
      <c r="M292" s="918"/>
      <c r="N292" s="16"/>
      <c r="O292" s="16"/>
      <c r="P292" s="16"/>
      <c r="Q292" s="16"/>
      <c r="R292" s="16"/>
    </row>
    <row r="293" spans="1:18" s="103" customFormat="1" hidden="1" outlineLevel="1" x14ac:dyDescent="0.2">
      <c r="A293" s="532" t="s">
        <v>1226</v>
      </c>
      <c r="B293" s="533" t="str">
        <f t="shared" si="10"/>
        <v>MW</v>
      </c>
      <c r="C293" s="533" t="s">
        <v>1225</v>
      </c>
      <c r="D293" s="715">
        <v>1</v>
      </c>
      <c r="E293" s="468" t="s">
        <v>4</v>
      </c>
      <c r="F293" s="535">
        <f t="shared" ref="F293:L309" si="12">SUMIFS(F$7:F$292, $E$7:$E$292, $E293, $D$7:$D$292, $D293)</f>
        <v>535.19799999999998</v>
      </c>
      <c r="G293" s="535">
        <f t="shared" si="12"/>
        <v>521.29500000000007</v>
      </c>
      <c r="H293" s="535">
        <f t="shared" si="12"/>
        <v>522.89919999999995</v>
      </c>
      <c r="I293" s="535">
        <f t="shared" si="12"/>
        <v>522.25020000000006</v>
      </c>
      <c r="J293" s="535">
        <f>SUMIFS(J$7:J$292, $E$7:$E$292, $E293, $D$7:$D$292, $D293)</f>
        <v>525.17320000000007</v>
      </c>
      <c r="K293" s="535">
        <f t="shared" si="12"/>
        <v>557.97850000000005</v>
      </c>
      <c r="L293" s="535">
        <f t="shared" si="12"/>
        <v>557.97850000000005</v>
      </c>
      <c r="M293" s="889"/>
      <c r="N293" s="20"/>
      <c r="O293" s="20"/>
      <c r="P293" s="20"/>
      <c r="Q293" s="20"/>
      <c r="R293" s="20"/>
    </row>
    <row r="294" spans="1:18" s="103" customFormat="1" hidden="1" outlineLevel="1" x14ac:dyDescent="0.2">
      <c r="A294" s="22" t="s">
        <v>1226</v>
      </c>
      <c r="B294" s="2" t="str">
        <f t="shared" si="10"/>
        <v>MW</v>
      </c>
      <c r="C294" s="2" t="s">
        <v>1225</v>
      </c>
      <c r="D294" s="716">
        <v>1</v>
      </c>
      <c r="E294" s="4" t="s">
        <v>5</v>
      </c>
      <c r="F294" s="78">
        <f t="shared" si="12"/>
        <v>0</v>
      </c>
      <c r="G294" s="78">
        <f t="shared" si="12"/>
        <v>0</v>
      </c>
      <c r="H294" s="78">
        <f t="shared" si="12"/>
        <v>0</v>
      </c>
      <c r="I294" s="78">
        <f t="shared" si="12"/>
        <v>0</v>
      </c>
      <c r="J294" s="78">
        <f t="shared" si="12"/>
        <v>0</v>
      </c>
      <c r="K294" s="78">
        <f t="shared" si="12"/>
        <v>0</v>
      </c>
      <c r="L294" s="78">
        <f t="shared" si="12"/>
        <v>0</v>
      </c>
      <c r="M294" s="890"/>
      <c r="N294" s="20"/>
      <c r="O294" s="20"/>
      <c r="P294" s="20"/>
      <c r="Q294" s="20"/>
      <c r="R294" s="20"/>
    </row>
    <row r="295" spans="1:18" s="103" customFormat="1" hidden="1" outlineLevel="1" x14ac:dyDescent="0.2">
      <c r="A295" s="22" t="s">
        <v>1226</v>
      </c>
      <c r="B295" s="2" t="str">
        <f t="shared" si="10"/>
        <v>MW</v>
      </c>
      <c r="C295" s="2" t="s">
        <v>1225</v>
      </c>
      <c r="D295" s="716">
        <v>1</v>
      </c>
      <c r="E295" s="4" t="s">
        <v>6</v>
      </c>
      <c r="F295" s="78">
        <f t="shared" si="12"/>
        <v>0</v>
      </c>
      <c r="G295" s="78">
        <f t="shared" si="12"/>
        <v>0</v>
      </c>
      <c r="H295" s="78">
        <f t="shared" si="12"/>
        <v>0</v>
      </c>
      <c r="I295" s="78">
        <f t="shared" si="12"/>
        <v>0</v>
      </c>
      <c r="J295" s="78">
        <f t="shared" si="12"/>
        <v>0</v>
      </c>
      <c r="K295" s="78">
        <f t="shared" si="12"/>
        <v>0</v>
      </c>
      <c r="L295" s="78">
        <f t="shared" si="12"/>
        <v>0</v>
      </c>
      <c r="M295" s="890"/>
      <c r="N295" s="20"/>
      <c r="O295" s="20"/>
      <c r="P295" s="20"/>
      <c r="Q295" s="20"/>
      <c r="R295" s="20"/>
    </row>
    <row r="296" spans="1:18" s="103" customFormat="1" hidden="1" outlineLevel="1" x14ac:dyDescent="0.2">
      <c r="A296" s="22" t="s">
        <v>1226</v>
      </c>
      <c r="B296" s="2" t="str">
        <f t="shared" si="10"/>
        <v>MW</v>
      </c>
      <c r="C296" s="2" t="s">
        <v>1225</v>
      </c>
      <c r="D296" s="716">
        <v>1</v>
      </c>
      <c r="E296" s="4" t="s">
        <v>143</v>
      </c>
      <c r="F296" s="78">
        <f t="shared" si="12"/>
        <v>32.200000000000003</v>
      </c>
      <c r="G296" s="78">
        <f t="shared" si="12"/>
        <v>35.300000000000004</v>
      </c>
      <c r="H296" s="78">
        <f t="shared" si="12"/>
        <v>35.300000000000004</v>
      </c>
      <c r="I296" s="78">
        <f t="shared" si="12"/>
        <v>66.800000000000011</v>
      </c>
      <c r="J296" s="78">
        <f t="shared" si="12"/>
        <v>85.800000000000011</v>
      </c>
      <c r="K296" s="78">
        <f t="shared" si="12"/>
        <v>85.800000000000011</v>
      </c>
      <c r="L296" s="78">
        <f t="shared" si="12"/>
        <v>86.28</v>
      </c>
      <c r="M296" s="890"/>
      <c r="N296" s="20"/>
      <c r="O296" s="20"/>
      <c r="P296" s="20"/>
      <c r="Q296" s="20"/>
      <c r="R296" s="20"/>
    </row>
    <row r="297" spans="1:18" s="103" customFormat="1" hidden="1" outlineLevel="1" x14ac:dyDescent="0.2">
      <c r="A297" s="22" t="s">
        <v>1226</v>
      </c>
      <c r="B297" s="2" t="str">
        <f t="shared" si="10"/>
        <v>MW</v>
      </c>
      <c r="C297" s="2" t="s">
        <v>1225</v>
      </c>
      <c r="D297" s="716">
        <v>1</v>
      </c>
      <c r="E297" s="4" t="s">
        <v>7</v>
      </c>
      <c r="F297" s="78">
        <f t="shared" si="12"/>
        <v>307.60000000000002</v>
      </c>
      <c r="G297" s="78">
        <f t="shared" si="12"/>
        <v>307.60000000000002</v>
      </c>
      <c r="H297" s="78">
        <f t="shared" si="12"/>
        <v>310.40000000000003</v>
      </c>
      <c r="I297" s="78">
        <f t="shared" si="12"/>
        <v>310.40000000000003</v>
      </c>
      <c r="J297" s="78">
        <f t="shared" si="12"/>
        <v>310.40000000000003</v>
      </c>
      <c r="K297" s="78">
        <f t="shared" si="12"/>
        <v>311.30000000000007</v>
      </c>
      <c r="L297" s="78">
        <f t="shared" si="12"/>
        <v>311.30000000000007</v>
      </c>
      <c r="M297" s="890"/>
      <c r="N297" s="20"/>
      <c r="O297" s="20"/>
      <c r="P297" s="20"/>
      <c r="Q297" s="20"/>
      <c r="R297" s="20"/>
    </row>
    <row r="298" spans="1:18" s="103" customFormat="1" hidden="1" outlineLevel="1" x14ac:dyDescent="0.2">
      <c r="A298" s="22" t="s">
        <v>1226</v>
      </c>
      <c r="B298" s="2" t="str">
        <f t="shared" si="10"/>
        <v>MW</v>
      </c>
      <c r="C298" s="2" t="s">
        <v>1225</v>
      </c>
      <c r="D298" s="716">
        <v>1</v>
      </c>
      <c r="E298" s="4" t="s">
        <v>31</v>
      </c>
      <c r="F298" s="78">
        <f t="shared" si="12"/>
        <v>4819.4400000000005</v>
      </c>
      <c r="G298" s="78">
        <f t="shared" si="12"/>
        <v>5815.8</v>
      </c>
      <c r="H298" s="78">
        <f t="shared" si="12"/>
        <v>7588</v>
      </c>
      <c r="I298" s="78">
        <f t="shared" si="12"/>
        <v>9167</v>
      </c>
      <c r="J298" s="78">
        <f t="shared" si="12"/>
        <v>11244</v>
      </c>
      <c r="K298" s="78">
        <f t="shared" si="12"/>
        <v>13862.1</v>
      </c>
      <c r="L298" s="78">
        <f t="shared" si="12"/>
        <v>15880.9</v>
      </c>
      <c r="M298" s="890"/>
      <c r="N298" s="20"/>
      <c r="O298" s="20"/>
      <c r="P298" s="20"/>
      <c r="Q298" s="20"/>
      <c r="R298" s="20"/>
    </row>
    <row r="299" spans="1:18" s="103" customFormat="1" hidden="1" outlineLevel="1" x14ac:dyDescent="0.2">
      <c r="A299" s="22" t="s">
        <v>1226</v>
      </c>
      <c r="B299" s="2" t="str">
        <f t="shared" si="10"/>
        <v>MW</v>
      </c>
      <c r="C299" s="2" t="s">
        <v>1225</v>
      </c>
      <c r="D299" s="716">
        <v>1</v>
      </c>
      <c r="E299" s="4" t="s">
        <v>8</v>
      </c>
      <c r="F299" s="78">
        <f t="shared" si="12"/>
        <v>606.42425000000003</v>
      </c>
      <c r="G299" s="78">
        <f t="shared" si="12"/>
        <v>697.57424999999989</v>
      </c>
      <c r="H299" s="78">
        <f t="shared" si="12"/>
        <v>767.38924999999995</v>
      </c>
      <c r="I299" s="78">
        <f t="shared" si="12"/>
        <v>871.35225000000003</v>
      </c>
      <c r="J299" s="78">
        <f t="shared" si="12"/>
        <v>994.07224999999994</v>
      </c>
      <c r="K299" s="78">
        <f t="shared" si="12"/>
        <v>1084.3775000000001</v>
      </c>
      <c r="L299" s="78">
        <f t="shared" si="12"/>
        <v>1211.3775000000001</v>
      </c>
      <c r="M299" s="890"/>
      <c r="N299" s="20"/>
      <c r="O299" s="20"/>
      <c r="P299" s="20"/>
      <c r="Q299" s="20"/>
      <c r="R299" s="20"/>
    </row>
    <row r="300" spans="1:18" s="103" customFormat="1" hidden="1" outlineLevel="1" x14ac:dyDescent="0.2">
      <c r="A300" s="22" t="s">
        <v>1226</v>
      </c>
      <c r="B300" s="2" t="str">
        <f t="shared" si="10"/>
        <v>MW</v>
      </c>
      <c r="C300" s="2" t="s">
        <v>1225</v>
      </c>
      <c r="D300" s="716">
        <v>1</v>
      </c>
      <c r="E300" s="4" t="s">
        <v>9</v>
      </c>
      <c r="F300" s="78">
        <f t="shared" si="12"/>
        <v>481.4</v>
      </c>
      <c r="G300" s="78">
        <f t="shared" si="12"/>
        <v>506</v>
      </c>
      <c r="H300" s="78">
        <f t="shared" si="12"/>
        <v>511.2</v>
      </c>
      <c r="I300" s="78">
        <f t="shared" si="12"/>
        <v>525.4</v>
      </c>
      <c r="J300" s="78">
        <f t="shared" si="12"/>
        <v>592.09999999999991</v>
      </c>
      <c r="K300" s="78">
        <f t="shared" si="12"/>
        <v>606.19999999999993</v>
      </c>
      <c r="L300" s="78">
        <f t="shared" si="12"/>
        <v>669.69999999999993</v>
      </c>
      <c r="M300" s="890"/>
      <c r="N300" s="20"/>
      <c r="O300" s="20"/>
      <c r="P300" s="20"/>
      <c r="Q300" s="20"/>
      <c r="R300" s="20"/>
    </row>
    <row r="301" spans="1:18" s="103" customFormat="1" hidden="1" outlineLevel="1" x14ac:dyDescent="0.2">
      <c r="A301" s="22" t="s">
        <v>1226</v>
      </c>
      <c r="B301" s="2" t="str">
        <f t="shared" si="10"/>
        <v>MW</v>
      </c>
      <c r="C301" s="2" t="s">
        <v>1225</v>
      </c>
      <c r="D301" s="716">
        <v>1</v>
      </c>
      <c r="E301" s="4" t="s">
        <v>10</v>
      </c>
      <c r="F301" s="78">
        <f t="shared" si="12"/>
        <v>727.70199999999988</v>
      </c>
      <c r="G301" s="78">
        <f t="shared" si="12"/>
        <v>761.73619999999994</v>
      </c>
      <c r="H301" s="78">
        <f t="shared" si="12"/>
        <v>792.23619999999994</v>
      </c>
      <c r="I301" s="78">
        <f t="shared" si="12"/>
        <v>838.28619999999989</v>
      </c>
      <c r="J301" s="78">
        <f t="shared" si="12"/>
        <v>838.28619999999989</v>
      </c>
      <c r="K301" s="78">
        <f t="shared" si="12"/>
        <v>941.67520000000002</v>
      </c>
      <c r="L301" s="78">
        <f t="shared" si="12"/>
        <v>971.63019999999995</v>
      </c>
      <c r="M301" s="890"/>
      <c r="N301" s="20"/>
      <c r="O301" s="20"/>
      <c r="P301" s="20"/>
      <c r="Q301" s="20"/>
      <c r="R301" s="20"/>
    </row>
    <row r="302" spans="1:18" s="103" customFormat="1" hidden="1" outlineLevel="1" x14ac:dyDescent="0.2">
      <c r="A302" s="22" t="s">
        <v>1226</v>
      </c>
      <c r="B302" s="2" t="str">
        <f t="shared" si="10"/>
        <v>MW</v>
      </c>
      <c r="C302" s="2" t="s">
        <v>1225</v>
      </c>
      <c r="D302" s="716">
        <v>1</v>
      </c>
      <c r="E302" s="4" t="s">
        <v>11</v>
      </c>
      <c r="F302" s="78">
        <f t="shared" si="12"/>
        <v>169.3</v>
      </c>
      <c r="G302" s="78">
        <f t="shared" si="12"/>
        <v>169.3</v>
      </c>
      <c r="H302" s="78">
        <f t="shared" si="12"/>
        <v>172.3</v>
      </c>
      <c r="I302" s="78">
        <f t="shared" si="12"/>
        <v>223.15</v>
      </c>
      <c r="J302" s="78">
        <f t="shared" si="12"/>
        <v>223.15</v>
      </c>
      <c r="K302" s="78">
        <f t="shared" si="12"/>
        <v>253.14999999999998</v>
      </c>
      <c r="L302" s="78">
        <f t="shared" si="12"/>
        <v>260.45</v>
      </c>
      <c r="M302" s="890"/>
      <c r="N302" s="20"/>
      <c r="O302" s="20"/>
      <c r="P302" s="20"/>
      <c r="Q302" s="20"/>
      <c r="R302" s="20"/>
    </row>
    <row r="303" spans="1:18" s="103" customFormat="1" hidden="1" outlineLevel="1" x14ac:dyDescent="0.2">
      <c r="A303" s="22" t="s">
        <v>1226</v>
      </c>
      <c r="B303" s="2" t="str">
        <f t="shared" si="10"/>
        <v>MW</v>
      </c>
      <c r="C303" s="2" t="s">
        <v>1225</v>
      </c>
      <c r="D303" s="716">
        <v>1</v>
      </c>
      <c r="E303" s="4" t="s">
        <v>12</v>
      </c>
      <c r="F303" s="78">
        <f t="shared" si="12"/>
        <v>351.10999999999996</v>
      </c>
      <c r="G303" s="78">
        <f t="shared" si="12"/>
        <v>381.46</v>
      </c>
      <c r="H303" s="78">
        <f t="shared" si="12"/>
        <v>414.23999999999995</v>
      </c>
      <c r="I303" s="78">
        <f t="shared" si="12"/>
        <v>416.87999999999994</v>
      </c>
      <c r="J303" s="78">
        <f t="shared" si="12"/>
        <v>411.25999999999988</v>
      </c>
      <c r="K303" s="78">
        <f t="shared" si="12"/>
        <v>402.78999999999991</v>
      </c>
      <c r="L303" s="78">
        <f t="shared" si="12"/>
        <v>442.00999999999988</v>
      </c>
      <c r="M303" s="890"/>
      <c r="N303" s="20"/>
      <c r="O303" s="20"/>
      <c r="P303" s="20"/>
      <c r="Q303" s="20"/>
      <c r="R303" s="20"/>
    </row>
    <row r="304" spans="1:18" s="103" customFormat="1" hidden="1" outlineLevel="1" x14ac:dyDescent="0.2">
      <c r="A304" s="22" t="s">
        <v>1226</v>
      </c>
      <c r="B304" s="2" t="str">
        <f t="shared" si="10"/>
        <v>MW</v>
      </c>
      <c r="C304" s="2" t="s">
        <v>1225</v>
      </c>
      <c r="D304" s="716">
        <v>1</v>
      </c>
      <c r="E304" s="4" t="s">
        <v>1</v>
      </c>
      <c r="F304" s="78">
        <f t="shared" si="12"/>
        <v>249</v>
      </c>
      <c r="G304" s="78">
        <f t="shared" si="12"/>
        <v>350.9</v>
      </c>
      <c r="H304" s="78">
        <f t="shared" si="12"/>
        <v>346.9</v>
      </c>
      <c r="I304" s="78">
        <f t="shared" si="12"/>
        <v>346.9</v>
      </c>
      <c r="J304" s="78">
        <f t="shared" si="12"/>
        <v>337.7</v>
      </c>
      <c r="K304" s="78">
        <f t="shared" si="12"/>
        <v>348.2</v>
      </c>
      <c r="L304" s="78">
        <f t="shared" si="12"/>
        <v>348.2</v>
      </c>
      <c r="M304" s="890"/>
      <c r="N304" s="20"/>
      <c r="O304" s="20"/>
      <c r="P304" s="20"/>
      <c r="Q304" s="20"/>
      <c r="R304" s="20"/>
    </row>
    <row r="305" spans="1:18" s="103" customFormat="1" hidden="1" outlineLevel="1" x14ac:dyDescent="0.2">
      <c r="A305" s="22" t="s">
        <v>1226</v>
      </c>
      <c r="B305" s="2" t="str">
        <f t="shared" si="10"/>
        <v>MW</v>
      </c>
      <c r="C305" s="2" t="s">
        <v>1225</v>
      </c>
      <c r="D305" s="716">
        <v>1</v>
      </c>
      <c r="E305" s="4" t="s">
        <v>13</v>
      </c>
      <c r="F305" s="78">
        <f t="shared" si="12"/>
        <v>479.072</v>
      </c>
      <c r="G305" s="78">
        <f t="shared" si="12"/>
        <v>530.27199999999993</v>
      </c>
      <c r="H305" s="78">
        <f t="shared" si="12"/>
        <v>530.43200000000002</v>
      </c>
      <c r="I305" s="78">
        <f t="shared" si="12"/>
        <v>543.93200000000002</v>
      </c>
      <c r="J305" s="78">
        <f t="shared" si="12"/>
        <v>548.47</v>
      </c>
      <c r="K305" s="78">
        <f t="shared" si="12"/>
        <v>621.35</v>
      </c>
      <c r="L305" s="78">
        <f t="shared" si="12"/>
        <v>636.30999999999995</v>
      </c>
      <c r="M305" s="890"/>
      <c r="N305" s="20"/>
      <c r="O305" s="20"/>
      <c r="P305" s="20"/>
      <c r="Q305" s="20"/>
      <c r="R305" s="20"/>
    </row>
    <row r="306" spans="1:18" s="103" customFormat="1" hidden="1" outlineLevel="1" x14ac:dyDescent="0.2">
      <c r="A306" s="22" t="s">
        <v>1226</v>
      </c>
      <c r="B306" s="2" t="str">
        <f t="shared" si="10"/>
        <v>MW</v>
      </c>
      <c r="C306" s="2" t="s">
        <v>1225</v>
      </c>
      <c r="D306" s="716">
        <v>1</v>
      </c>
      <c r="E306" s="4" t="s">
        <v>14</v>
      </c>
      <c r="F306" s="78">
        <f t="shared" si="12"/>
        <v>0</v>
      </c>
      <c r="G306" s="78">
        <f t="shared" si="12"/>
        <v>0</v>
      </c>
      <c r="H306" s="78">
        <f t="shared" si="12"/>
        <v>0</v>
      </c>
      <c r="I306" s="78">
        <f t="shared" si="12"/>
        <v>15</v>
      </c>
      <c r="J306" s="78">
        <f t="shared" si="12"/>
        <v>15</v>
      </c>
      <c r="K306" s="78">
        <f t="shared" si="12"/>
        <v>15</v>
      </c>
      <c r="L306" s="78">
        <f t="shared" si="12"/>
        <v>15</v>
      </c>
      <c r="M306" s="890"/>
      <c r="N306" s="20"/>
      <c r="O306" s="20"/>
      <c r="P306" s="20"/>
      <c r="Q306" s="20"/>
      <c r="R306" s="20"/>
    </row>
    <row r="307" spans="1:18" s="103" customFormat="1" hidden="1" outlineLevel="1" x14ac:dyDescent="0.2">
      <c r="A307" s="22" t="s">
        <v>1226</v>
      </c>
      <c r="B307" s="2" t="str">
        <f t="shared" si="10"/>
        <v>MW</v>
      </c>
      <c r="C307" s="2" t="s">
        <v>1225</v>
      </c>
      <c r="D307" s="716">
        <v>1</v>
      </c>
      <c r="E307" s="4" t="s">
        <v>15</v>
      </c>
      <c r="F307" s="78">
        <f t="shared" si="12"/>
        <v>0</v>
      </c>
      <c r="G307" s="78">
        <f t="shared" si="12"/>
        <v>0</v>
      </c>
      <c r="H307" s="78">
        <f t="shared" si="12"/>
        <v>0</v>
      </c>
      <c r="I307" s="78">
        <f t="shared" si="12"/>
        <v>0</v>
      </c>
      <c r="J307" s="78">
        <f t="shared" si="12"/>
        <v>0</v>
      </c>
      <c r="K307" s="78">
        <f t="shared" si="12"/>
        <v>48</v>
      </c>
      <c r="L307" s="78">
        <f t="shared" si="12"/>
        <v>55</v>
      </c>
      <c r="M307" s="890"/>
      <c r="N307" s="20"/>
      <c r="O307" s="20"/>
      <c r="P307" s="20"/>
      <c r="Q307" s="20"/>
      <c r="R307" s="20"/>
    </row>
    <row r="308" spans="1:18" s="103" customFormat="1" hidden="1" outlineLevel="1" x14ac:dyDescent="0.2">
      <c r="A308" s="22" t="s">
        <v>1226</v>
      </c>
      <c r="B308" s="2" t="str">
        <f t="shared" si="10"/>
        <v>MW</v>
      </c>
      <c r="C308" s="2" t="s">
        <v>1225</v>
      </c>
      <c r="D308" s="716">
        <v>1</v>
      </c>
      <c r="E308" s="4" t="s">
        <v>16</v>
      </c>
      <c r="F308" s="78">
        <f t="shared" si="12"/>
        <v>210.9</v>
      </c>
      <c r="G308" s="78">
        <f t="shared" si="12"/>
        <v>247.6</v>
      </c>
      <c r="H308" s="78">
        <f t="shared" si="12"/>
        <v>256.8</v>
      </c>
      <c r="I308" s="78">
        <f t="shared" si="12"/>
        <v>263.3</v>
      </c>
      <c r="J308" s="78">
        <f t="shared" si="12"/>
        <v>262.8</v>
      </c>
      <c r="K308" s="78">
        <f t="shared" si="12"/>
        <v>388.63</v>
      </c>
      <c r="L308" s="78">
        <f t="shared" si="12"/>
        <v>397.2399999999999</v>
      </c>
      <c r="M308" s="890"/>
      <c r="N308" s="20"/>
      <c r="O308" s="20"/>
      <c r="P308" s="20"/>
      <c r="Q308" s="20"/>
      <c r="R308" s="20"/>
    </row>
    <row r="309" spans="1:18" s="103" customFormat="1" hidden="1" outlineLevel="1" x14ac:dyDescent="0.2">
      <c r="A309" s="22" t="s">
        <v>1226</v>
      </c>
      <c r="B309" s="2" t="str">
        <f t="shared" si="10"/>
        <v>MW</v>
      </c>
      <c r="C309" s="2" t="s">
        <v>1225</v>
      </c>
      <c r="D309" s="716">
        <v>1</v>
      </c>
      <c r="E309" s="4" t="s">
        <v>17</v>
      </c>
      <c r="F309" s="78">
        <f t="shared" si="12"/>
        <v>42.4</v>
      </c>
      <c r="G309" s="78">
        <f t="shared" si="12"/>
        <v>43.5</v>
      </c>
      <c r="H309" s="78">
        <f t="shared" si="12"/>
        <v>43.5</v>
      </c>
      <c r="I309" s="78">
        <f t="shared" si="12"/>
        <v>43.5</v>
      </c>
      <c r="J309" s="78">
        <f t="shared" si="12"/>
        <v>46.5</v>
      </c>
      <c r="K309" s="78">
        <f t="shared" si="12"/>
        <v>64.5</v>
      </c>
      <c r="L309" s="78">
        <f t="shared" si="12"/>
        <v>64.5</v>
      </c>
      <c r="M309" s="890"/>
      <c r="N309" s="20"/>
      <c r="O309" s="20"/>
      <c r="P309" s="20"/>
      <c r="Q309" s="20"/>
      <c r="R309" s="20"/>
    </row>
    <row r="310" spans="1:18" s="103" customFormat="1" hidden="1" outlineLevel="1" x14ac:dyDescent="0.2">
      <c r="A310" s="22" t="s">
        <v>1226</v>
      </c>
      <c r="B310" s="2" t="str">
        <f t="shared" si="10"/>
        <v>MW</v>
      </c>
      <c r="C310" s="2" t="s">
        <v>1225</v>
      </c>
      <c r="D310" s="716">
        <v>1</v>
      </c>
      <c r="E310" s="4" t="s">
        <v>18</v>
      </c>
      <c r="F310" s="78">
        <f t="shared" ref="F310:L318" si="13">SUMIFS(F$7:F$292, $E$7:$E$292, $E310, $D$7:$D$292, $D310)</f>
        <v>1407.2730000000001</v>
      </c>
      <c r="G310" s="78">
        <f t="shared" si="13"/>
        <v>1517.5730000000003</v>
      </c>
      <c r="H310" s="78">
        <f t="shared" si="13"/>
        <v>1529.5080000000003</v>
      </c>
      <c r="I310" s="78">
        <f t="shared" si="13"/>
        <v>2007.7404000000001</v>
      </c>
      <c r="J310" s="78">
        <f t="shared" si="13"/>
        <v>2231.1813982733738</v>
      </c>
      <c r="K310" s="78">
        <f t="shared" si="13"/>
        <v>2290.1330000000003</v>
      </c>
      <c r="L310" s="78">
        <f t="shared" si="13"/>
        <v>2931.2110000000002</v>
      </c>
      <c r="M310" s="890"/>
      <c r="N310" s="20"/>
      <c r="O310" s="20"/>
      <c r="P310" s="20"/>
      <c r="Q310" s="20"/>
      <c r="R310" s="20"/>
    </row>
    <row r="311" spans="1:18" s="103" customFormat="1" hidden="1" outlineLevel="1" x14ac:dyDescent="0.2">
      <c r="A311" s="22" t="s">
        <v>1226</v>
      </c>
      <c r="B311" s="2" t="str">
        <f t="shared" si="10"/>
        <v>MW</v>
      </c>
      <c r="C311" s="2" t="s">
        <v>1225</v>
      </c>
      <c r="D311" s="716">
        <v>1</v>
      </c>
      <c r="E311" s="4" t="s">
        <v>2</v>
      </c>
      <c r="F311" s="78">
        <f t="shared" si="13"/>
        <v>259.52999999999997</v>
      </c>
      <c r="G311" s="78">
        <f t="shared" si="13"/>
        <v>260.2</v>
      </c>
      <c r="H311" s="78">
        <f t="shared" si="13"/>
        <v>260.2</v>
      </c>
      <c r="I311" s="78">
        <f t="shared" si="13"/>
        <v>300.2</v>
      </c>
      <c r="J311" s="78">
        <f t="shared" si="13"/>
        <v>323.2</v>
      </c>
      <c r="K311" s="78">
        <f t="shared" si="13"/>
        <v>323.2</v>
      </c>
      <c r="L311" s="78">
        <f t="shared" si="13"/>
        <v>451.8</v>
      </c>
      <c r="M311" s="890"/>
      <c r="N311" s="20"/>
      <c r="O311" s="20"/>
      <c r="P311" s="20"/>
      <c r="Q311" s="20"/>
      <c r="R311" s="20"/>
    </row>
    <row r="312" spans="1:18" s="103" customFormat="1" hidden="1" outlineLevel="1" x14ac:dyDescent="0.2">
      <c r="A312" s="22" t="s">
        <v>1226</v>
      </c>
      <c r="B312" s="2" t="str">
        <f t="shared" si="10"/>
        <v>MW</v>
      </c>
      <c r="C312" s="2" t="s">
        <v>1225</v>
      </c>
      <c r="D312" s="716">
        <v>1</v>
      </c>
      <c r="E312" s="4" t="s">
        <v>19</v>
      </c>
      <c r="F312" s="78">
        <f t="shared" si="13"/>
        <v>106.535</v>
      </c>
      <c r="G312" s="78">
        <f t="shared" si="13"/>
        <v>63.744999999999997</v>
      </c>
      <c r="H312" s="78">
        <f t="shared" si="13"/>
        <v>74.248999999999995</v>
      </c>
      <c r="I312" s="78">
        <f t="shared" si="13"/>
        <v>84.108999999999995</v>
      </c>
      <c r="J312" s="78">
        <f t="shared" si="13"/>
        <v>200.03</v>
      </c>
      <c r="K312" s="78">
        <f t="shared" si="13"/>
        <v>274.38</v>
      </c>
      <c r="L312" s="78">
        <f t="shared" si="13"/>
        <v>279.8</v>
      </c>
      <c r="M312" s="890"/>
      <c r="N312" s="20"/>
      <c r="O312" s="20"/>
      <c r="P312" s="20"/>
      <c r="Q312" s="20"/>
      <c r="R312" s="20"/>
    </row>
    <row r="313" spans="1:18" s="103" customFormat="1" hidden="1" outlineLevel="1" x14ac:dyDescent="0.2">
      <c r="A313" s="22" t="s">
        <v>1226</v>
      </c>
      <c r="B313" s="2" t="str">
        <f t="shared" si="10"/>
        <v>MW</v>
      </c>
      <c r="C313" s="2" t="s">
        <v>1225</v>
      </c>
      <c r="D313" s="716">
        <v>1</v>
      </c>
      <c r="E313" s="4" t="s">
        <v>3</v>
      </c>
      <c r="F313" s="78">
        <f t="shared" si="13"/>
        <v>0</v>
      </c>
      <c r="G313" s="78">
        <f t="shared" si="13"/>
        <v>0</v>
      </c>
      <c r="H313" s="78">
        <f t="shared" si="13"/>
        <v>0</v>
      </c>
      <c r="I313" s="78">
        <f t="shared" si="13"/>
        <v>0</v>
      </c>
      <c r="J313" s="78">
        <f t="shared" si="13"/>
        <v>0</v>
      </c>
      <c r="K313" s="78">
        <f t="shared" si="13"/>
        <v>0</v>
      </c>
      <c r="L313" s="78">
        <f t="shared" si="13"/>
        <v>0</v>
      </c>
      <c r="M313" s="890"/>
      <c r="N313" s="20"/>
      <c r="O313" s="20"/>
      <c r="P313" s="20"/>
      <c r="Q313" s="20"/>
      <c r="R313" s="20"/>
    </row>
    <row r="314" spans="1:18" s="103" customFormat="1" hidden="1" outlineLevel="1" x14ac:dyDescent="0.2">
      <c r="A314" s="22" t="s">
        <v>1226</v>
      </c>
      <c r="B314" s="2" t="str">
        <f t="shared" si="10"/>
        <v>MW</v>
      </c>
      <c r="C314" s="2" t="s">
        <v>1225</v>
      </c>
      <c r="D314" s="716">
        <v>1</v>
      </c>
      <c r="E314" s="4" t="s">
        <v>20</v>
      </c>
      <c r="F314" s="78">
        <f t="shared" si="13"/>
        <v>509.98700000000002</v>
      </c>
      <c r="G314" s="78">
        <f t="shared" si="13"/>
        <v>512.15</v>
      </c>
      <c r="H314" s="78">
        <f t="shared" si="13"/>
        <v>519.28200000000004</v>
      </c>
      <c r="I314" s="78">
        <f t="shared" si="13"/>
        <v>589.42100000000005</v>
      </c>
      <c r="J314" s="78">
        <f t="shared" si="13"/>
        <v>585.37600000000009</v>
      </c>
      <c r="K314" s="78">
        <f t="shared" si="13"/>
        <v>595.87599999999998</v>
      </c>
      <c r="L314" s="78">
        <f t="shared" si="13"/>
        <v>737.87599999999998</v>
      </c>
      <c r="M314" s="890"/>
      <c r="N314" s="20"/>
      <c r="O314" s="20"/>
      <c r="P314" s="20"/>
      <c r="Q314" s="20"/>
      <c r="R314" s="20"/>
    </row>
    <row r="315" spans="1:18" s="103" customFormat="1" hidden="1" outlineLevel="1" x14ac:dyDescent="0.2">
      <c r="A315" s="22" t="s">
        <v>1226</v>
      </c>
      <c r="B315" s="2" t="str">
        <f t="shared" si="10"/>
        <v>MW</v>
      </c>
      <c r="C315" s="2" t="s">
        <v>1225</v>
      </c>
      <c r="D315" s="716">
        <v>1</v>
      </c>
      <c r="E315" s="4" t="s">
        <v>21</v>
      </c>
      <c r="F315" s="78">
        <f t="shared" si="13"/>
        <v>0</v>
      </c>
      <c r="G315" s="78">
        <f t="shared" si="13"/>
        <v>0</v>
      </c>
      <c r="H315" s="78">
        <f t="shared" si="13"/>
        <v>0</v>
      </c>
      <c r="I315" s="78">
        <f t="shared" si="13"/>
        <v>0</v>
      </c>
      <c r="J315" s="78">
        <f t="shared" si="13"/>
        <v>0</v>
      </c>
      <c r="K315" s="78">
        <f t="shared" si="13"/>
        <v>0</v>
      </c>
      <c r="L315" s="78">
        <f t="shared" si="13"/>
        <v>0</v>
      </c>
      <c r="M315" s="890"/>
      <c r="N315" s="20"/>
      <c r="O315" s="20"/>
      <c r="P315" s="20"/>
      <c r="Q315" s="20"/>
      <c r="R315" s="20"/>
    </row>
    <row r="316" spans="1:18" s="103" customFormat="1" hidden="1" outlineLevel="1" x14ac:dyDescent="0.2">
      <c r="A316" s="22" t="s">
        <v>1226</v>
      </c>
      <c r="B316" s="2" t="str">
        <f t="shared" si="10"/>
        <v>MW</v>
      </c>
      <c r="C316" s="2" t="s">
        <v>1225</v>
      </c>
      <c r="D316" s="716">
        <v>1</v>
      </c>
      <c r="E316" s="4" t="s">
        <v>1096</v>
      </c>
      <c r="F316" s="78">
        <f t="shared" si="13"/>
        <v>0</v>
      </c>
      <c r="G316" s="78">
        <f t="shared" si="13"/>
        <v>0</v>
      </c>
      <c r="H316" s="78">
        <f t="shared" si="13"/>
        <v>0</v>
      </c>
      <c r="I316" s="78">
        <f t="shared" si="13"/>
        <v>0</v>
      </c>
      <c r="J316" s="78">
        <f t="shared" si="13"/>
        <v>0</v>
      </c>
      <c r="K316" s="78">
        <f t="shared" si="13"/>
        <v>0</v>
      </c>
      <c r="L316" s="78">
        <f t="shared" si="13"/>
        <v>0</v>
      </c>
      <c r="M316" s="890"/>
      <c r="N316" s="20"/>
      <c r="O316" s="20"/>
      <c r="P316" s="20"/>
      <c r="Q316" s="20"/>
      <c r="R316" s="20"/>
    </row>
    <row r="317" spans="1:18" s="103" customFormat="1" hidden="1" outlineLevel="1" x14ac:dyDescent="0.2">
      <c r="A317" s="22" t="s">
        <v>1226</v>
      </c>
      <c r="B317" s="2" t="str">
        <f t="shared" si="10"/>
        <v>MW</v>
      </c>
      <c r="C317" s="2" t="s">
        <v>1225</v>
      </c>
      <c r="D317" s="716">
        <v>1</v>
      </c>
      <c r="E317" s="4" t="s">
        <v>22</v>
      </c>
      <c r="F317" s="78">
        <f t="shared" si="13"/>
        <v>15.559999999999999</v>
      </c>
      <c r="G317" s="78">
        <f t="shared" si="13"/>
        <v>176.56</v>
      </c>
      <c r="H317" s="78">
        <f t="shared" si="13"/>
        <v>191.01</v>
      </c>
      <c r="I317" s="78">
        <f t="shared" si="13"/>
        <v>207.01</v>
      </c>
      <c r="J317" s="78">
        <f t="shared" si="13"/>
        <v>280.16000000000003</v>
      </c>
      <c r="K317" s="78">
        <f t="shared" si="13"/>
        <v>295.30284999999998</v>
      </c>
      <c r="L317" s="78">
        <f t="shared" si="13"/>
        <v>304.38297999999998</v>
      </c>
      <c r="M317" s="890"/>
      <c r="N317" s="20"/>
      <c r="O317" s="20"/>
      <c r="P317" s="20"/>
      <c r="Q317" s="20"/>
      <c r="R317" s="20"/>
    </row>
    <row r="318" spans="1:18" s="103" customFormat="1" hidden="1" outlineLevel="1" x14ac:dyDescent="0.2">
      <c r="A318" s="22" t="s">
        <v>1226</v>
      </c>
      <c r="B318" s="2" t="str">
        <f t="shared" si="10"/>
        <v>MW</v>
      </c>
      <c r="C318" s="2" t="s">
        <v>1225</v>
      </c>
      <c r="D318" s="717">
        <v>1</v>
      </c>
      <c r="E318" s="4" t="s">
        <v>23</v>
      </c>
      <c r="F318" s="379">
        <f t="shared" si="13"/>
        <v>0</v>
      </c>
      <c r="G318" s="379">
        <f t="shared" si="13"/>
        <v>0</v>
      </c>
      <c r="H318" s="379">
        <f t="shared" si="13"/>
        <v>0</v>
      </c>
      <c r="I318" s="379">
        <f t="shared" si="13"/>
        <v>26.33</v>
      </c>
      <c r="J318" s="379">
        <f t="shared" si="13"/>
        <v>26.33</v>
      </c>
      <c r="K318" s="379">
        <f t="shared" si="13"/>
        <v>26.33</v>
      </c>
      <c r="L318" s="379">
        <f t="shared" si="13"/>
        <v>32.629999999999995</v>
      </c>
      <c r="M318" s="919"/>
      <c r="N318" s="20"/>
      <c r="O318" s="20"/>
      <c r="P318" s="20"/>
      <c r="Q318" s="20"/>
      <c r="R318" s="20"/>
    </row>
    <row r="319" spans="1:18" s="103" customFormat="1" hidden="1" outlineLevel="1" x14ac:dyDescent="0.2">
      <c r="A319" s="532" t="s">
        <v>1226</v>
      </c>
      <c r="B319" s="533" t="str">
        <f t="shared" si="10"/>
        <v>MW</v>
      </c>
      <c r="C319" s="533" t="s">
        <v>1236</v>
      </c>
      <c r="D319" s="718">
        <v>0</v>
      </c>
      <c r="E319" s="468" t="s">
        <v>4</v>
      </c>
      <c r="F319" s="535">
        <f>SUMIFS(F$7:F$292, $E$7:$E$292, $E319)</f>
        <v>28359.222000000002</v>
      </c>
      <c r="G319" s="535">
        <f t="shared" ref="G319:L334" si="14">SUMIFS(G$7:G$292, $E$7:$E$292, $E319)</f>
        <v>28866.473000000002</v>
      </c>
      <c r="H319" s="535">
        <f t="shared" si="14"/>
        <v>30984.0072</v>
      </c>
      <c r="I319" s="535">
        <f t="shared" si="14"/>
        <v>32125.227200000001</v>
      </c>
      <c r="J319" s="535">
        <f t="shared" si="14"/>
        <v>32876.521199999996</v>
      </c>
      <c r="K319" s="535">
        <f>SUMIFS(K$7:K$292, $E$7:$E$292, $E319)</f>
        <v>33792.163500000002</v>
      </c>
      <c r="L319" s="535">
        <f>SUMIFS(L$7:L$292, $E$7:$E$292, $E319)</f>
        <v>33792.163500000002</v>
      </c>
      <c r="M319" s="889"/>
      <c r="N319" s="20"/>
      <c r="O319" s="20"/>
      <c r="P319" s="20"/>
      <c r="Q319" s="20"/>
      <c r="R319" s="20"/>
    </row>
    <row r="320" spans="1:18" s="103" customFormat="1" hidden="1" outlineLevel="1" x14ac:dyDescent="0.2">
      <c r="A320" s="22" t="s">
        <v>1226</v>
      </c>
      <c r="B320" s="2" t="str">
        <f t="shared" si="10"/>
        <v>MW</v>
      </c>
      <c r="C320" s="2" t="s">
        <v>1236</v>
      </c>
      <c r="D320" s="716">
        <v>0</v>
      </c>
      <c r="E320" s="4" t="s">
        <v>5</v>
      </c>
      <c r="F320" s="78">
        <f t="shared" ref="F320:L335" si="15">SUMIFS(F$7:F$292, $E$7:$E$292, $E320)</f>
        <v>0</v>
      </c>
      <c r="G320" s="78">
        <f t="shared" si="14"/>
        <v>0</v>
      </c>
      <c r="H320" s="78">
        <f t="shared" si="14"/>
        <v>0</v>
      </c>
      <c r="I320" s="78">
        <f t="shared" si="14"/>
        <v>450</v>
      </c>
      <c r="J320" s="78">
        <f t="shared" si="14"/>
        <v>450</v>
      </c>
      <c r="K320" s="78">
        <f t="shared" si="14"/>
        <v>575</v>
      </c>
      <c r="L320" s="78">
        <f t="shared" si="14"/>
        <v>575</v>
      </c>
      <c r="M320" s="890"/>
      <c r="N320" s="20"/>
      <c r="O320" s="20"/>
      <c r="P320" s="20"/>
      <c r="Q320" s="20"/>
      <c r="R320" s="20"/>
    </row>
    <row r="321" spans="1:18" s="103" customFormat="1" hidden="1" outlineLevel="1" x14ac:dyDescent="0.2">
      <c r="A321" s="22" t="s">
        <v>1226</v>
      </c>
      <c r="B321" s="2" t="str">
        <f t="shared" si="10"/>
        <v>MW</v>
      </c>
      <c r="C321" s="2" t="s">
        <v>1236</v>
      </c>
      <c r="D321" s="716">
        <v>0</v>
      </c>
      <c r="E321" s="4" t="s">
        <v>6</v>
      </c>
      <c r="F321" s="78">
        <f t="shared" si="15"/>
        <v>239.1</v>
      </c>
      <c r="G321" s="78">
        <f t="shared" si="14"/>
        <v>239.1</v>
      </c>
      <c r="H321" s="78">
        <f t="shared" si="14"/>
        <v>239.1</v>
      </c>
      <c r="I321" s="78">
        <f t="shared" si="14"/>
        <v>239.1</v>
      </c>
      <c r="J321" s="78">
        <f t="shared" si="14"/>
        <v>239.1</v>
      </c>
      <c r="K321" s="78">
        <f t="shared" si="14"/>
        <v>239.1</v>
      </c>
      <c r="L321" s="78">
        <f t="shared" si="14"/>
        <v>239.1</v>
      </c>
      <c r="M321" s="890"/>
      <c r="N321" s="20"/>
      <c r="O321" s="20"/>
      <c r="P321" s="20"/>
      <c r="Q321" s="20"/>
      <c r="R321" s="20"/>
    </row>
    <row r="322" spans="1:18" s="103" customFormat="1" hidden="1" outlineLevel="1" x14ac:dyDescent="0.2">
      <c r="A322" s="22" t="s">
        <v>1226</v>
      </c>
      <c r="B322" s="2" t="str">
        <f t="shared" si="10"/>
        <v>MW</v>
      </c>
      <c r="C322" s="2" t="s">
        <v>1236</v>
      </c>
      <c r="D322" s="716">
        <v>0</v>
      </c>
      <c r="E322" s="4" t="s">
        <v>143</v>
      </c>
      <c r="F322" s="78">
        <f t="shared" si="15"/>
        <v>69.099999999999994</v>
      </c>
      <c r="G322" s="78">
        <f t="shared" si="14"/>
        <v>71.5</v>
      </c>
      <c r="H322" s="78">
        <f t="shared" si="14"/>
        <v>72.300000000000011</v>
      </c>
      <c r="I322" s="78">
        <f t="shared" si="14"/>
        <v>123</v>
      </c>
      <c r="J322" s="78">
        <f t="shared" si="14"/>
        <v>140.6</v>
      </c>
      <c r="K322" s="78">
        <f t="shared" si="14"/>
        <v>136.6</v>
      </c>
      <c r="L322" s="78">
        <f t="shared" si="14"/>
        <v>137.07999999999998</v>
      </c>
      <c r="M322" s="890"/>
      <c r="N322" s="20"/>
      <c r="O322" s="20"/>
      <c r="P322" s="20"/>
      <c r="Q322" s="20"/>
      <c r="R322" s="20"/>
    </row>
    <row r="323" spans="1:18" s="103" customFormat="1" hidden="1" outlineLevel="1" x14ac:dyDescent="0.2">
      <c r="A323" s="22" t="s">
        <v>1226</v>
      </c>
      <c r="B323" s="2" t="str">
        <f t="shared" si="10"/>
        <v>MW</v>
      </c>
      <c r="C323" s="2" t="s">
        <v>1236</v>
      </c>
      <c r="D323" s="716">
        <v>0</v>
      </c>
      <c r="E323" s="4" t="s">
        <v>7</v>
      </c>
      <c r="F323" s="78">
        <f t="shared" si="15"/>
        <v>1465.6</v>
      </c>
      <c r="G323" s="78">
        <f t="shared" si="14"/>
        <v>1495</v>
      </c>
      <c r="H323" s="78">
        <f t="shared" si="14"/>
        <v>1500.8999999999999</v>
      </c>
      <c r="I323" s="78">
        <f t="shared" si="14"/>
        <v>1528.6</v>
      </c>
      <c r="J323" s="78">
        <f t="shared" si="14"/>
        <v>1639.1000000000001</v>
      </c>
      <c r="K323" s="78">
        <f t="shared" si="14"/>
        <v>1678.1</v>
      </c>
      <c r="L323" s="78">
        <f t="shared" si="14"/>
        <v>1678.1</v>
      </c>
      <c r="M323" s="890"/>
      <c r="N323" s="20"/>
      <c r="O323" s="20"/>
      <c r="P323" s="20"/>
      <c r="Q323" s="20"/>
      <c r="R323" s="20"/>
    </row>
    <row r="324" spans="1:18" s="103" customFormat="1" hidden="1" outlineLevel="1" x14ac:dyDescent="0.2">
      <c r="A324" s="22" t="s">
        <v>1226</v>
      </c>
      <c r="B324" s="2" t="str">
        <f t="shared" si="10"/>
        <v>MW</v>
      </c>
      <c r="C324" s="2" t="s">
        <v>1236</v>
      </c>
      <c r="D324" s="716">
        <v>0</v>
      </c>
      <c r="E324" s="4" t="s">
        <v>31</v>
      </c>
      <c r="F324" s="78">
        <f t="shared" si="15"/>
        <v>96294</v>
      </c>
      <c r="G324" s="78">
        <f t="shared" si="14"/>
        <v>100352.00000000001</v>
      </c>
      <c r="H324" s="78">
        <f t="shared" si="14"/>
        <v>102948.99999999999</v>
      </c>
      <c r="I324" s="78">
        <f t="shared" si="14"/>
        <v>105863</v>
      </c>
      <c r="J324" s="78">
        <f t="shared" si="14"/>
        <v>113327</v>
      </c>
      <c r="K324" s="78">
        <f t="shared" si="14"/>
        <v>116131.1</v>
      </c>
      <c r="L324" s="78">
        <f t="shared" si="14"/>
        <v>123444.7</v>
      </c>
      <c r="M324" s="890"/>
      <c r="N324" s="20"/>
      <c r="O324" s="20"/>
      <c r="P324" s="20"/>
      <c r="Q324" s="20"/>
      <c r="R324" s="20"/>
    </row>
    <row r="325" spans="1:18" s="103" customFormat="1" hidden="1" outlineLevel="1" x14ac:dyDescent="0.2">
      <c r="A325" s="22" t="s">
        <v>1226</v>
      </c>
      <c r="B325" s="2" t="str">
        <f t="shared" si="10"/>
        <v>MW</v>
      </c>
      <c r="C325" s="2" t="s">
        <v>1236</v>
      </c>
      <c r="D325" s="716">
        <v>0</v>
      </c>
      <c r="E325" s="4" t="s">
        <v>8</v>
      </c>
      <c r="F325" s="78">
        <f t="shared" si="15"/>
        <v>11486.665805000001</v>
      </c>
      <c r="G325" s="78">
        <f t="shared" si="14"/>
        <v>11901.904184999998</v>
      </c>
      <c r="H325" s="78">
        <f t="shared" si="14"/>
        <v>12632.247185</v>
      </c>
      <c r="I325" s="78">
        <f t="shared" si="14"/>
        <v>14048.255984999998</v>
      </c>
      <c r="J325" s="78">
        <f t="shared" si="14"/>
        <v>15123.253084999998</v>
      </c>
      <c r="K325" s="78">
        <f t="shared" si="14"/>
        <v>16480.166565</v>
      </c>
      <c r="L325" s="78">
        <f t="shared" si="14"/>
        <v>17553.686565</v>
      </c>
      <c r="M325" s="890"/>
      <c r="N325" s="20"/>
      <c r="O325" s="20"/>
      <c r="P325" s="20"/>
      <c r="Q325" s="20"/>
      <c r="R325" s="20"/>
    </row>
    <row r="326" spans="1:18" s="103" customFormat="1" hidden="1" outlineLevel="1" x14ac:dyDescent="0.2">
      <c r="A326" s="22" t="s">
        <v>1226</v>
      </c>
      <c r="B326" s="2" t="str">
        <f t="shared" si="10"/>
        <v>MW</v>
      </c>
      <c r="C326" s="2" t="s">
        <v>1236</v>
      </c>
      <c r="D326" s="716">
        <v>0</v>
      </c>
      <c r="E326" s="4" t="s">
        <v>9</v>
      </c>
      <c r="F326" s="78">
        <f t="shared" si="15"/>
        <v>13277.199999999999</v>
      </c>
      <c r="G326" s="78">
        <f t="shared" si="14"/>
        <v>13405.7</v>
      </c>
      <c r="H326" s="78">
        <f t="shared" si="14"/>
        <v>13456.8</v>
      </c>
      <c r="I326" s="78">
        <f t="shared" si="14"/>
        <v>13495.8</v>
      </c>
      <c r="J326" s="78">
        <f t="shared" si="14"/>
        <v>13289.499999999998</v>
      </c>
      <c r="K326" s="78">
        <f t="shared" si="14"/>
        <v>14407.199999999999</v>
      </c>
      <c r="L326" s="78">
        <f t="shared" si="14"/>
        <v>14361.699999999999</v>
      </c>
      <c r="M326" s="890"/>
      <c r="N326" s="20"/>
      <c r="O326" s="20"/>
      <c r="P326" s="20"/>
      <c r="Q326" s="20"/>
      <c r="R326" s="20"/>
    </row>
    <row r="327" spans="1:18" s="103" customFormat="1" hidden="1" outlineLevel="1" x14ac:dyDescent="0.2">
      <c r="A327" s="22" t="s">
        <v>1226</v>
      </c>
      <c r="B327" s="2" t="str">
        <f t="shared" si="10"/>
        <v>MW</v>
      </c>
      <c r="C327" s="2" t="s">
        <v>1236</v>
      </c>
      <c r="D327" s="716">
        <v>0</v>
      </c>
      <c r="E327" s="4" t="s">
        <v>10</v>
      </c>
      <c r="F327" s="78">
        <f t="shared" si="15"/>
        <v>2073.4592499999999</v>
      </c>
      <c r="G327" s="78">
        <f t="shared" si="14"/>
        <v>2155.9900000000002</v>
      </c>
      <c r="H327" s="78">
        <f t="shared" si="14"/>
        <v>2365.538</v>
      </c>
      <c r="I327" s="78">
        <f t="shared" si="14"/>
        <v>2411.5879999999997</v>
      </c>
      <c r="J327" s="78">
        <f t="shared" si="14"/>
        <v>2613.9879999999994</v>
      </c>
      <c r="K327" s="78">
        <f t="shared" si="14"/>
        <v>2650.4310000000005</v>
      </c>
      <c r="L327" s="78">
        <f t="shared" si="14"/>
        <v>2689.5740000000005</v>
      </c>
      <c r="M327" s="890"/>
      <c r="N327" s="20"/>
      <c r="O327" s="20"/>
      <c r="P327" s="20"/>
      <c r="Q327" s="20"/>
      <c r="R327" s="20"/>
    </row>
    <row r="328" spans="1:18" s="103" customFormat="1" hidden="1" outlineLevel="1" x14ac:dyDescent="0.2">
      <c r="A328" s="22" t="s">
        <v>1226</v>
      </c>
      <c r="B328" s="2" t="str">
        <f t="shared" ref="B328:B391" si="16">IF(A328="Capacity", "MW", "GWh")</f>
        <v>MW</v>
      </c>
      <c r="C328" s="2" t="s">
        <v>1236</v>
      </c>
      <c r="D328" s="716">
        <v>0</v>
      </c>
      <c r="E328" s="4" t="s">
        <v>11</v>
      </c>
      <c r="F328" s="78">
        <f t="shared" si="15"/>
        <v>3394.1</v>
      </c>
      <c r="G328" s="78">
        <f t="shared" si="14"/>
        <v>3394.1</v>
      </c>
      <c r="H328" s="78">
        <f t="shared" si="14"/>
        <v>3146</v>
      </c>
      <c r="I328" s="78">
        <f t="shared" si="14"/>
        <v>3190.6800000000003</v>
      </c>
      <c r="J328" s="78">
        <f t="shared" si="14"/>
        <v>3187.5800000000004</v>
      </c>
      <c r="K328" s="78">
        <f t="shared" si="14"/>
        <v>3355.2499999999995</v>
      </c>
      <c r="L328" s="78">
        <f t="shared" si="14"/>
        <v>3442.5199999999995</v>
      </c>
      <c r="M328" s="890"/>
      <c r="N328" s="20"/>
      <c r="O328" s="20"/>
      <c r="P328" s="20"/>
      <c r="Q328" s="20"/>
      <c r="R328" s="20"/>
    </row>
    <row r="329" spans="1:18" s="103" customFormat="1" hidden="1" outlineLevel="1" x14ac:dyDescent="0.2">
      <c r="A329" s="22" t="s">
        <v>1226</v>
      </c>
      <c r="B329" s="2" t="str">
        <f t="shared" si="16"/>
        <v>MW</v>
      </c>
      <c r="C329" s="2" t="s">
        <v>1236</v>
      </c>
      <c r="D329" s="716">
        <v>0</v>
      </c>
      <c r="E329" s="4" t="s">
        <v>12</v>
      </c>
      <c r="F329" s="78">
        <f t="shared" si="15"/>
        <v>3997.7700000000004</v>
      </c>
      <c r="G329" s="78">
        <f t="shared" si="14"/>
        <v>4489.05</v>
      </c>
      <c r="H329" s="78">
        <f t="shared" si="14"/>
        <v>4556.3600000000006</v>
      </c>
      <c r="I329" s="78">
        <f t="shared" si="14"/>
        <v>4838.7000000000007</v>
      </c>
      <c r="J329" s="78">
        <f t="shared" si="14"/>
        <v>5142.6900000000005</v>
      </c>
      <c r="K329" s="78">
        <f t="shared" si="14"/>
        <v>5231.91</v>
      </c>
      <c r="L329" s="78">
        <f t="shared" si="14"/>
        <v>5509.7800000000007</v>
      </c>
      <c r="M329" s="890"/>
      <c r="N329" s="20"/>
      <c r="O329" s="20"/>
      <c r="P329" s="20"/>
      <c r="Q329" s="20"/>
      <c r="R329" s="20"/>
    </row>
    <row r="330" spans="1:18" s="103" customFormat="1" hidden="1" outlineLevel="1" x14ac:dyDescent="0.2">
      <c r="A330" s="22" t="s">
        <v>1226</v>
      </c>
      <c r="B330" s="2" t="str">
        <f t="shared" si="16"/>
        <v>MW</v>
      </c>
      <c r="C330" s="2" t="s">
        <v>1236</v>
      </c>
      <c r="D330" s="716">
        <v>0</v>
      </c>
      <c r="E330" s="4" t="s">
        <v>1</v>
      </c>
      <c r="F330" s="78">
        <f t="shared" si="15"/>
        <v>1293.0000000000002</v>
      </c>
      <c r="G330" s="78">
        <f t="shared" si="14"/>
        <v>1438.5000000000002</v>
      </c>
      <c r="H330" s="78">
        <f t="shared" si="14"/>
        <v>1441.3000000000002</v>
      </c>
      <c r="I330" s="78">
        <f t="shared" si="14"/>
        <v>1490.3000000000002</v>
      </c>
      <c r="J330" s="78">
        <f t="shared" si="14"/>
        <v>1481.1000000000001</v>
      </c>
      <c r="K330" s="78">
        <f t="shared" si="14"/>
        <v>1497.1000000000001</v>
      </c>
      <c r="L330" s="78">
        <f t="shared" si="14"/>
        <v>1497.1000000000001</v>
      </c>
      <c r="M330" s="890"/>
      <c r="N330" s="20"/>
      <c r="O330" s="20"/>
      <c r="P330" s="20"/>
      <c r="Q330" s="20"/>
      <c r="R330" s="20"/>
    </row>
    <row r="331" spans="1:18" s="103" customFormat="1" hidden="1" outlineLevel="1" x14ac:dyDescent="0.2">
      <c r="A331" s="22" t="s">
        <v>1226</v>
      </c>
      <c r="B331" s="2" t="str">
        <f t="shared" si="16"/>
        <v>MW</v>
      </c>
      <c r="C331" s="2" t="s">
        <v>1236</v>
      </c>
      <c r="D331" s="716">
        <v>0</v>
      </c>
      <c r="E331" s="4" t="s">
        <v>13</v>
      </c>
      <c r="F331" s="78">
        <f t="shared" si="15"/>
        <v>2274.79</v>
      </c>
      <c r="G331" s="78">
        <f t="shared" si="14"/>
        <v>2341.7339999999999</v>
      </c>
      <c r="H331" s="78">
        <f t="shared" si="14"/>
        <v>2422.1939999999995</v>
      </c>
      <c r="I331" s="78">
        <f t="shared" si="14"/>
        <v>2435.6939999999995</v>
      </c>
      <c r="J331" s="78">
        <f t="shared" si="14"/>
        <v>2534.2319999999995</v>
      </c>
      <c r="K331" s="78">
        <f t="shared" si="14"/>
        <v>2607.1119999999996</v>
      </c>
      <c r="L331" s="78">
        <f t="shared" si="14"/>
        <v>2790.0719999999997</v>
      </c>
      <c r="M331" s="890"/>
      <c r="N331" s="20"/>
      <c r="O331" s="20"/>
      <c r="P331" s="20"/>
      <c r="Q331" s="20"/>
      <c r="R331" s="20"/>
    </row>
    <row r="332" spans="1:18" s="103" customFormat="1" hidden="1" outlineLevel="1" x14ac:dyDescent="0.2">
      <c r="A332" s="22" t="s">
        <v>1226</v>
      </c>
      <c r="B332" s="2" t="str">
        <f t="shared" si="16"/>
        <v>MW</v>
      </c>
      <c r="C332" s="2" t="s">
        <v>1236</v>
      </c>
      <c r="D332" s="716">
        <v>0</v>
      </c>
      <c r="E332" s="4" t="s">
        <v>14</v>
      </c>
      <c r="F332" s="78">
        <f t="shared" si="15"/>
        <v>133.66</v>
      </c>
      <c r="G332" s="78">
        <f t="shared" si="14"/>
        <v>131.94999999999999</v>
      </c>
      <c r="H332" s="78">
        <f t="shared" si="14"/>
        <v>147.52000000000001</v>
      </c>
      <c r="I332" s="78">
        <f>SUMIFS(I$7:I$292, $E$7:$E$292, $E332)</f>
        <v>175.32</v>
      </c>
      <c r="J332" s="78">
        <f t="shared" si="14"/>
        <v>173.4</v>
      </c>
      <c r="K332" s="78">
        <f t="shared" si="14"/>
        <v>220.7</v>
      </c>
      <c r="L332" s="78">
        <f t="shared" si="14"/>
        <v>173.4</v>
      </c>
      <c r="M332" s="890"/>
      <c r="N332" s="20"/>
      <c r="O332" s="20"/>
      <c r="P332" s="20"/>
      <c r="Q332" s="20"/>
      <c r="R332" s="20"/>
    </row>
    <row r="333" spans="1:18" s="103" customFormat="1" hidden="1" outlineLevel="1" x14ac:dyDescent="0.2">
      <c r="A333" s="22" t="s">
        <v>1226</v>
      </c>
      <c r="B333" s="2" t="str">
        <f t="shared" si="16"/>
        <v>MW</v>
      </c>
      <c r="C333" s="2" t="s">
        <v>1236</v>
      </c>
      <c r="D333" s="716">
        <v>0</v>
      </c>
      <c r="E333" s="4" t="s">
        <v>15</v>
      </c>
      <c r="F333" s="78">
        <f t="shared" si="15"/>
        <v>0</v>
      </c>
      <c r="G333" s="78">
        <f t="shared" si="14"/>
        <v>0</v>
      </c>
      <c r="H333" s="78">
        <f t="shared" si="14"/>
        <v>0</v>
      </c>
      <c r="I333" s="78">
        <f t="shared" si="14"/>
        <v>0</v>
      </c>
      <c r="J333" s="78">
        <f t="shared" si="14"/>
        <v>0</v>
      </c>
      <c r="K333" s="78">
        <f t="shared" si="14"/>
        <v>119.2</v>
      </c>
      <c r="L333" s="78">
        <f t="shared" si="14"/>
        <v>241</v>
      </c>
      <c r="M333" s="890"/>
      <c r="N333" s="20"/>
      <c r="O333" s="20"/>
      <c r="P333" s="20"/>
      <c r="Q333" s="20"/>
      <c r="R333" s="20"/>
    </row>
    <row r="334" spans="1:18" s="103" customFormat="1" hidden="1" outlineLevel="1" x14ac:dyDescent="0.2">
      <c r="A334" s="22" t="s">
        <v>1226</v>
      </c>
      <c r="B334" s="2" t="str">
        <f t="shared" si="16"/>
        <v>MW</v>
      </c>
      <c r="C334" s="2" t="s">
        <v>1236</v>
      </c>
      <c r="D334" s="716">
        <v>0</v>
      </c>
      <c r="E334" s="4" t="s">
        <v>16</v>
      </c>
      <c r="F334" s="78">
        <f t="shared" si="15"/>
        <v>1568.8000000000002</v>
      </c>
      <c r="G334" s="78">
        <f t="shared" si="14"/>
        <v>1608.5000000000002</v>
      </c>
      <c r="H334" s="78">
        <f t="shared" si="14"/>
        <v>1630.1</v>
      </c>
      <c r="I334" s="78">
        <f t="shared" si="14"/>
        <v>1635.8</v>
      </c>
      <c r="J334" s="78">
        <f t="shared" si="14"/>
        <v>1635.3</v>
      </c>
      <c r="K334" s="78">
        <f t="shared" si="14"/>
        <v>1773.63</v>
      </c>
      <c r="L334" s="78">
        <f t="shared" si="14"/>
        <v>1782.64</v>
      </c>
      <c r="M334" s="890"/>
      <c r="N334" s="20"/>
      <c r="O334" s="20"/>
      <c r="P334" s="20"/>
      <c r="Q334" s="20"/>
      <c r="R334" s="20"/>
    </row>
    <row r="335" spans="1:18" s="103" customFormat="1" hidden="1" outlineLevel="1" x14ac:dyDescent="0.2">
      <c r="A335" s="22" t="s">
        <v>1226</v>
      </c>
      <c r="B335" s="2" t="str">
        <f t="shared" si="16"/>
        <v>MW</v>
      </c>
      <c r="C335" s="2" t="s">
        <v>1236</v>
      </c>
      <c r="D335" s="716">
        <v>0</v>
      </c>
      <c r="E335" s="4" t="s">
        <v>17</v>
      </c>
      <c r="F335" s="78">
        <f t="shared" si="15"/>
        <v>838.56000000000006</v>
      </c>
      <c r="G335" s="78">
        <f t="shared" si="15"/>
        <v>839.66</v>
      </c>
      <c r="H335" s="78">
        <f t="shared" si="15"/>
        <v>839.66</v>
      </c>
      <c r="I335" s="78">
        <f t="shared" si="15"/>
        <v>839.66</v>
      </c>
      <c r="J335" s="78">
        <f t="shared" si="15"/>
        <v>854.66</v>
      </c>
      <c r="K335" s="78">
        <f t="shared" si="15"/>
        <v>872.66</v>
      </c>
      <c r="L335" s="78">
        <f t="shared" si="15"/>
        <v>938.16</v>
      </c>
      <c r="M335" s="890"/>
      <c r="N335" s="20"/>
      <c r="O335" s="20"/>
      <c r="P335" s="20"/>
      <c r="Q335" s="20"/>
      <c r="R335" s="20"/>
    </row>
    <row r="336" spans="1:18" s="103" customFormat="1" hidden="1" outlineLevel="1" x14ac:dyDescent="0.2">
      <c r="A336" s="22" t="s">
        <v>1226</v>
      </c>
      <c r="B336" s="2" t="str">
        <f t="shared" si="16"/>
        <v>MW</v>
      </c>
      <c r="C336" s="2" t="s">
        <v>1236</v>
      </c>
      <c r="D336" s="716">
        <v>0</v>
      </c>
      <c r="E336" s="4" t="s">
        <v>18</v>
      </c>
      <c r="F336" s="78">
        <f t="shared" ref="F336:L344" si="17">SUMIFS(F$7:F$292, $E$7:$E$292, $E336)</f>
        <v>54528.964249999997</v>
      </c>
      <c r="G336" s="78">
        <f t="shared" si="17"/>
        <v>58041.76924999999</v>
      </c>
      <c r="H336" s="78">
        <f t="shared" si="17"/>
        <v>58518.308249999995</v>
      </c>
      <c r="I336" s="78">
        <f t="shared" si="17"/>
        <v>60046.705649999996</v>
      </c>
      <c r="J336" s="78">
        <f t="shared" si="17"/>
        <v>61481.930623859305</v>
      </c>
      <c r="K336" s="78">
        <f t="shared" si="17"/>
        <v>61431.914250000002</v>
      </c>
      <c r="L336" s="78">
        <f t="shared" si="17"/>
        <v>62445.722249999992</v>
      </c>
      <c r="M336" s="890"/>
      <c r="N336" s="20"/>
      <c r="O336" s="20"/>
      <c r="P336" s="20"/>
      <c r="Q336" s="20"/>
      <c r="R336" s="20"/>
    </row>
    <row r="337" spans="1:18" s="103" customFormat="1" hidden="1" outlineLevel="1" x14ac:dyDescent="0.2">
      <c r="A337" s="22" t="s">
        <v>1226</v>
      </c>
      <c r="B337" s="2" t="str">
        <f t="shared" si="16"/>
        <v>MW</v>
      </c>
      <c r="C337" s="2" t="s">
        <v>1236</v>
      </c>
      <c r="D337" s="716">
        <v>0</v>
      </c>
      <c r="E337" s="4" t="s">
        <v>2</v>
      </c>
      <c r="F337" s="78">
        <f t="shared" si="17"/>
        <v>763.05</v>
      </c>
      <c r="G337" s="78">
        <f t="shared" si="17"/>
        <v>831.71999999999991</v>
      </c>
      <c r="H337" s="78">
        <f t="shared" si="17"/>
        <v>890.95999999999992</v>
      </c>
      <c r="I337" s="78">
        <f t="shared" si="17"/>
        <v>981.74999999999989</v>
      </c>
      <c r="J337" s="78">
        <f t="shared" si="17"/>
        <v>1072.5899999999999</v>
      </c>
      <c r="K337" s="78">
        <f t="shared" si="17"/>
        <v>1108.29</v>
      </c>
      <c r="L337" s="78">
        <f t="shared" si="17"/>
        <v>1242.4100000000001</v>
      </c>
      <c r="M337" s="890"/>
      <c r="N337" s="20"/>
      <c r="O337" s="20"/>
      <c r="P337" s="20"/>
      <c r="Q337" s="20"/>
      <c r="R337" s="20"/>
    </row>
    <row r="338" spans="1:18" s="103" customFormat="1" hidden="1" outlineLevel="1" x14ac:dyDescent="0.2">
      <c r="A338" s="22" t="s">
        <v>1226</v>
      </c>
      <c r="B338" s="2" t="str">
        <f t="shared" si="16"/>
        <v>MW</v>
      </c>
      <c r="C338" s="2" t="s">
        <v>1236</v>
      </c>
      <c r="D338" s="716">
        <v>0</v>
      </c>
      <c r="E338" s="4" t="s">
        <v>19</v>
      </c>
      <c r="F338" s="78">
        <f t="shared" si="17"/>
        <v>1508.528</v>
      </c>
      <c r="G338" s="78">
        <f t="shared" si="17"/>
        <v>1560.9769999999999</v>
      </c>
      <c r="H338" s="78">
        <f t="shared" si="17"/>
        <v>1704.8810000000001</v>
      </c>
      <c r="I338" s="78">
        <f t="shared" si="17"/>
        <v>1814.741</v>
      </c>
      <c r="J338" s="78">
        <f t="shared" si="17"/>
        <v>1986.6</v>
      </c>
      <c r="K338" s="78">
        <f t="shared" si="17"/>
        <v>2239.33</v>
      </c>
      <c r="L338" s="78">
        <f t="shared" si="17"/>
        <v>2191.7400000000002</v>
      </c>
      <c r="M338" s="890"/>
      <c r="N338" s="20"/>
      <c r="O338" s="20"/>
      <c r="P338" s="20"/>
      <c r="Q338" s="20"/>
      <c r="R338" s="20"/>
    </row>
    <row r="339" spans="1:18" s="103" customFormat="1" hidden="1" outlineLevel="1" x14ac:dyDescent="0.2">
      <c r="A339" s="22" t="s">
        <v>1226</v>
      </c>
      <c r="B339" s="2" t="str">
        <f t="shared" si="16"/>
        <v>MW</v>
      </c>
      <c r="C339" s="2" t="s">
        <v>1236</v>
      </c>
      <c r="D339" s="716">
        <v>0</v>
      </c>
      <c r="E339" s="4" t="s">
        <v>3</v>
      </c>
      <c r="F339" s="78">
        <f t="shared" si="17"/>
        <v>8827</v>
      </c>
      <c r="G339" s="78">
        <f t="shared" si="17"/>
        <v>8827</v>
      </c>
      <c r="H339" s="78">
        <f t="shared" si="17"/>
        <v>8827</v>
      </c>
      <c r="I339" s="78">
        <f t="shared" si="17"/>
        <v>8827</v>
      </c>
      <c r="J339" s="78">
        <f t="shared" si="17"/>
        <v>8827</v>
      </c>
      <c r="K339" s="78">
        <f t="shared" si="17"/>
        <v>8827</v>
      </c>
      <c r="L339" s="78">
        <f t="shared" si="17"/>
        <v>8827</v>
      </c>
      <c r="M339" s="890"/>
      <c r="N339" s="20"/>
      <c r="O339" s="20"/>
      <c r="P339" s="20"/>
      <c r="Q339" s="20"/>
      <c r="R339" s="20"/>
    </row>
    <row r="340" spans="1:18" s="103" customFormat="1" hidden="1" outlineLevel="1" x14ac:dyDescent="0.2">
      <c r="A340" s="22" t="s">
        <v>1226</v>
      </c>
      <c r="B340" s="2" t="str">
        <f t="shared" si="16"/>
        <v>MW</v>
      </c>
      <c r="C340" s="2" t="s">
        <v>1236</v>
      </c>
      <c r="D340" s="716">
        <v>0</v>
      </c>
      <c r="E340" s="4" t="s">
        <v>20</v>
      </c>
      <c r="F340" s="78">
        <f t="shared" si="17"/>
        <v>6276.8770000000004</v>
      </c>
      <c r="G340" s="78">
        <f t="shared" si="17"/>
        <v>6648.79</v>
      </c>
      <c r="H340" s="78">
        <f t="shared" si="17"/>
        <v>6779.2079999999996</v>
      </c>
      <c r="I340" s="78">
        <f t="shared" si="17"/>
        <v>7606.3040000000001</v>
      </c>
      <c r="J340" s="78">
        <f t="shared" si="17"/>
        <v>8232.3649999999998</v>
      </c>
      <c r="K340" s="78">
        <f t="shared" si="17"/>
        <v>8218.8649999999998</v>
      </c>
      <c r="L340" s="78">
        <f t="shared" si="17"/>
        <v>8891.2649999999994</v>
      </c>
      <c r="M340" s="890"/>
      <c r="N340" s="20"/>
      <c r="O340" s="20"/>
      <c r="P340" s="20"/>
      <c r="Q340" s="20"/>
      <c r="R340" s="20"/>
    </row>
    <row r="341" spans="1:18" s="103" customFormat="1" hidden="1" outlineLevel="1" x14ac:dyDescent="0.2">
      <c r="A341" s="22" t="s">
        <v>1226</v>
      </c>
      <c r="B341" s="2" t="str">
        <f t="shared" si="16"/>
        <v>MW</v>
      </c>
      <c r="C341" s="2" t="s">
        <v>1236</v>
      </c>
      <c r="D341" s="716">
        <v>0</v>
      </c>
      <c r="E341" s="4" t="s">
        <v>21</v>
      </c>
      <c r="F341" s="78">
        <f t="shared" si="17"/>
        <v>337</v>
      </c>
      <c r="G341" s="78">
        <f t="shared" si="17"/>
        <v>348</v>
      </c>
      <c r="H341" s="78">
        <f t="shared" si="17"/>
        <v>335</v>
      </c>
      <c r="I341" s="78">
        <f t="shared" si="17"/>
        <v>348</v>
      </c>
      <c r="J341" s="78">
        <f t="shared" si="17"/>
        <v>386</v>
      </c>
      <c r="K341" s="78">
        <f t="shared" si="17"/>
        <v>379</v>
      </c>
      <c r="L341" s="78">
        <f t="shared" si="17"/>
        <v>379</v>
      </c>
      <c r="M341" s="890"/>
      <c r="N341" s="20"/>
      <c r="O341" s="20"/>
      <c r="P341" s="20"/>
      <c r="Q341" s="20"/>
      <c r="R341" s="20"/>
    </row>
    <row r="342" spans="1:18" s="103" customFormat="1" hidden="1" outlineLevel="1" x14ac:dyDescent="0.2">
      <c r="A342" s="22" t="s">
        <v>1226</v>
      </c>
      <c r="B342" s="2" t="str">
        <f t="shared" si="16"/>
        <v>MW</v>
      </c>
      <c r="C342" s="2" t="s">
        <v>1236</v>
      </c>
      <c r="D342" s="716">
        <v>0</v>
      </c>
      <c r="E342" s="4" t="s">
        <v>1096</v>
      </c>
      <c r="F342" s="78">
        <f t="shared" si="17"/>
        <v>3461.1</v>
      </c>
      <c r="G342" s="78">
        <f t="shared" si="17"/>
        <v>3669.1</v>
      </c>
      <c r="H342" s="78">
        <f t="shared" si="17"/>
        <v>3669.1</v>
      </c>
      <c r="I342" s="78">
        <f t="shared" si="17"/>
        <v>3733.1</v>
      </c>
      <c r="J342" s="78">
        <f t="shared" si="17"/>
        <v>3661.1</v>
      </c>
      <c r="K342" s="78">
        <f t="shared" si="17"/>
        <v>3635.92</v>
      </c>
      <c r="L342" s="78">
        <f t="shared" si="17"/>
        <v>4318.5</v>
      </c>
      <c r="M342" s="890"/>
      <c r="N342" s="20"/>
      <c r="O342" s="20"/>
      <c r="P342" s="20"/>
      <c r="Q342" s="20"/>
      <c r="R342" s="20"/>
    </row>
    <row r="343" spans="1:18" s="103" customFormat="1" hidden="1" outlineLevel="1" x14ac:dyDescent="0.2">
      <c r="A343" s="22" t="s">
        <v>1226</v>
      </c>
      <c r="B343" s="2" t="str">
        <f t="shared" si="16"/>
        <v>MW</v>
      </c>
      <c r="C343" s="2" t="s">
        <v>1236</v>
      </c>
      <c r="D343" s="716">
        <v>0</v>
      </c>
      <c r="E343" s="4" t="s">
        <v>22</v>
      </c>
      <c r="F343" s="78">
        <f t="shared" si="17"/>
        <v>2246.81</v>
      </c>
      <c r="G343" s="78">
        <f t="shared" si="17"/>
        <v>2406.81</v>
      </c>
      <c r="H343" s="78">
        <f t="shared" si="17"/>
        <v>2524.4599999999996</v>
      </c>
      <c r="I343" s="78">
        <f t="shared" si="17"/>
        <v>2621.2099999999996</v>
      </c>
      <c r="J343" s="78">
        <f t="shared" si="17"/>
        <v>2692.3599999999997</v>
      </c>
      <c r="K343" s="78">
        <f t="shared" si="17"/>
        <v>2707.5028499999999</v>
      </c>
      <c r="L343" s="78">
        <f t="shared" si="17"/>
        <v>2866.5829800000001</v>
      </c>
      <c r="M343" s="890"/>
      <c r="N343" s="20"/>
      <c r="O343" s="20"/>
      <c r="P343" s="20"/>
      <c r="Q343" s="20"/>
      <c r="R343" s="20"/>
    </row>
    <row r="344" spans="1:18" s="103" customFormat="1" hidden="1" outlineLevel="1" x14ac:dyDescent="0.2">
      <c r="A344" s="22" t="s">
        <v>1226</v>
      </c>
      <c r="B344" s="2" t="str">
        <f t="shared" si="16"/>
        <v>MW</v>
      </c>
      <c r="C344" s="2" t="s">
        <v>1236</v>
      </c>
      <c r="D344" s="903">
        <v>0</v>
      </c>
      <c r="E344" s="4" t="s">
        <v>23</v>
      </c>
      <c r="F344" s="78">
        <f t="shared" si="17"/>
        <v>22525</v>
      </c>
      <c r="G344" s="78">
        <f t="shared" si="17"/>
        <v>22525</v>
      </c>
      <c r="H344" s="78">
        <f t="shared" si="17"/>
        <v>23155</v>
      </c>
      <c r="I344" s="78">
        <f t="shared" si="17"/>
        <v>23725.33</v>
      </c>
      <c r="J344" s="78">
        <f t="shared" si="17"/>
        <v>24855.33</v>
      </c>
      <c r="K344" s="78">
        <f t="shared" si="17"/>
        <v>25706.33</v>
      </c>
      <c r="L344" s="78">
        <f t="shared" si="17"/>
        <v>27503.63</v>
      </c>
      <c r="M344" s="890"/>
      <c r="N344" s="20"/>
      <c r="O344" s="20"/>
      <c r="P344" s="20"/>
      <c r="Q344" s="20"/>
      <c r="R344" s="20"/>
    </row>
    <row r="345" spans="1:18" collapsed="1" x14ac:dyDescent="0.2">
      <c r="A345" s="909" t="s">
        <v>1527</v>
      </c>
      <c r="B345" s="910"/>
      <c r="C345" s="910"/>
      <c r="D345" s="911"/>
      <c r="E345" s="910"/>
      <c r="F345" s="912"/>
      <c r="G345" s="912"/>
      <c r="H345" s="912"/>
      <c r="I345" s="912"/>
      <c r="J345" s="912"/>
      <c r="K345" s="912"/>
      <c r="L345" s="912"/>
      <c r="M345" s="891"/>
    </row>
    <row r="346" spans="1:18" hidden="1" outlineLevel="1" x14ac:dyDescent="0.2">
      <c r="A346" s="22" t="s">
        <v>1227</v>
      </c>
      <c r="B346" s="2" t="str">
        <f t="shared" si="16"/>
        <v>GWh</v>
      </c>
      <c r="C346" s="2" t="s">
        <v>1219</v>
      </c>
      <c r="D346" s="718">
        <f t="shared" ref="D346:D409" si="18">IF(C346="","",IF(OR(C346="Wind",C346="Solar",C346="Geothermal",C346="Small Hydro",C346="Biofuels",C346="Biomass &amp; Waste"), 1, 0))</f>
        <v>0</v>
      </c>
      <c r="E346" s="4" t="s">
        <v>4</v>
      </c>
      <c r="F346" s="43">
        <v>36101.661999999997</v>
      </c>
      <c r="G346" s="43">
        <v>29622.295999999998</v>
      </c>
      <c r="H346" s="43">
        <v>29615.504279999997</v>
      </c>
      <c r="I346" s="43">
        <v>33482.704000000005</v>
      </c>
      <c r="J346" s="43">
        <v>32342.088992000001</v>
      </c>
      <c r="K346" s="43">
        <v>30543.321349999995</v>
      </c>
      <c r="L346" s="43">
        <v>30543.321349999995</v>
      </c>
      <c r="M346" s="887"/>
      <c r="N346" s="16"/>
      <c r="O346" s="16"/>
      <c r="P346" s="16"/>
      <c r="Q346" s="16"/>
      <c r="R346" s="16"/>
    </row>
    <row r="347" spans="1:18" hidden="1" outlineLevel="1" x14ac:dyDescent="0.2">
      <c r="A347" s="22" t="s">
        <v>1227</v>
      </c>
      <c r="B347" s="2" t="str">
        <f t="shared" si="16"/>
        <v>GWh</v>
      </c>
      <c r="C347" s="2" t="s">
        <v>1219</v>
      </c>
      <c r="D347" s="716">
        <f t="shared" si="18"/>
        <v>0</v>
      </c>
      <c r="E347" s="4" t="s">
        <v>5</v>
      </c>
      <c r="F347" s="43">
        <v>0</v>
      </c>
      <c r="G347" s="43">
        <v>0</v>
      </c>
      <c r="H347" s="43">
        <v>0</v>
      </c>
      <c r="I347" s="43">
        <v>0</v>
      </c>
      <c r="J347" s="43">
        <v>0</v>
      </c>
      <c r="K347" s="43">
        <v>0</v>
      </c>
      <c r="L347" s="43">
        <v>0</v>
      </c>
      <c r="M347" s="887"/>
      <c r="N347" s="16"/>
      <c r="O347" s="16"/>
      <c r="P347" s="16"/>
      <c r="Q347" s="16"/>
      <c r="R347" s="16"/>
    </row>
    <row r="348" spans="1:18" hidden="1" outlineLevel="1" x14ac:dyDescent="0.2">
      <c r="A348" s="22" t="s">
        <v>1227</v>
      </c>
      <c r="B348" s="2" t="str">
        <f t="shared" si="16"/>
        <v>GWh</v>
      </c>
      <c r="C348" s="2" t="s">
        <v>1219</v>
      </c>
      <c r="D348" s="716">
        <f t="shared" si="18"/>
        <v>0</v>
      </c>
      <c r="E348" s="4" t="s">
        <v>6</v>
      </c>
      <c r="F348" s="43">
        <v>0</v>
      </c>
      <c r="G348" s="43">
        <v>0</v>
      </c>
      <c r="H348" s="43">
        <v>0</v>
      </c>
      <c r="I348" s="43">
        <v>0</v>
      </c>
      <c r="J348" s="43">
        <v>0</v>
      </c>
      <c r="K348" s="43">
        <v>0</v>
      </c>
      <c r="L348" s="43">
        <v>0</v>
      </c>
      <c r="M348" s="887"/>
      <c r="N348" s="16"/>
      <c r="O348" s="16"/>
      <c r="P348" s="16"/>
      <c r="Q348" s="16"/>
      <c r="R348" s="16"/>
    </row>
    <row r="349" spans="1:18" hidden="1" outlineLevel="1" x14ac:dyDescent="0.2">
      <c r="A349" s="22" t="s">
        <v>1227</v>
      </c>
      <c r="B349" s="2" t="str">
        <f t="shared" si="16"/>
        <v>GWh</v>
      </c>
      <c r="C349" s="2" t="s">
        <v>1219</v>
      </c>
      <c r="D349" s="716">
        <f t="shared" si="18"/>
        <v>0</v>
      </c>
      <c r="E349" s="4" t="s">
        <v>143</v>
      </c>
      <c r="F349" s="43">
        <v>0</v>
      </c>
      <c r="G349" s="43">
        <v>0</v>
      </c>
      <c r="H349" s="43">
        <v>0</v>
      </c>
      <c r="I349" s="43">
        <v>0</v>
      </c>
      <c r="J349" s="43">
        <v>0</v>
      </c>
      <c r="K349" s="43">
        <v>0</v>
      </c>
      <c r="L349" s="43">
        <v>0</v>
      </c>
      <c r="M349" s="887"/>
      <c r="N349" s="16"/>
      <c r="O349" s="16"/>
      <c r="P349" s="16"/>
      <c r="Q349" s="16"/>
      <c r="R349" s="16"/>
    </row>
    <row r="350" spans="1:18" hidden="1" outlineLevel="1" x14ac:dyDescent="0.2">
      <c r="A350" s="22" t="s">
        <v>1227</v>
      </c>
      <c r="B350" s="2" t="str">
        <f t="shared" si="16"/>
        <v>GWh</v>
      </c>
      <c r="C350" s="2" t="s">
        <v>1219</v>
      </c>
      <c r="D350" s="716">
        <f t="shared" si="18"/>
        <v>0</v>
      </c>
      <c r="E350" s="4" t="s">
        <v>7</v>
      </c>
      <c r="F350" s="43">
        <v>746.33100000000013</v>
      </c>
      <c r="G350" s="43">
        <v>836.7349999999999</v>
      </c>
      <c r="H350" s="43">
        <v>1059.6889999999999</v>
      </c>
      <c r="I350" s="43">
        <v>1015.6344999999999</v>
      </c>
      <c r="J350" s="43">
        <v>890.43200000000002</v>
      </c>
      <c r="K350" s="43">
        <v>1001.4</v>
      </c>
      <c r="L350" s="43">
        <v>1001.4</v>
      </c>
      <c r="M350" s="887"/>
      <c r="N350" s="16"/>
      <c r="O350" s="16"/>
      <c r="P350" s="16"/>
      <c r="Q350" s="16"/>
      <c r="R350" s="16"/>
    </row>
    <row r="351" spans="1:18" hidden="1" outlineLevel="1" x14ac:dyDescent="0.2">
      <c r="A351" s="22" t="s">
        <v>1227</v>
      </c>
      <c r="B351" s="2" t="str">
        <f t="shared" si="16"/>
        <v>GWh</v>
      </c>
      <c r="C351" s="2" t="s">
        <v>1219</v>
      </c>
      <c r="D351" s="716">
        <f t="shared" si="18"/>
        <v>0</v>
      </c>
      <c r="E351" s="4" t="s">
        <v>31</v>
      </c>
      <c r="F351" s="43">
        <v>348805</v>
      </c>
      <c r="G351" s="43">
        <v>374015</v>
      </c>
      <c r="H351" s="43">
        <v>369556</v>
      </c>
      <c r="I351" s="43">
        <v>389858</v>
      </c>
      <c r="J351" s="43">
        <v>403289</v>
      </c>
      <c r="K351" s="43">
        <v>428333</v>
      </c>
      <c r="L351" s="43">
        <v>428333</v>
      </c>
      <c r="M351" s="887"/>
      <c r="N351" s="16"/>
      <c r="O351" s="16"/>
      <c r="P351" s="16"/>
      <c r="Q351" s="16"/>
      <c r="R351" s="16"/>
    </row>
    <row r="352" spans="1:18" hidden="1" outlineLevel="1" x14ac:dyDescent="0.2">
      <c r="A352" s="22" t="s">
        <v>1227</v>
      </c>
      <c r="B352" s="2" t="str">
        <f t="shared" si="16"/>
        <v>GWh</v>
      </c>
      <c r="C352" s="2" t="s">
        <v>1219</v>
      </c>
      <c r="D352" s="716">
        <f t="shared" si="18"/>
        <v>0</v>
      </c>
      <c r="E352" s="4" t="s">
        <v>8</v>
      </c>
      <c r="F352" s="43">
        <v>25282.142540000004</v>
      </c>
      <c r="G352" s="43">
        <v>19686.131799999999</v>
      </c>
      <c r="H352" s="43">
        <v>20558.45032</v>
      </c>
      <c r="I352" s="43">
        <v>21422.626969999998</v>
      </c>
      <c r="J352" s="43">
        <v>18345.871640000001</v>
      </c>
      <c r="K352" s="43">
        <v>17700.749810000001</v>
      </c>
      <c r="L352" s="43">
        <v>17016.404280000002</v>
      </c>
      <c r="M352" s="887"/>
      <c r="N352" s="16"/>
      <c r="O352" s="16"/>
      <c r="P352" s="16"/>
      <c r="Q352" s="16"/>
      <c r="R352" s="16"/>
    </row>
    <row r="353" spans="1:18" hidden="1" outlineLevel="1" x14ac:dyDescent="0.2">
      <c r="A353" s="22" t="s">
        <v>1227</v>
      </c>
      <c r="B353" s="2" t="str">
        <f t="shared" si="16"/>
        <v>GWh</v>
      </c>
      <c r="C353" s="2" t="s">
        <v>1219</v>
      </c>
      <c r="D353" s="716">
        <f t="shared" si="18"/>
        <v>0</v>
      </c>
      <c r="E353" s="4" t="s">
        <v>9</v>
      </c>
      <c r="F353" s="43">
        <v>40288.800000000003</v>
      </c>
      <c r="G353" s="43">
        <v>41822.6</v>
      </c>
      <c r="H353" s="43">
        <v>43520</v>
      </c>
      <c r="I353" s="43">
        <v>38713.800000000003</v>
      </c>
      <c r="J353" s="43">
        <v>38088.6</v>
      </c>
      <c r="K353" s="43">
        <v>45583</v>
      </c>
      <c r="L353" s="43">
        <v>44923</v>
      </c>
      <c r="M353" s="887"/>
      <c r="N353" s="16"/>
      <c r="O353" s="16"/>
      <c r="P353" s="16"/>
      <c r="Q353" s="16"/>
      <c r="R353" s="16"/>
    </row>
    <row r="354" spans="1:18" hidden="1" outlineLevel="1" x14ac:dyDescent="0.2">
      <c r="A354" s="22" t="s">
        <v>1227</v>
      </c>
      <c r="B354" s="2" t="str">
        <f t="shared" si="16"/>
        <v>GWh</v>
      </c>
      <c r="C354" s="2" t="s">
        <v>1219</v>
      </c>
      <c r="D354" s="716">
        <f t="shared" si="18"/>
        <v>0</v>
      </c>
      <c r="E354" s="4" t="s">
        <v>10</v>
      </c>
      <c r="F354" s="43">
        <v>4526.5739685783292</v>
      </c>
      <c r="G354" s="43">
        <v>4377.4909431968008</v>
      </c>
      <c r="H354" s="43">
        <v>4742.0519667839999</v>
      </c>
      <c r="I354" s="43">
        <v>4709.7327741200006</v>
      </c>
      <c r="J354" s="43">
        <v>4656.5389769887997</v>
      </c>
      <c r="K354" s="43">
        <v>4698.8385558029277</v>
      </c>
      <c r="L354" s="43">
        <v>4751.828570938027</v>
      </c>
      <c r="M354" s="887"/>
      <c r="N354" s="16"/>
      <c r="O354" s="16"/>
      <c r="P354" s="16"/>
      <c r="Q354" s="16"/>
      <c r="R354" s="16"/>
    </row>
    <row r="355" spans="1:18" hidden="1" outlineLevel="1" x14ac:dyDescent="0.2">
      <c r="A355" s="22" t="s">
        <v>1227</v>
      </c>
      <c r="B355" s="2" t="str">
        <f t="shared" si="16"/>
        <v>GWh</v>
      </c>
      <c r="C355" s="2" t="s">
        <v>1219</v>
      </c>
      <c r="D355" s="716">
        <f t="shared" si="18"/>
        <v>0</v>
      </c>
      <c r="E355" s="4" t="s">
        <v>11</v>
      </c>
      <c r="F355" s="43">
        <v>1027.14266407584</v>
      </c>
      <c r="G355" s="43">
        <v>1075.88266407584</v>
      </c>
      <c r="H355" s="43">
        <v>675.40800000000002</v>
      </c>
      <c r="I355" s="43">
        <v>675.40800000000002</v>
      </c>
      <c r="J355" s="43">
        <v>522.82408999999996</v>
      </c>
      <c r="K355" s="43">
        <v>686.30047153100008</v>
      </c>
      <c r="L355" s="43">
        <v>930.82553522600006</v>
      </c>
      <c r="M355" s="887"/>
      <c r="N355" s="16"/>
      <c r="O355" s="16"/>
      <c r="P355" s="16"/>
      <c r="Q355" s="16"/>
      <c r="R355" s="16"/>
    </row>
    <row r="356" spans="1:18" hidden="1" outlineLevel="1" x14ac:dyDescent="0.2">
      <c r="A356" s="22" t="s">
        <v>1227</v>
      </c>
      <c r="B356" s="2" t="str">
        <f t="shared" si="16"/>
        <v>GWh</v>
      </c>
      <c r="C356" s="2" t="s">
        <v>1219</v>
      </c>
      <c r="D356" s="716">
        <f t="shared" si="18"/>
        <v>0</v>
      </c>
      <c r="E356" s="4" t="s">
        <v>12</v>
      </c>
      <c r="F356" s="43">
        <v>5969.3060000000005</v>
      </c>
      <c r="G356" s="43">
        <v>7567.7190699999992</v>
      </c>
      <c r="H356" s="43">
        <v>9596.4829599999994</v>
      </c>
      <c r="I356" s="43">
        <v>7500.6021500000006</v>
      </c>
      <c r="J356" s="43">
        <v>7234.4702399999996</v>
      </c>
      <c r="K356" s="43">
        <v>9283.0708300000006</v>
      </c>
      <c r="L356" s="43">
        <v>10506.55999</v>
      </c>
      <c r="M356" s="887"/>
      <c r="N356" s="16"/>
      <c r="O356" s="16"/>
      <c r="P356" s="16"/>
      <c r="Q356" s="16"/>
      <c r="R356" s="16"/>
    </row>
    <row r="357" spans="1:18" hidden="1" outlineLevel="1" x14ac:dyDescent="0.2">
      <c r="A357" s="22" t="s">
        <v>1227</v>
      </c>
      <c r="B357" s="2" t="str">
        <f t="shared" si="16"/>
        <v>GWh</v>
      </c>
      <c r="C357" s="2" t="s">
        <v>1219</v>
      </c>
      <c r="D357" s="716">
        <f t="shared" si="18"/>
        <v>0</v>
      </c>
      <c r="E357" s="4" t="s">
        <v>1</v>
      </c>
      <c r="F357" s="43">
        <v>1874.3890999999999</v>
      </c>
      <c r="G357" s="43">
        <v>1657.345</v>
      </c>
      <c r="H357" s="43">
        <v>1937.7820999999999</v>
      </c>
      <c r="I357" s="43">
        <v>1453.5557999999999</v>
      </c>
      <c r="J357" s="43">
        <v>1998.5263999999997</v>
      </c>
      <c r="K357" s="43">
        <v>1904.5</v>
      </c>
      <c r="L357" s="43">
        <v>1904.5</v>
      </c>
      <c r="M357" s="887"/>
      <c r="N357" s="16"/>
      <c r="O357" s="16"/>
      <c r="P357" s="16"/>
      <c r="Q357" s="16"/>
      <c r="R357" s="16"/>
    </row>
    <row r="358" spans="1:18" hidden="1" outlineLevel="1" x14ac:dyDescent="0.2">
      <c r="A358" s="22" t="s">
        <v>1227</v>
      </c>
      <c r="B358" s="2" t="str">
        <f t="shared" si="16"/>
        <v>GWh</v>
      </c>
      <c r="C358" s="2" t="s">
        <v>1219</v>
      </c>
      <c r="D358" s="716">
        <f t="shared" si="18"/>
        <v>0</v>
      </c>
      <c r="E358" s="4" t="s">
        <v>13</v>
      </c>
      <c r="F358" s="43">
        <v>2401.6403999999998</v>
      </c>
      <c r="G358" s="43">
        <v>2204.2604182895311</v>
      </c>
      <c r="H358" s="43">
        <v>2630.3179132611185</v>
      </c>
      <c r="I358" s="43">
        <v>2069.4542827862374</v>
      </c>
      <c r="J358" s="43">
        <v>2855.2363405588521</v>
      </c>
      <c r="K358" s="43">
        <v>3096.4243517192613</v>
      </c>
      <c r="L358" s="43">
        <v>3268.30518160776</v>
      </c>
      <c r="M358" s="887"/>
      <c r="N358" s="16"/>
      <c r="O358" s="16"/>
      <c r="P358" s="16"/>
      <c r="Q358" s="16"/>
      <c r="R358" s="16"/>
    </row>
    <row r="359" spans="1:18" hidden="1" outlineLevel="1" x14ac:dyDescent="0.2">
      <c r="A359" s="22" t="s">
        <v>1227</v>
      </c>
      <c r="B359" s="2" t="str">
        <f t="shared" si="16"/>
        <v>GWh</v>
      </c>
      <c r="C359" s="2" t="s">
        <v>1219</v>
      </c>
      <c r="D359" s="716">
        <f t="shared" si="18"/>
        <v>0</v>
      </c>
      <c r="E359" s="4" t="s">
        <v>14</v>
      </c>
      <c r="F359" s="43">
        <v>0</v>
      </c>
      <c r="G359" s="43">
        <v>0</v>
      </c>
      <c r="H359" s="43">
        <v>0</v>
      </c>
      <c r="I359" s="43">
        <v>0</v>
      </c>
      <c r="J359" s="43">
        <v>0</v>
      </c>
      <c r="K359" s="43">
        <v>0</v>
      </c>
      <c r="L359" s="43">
        <v>0</v>
      </c>
      <c r="M359" s="887"/>
      <c r="N359" s="16"/>
      <c r="O359" s="16"/>
      <c r="P359" s="16"/>
      <c r="Q359" s="16"/>
      <c r="R359" s="16"/>
    </row>
    <row r="360" spans="1:18" hidden="1" outlineLevel="1" x14ac:dyDescent="0.2">
      <c r="A360" s="22" t="s">
        <v>1227</v>
      </c>
      <c r="B360" s="2" t="str">
        <f t="shared" si="16"/>
        <v>GWh</v>
      </c>
      <c r="C360" s="2" t="s">
        <v>1219</v>
      </c>
      <c r="D360" s="716">
        <f t="shared" si="18"/>
        <v>0</v>
      </c>
      <c r="E360" s="4" t="s">
        <v>15</v>
      </c>
      <c r="F360" s="43">
        <v>0</v>
      </c>
      <c r="G360" s="43">
        <v>0</v>
      </c>
      <c r="H360" s="43">
        <v>0</v>
      </c>
      <c r="I360" s="43">
        <v>0</v>
      </c>
      <c r="J360" s="43">
        <v>0</v>
      </c>
      <c r="K360" s="43">
        <v>0</v>
      </c>
      <c r="L360" s="43">
        <v>0</v>
      </c>
      <c r="M360" s="887"/>
      <c r="N360" s="16"/>
      <c r="O360" s="16"/>
      <c r="P360" s="16"/>
      <c r="Q360" s="16"/>
      <c r="R360" s="16"/>
    </row>
    <row r="361" spans="1:18" hidden="1" outlineLevel="1" x14ac:dyDescent="0.2">
      <c r="A361" s="22" t="s">
        <v>1227</v>
      </c>
      <c r="B361" s="2" t="str">
        <f t="shared" si="16"/>
        <v>GWh</v>
      </c>
      <c r="C361" s="2" t="s">
        <v>1219</v>
      </c>
      <c r="D361" s="716">
        <f t="shared" si="18"/>
        <v>0</v>
      </c>
      <c r="E361" s="4" t="s">
        <v>16</v>
      </c>
      <c r="F361" s="43">
        <v>1624.8999999999999</v>
      </c>
      <c r="G361" s="43">
        <v>1756.9</v>
      </c>
      <c r="H361" s="43">
        <v>1772.5</v>
      </c>
      <c r="I361" s="43">
        <v>2280.6999999999998</v>
      </c>
      <c r="J361" s="43">
        <v>2393.3000000000002</v>
      </c>
      <c r="K361" s="43">
        <v>2140.6861090000002</v>
      </c>
      <c r="L361" s="43">
        <v>2107.4023550000002</v>
      </c>
      <c r="M361" s="887"/>
      <c r="N361" s="16"/>
      <c r="O361" s="16"/>
      <c r="P361" s="16"/>
      <c r="Q361" s="16"/>
      <c r="R361" s="16"/>
    </row>
    <row r="362" spans="1:18" hidden="1" outlineLevel="1" x14ac:dyDescent="0.2">
      <c r="A362" s="22" t="s">
        <v>1227</v>
      </c>
      <c r="B362" s="2" t="str">
        <f t="shared" si="16"/>
        <v>GWh</v>
      </c>
      <c r="C362" s="2" t="s">
        <v>1219</v>
      </c>
      <c r="D362" s="716">
        <f t="shared" si="18"/>
        <v>0</v>
      </c>
      <c r="E362" s="4" t="s">
        <v>17</v>
      </c>
      <c r="F362" s="43">
        <v>0</v>
      </c>
      <c r="G362" s="43">
        <v>0</v>
      </c>
      <c r="H362" s="43">
        <v>0</v>
      </c>
      <c r="I362" s="43">
        <v>0</v>
      </c>
      <c r="J362" s="43">
        <v>0</v>
      </c>
      <c r="K362" s="43">
        <v>0</v>
      </c>
      <c r="L362" s="43">
        <v>0</v>
      </c>
      <c r="M362" s="887"/>
      <c r="N362" s="16"/>
      <c r="O362" s="16"/>
      <c r="P362" s="16"/>
      <c r="Q362" s="16"/>
      <c r="R362" s="16"/>
    </row>
    <row r="363" spans="1:18" hidden="1" outlineLevel="1" x14ac:dyDescent="0.2">
      <c r="A363" s="22" t="s">
        <v>1227</v>
      </c>
      <c r="B363" s="2" t="str">
        <f t="shared" si="16"/>
        <v>GWh</v>
      </c>
      <c r="C363" s="2" t="s">
        <v>1219</v>
      </c>
      <c r="D363" s="716">
        <f t="shared" si="18"/>
        <v>0</v>
      </c>
      <c r="E363" s="4" t="s">
        <v>18</v>
      </c>
      <c r="F363" s="43">
        <v>29651.337867672744</v>
      </c>
      <c r="G363" s="43">
        <v>26434.577188490563</v>
      </c>
      <c r="H363" s="43">
        <v>38018.486477127</v>
      </c>
      <c r="I363" s="43">
        <v>25760.150172610745</v>
      </c>
      <c r="J363" s="43">
        <v>35413.763998127768</v>
      </c>
      <c r="K363" s="43">
        <v>34517.187213315963</v>
      </c>
      <c r="L363" s="43">
        <v>30015.490644401543</v>
      </c>
      <c r="M363" s="887"/>
      <c r="N363" s="16"/>
      <c r="O363" s="16"/>
      <c r="P363" s="16"/>
      <c r="Q363" s="16"/>
      <c r="R363" s="16"/>
    </row>
    <row r="364" spans="1:18" hidden="1" outlineLevel="1" x14ac:dyDescent="0.2">
      <c r="A364" s="22" t="s">
        <v>1227</v>
      </c>
      <c r="B364" s="2" t="str">
        <f t="shared" si="16"/>
        <v>GWh</v>
      </c>
      <c r="C364" s="2" t="s">
        <v>1219</v>
      </c>
      <c r="D364" s="716">
        <f t="shared" si="18"/>
        <v>0</v>
      </c>
      <c r="E364" s="4" t="s">
        <v>2</v>
      </c>
      <c r="F364" s="43">
        <v>114.98</v>
      </c>
      <c r="G364" s="43">
        <v>132.07</v>
      </c>
      <c r="H364" s="43">
        <v>231.86</v>
      </c>
      <c r="I364" s="43">
        <v>108.59</v>
      </c>
      <c r="J364" s="43">
        <v>226.94</v>
      </c>
      <c r="K364" s="43">
        <v>210.91</v>
      </c>
      <c r="L364" s="43">
        <v>191.69</v>
      </c>
      <c r="M364" s="887"/>
      <c r="N364" s="16"/>
      <c r="O364" s="16"/>
      <c r="P364" s="16"/>
      <c r="Q364" s="16"/>
      <c r="R364" s="16"/>
    </row>
    <row r="365" spans="1:18" hidden="1" outlineLevel="1" x14ac:dyDescent="0.2">
      <c r="A365" s="22" t="s">
        <v>1227</v>
      </c>
      <c r="B365" s="2" t="str">
        <f t="shared" si="16"/>
        <v>GWh</v>
      </c>
      <c r="C365" s="2" t="s">
        <v>1219</v>
      </c>
      <c r="D365" s="716">
        <f t="shared" si="18"/>
        <v>0</v>
      </c>
      <c r="E365" s="4" t="s">
        <v>19</v>
      </c>
      <c r="F365" s="43">
        <v>3027.3</v>
      </c>
      <c r="G365" s="43">
        <v>3375.1</v>
      </c>
      <c r="H365" s="43">
        <v>3569.6</v>
      </c>
      <c r="I365" s="43">
        <v>3495.0000000000005</v>
      </c>
      <c r="J365" s="43">
        <v>3395.4900000000002</v>
      </c>
      <c r="K365" s="43">
        <v>2939.6</v>
      </c>
      <c r="L365" s="43">
        <v>2939.6</v>
      </c>
      <c r="M365" s="887"/>
      <c r="N365" s="16"/>
      <c r="O365" s="16"/>
      <c r="P365" s="16"/>
      <c r="Q365" s="16"/>
      <c r="R365" s="16"/>
    </row>
    <row r="366" spans="1:18" hidden="1" outlineLevel="1" x14ac:dyDescent="0.2">
      <c r="A366" s="22" t="s">
        <v>1227</v>
      </c>
      <c r="B366" s="2" t="str">
        <f t="shared" si="16"/>
        <v>GWh</v>
      </c>
      <c r="C366" s="2" t="s">
        <v>1219</v>
      </c>
      <c r="D366" s="716">
        <f t="shared" si="18"/>
        <v>0</v>
      </c>
      <c r="E366" s="4" t="s">
        <v>3</v>
      </c>
      <c r="F366" s="43">
        <v>53661.733</v>
      </c>
      <c r="G366" s="43">
        <v>53607.646000000001</v>
      </c>
      <c r="H366" s="43">
        <v>55360.944000000003</v>
      </c>
      <c r="I366" s="43">
        <v>54841.557999999997</v>
      </c>
      <c r="J366" s="43">
        <v>53954.822999999997</v>
      </c>
      <c r="K366" s="43">
        <v>57505.563999999998</v>
      </c>
      <c r="L366" s="43">
        <v>60118.408000000003</v>
      </c>
      <c r="M366" s="887"/>
      <c r="N366" s="16"/>
      <c r="O366" s="16"/>
      <c r="P366" s="16"/>
      <c r="Q366" s="16"/>
      <c r="R366" s="16"/>
    </row>
    <row r="367" spans="1:18" hidden="1" outlineLevel="1" x14ac:dyDescent="0.2">
      <c r="A367" s="22" t="s">
        <v>1227</v>
      </c>
      <c r="B367" s="2" t="str">
        <f t="shared" si="16"/>
        <v>GWh</v>
      </c>
      <c r="C367" s="2" t="s">
        <v>1219</v>
      </c>
      <c r="D367" s="716">
        <f t="shared" si="18"/>
        <v>0</v>
      </c>
      <c r="E367" s="4" t="s">
        <v>20</v>
      </c>
      <c r="F367" s="43">
        <v>19133.196186999998</v>
      </c>
      <c r="G367" s="43">
        <v>17028.403226000002</v>
      </c>
      <c r="H367" s="43">
        <v>16469.273109000002</v>
      </c>
      <c r="I367" s="43">
        <v>16913.245118999999</v>
      </c>
      <c r="J367" s="43">
        <v>17061.428116999999</v>
      </c>
      <c r="K367" s="43">
        <v>18979.132259599919</v>
      </c>
      <c r="L367" s="43">
        <v>19203.087014171531</v>
      </c>
      <c r="M367" s="887"/>
      <c r="N367" s="16"/>
      <c r="O367" s="16"/>
      <c r="P367" s="16"/>
      <c r="Q367" s="16"/>
      <c r="R367" s="16"/>
    </row>
    <row r="368" spans="1:18" hidden="1" outlineLevel="1" x14ac:dyDescent="0.2">
      <c r="A368" s="22" t="s">
        <v>1227</v>
      </c>
      <c r="B368" s="2" t="str">
        <f t="shared" si="16"/>
        <v>GWh</v>
      </c>
      <c r="C368" s="2" t="s">
        <v>1219</v>
      </c>
      <c r="D368" s="716">
        <f t="shared" si="18"/>
        <v>0</v>
      </c>
      <c r="E368" s="4" t="s">
        <v>21</v>
      </c>
      <c r="F368" s="43">
        <v>760.78803440000002</v>
      </c>
      <c r="G368" s="43">
        <v>851.57315000000006</v>
      </c>
      <c r="H368" s="43">
        <v>952.93455000000006</v>
      </c>
      <c r="I368" s="43">
        <v>1001.4308000000001</v>
      </c>
      <c r="J368" s="43">
        <v>930.63177800000005</v>
      </c>
      <c r="K368" s="43">
        <v>1111.067413</v>
      </c>
      <c r="L368" s="43">
        <v>1111.067413</v>
      </c>
      <c r="M368" s="887"/>
      <c r="N368" s="16"/>
      <c r="O368" s="16"/>
      <c r="P368" s="16"/>
      <c r="Q368" s="16"/>
      <c r="R368" s="16"/>
    </row>
    <row r="369" spans="1:18" hidden="1" outlineLevel="1" x14ac:dyDescent="0.2">
      <c r="A369" s="22" t="s">
        <v>1227</v>
      </c>
      <c r="B369" s="2" t="str">
        <f t="shared" si="16"/>
        <v>GWh</v>
      </c>
      <c r="C369" s="2" t="s">
        <v>1219</v>
      </c>
      <c r="D369" s="716">
        <f t="shared" si="18"/>
        <v>0</v>
      </c>
      <c r="E369" s="4" t="s">
        <v>1096</v>
      </c>
      <c r="F369" s="43">
        <v>0</v>
      </c>
      <c r="G369" s="43">
        <v>0</v>
      </c>
      <c r="H369" s="43">
        <v>0</v>
      </c>
      <c r="I369" s="43">
        <v>0</v>
      </c>
      <c r="J369" s="43">
        <v>0</v>
      </c>
      <c r="K369" s="43">
        <v>0</v>
      </c>
      <c r="L369" s="43">
        <v>0</v>
      </c>
      <c r="M369" s="887"/>
      <c r="N369" s="16"/>
      <c r="O369" s="16"/>
      <c r="P369" s="16"/>
      <c r="Q369" s="16"/>
      <c r="R369" s="16"/>
    </row>
    <row r="370" spans="1:18" hidden="1" outlineLevel="1" x14ac:dyDescent="0.2">
      <c r="A370" s="22" t="s">
        <v>1227</v>
      </c>
      <c r="B370" s="2" t="str">
        <f t="shared" si="16"/>
        <v>GWh</v>
      </c>
      <c r="C370" s="2" t="s">
        <v>1219</v>
      </c>
      <c r="D370" s="716">
        <f t="shared" si="18"/>
        <v>0</v>
      </c>
      <c r="E370" s="4" t="s">
        <v>22</v>
      </c>
      <c r="F370" s="43">
        <v>3593.9535000000001</v>
      </c>
      <c r="G370" s="43">
        <v>8068.7449999999999</v>
      </c>
      <c r="H370" s="43">
        <v>4500.0330000000004</v>
      </c>
      <c r="I370" s="43">
        <v>5174.71</v>
      </c>
      <c r="J370" s="43">
        <v>8666.3109999999997</v>
      </c>
      <c r="K370" s="43">
        <v>6478.8995000000004</v>
      </c>
      <c r="L370" s="43">
        <v>5420.8469999999998</v>
      </c>
      <c r="M370" s="887"/>
      <c r="N370" s="16"/>
      <c r="O370" s="16"/>
      <c r="P370" s="16"/>
      <c r="Q370" s="16"/>
      <c r="R370" s="16"/>
    </row>
    <row r="371" spans="1:18" hidden="1" outlineLevel="1" x14ac:dyDescent="0.2">
      <c r="A371" s="91" t="s">
        <v>1227</v>
      </c>
      <c r="B371" s="386" t="str">
        <f t="shared" si="16"/>
        <v>GWh</v>
      </c>
      <c r="C371" s="386" t="s">
        <v>1219</v>
      </c>
      <c r="D371" s="719">
        <f t="shared" si="18"/>
        <v>0</v>
      </c>
      <c r="E371" s="86" t="s">
        <v>23</v>
      </c>
      <c r="F371" s="374">
        <v>81411</v>
      </c>
      <c r="G371" s="374">
        <v>83163</v>
      </c>
      <c r="H371" s="374">
        <v>86841</v>
      </c>
      <c r="I371" s="374">
        <v>85846.674599999998</v>
      </c>
      <c r="J371" s="374">
        <v>76660.674599999998</v>
      </c>
      <c r="K371" s="374">
        <v>83144.674599999998</v>
      </c>
      <c r="L371" s="374">
        <v>81892.674599999998</v>
      </c>
      <c r="M371" s="918"/>
      <c r="N371" s="16"/>
      <c r="O371" s="16"/>
      <c r="P371" s="16"/>
      <c r="Q371" s="16"/>
      <c r="R371" s="16"/>
    </row>
    <row r="372" spans="1:18" hidden="1" outlineLevel="1" x14ac:dyDescent="0.2">
      <c r="A372" s="532" t="s">
        <v>1227</v>
      </c>
      <c r="B372" s="533" t="str">
        <f t="shared" si="16"/>
        <v>GWh</v>
      </c>
      <c r="C372" s="533" t="s">
        <v>1220</v>
      </c>
      <c r="D372" s="715">
        <f t="shared" si="18"/>
        <v>0</v>
      </c>
      <c r="E372" s="468" t="s">
        <v>4</v>
      </c>
      <c r="F372" s="534">
        <v>21805.156999999999</v>
      </c>
      <c r="G372" s="534">
        <v>24759.593000000001</v>
      </c>
      <c r="H372" s="534">
        <v>23470.70264</v>
      </c>
      <c r="I372" s="534">
        <v>14585.676300000001</v>
      </c>
      <c r="J372" s="534">
        <v>20448.8776277</v>
      </c>
      <c r="K372" s="534">
        <v>21488.407690999997</v>
      </c>
      <c r="L372" s="534">
        <v>21488.407690999997</v>
      </c>
      <c r="M372" s="888"/>
      <c r="N372" s="16"/>
      <c r="O372" s="16"/>
      <c r="P372" s="16"/>
      <c r="Q372" s="16"/>
      <c r="R372" s="16"/>
    </row>
    <row r="373" spans="1:18" hidden="1" outlineLevel="1" x14ac:dyDescent="0.2">
      <c r="A373" s="22" t="s">
        <v>1227</v>
      </c>
      <c r="B373" s="2" t="str">
        <f t="shared" si="16"/>
        <v>GWh</v>
      </c>
      <c r="C373" s="2" t="s">
        <v>1220</v>
      </c>
      <c r="D373" s="716">
        <f t="shared" si="18"/>
        <v>0</v>
      </c>
      <c r="E373" s="4" t="s">
        <v>5</v>
      </c>
      <c r="F373" s="43">
        <v>0</v>
      </c>
      <c r="G373" s="43">
        <v>0</v>
      </c>
      <c r="H373" s="43">
        <v>0</v>
      </c>
      <c r="I373" s="43">
        <v>0</v>
      </c>
      <c r="J373" s="43">
        <v>0</v>
      </c>
      <c r="K373" s="43">
        <v>0</v>
      </c>
      <c r="L373" s="43">
        <v>0</v>
      </c>
      <c r="M373" s="887"/>
      <c r="N373" s="16"/>
      <c r="O373" s="16"/>
      <c r="P373" s="16"/>
      <c r="Q373" s="16"/>
      <c r="R373" s="16"/>
    </row>
    <row r="374" spans="1:18" hidden="1" outlineLevel="1" x14ac:dyDescent="0.2">
      <c r="A374" s="22" t="s">
        <v>1227</v>
      </c>
      <c r="B374" s="2" t="str">
        <f t="shared" si="16"/>
        <v>GWh</v>
      </c>
      <c r="C374" s="2" t="s">
        <v>1220</v>
      </c>
      <c r="D374" s="716">
        <f t="shared" si="18"/>
        <v>0</v>
      </c>
      <c r="E374" s="4" t="s">
        <v>6</v>
      </c>
      <c r="F374" s="43">
        <v>0</v>
      </c>
      <c r="G374" s="43">
        <v>0</v>
      </c>
      <c r="H374" s="43">
        <v>0</v>
      </c>
      <c r="I374" s="43">
        <v>0</v>
      </c>
      <c r="J374" s="43">
        <v>0</v>
      </c>
      <c r="K374" s="43">
        <v>0</v>
      </c>
      <c r="L374" s="43">
        <v>0</v>
      </c>
      <c r="M374" s="887"/>
      <c r="N374" s="16"/>
      <c r="O374" s="16"/>
      <c r="P374" s="16"/>
      <c r="Q374" s="16"/>
      <c r="R374" s="16"/>
    </row>
    <row r="375" spans="1:18" hidden="1" outlineLevel="1" x14ac:dyDescent="0.2">
      <c r="A375" s="22" t="s">
        <v>1227</v>
      </c>
      <c r="B375" s="2" t="str">
        <f t="shared" si="16"/>
        <v>GWh</v>
      </c>
      <c r="C375" s="2" t="s">
        <v>1220</v>
      </c>
      <c r="D375" s="716">
        <f t="shared" si="18"/>
        <v>0</v>
      </c>
      <c r="E375" s="4" t="s">
        <v>143</v>
      </c>
      <c r="F375" s="43">
        <v>0</v>
      </c>
      <c r="G375" s="43">
        <v>0</v>
      </c>
      <c r="H375" s="43">
        <v>0</v>
      </c>
      <c r="I375" s="43">
        <v>0</v>
      </c>
      <c r="J375" s="43">
        <v>0</v>
      </c>
      <c r="K375" s="43">
        <v>0</v>
      </c>
      <c r="L375" s="43">
        <v>0</v>
      </c>
      <c r="M375" s="887"/>
      <c r="N375" s="16"/>
      <c r="O375" s="16"/>
      <c r="P375" s="16"/>
      <c r="Q375" s="16"/>
      <c r="R375" s="16"/>
    </row>
    <row r="376" spans="1:18" hidden="1" outlineLevel="1" x14ac:dyDescent="0.2">
      <c r="A376" s="22" t="s">
        <v>1227</v>
      </c>
      <c r="B376" s="2" t="str">
        <f t="shared" si="16"/>
        <v>GWh</v>
      </c>
      <c r="C376" s="2" t="s">
        <v>1220</v>
      </c>
      <c r="D376" s="716">
        <f t="shared" si="18"/>
        <v>0</v>
      </c>
      <c r="E376" s="4" t="s">
        <v>7</v>
      </c>
      <c r="F376" s="43">
        <v>2724.3729999999996</v>
      </c>
      <c r="G376" s="43">
        <v>2945.2299999999996</v>
      </c>
      <c r="H376" s="43">
        <v>3404.8940000000002</v>
      </c>
      <c r="I376" s="43">
        <v>3672.79</v>
      </c>
      <c r="J376" s="43">
        <v>4246.942</v>
      </c>
      <c r="K376" s="43">
        <v>4068.8</v>
      </c>
      <c r="L376" s="43">
        <v>4068.8</v>
      </c>
      <c r="M376" s="887"/>
      <c r="N376" s="16"/>
      <c r="O376" s="16"/>
      <c r="P376" s="16"/>
      <c r="Q376" s="16"/>
      <c r="R376" s="16"/>
    </row>
    <row r="377" spans="1:18" hidden="1" outlineLevel="1" x14ac:dyDescent="0.2">
      <c r="A377" s="22" t="s">
        <v>1227</v>
      </c>
      <c r="B377" s="2" t="str">
        <f t="shared" si="16"/>
        <v>GWh</v>
      </c>
      <c r="C377" s="2" t="s">
        <v>1220</v>
      </c>
      <c r="D377" s="716">
        <f t="shared" si="18"/>
        <v>0</v>
      </c>
      <c r="E377" s="4" t="s">
        <v>31</v>
      </c>
      <c r="F377" s="43">
        <v>18258</v>
      </c>
      <c r="G377" s="43">
        <v>15696</v>
      </c>
      <c r="H377" s="43">
        <v>28778</v>
      </c>
      <c r="I377" s="43">
        <v>13182</v>
      </c>
      <c r="J377" s="43">
        <v>36475</v>
      </c>
      <c r="K377" s="43">
        <v>25095</v>
      </c>
      <c r="L377" s="43">
        <v>25095</v>
      </c>
      <c r="M377" s="887"/>
      <c r="N377" s="16"/>
      <c r="O377" s="16"/>
      <c r="P377" s="16"/>
      <c r="Q377" s="16"/>
      <c r="R377" s="16"/>
    </row>
    <row r="378" spans="1:18" hidden="1" outlineLevel="1" x14ac:dyDescent="0.2">
      <c r="A378" s="22" t="s">
        <v>1227</v>
      </c>
      <c r="B378" s="2" t="str">
        <f t="shared" si="16"/>
        <v>GWh</v>
      </c>
      <c r="C378" s="2" t="s">
        <v>1220</v>
      </c>
      <c r="D378" s="716">
        <f t="shared" si="18"/>
        <v>0</v>
      </c>
      <c r="E378" s="4" t="s">
        <v>8</v>
      </c>
      <c r="F378" s="43">
        <v>12446.425741039997</v>
      </c>
      <c r="G378" s="43">
        <v>6056.7721930200005</v>
      </c>
      <c r="H378" s="43">
        <v>3183.6999900799997</v>
      </c>
      <c r="I378" s="43">
        <v>5189.6303230000012</v>
      </c>
      <c r="J378" s="43">
        <v>11619.48805</v>
      </c>
      <c r="K378" s="43">
        <v>14425.362625279999</v>
      </c>
      <c r="L378" s="43">
        <v>12736.5009338</v>
      </c>
      <c r="M378" s="887"/>
      <c r="N378" s="16"/>
      <c r="O378" s="16"/>
      <c r="P378" s="16"/>
      <c r="Q378" s="16"/>
      <c r="R378" s="16"/>
    </row>
    <row r="379" spans="1:18" hidden="1" outlineLevel="1" x14ac:dyDescent="0.2">
      <c r="A379" s="22" t="s">
        <v>1227</v>
      </c>
      <c r="B379" s="2" t="str">
        <f t="shared" si="16"/>
        <v>GWh</v>
      </c>
      <c r="C379" s="2" t="s">
        <v>1220</v>
      </c>
      <c r="D379" s="716">
        <f t="shared" si="18"/>
        <v>0</v>
      </c>
      <c r="E379" s="4" t="s">
        <v>9</v>
      </c>
      <c r="F379" s="43">
        <v>0</v>
      </c>
      <c r="G379" s="43">
        <v>0</v>
      </c>
      <c r="H379" s="43">
        <v>0</v>
      </c>
      <c r="I379" s="43">
        <v>0</v>
      </c>
      <c r="J379" s="43">
        <v>0</v>
      </c>
      <c r="K379" s="43">
        <v>8089</v>
      </c>
      <c r="L379" s="43">
        <v>9276</v>
      </c>
      <c r="M379" s="887"/>
      <c r="N379" s="16"/>
      <c r="O379" s="16"/>
      <c r="P379" s="16"/>
      <c r="Q379" s="16"/>
      <c r="R379" s="16"/>
    </row>
    <row r="380" spans="1:18" hidden="1" outlineLevel="1" x14ac:dyDescent="0.2">
      <c r="A380" s="22" t="s">
        <v>1227</v>
      </c>
      <c r="B380" s="2" t="str">
        <f t="shared" si="16"/>
        <v>GWh</v>
      </c>
      <c r="C380" s="2" t="s">
        <v>1220</v>
      </c>
      <c r="D380" s="716">
        <f t="shared" si="18"/>
        <v>0</v>
      </c>
      <c r="E380" s="4" t="s">
        <v>10</v>
      </c>
      <c r="F380" s="43">
        <v>455.05770307516917</v>
      </c>
      <c r="G380" s="43">
        <v>611.61245955436948</v>
      </c>
      <c r="H380" s="43">
        <v>398.09559739798311</v>
      </c>
      <c r="I380" s="43">
        <v>265.40446103304851</v>
      </c>
      <c r="J380" s="43">
        <v>280.69503838113621</v>
      </c>
      <c r="K380" s="43">
        <v>490.01526873516195</v>
      </c>
      <c r="L380" s="43">
        <v>464.28836647158442</v>
      </c>
      <c r="M380" s="887"/>
      <c r="N380" s="16"/>
      <c r="O380" s="16"/>
      <c r="P380" s="16"/>
      <c r="Q380" s="16"/>
      <c r="R380" s="16"/>
    </row>
    <row r="381" spans="1:18" hidden="1" outlineLevel="1" x14ac:dyDescent="0.2">
      <c r="A381" s="22" t="s">
        <v>1227</v>
      </c>
      <c r="B381" s="2" t="str">
        <f t="shared" si="16"/>
        <v>GWh</v>
      </c>
      <c r="C381" s="2" t="s">
        <v>1220</v>
      </c>
      <c r="D381" s="716">
        <f t="shared" si="18"/>
        <v>0</v>
      </c>
      <c r="E381" s="4" t="s">
        <v>11</v>
      </c>
      <c r="F381" s="43">
        <v>2232.5970000000002</v>
      </c>
      <c r="G381" s="43">
        <v>2232.5970000000002</v>
      </c>
      <c r="H381" s="43">
        <v>2232.5970000000002</v>
      </c>
      <c r="I381" s="43">
        <v>2232.5970000000002</v>
      </c>
      <c r="J381" s="43">
        <v>3343.3323</v>
      </c>
      <c r="K381" s="43">
        <v>3380.4854392269999</v>
      </c>
      <c r="L381" s="43">
        <v>4160.7072456449987</v>
      </c>
      <c r="M381" s="887"/>
      <c r="N381" s="16"/>
      <c r="O381" s="16"/>
      <c r="P381" s="16"/>
      <c r="Q381" s="16"/>
      <c r="R381" s="16"/>
    </row>
    <row r="382" spans="1:18" hidden="1" outlineLevel="1" x14ac:dyDescent="0.2">
      <c r="A382" s="22" t="s">
        <v>1227</v>
      </c>
      <c r="B382" s="2" t="str">
        <f t="shared" si="16"/>
        <v>GWh</v>
      </c>
      <c r="C382" s="2" t="s">
        <v>1220</v>
      </c>
      <c r="D382" s="716">
        <f t="shared" si="18"/>
        <v>0</v>
      </c>
      <c r="E382" s="4" t="s">
        <v>12</v>
      </c>
      <c r="F382" s="43">
        <v>928.71504999999991</v>
      </c>
      <c r="G382" s="43">
        <v>998.6176999999999</v>
      </c>
      <c r="H382" s="43">
        <v>833.97919999999999</v>
      </c>
      <c r="I382" s="43">
        <v>984.17648000000008</v>
      </c>
      <c r="J382" s="43">
        <v>1077.0878599999999</v>
      </c>
      <c r="K382" s="43">
        <v>778.37000000000012</v>
      </c>
      <c r="L382" s="43">
        <v>1318.7703099999999</v>
      </c>
      <c r="M382" s="887"/>
      <c r="N382" s="16"/>
      <c r="O382" s="16"/>
      <c r="P382" s="16"/>
      <c r="Q382" s="16"/>
      <c r="R382" s="16"/>
    </row>
    <row r="383" spans="1:18" hidden="1" outlineLevel="1" x14ac:dyDescent="0.2">
      <c r="A383" s="22" t="s">
        <v>1227</v>
      </c>
      <c r="B383" s="2" t="str">
        <f t="shared" si="16"/>
        <v>GWh</v>
      </c>
      <c r="C383" s="2" t="s">
        <v>1220</v>
      </c>
      <c r="D383" s="716">
        <f t="shared" si="18"/>
        <v>0</v>
      </c>
      <c r="E383" s="4" t="s">
        <v>1</v>
      </c>
      <c r="F383" s="43">
        <v>0</v>
      </c>
      <c r="G383" s="43">
        <v>0</v>
      </c>
      <c r="H383" s="43">
        <v>0</v>
      </c>
      <c r="I383" s="43">
        <v>0</v>
      </c>
      <c r="J383" s="43">
        <v>0</v>
      </c>
      <c r="K383" s="43">
        <v>0</v>
      </c>
      <c r="L383" s="43">
        <v>0</v>
      </c>
      <c r="M383" s="887"/>
      <c r="N383" s="16"/>
      <c r="O383" s="16"/>
      <c r="P383" s="16"/>
      <c r="Q383" s="16"/>
      <c r="R383" s="16"/>
    </row>
    <row r="384" spans="1:18" hidden="1" outlineLevel="1" x14ac:dyDescent="0.2">
      <c r="A384" s="22" t="s">
        <v>1227</v>
      </c>
      <c r="B384" s="2" t="str">
        <f t="shared" si="16"/>
        <v>GWh</v>
      </c>
      <c r="C384" s="2" t="s">
        <v>1220</v>
      </c>
      <c r="D384" s="716">
        <f t="shared" si="18"/>
        <v>0</v>
      </c>
      <c r="E384" s="4" t="s">
        <v>13</v>
      </c>
      <c r="F384" s="43">
        <v>0</v>
      </c>
      <c r="G384" s="43">
        <v>0</v>
      </c>
      <c r="H384" s="43">
        <v>0</v>
      </c>
      <c r="I384" s="43">
        <v>0</v>
      </c>
      <c r="J384" s="43">
        <v>0</v>
      </c>
      <c r="K384" s="43">
        <v>0</v>
      </c>
      <c r="L384" s="43">
        <v>0</v>
      </c>
      <c r="M384" s="887"/>
      <c r="N384" s="16"/>
      <c r="O384" s="16"/>
      <c r="P384" s="16"/>
      <c r="Q384" s="16"/>
      <c r="R384" s="16"/>
    </row>
    <row r="385" spans="1:18" hidden="1" outlineLevel="1" x14ac:dyDescent="0.2">
      <c r="A385" s="22" t="s">
        <v>1227</v>
      </c>
      <c r="B385" s="2" t="str">
        <f t="shared" si="16"/>
        <v>GWh</v>
      </c>
      <c r="C385" s="2" t="s">
        <v>1220</v>
      </c>
      <c r="D385" s="716">
        <f t="shared" si="18"/>
        <v>0</v>
      </c>
      <c r="E385" s="4" t="s">
        <v>14</v>
      </c>
      <c r="F385" s="43">
        <v>0</v>
      </c>
      <c r="G385" s="43">
        <v>0</v>
      </c>
      <c r="H385" s="43">
        <v>0</v>
      </c>
      <c r="I385" s="43">
        <v>0</v>
      </c>
      <c r="J385" s="43">
        <v>0</v>
      </c>
      <c r="K385" s="43">
        <v>0</v>
      </c>
      <c r="L385" s="43">
        <v>0</v>
      </c>
      <c r="M385" s="887"/>
      <c r="N385" s="16"/>
      <c r="O385" s="16"/>
      <c r="P385" s="16"/>
      <c r="Q385" s="16"/>
      <c r="R385" s="16"/>
    </row>
    <row r="386" spans="1:18" hidden="1" outlineLevel="1" x14ac:dyDescent="0.2">
      <c r="A386" s="22" t="s">
        <v>1227</v>
      </c>
      <c r="B386" s="2" t="str">
        <f t="shared" si="16"/>
        <v>GWh</v>
      </c>
      <c r="C386" s="2" t="s">
        <v>1220</v>
      </c>
      <c r="D386" s="716">
        <f t="shared" si="18"/>
        <v>0</v>
      </c>
      <c r="E386" s="4" t="s">
        <v>15</v>
      </c>
      <c r="F386" s="43">
        <v>0</v>
      </c>
      <c r="G386" s="43">
        <v>0</v>
      </c>
      <c r="H386" s="43">
        <v>0</v>
      </c>
      <c r="I386" s="43">
        <v>0</v>
      </c>
      <c r="J386" s="43">
        <v>0</v>
      </c>
      <c r="K386" s="43">
        <v>0</v>
      </c>
      <c r="L386" s="43">
        <v>0</v>
      </c>
      <c r="M386" s="887"/>
      <c r="N386" s="16"/>
      <c r="O386" s="16"/>
      <c r="P386" s="16"/>
      <c r="Q386" s="16"/>
      <c r="R386" s="16"/>
    </row>
    <row r="387" spans="1:18" hidden="1" outlineLevel="1" x14ac:dyDescent="0.2">
      <c r="A387" s="22" t="s">
        <v>1227</v>
      </c>
      <c r="B387" s="2" t="str">
        <f t="shared" si="16"/>
        <v>GWh</v>
      </c>
      <c r="C387" s="2" t="s">
        <v>1220</v>
      </c>
      <c r="D387" s="716">
        <f t="shared" si="18"/>
        <v>0</v>
      </c>
      <c r="E387" s="4" t="s">
        <v>16</v>
      </c>
      <c r="F387" s="43">
        <v>147</v>
      </c>
      <c r="G387" s="43">
        <v>4.0999999999999996</v>
      </c>
      <c r="H387" s="43">
        <v>57</v>
      </c>
      <c r="I387" s="43">
        <v>55.9</v>
      </c>
      <c r="J387" s="43">
        <v>11.9</v>
      </c>
      <c r="K387" s="43">
        <v>102.19106500000001</v>
      </c>
      <c r="L387" s="43">
        <v>53.481790000000004</v>
      </c>
      <c r="M387" s="887"/>
      <c r="N387" s="16"/>
      <c r="O387" s="16"/>
      <c r="P387" s="16"/>
      <c r="Q387" s="16"/>
      <c r="R387" s="16"/>
    </row>
    <row r="388" spans="1:18" hidden="1" outlineLevel="1" x14ac:dyDescent="0.2">
      <c r="A388" s="22" t="s">
        <v>1227</v>
      </c>
      <c r="B388" s="2" t="str">
        <f t="shared" si="16"/>
        <v>GWh</v>
      </c>
      <c r="C388" s="2" t="s">
        <v>1220</v>
      </c>
      <c r="D388" s="716">
        <f t="shared" si="18"/>
        <v>0</v>
      </c>
      <c r="E388" s="4" t="s">
        <v>17</v>
      </c>
      <c r="F388" s="43">
        <v>0</v>
      </c>
      <c r="G388" s="43">
        <v>0</v>
      </c>
      <c r="H388" s="43">
        <v>0</v>
      </c>
      <c r="I388" s="43">
        <v>0</v>
      </c>
      <c r="J388" s="43">
        <v>0</v>
      </c>
      <c r="K388" s="43">
        <v>0</v>
      </c>
      <c r="L388" s="43">
        <v>0</v>
      </c>
      <c r="M388" s="887"/>
      <c r="N388" s="16"/>
      <c r="O388" s="16"/>
      <c r="P388" s="16"/>
      <c r="Q388" s="16"/>
      <c r="R388" s="16"/>
    </row>
    <row r="389" spans="1:18" hidden="1" outlineLevel="1" x14ac:dyDescent="0.2">
      <c r="A389" s="22" t="s">
        <v>1227</v>
      </c>
      <c r="B389" s="2" t="str">
        <f t="shared" si="16"/>
        <v>GWh</v>
      </c>
      <c r="C389" s="2" t="s">
        <v>1220</v>
      </c>
      <c r="D389" s="716">
        <f t="shared" si="18"/>
        <v>0</v>
      </c>
      <c r="E389" s="4" t="s">
        <v>18</v>
      </c>
      <c r="F389" s="43">
        <v>156365.33093366443</v>
      </c>
      <c r="G389" s="43">
        <v>181523.26507641177</v>
      </c>
      <c r="H389" s="43">
        <v>185852.23143186336</v>
      </c>
      <c r="I389" s="43">
        <v>195524.747383996</v>
      </c>
      <c r="J389" s="43">
        <v>198275.61616539705</v>
      </c>
      <c r="K389" s="43">
        <v>201136.86091364006</v>
      </c>
      <c r="L389" s="43">
        <v>206796.17565558932</v>
      </c>
      <c r="M389" s="887"/>
      <c r="N389" s="16"/>
      <c r="O389" s="16"/>
      <c r="P389" s="16"/>
      <c r="Q389" s="16"/>
      <c r="R389" s="16"/>
    </row>
    <row r="390" spans="1:18" hidden="1" outlineLevel="1" x14ac:dyDescent="0.2">
      <c r="A390" s="22" t="s">
        <v>1227</v>
      </c>
      <c r="B390" s="2" t="str">
        <f t="shared" si="16"/>
        <v>GWh</v>
      </c>
      <c r="C390" s="2" t="s">
        <v>1220</v>
      </c>
      <c r="D390" s="716">
        <f t="shared" si="18"/>
        <v>0</v>
      </c>
      <c r="E390" s="4" t="s">
        <v>2</v>
      </c>
      <c r="F390" s="43">
        <v>0</v>
      </c>
      <c r="G390" s="43">
        <v>0</v>
      </c>
      <c r="H390" s="43">
        <v>0</v>
      </c>
      <c r="I390" s="43">
        <v>0</v>
      </c>
      <c r="J390" s="43">
        <v>0</v>
      </c>
      <c r="K390" s="43">
        <v>0</v>
      </c>
      <c r="L390" s="43">
        <v>0</v>
      </c>
      <c r="M390" s="887"/>
      <c r="N390" s="16"/>
      <c r="O390" s="16"/>
      <c r="P390" s="16"/>
      <c r="Q390" s="16"/>
      <c r="R390" s="16"/>
    </row>
    <row r="391" spans="1:18" hidden="1" outlineLevel="1" x14ac:dyDescent="0.2">
      <c r="A391" s="22" t="s">
        <v>1227</v>
      </c>
      <c r="B391" s="2" t="str">
        <f t="shared" si="16"/>
        <v>GWh</v>
      </c>
      <c r="C391" s="2" t="s">
        <v>1220</v>
      </c>
      <c r="D391" s="716">
        <f t="shared" si="18"/>
        <v>0</v>
      </c>
      <c r="E391" s="4" t="s">
        <v>19</v>
      </c>
      <c r="F391" s="43">
        <v>0</v>
      </c>
      <c r="G391" s="43">
        <v>0</v>
      </c>
      <c r="H391" s="43">
        <v>0</v>
      </c>
      <c r="I391" s="43">
        <v>0</v>
      </c>
      <c r="J391" s="43">
        <v>0</v>
      </c>
      <c r="K391" s="43">
        <v>0</v>
      </c>
      <c r="L391" s="43">
        <v>0</v>
      </c>
      <c r="M391" s="887"/>
      <c r="N391" s="16"/>
      <c r="O391" s="16"/>
      <c r="P391" s="16"/>
      <c r="Q391" s="16"/>
      <c r="R391" s="16"/>
    </row>
    <row r="392" spans="1:18" hidden="1" outlineLevel="1" x14ac:dyDescent="0.2">
      <c r="A392" s="22" t="s">
        <v>1227</v>
      </c>
      <c r="B392" s="2" t="str">
        <f t="shared" ref="B392:B455" si="19">IF(A392="Capacity", "MW", "GWh")</f>
        <v>GWh</v>
      </c>
      <c r="C392" s="2" t="s">
        <v>1220</v>
      </c>
      <c r="D392" s="716">
        <f t="shared" si="18"/>
        <v>0</v>
      </c>
      <c r="E392" s="4" t="s">
        <v>3</v>
      </c>
      <c r="F392" s="43">
        <v>0</v>
      </c>
      <c r="G392" s="43">
        <v>0</v>
      </c>
      <c r="H392" s="43">
        <v>0</v>
      </c>
      <c r="I392" s="43">
        <v>0</v>
      </c>
      <c r="J392" s="43">
        <v>0</v>
      </c>
      <c r="K392" s="43">
        <v>0</v>
      </c>
      <c r="L392" s="43">
        <v>0</v>
      </c>
      <c r="M392" s="887"/>
      <c r="N392" s="16"/>
      <c r="O392" s="16"/>
      <c r="P392" s="16"/>
      <c r="Q392" s="16"/>
      <c r="R392" s="16"/>
    </row>
    <row r="393" spans="1:18" hidden="1" outlineLevel="1" x14ac:dyDescent="0.2">
      <c r="A393" s="22" t="s">
        <v>1227</v>
      </c>
      <c r="B393" s="2" t="str">
        <f t="shared" si="19"/>
        <v>GWh</v>
      </c>
      <c r="C393" s="2" t="s">
        <v>1220</v>
      </c>
      <c r="D393" s="716">
        <f t="shared" si="18"/>
        <v>0</v>
      </c>
      <c r="E393" s="4" t="s">
        <v>20</v>
      </c>
      <c r="F393" s="43">
        <v>2279.571864</v>
      </c>
      <c r="G393" s="43">
        <v>4395.0210450000004</v>
      </c>
      <c r="H393" s="43">
        <v>5842.7257970000001</v>
      </c>
      <c r="I393" s="43">
        <v>5833.0956550000001</v>
      </c>
      <c r="J393" s="43">
        <v>7644.5873050000009</v>
      </c>
      <c r="K393" s="43">
        <v>10448.357752451808</v>
      </c>
      <c r="L393" s="43">
        <v>12494.532732835123</v>
      </c>
      <c r="M393" s="887"/>
      <c r="N393" s="16"/>
      <c r="O393" s="16"/>
      <c r="P393" s="16"/>
      <c r="Q393" s="16"/>
      <c r="R393" s="16"/>
    </row>
    <row r="394" spans="1:18" hidden="1" outlineLevel="1" x14ac:dyDescent="0.2">
      <c r="A394" s="22" t="s">
        <v>1227</v>
      </c>
      <c r="B394" s="2" t="str">
        <f t="shared" si="19"/>
        <v>GWh</v>
      </c>
      <c r="C394" s="2" t="s">
        <v>1220</v>
      </c>
      <c r="D394" s="716">
        <f t="shared" si="18"/>
        <v>0</v>
      </c>
      <c r="E394" s="4" t="s">
        <v>21</v>
      </c>
      <c r="F394" s="43">
        <v>0</v>
      </c>
      <c r="G394" s="43">
        <v>0</v>
      </c>
      <c r="H394" s="43">
        <v>0</v>
      </c>
      <c r="I394" s="43">
        <v>0</v>
      </c>
      <c r="J394" s="43">
        <v>0</v>
      </c>
      <c r="K394" s="43">
        <v>0</v>
      </c>
      <c r="L394" s="43">
        <v>0</v>
      </c>
      <c r="M394" s="887"/>
      <c r="N394" s="16"/>
      <c r="O394" s="16"/>
      <c r="P394" s="16"/>
      <c r="Q394" s="16"/>
      <c r="R394" s="16"/>
    </row>
    <row r="395" spans="1:18" hidden="1" outlineLevel="1" x14ac:dyDescent="0.2">
      <c r="A395" s="22" t="s">
        <v>1227</v>
      </c>
      <c r="B395" s="2" t="str">
        <f t="shared" si="19"/>
        <v>GWh</v>
      </c>
      <c r="C395" s="2" t="s">
        <v>1220</v>
      </c>
      <c r="D395" s="716">
        <f t="shared" si="18"/>
        <v>0</v>
      </c>
      <c r="E395" s="4" t="s">
        <v>1096</v>
      </c>
      <c r="F395" s="43">
        <v>14331.531999999999</v>
      </c>
      <c r="G395" s="43">
        <v>15387.151999999998</v>
      </c>
      <c r="H395" s="43">
        <v>15442.9496</v>
      </c>
      <c r="I395" s="43">
        <v>15120.642</v>
      </c>
      <c r="J395" s="43">
        <v>16476.800499999998</v>
      </c>
      <c r="K395" s="43">
        <v>16758.969999999998</v>
      </c>
      <c r="L395" s="43">
        <v>16004.248</v>
      </c>
      <c r="M395" s="887"/>
      <c r="N395" s="16"/>
      <c r="O395" s="16"/>
      <c r="P395" s="16"/>
      <c r="Q395" s="16"/>
      <c r="R395" s="16"/>
    </row>
    <row r="396" spans="1:18" hidden="1" outlineLevel="1" x14ac:dyDescent="0.2">
      <c r="A396" s="22" t="s">
        <v>1227</v>
      </c>
      <c r="B396" s="2" t="str">
        <f t="shared" si="19"/>
        <v>GWh</v>
      </c>
      <c r="C396" s="2" t="s">
        <v>1220</v>
      </c>
      <c r="D396" s="716">
        <f t="shared" si="18"/>
        <v>0</v>
      </c>
      <c r="E396" s="4" t="s">
        <v>22</v>
      </c>
      <c r="F396" s="43">
        <v>0</v>
      </c>
      <c r="G396" s="43">
        <v>0</v>
      </c>
      <c r="H396" s="43">
        <v>0</v>
      </c>
      <c r="I396" s="43">
        <v>0</v>
      </c>
      <c r="J396" s="43">
        <v>0</v>
      </c>
      <c r="K396" s="43">
        <v>0</v>
      </c>
      <c r="L396" s="43">
        <v>0</v>
      </c>
      <c r="M396" s="887"/>
      <c r="N396" s="16"/>
      <c r="O396" s="16"/>
      <c r="P396" s="16"/>
      <c r="Q396" s="16"/>
      <c r="R396" s="16"/>
    </row>
    <row r="397" spans="1:18" hidden="1" outlineLevel="1" x14ac:dyDescent="0.2">
      <c r="A397" s="22" t="s">
        <v>1227</v>
      </c>
      <c r="B397" s="2" t="str">
        <f t="shared" si="19"/>
        <v>GWh</v>
      </c>
      <c r="C397" s="2" t="s">
        <v>1220</v>
      </c>
      <c r="D397" s="717">
        <f t="shared" si="18"/>
        <v>0</v>
      </c>
      <c r="E397" s="86" t="s">
        <v>23</v>
      </c>
      <c r="F397" s="374">
        <v>15731</v>
      </c>
      <c r="G397" s="374">
        <v>17556</v>
      </c>
      <c r="H397" s="374">
        <v>17495</v>
      </c>
      <c r="I397" s="374">
        <v>19102</v>
      </c>
      <c r="J397" s="374">
        <v>17823</v>
      </c>
      <c r="K397" s="374">
        <v>17705</v>
      </c>
      <c r="L397" s="374">
        <v>20322</v>
      </c>
      <c r="M397" s="918"/>
      <c r="N397" s="16"/>
      <c r="O397" s="16"/>
      <c r="P397" s="16"/>
      <c r="Q397" s="16"/>
      <c r="R397" s="16"/>
    </row>
    <row r="398" spans="1:18" hidden="1" outlineLevel="1" x14ac:dyDescent="0.2">
      <c r="A398" s="532" t="s">
        <v>1227</v>
      </c>
      <c r="B398" s="533" t="str">
        <f t="shared" si="19"/>
        <v>GWh</v>
      </c>
      <c r="C398" s="533" t="s">
        <v>1221</v>
      </c>
      <c r="D398" s="718">
        <f t="shared" si="18"/>
        <v>0</v>
      </c>
      <c r="E398" s="468" t="s">
        <v>4</v>
      </c>
      <c r="F398" s="534">
        <v>265.77699999999999</v>
      </c>
      <c r="G398" s="534">
        <v>308.37700000000001</v>
      </c>
      <c r="H398" s="534">
        <v>450.40139999999997</v>
      </c>
      <c r="I398" s="534">
        <v>790.52397969999993</v>
      </c>
      <c r="J398" s="534">
        <v>1160.9860430000701</v>
      </c>
      <c r="K398" s="534">
        <v>1389.9648328999995</v>
      </c>
      <c r="L398" s="534">
        <v>1389.9648328999995</v>
      </c>
      <c r="M398" s="888"/>
      <c r="N398" s="16"/>
      <c r="O398" s="16"/>
      <c r="P398" s="16"/>
      <c r="Q398" s="16"/>
      <c r="R398" s="16"/>
    </row>
    <row r="399" spans="1:18" hidden="1" outlineLevel="1" x14ac:dyDescent="0.2">
      <c r="A399" s="22" t="s">
        <v>1227</v>
      </c>
      <c r="B399" s="2" t="str">
        <f t="shared" si="19"/>
        <v>GWh</v>
      </c>
      <c r="C399" s="2" t="s">
        <v>1221</v>
      </c>
      <c r="D399" s="716">
        <f t="shared" si="18"/>
        <v>0</v>
      </c>
      <c r="E399" s="4" t="s">
        <v>5</v>
      </c>
      <c r="F399" s="43">
        <v>0</v>
      </c>
      <c r="G399" s="43">
        <v>0</v>
      </c>
      <c r="H399" s="43">
        <v>0</v>
      </c>
      <c r="I399" s="43">
        <v>0</v>
      </c>
      <c r="J399" s="43">
        <v>0</v>
      </c>
      <c r="K399" s="43">
        <v>0</v>
      </c>
      <c r="L399" s="43">
        <v>0</v>
      </c>
      <c r="M399" s="887"/>
      <c r="N399" s="16"/>
      <c r="O399" s="16"/>
      <c r="P399" s="16"/>
      <c r="Q399" s="16"/>
      <c r="R399" s="16"/>
    </row>
    <row r="400" spans="1:18" hidden="1" outlineLevel="1" x14ac:dyDescent="0.2">
      <c r="A400" s="22" t="s">
        <v>1227</v>
      </c>
      <c r="B400" s="2" t="str">
        <f t="shared" si="19"/>
        <v>GWh</v>
      </c>
      <c r="C400" s="2" t="s">
        <v>1221</v>
      </c>
      <c r="D400" s="716">
        <f t="shared" si="18"/>
        <v>0</v>
      </c>
      <c r="E400" s="4" t="s">
        <v>6</v>
      </c>
      <c r="F400" s="43">
        <v>1020.4</v>
      </c>
      <c r="G400" s="43">
        <v>1049.2</v>
      </c>
      <c r="H400" s="43">
        <v>1053.7</v>
      </c>
      <c r="I400" s="43">
        <v>1068.4000000000001</v>
      </c>
      <c r="J400" s="43">
        <v>1078.3</v>
      </c>
      <c r="K400" s="43">
        <v>1044</v>
      </c>
      <c r="L400" s="43">
        <v>1024.2852809999999</v>
      </c>
      <c r="M400" s="887"/>
      <c r="N400" s="16"/>
      <c r="O400" s="16"/>
      <c r="P400" s="16"/>
      <c r="Q400" s="16"/>
      <c r="R400" s="16"/>
    </row>
    <row r="401" spans="1:18" hidden="1" outlineLevel="1" x14ac:dyDescent="0.2">
      <c r="A401" s="22" t="s">
        <v>1227</v>
      </c>
      <c r="B401" s="2" t="str">
        <f t="shared" si="19"/>
        <v>GWh</v>
      </c>
      <c r="C401" s="2" t="s">
        <v>1221</v>
      </c>
      <c r="D401" s="716">
        <f t="shared" si="18"/>
        <v>0</v>
      </c>
      <c r="E401" s="4" t="s">
        <v>143</v>
      </c>
      <c r="F401" s="43">
        <v>30.136292380000015</v>
      </c>
      <c r="G401" s="43">
        <v>36.078027967799954</v>
      </c>
      <c r="H401" s="43">
        <v>10.704139186499987</v>
      </c>
      <c r="I401" s="43">
        <v>67.540837797074971</v>
      </c>
      <c r="J401" s="43">
        <v>12.069187368000001</v>
      </c>
      <c r="K401" s="43">
        <v>6.9102292624999961</v>
      </c>
      <c r="L401" s="43">
        <v>16.95536581799999</v>
      </c>
      <c r="M401" s="887"/>
      <c r="N401" s="16"/>
      <c r="O401" s="16"/>
      <c r="P401" s="16"/>
      <c r="Q401" s="16"/>
      <c r="R401" s="16"/>
    </row>
    <row r="402" spans="1:18" hidden="1" outlineLevel="1" x14ac:dyDescent="0.2">
      <c r="A402" s="22" t="s">
        <v>1227</v>
      </c>
      <c r="B402" s="2" t="str">
        <f t="shared" si="19"/>
        <v>GWh</v>
      </c>
      <c r="C402" s="2" t="s">
        <v>1221</v>
      </c>
      <c r="D402" s="716">
        <f t="shared" si="18"/>
        <v>0</v>
      </c>
      <c r="E402" s="4" t="s">
        <v>7</v>
      </c>
      <c r="F402" s="43">
        <v>295.72700000000032</v>
      </c>
      <c r="G402" s="43">
        <v>335.16900000000078</v>
      </c>
      <c r="H402" s="43">
        <v>213.78799999999978</v>
      </c>
      <c r="I402" s="43">
        <v>217.94000000000011</v>
      </c>
      <c r="J402" s="43">
        <v>206.80199999999979</v>
      </c>
      <c r="K402" s="43">
        <v>95.7</v>
      </c>
      <c r="L402" s="43">
        <v>95.7</v>
      </c>
      <c r="M402" s="887"/>
      <c r="N402" s="16"/>
      <c r="O402" s="16"/>
      <c r="P402" s="16"/>
      <c r="Q402" s="16"/>
      <c r="R402" s="16"/>
    </row>
    <row r="403" spans="1:18" hidden="1" outlineLevel="1" x14ac:dyDescent="0.2">
      <c r="A403" s="22" t="s">
        <v>1227</v>
      </c>
      <c r="B403" s="2" t="str">
        <f t="shared" si="19"/>
        <v>GWh</v>
      </c>
      <c r="C403" s="2" t="s">
        <v>1221</v>
      </c>
      <c r="D403" s="716">
        <f t="shared" si="18"/>
        <v>0</v>
      </c>
      <c r="E403" s="4" t="s">
        <v>31</v>
      </c>
      <c r="F403" s="43">
        <v>12866</v>
      </c>
      <c r="G403" s="43">
        <v>14738</v>
      </c>
      <c r="H403" s="43">
        <v>19565</v>
      </c>
      <c r="I403" s="43">
        <v>15672</v>
      </c>
      <c r="J403" s="43">
        <v>15431</v>
      </c>
      <c r="K403" s="43">
        <v>13440</v>
      </c>
      <c r="L403" s="43">
        <v>13440</v>
      </c>
      <c r="M403" s="887"/>
      <c r="N403" s="16"/>
      <c r="O403" s="16"/>
      <c r="P403" s="16"/>
      <c r="Q403" s="16"/>
      <c r="R403" s="16"/>
    </row>
    <row r="404" spans="1:18" hidden="1" outlineLevel="1" x14ac:dyDescent="0.2">
      <c r="A404" s="22" t="s">
        <v>1227</v>
      </c>
      <c r="B404" s="2" t="str">
        <f t="shared" si="19"/>
        <v>GWh</v>
      </c>
      <c r="C404" s="2" t="s">
        <v>1221</v>
      </c>
      <c r="D404" s="716">
        <f t="shared" si="18"/>
        <v>0</v>
      </c>
      <c r="E404" s="4" t="s">
        <v>8</v>
      </c>
      <c r="F404" s="43">
        <v>553.30302669990772</v>
      </c>
      <c r="G404" s="43">
        <v>12423.5753408</v>
      </c>
      <c r="H404" s="43">
        <v>13644.749422896561</v>
      </c>
      <c r="I404" s="43">
        <v>10413.850720816883</v>
      </c>
      <c r="J404" s="43">
        <v>6931.4470085247713</v>
      </c>
      <c r="K404" s="43">
        <v>4479.0283530548013</v>
      </c>
      <c r="L404" s="43">
        <v>3935.4306512078165</v>
      </c>
      <c r="M404" s="887"/>
      <c r="N404" s="16"/>
      <c r="O404" s="16"/>
      <c r="P404" s="16"/>
      <c r="Q404" s="16"/>
      <c r="R404" s="16"/>
    </row>
    <row r="405" spans="1:18" hidden="1" outlineLevel="1" x14ac:dyDescent="0.2">
      <c r="A405" s="22" t="s">
        <v>1227</v>
      </c>
      <c r="B405" s="2" t="str">
        <f t="shared" si="19"/>
        <v>GWh</v>
      </c>
      <c r="C405" s="2" t="s">
        <v>1221</v>
      </c>
      <c r="D405" s="716">
        <f t="shared" si="18"/>
        <v>0</v>
      </c>
      <c r="E405" s="4" t="s">
        <v>9</v>
      </c>
      <c r="F405" s="43">
        <v>0</v>
      </c>
      <c r="G405" s="43">
        <v>0</v>
      </c>
      <c r="H405" s="43">
        <v>0</v>
      </c>
      <c r="I405" s="43">
        <v>0</v>
      </c>
      <c r="J405" s="43">
        <v>0</v>
      </c>
      <c r="K405" s="43">
        <v>110</v>
      </c>
      <c r="L405" s="43">
        <v>292</v>
      </c>
      <c r="M405" s="887"/>
      <c r="N405" s="16"/>
      <c r="O405" s="16"/>
      <c r="P405" s="16"/>
      <c r="Q405" s="16"/>
      <c r="R405" s="16"/>
    </row>
    <row r="406" spans="1:18" hidden="1" outlineLevel="1" x14ac:dyDescent="0.2">
      <c r="A406" s="22" t="s">
        <v>1227</v>
      </c>
      <c r="B406" s="2" t="str">
        <f t="shared" si="19"/>
        <v>GWh</v>
      </c>
      <c r="C406" s="2" t="s">
        <v>1221</v>
      </c>
      <c r="D406" s="716">
        <f t="shared" si="18"/>
        <v>0</v>
      </c>
      <c r="E406" s="4" t="s">
        <v>10</v>
      </c>
      <c r="F406" s="43">
        <v>85.290927384830937</v>
      </c>
      <c r="G406" s="43">
        <v>114.63380033563053</v>
      </c>
      <c r="H406" s="43">
        <v>279.6137834620169</v>
      </c>
      <c r="I406" s="43">
        <v>186.41438383695146</v>
      </c>
      <c r="J406" s="43">
        <v>360.54983018886378</v>
      </c>
      <c r="K406" s="43">
        <v>373.32624303483794</v>
      </c>
      <c r="L406" s="43">
        <v>365.99463352841559</v>
      </c>
      <c r="M406" s="887"/>
      <c r="N406" s="16"/>
      <c r="O406" s="16"/>
      <c r="P406" s="16"/>
      <c r="Q406" s="16"/>
      <c r="R406" s="16"/>
    </row>
    <row r="407" spans="1:18" hidden="1" outlineLevel="1" x14ac:dyDescent="0.2">
      <c r="A407" s="22" t="s">
        <v>1227</v>
      </c>
      <c r="B407" s="2" t="str">
        <f t="shared" si="19"/>
        <v>GWh</v>
      </c>
      <c r="C407" s="2" t="s">
        <v>1221</v>
      </c>
      <c r="D407" s="716">
        <f t="shared" si="18"/>
        <v>0</v>
      </c>
      <c r="E407" s="4" t="s">
        <v>11</v>
      </c>
      <c r="F407" s="43">
        <v>4810.3100000000004</v>
      </c>
      <c r="G407" s="43">
        <v>5239.3100000000004</v>
      </c>
      <c r="H407" s="43">
        <v>5934.116</v>
      </c>
      <c r="I407" s="43">
        <v>6001.3680000000004</v>
      </c>
      <c r="J407" s="43">
        <v>5719.5953753263066</v>
      </c>
      <c r="K407" s="43">
        <v>5737.1740578941708</v>
      </c>
      <c r="L407" s="43">
        <v>5384.1821843140197</v>
      </c>
      <c r="M407" s="887"/>
      <c r="N407" s="16"/>
      <c r="O407" s="16"/>
      <c r="P407" s="16"/>
      <c r="Q407" s="16"/>
      <c r="R407" s="16"/>
    </row>
    <row r="408" spans="1:18" hidden="1" outlineLevel="1" x14ac:dyDescent="0.2">
      <c r="A408" s="22" t="s">
        <v>1227</v>
      </c>
      <c r="B408" s="2" t="str">
        <f t="shared" si="19"/>
        <v>GWh</v>
      </c>
      <c r="C408" s="2" t="s">
        <v>1221</v>
      </c>
      <c r="D408" s="716">
        <f t="shared" si="18"/>
        <v>0</v>
      </c>
      <c r="E408" s="4" t="s">
        <v>12</v>
      </c>
      <c r="F408" s="43">
        <v>6253.2038899999998</v>
      </c>
      <c r="G408" s="43">
        <v>6048.0923000000003</v>
      </c>
      <c r="H408" s="43">
        <v>5455.9207999999999</v>
      </c>
      <c r="I408" s="43">
        <v>7138.6695799999989</v>
      </c>
      <c r="J408" s="43">
        <v>8490.1363189999993</v>
      </c>
      <c r="K408" s="43">
        <v>7265.09</v>
      </c>
      <c r="L408" s="43">
        <v>7730.7865800000018</v>
      </c>
      <c r="M408" s="887"/>
      <c r="N408" s="16"/>
      <c r="O408" s="16"/>
      <c r="P408" s="16"/>
      <c r="Q408" s="16"/>
      <c r="R408" s="16"/>
    </row>
    <row r="409" spans="1:18" hidden="1" outlineLevel="1" x14ac:dyDescent="0.2">
      <c r="A409" s="22" t="s">
        <v>1227</v>
      </c>
      <c r="B409" s="2" t="str">
        <f t="shared" si="19"/>
        <v>GWh</v>
      </c>
      <c r="C409" s="2" t="s">
        <v>1221</v>
      </c>
      <c r="D409" s="716">
        <f t="shared" si="18"/>
        <v>0</v>
      </c>
      <c r="E409" s="4" t="s">
        <v>1</v>
      </c>
      <c r="F409" s="43">
        <v>2359.7658999999999</v>
      </c>
      <c r="G409" s="43">
        <v>2616.2665999999999</v>
      </c>
      <c r="H409" s="43">
        <v>2228.4802999999997</v>
      </c>
      <c r="I409" s="43">
        <v>2527.2932000000001</v>
      </c>
      <c r="J409" s="43">
        <v>2088.0087999999996</v>
      </c>
      <c r="K409" s="43">
        <v>2142.2199999999998</v>
      </c>
      <c r="L409" s="43">
        <v>2142.2199999999998</v>
      </c>
      <c r="M409" s="887"/>
      <c r="N409" s="16"/>
      <c r="O409" s="16"/>
      <c r="P409" s="16"/>
      <c r="Q409" s="16"/>
      <c r="R409" s="16"/>
    </row>
    <row r="410" spans="1:18" hidden="1" outlineLevel="1" x14ac:dyDescent="0.2">
      <c r="A410" s="22" t="s">
        <v>1227</v>
      </c>
      <c r="B410" s="2" t="str">
        <f t="shared" si="19"/>
        <v>GWh</v>
      </c>
      <c r="C410" s="2" t="s">
        <v>1221</v>
      </c>
      <c r="D410" s="716">
        <f t="shared" ref="D410:D473" si="20">IF(C410="","",IF(OR(C410="Wind",C410="Solar",C410="Geothermal",C410="Small Hydro",C410="Biofuels",C410="Biomass &amp; Waste"), 1, 0))</f>
        <v>0</v>
      </c>
      <c r="E410" s="4" t="s">
        <v>13</v>
      </c>
      <c r="F410" s="43">
        <v>2631.605</v>
      </c>
      <c r="G410" s="43">
        <v>3181.9332575006233</v>
      </c>
      <c r="H410" s="43">
        <v>2521.2058858024525</v>
      </c>
      <c r="I410" s="43">
        <v>3527.1652215496706</v>
      </c>
      <c r="J410" s="43">
        <v>2290.395309368465</v>
      </c>
      <c r="K410" s="43">
        <v>2257.8580947633127</v>
      </c>
      <c r="L410" s="43">
        <v>2242.3005870680277</v>
      </c>
      <c r="M410" s="887"/>
      <c r="N410" s="16"/>
      <c r="O410" s="16"/>
      <c r="P410" s="16"/>
      <c r="Q410" s="16"/>
      <c r="R410" s="16"/>
    </row>
    <row r="411" spans="1:18" hidden="1" outlineLevel="1" x14ac:dyDescent="0.2">
      <c r="A411" s="22" t="s">
        <v>1227</v>
      </c>
      <c r="B411" s="2" t="str">
        <f t="shared" si="19"/>
        <v>GWh</v>
      </c>
      <c r="C411" s="2" t="s">
        <v>1221</v>
      </c>
      <c r="D411" s="716">
        <f t="shared" si="20"/>
        <v>0</v>
      </c>
      <c r="E411" s="4" t="s">
        <v>14</v>
      </c>
      <c r="F411" s="43">
        <v>524.96058999999991</v>
      </c>
      <c r="G411" s="43">
        <v>559.21352000000002</v>
      </c>
      <c r="H411" s="43">
        <v>568.66514000000006</v>
      </c>
      <c r="I411" s="43">
        <v>541.53064000000006</v>
      </c>
      <c r="J411" s="43">
        <v>627.46473000000003</v>
      </c>
      <c r="K411" s="43">
        <v>653.96765000000005</v>
      </c>
      <c r="L411" s="43">
        <v>690.25085999999999</v>
      </c>
      <c r="M411" s="887"/>
      <c r="N411" s="16"/>
      <c r="O411" s="16"/>
      <c r="P411" s="16"/>
      <c r="Q411" s="16"/>
      <c r="R411" s="16"/>
    </row>
    <row r="412" spans="1:18" hidden="1" outlineLevel="1" x14ac:dyDescent="0.2">
      <c r="A412" s="22" t="s">
        <v>1227</v>
      </c>
      <c r="B412" s="2" t="str">
        <f t="shared" si="19"/>
        <v>GWh</v>
      </c>
      <c r="C412" s="2" t="s">
        <v>1221</v>
      </c>
      <c r="D412" s="716">
        <f t="shared" si="20"/>
        <v>0</v>
      </c>
      <c r="E412" s="4" t="s">
        <v>15</v>
      </c>
      <c r="F412" s="43">
        <v>0</v>
      </c>
      <c r="G412" s="43">
        <v>0</v>
      </c>
      <c r="H412" s="43">
        <v>0</v>
      </c>
      <c r="I412" s="43">
        <v>0</v>
      </c>
      <c r="J412" s="43">
        <v>0</v>
      </c>
      <c r="K412" s="43">
        <v>0</v>
      </c>
      <c r="L412" s="43">
        <v>0</v>
      </c>
      <c r="M412" s="887"/>
      <c r="N412" s="16"/>
      <c r="O412" s="16"/>
      <c r="P412" s="16"/>
      <c r="Q412" s="16"/>
      <c r="R412" s="16"/>
    </row>
    <row r="413" spans="1:18" hidden="1" outlineLevel="1" x14ac:dyDescent="0.2">
      <c r="A413" s="22" t="s">
        <v>1227</v>
      </c>
      <c r="B413" s="2" t="str">
        <f t="shared" si="19"/>
        <v>GWh</v>
      </c>
      <c r="C413" s="2" t="s">
        <v>1221</v>
      </c>
      <c r="D413" s="716">
        <f t="shared" si="20"/>
        <v>0</v>
      </c>
      <c r="E413" s="4" t="s">
        <v>16</v>
      </c>
      <c r="F413" s="43">
        <v>3760.6</v>
      </c>
      <c r="G413" s="43">
        <v>3929.3</v>
      </c>
      <c r="H413" s="43">
        <v>3951.5</v>
      </c>
      <c r="I413" s="43">
        <v>3443.3999999999996</v>
      </c>
      <c r="J413" s="43">
        <v>3441.1</v>
      </c>
      <c r="K413" s="43">
        <v>3825.7140516999989</v>
      </c>
      <c r="L413" s="43">
        <v>4036.5952564999998</v>
      </c>
      <c r="M413" s="887"/>
      <c r="N413" s="16"/>
      <c r="O413" s="16"/>
      <c r="P413" s="16"/>
      <c r="Q413" s="16"/>
      <c r="R413" s="16"/>
    </row>
    <row r="414" spans="1:18" hidden="1" outlineLevel="1" x14ac:dyDescent="0.2">
      <c r="A414" s="22" t="s">
        <v>1227</v>
      </c>
      <c r="B414" s="2" t="str">
        <f t="shared" si="19"/>
        <v>GWh</v>
      </c>
      <c r="C414" s="2" t="s">
        <v>1221</v>
      </c>
      <c r="D414" s="716">
        <f t="shared" si="20"/>
        <v>0</v>
      </c>
      <c r="E414" s="4" t="s">
        <v>17</v>
      </c>
      <c r="F414" s="43">
        <v>3821.3860496659995</v>
      </c>
      <c r="G414" s="43">
        <v>3863.7357465700002</v>
      </c>
      <c r="H414" s="43">
        <v>3915.8706179999999</v>
      </c>
      <c r="I414" s="43">
        <v>4015.3435743399996</v>
      </c>
      <c r="J414" s="43">
        <v>3932.4736398999994</v>
      </c>
      <c r="K414" s="43">
        <v>3893.5656172459999</v>
      </c>
      <c r="L414" s="43">
        <v>3877.7645810200002</v>
      </c>
      <c r="M414" s="887"/>
      <c r="N414" s="16"/>
      <c r="O414" s="16"/>
      <c r="P414" s="16"/>
      <c r="Q414" s="16"/>
      <c r="R414" s="16"/>
    </row>
    <row r="415" spans="1:18" hidden="1" outlineLevel="1" x14ac:dyDescent="0.2">
      <c r="A415" s="22" t="s">
        <v>1227</v>
      </c>
      <c r="B415" s="2" t="str">
        <f t="shared" si="19"/>
        <v>GWh</v>
      </c>
      <c r="C415" s="2" t="s">
        <v>1221</v>
      </c>
      <c r="D415" s="716">
        <f t="shared" si="20"/>
        <v>0</v>
      </c>
      <c r="E415" s="4" t="s">
        <v>18</v>
      </c>
      <c r="F415" s="43">
        <v>60561.300889279992</v>
      </c>
      <c r="G415" s="43">
        <v>58760.550329239988</v>
      </c>
      <c r="H415" s="43">
        <v>47453.745420119994</v>
      </c>
      <c r="I415" s="43">
        <v>54214.106784519994</v>
      </c>
      <c r="J415" s="43">
        <v>54930.280435519991</v>
      </c>
      <c r="K415" s="43">
        <v>62105.336747649992</v>
      </c>
      <c r="L415" s="43">
        <v>68082.320652679991</v>
      </c>
      <c r="M415" s="887"/>
      <c r="N415" s="16"/>
      <c r="O415" s="16"/>
      <c r="P415" s="16"/>
      <c r="Q415" s="16"/>
      <c r="R415" s="16"/>
    </row>
    <row r="416" spans="1:18" hidden="1" outlineLevel="1" x14ac:dyDescent="0.2">
      <c r="A416" s="22" t="s">
        <v>1227</v>
      </c>
      <c r="B416" s="2" t="str">
        <f t="shared" si="19"/>
        <v>GWh</v>
      </c>
      <c r="C416" s="2" t="s">
        <v>1221</v>
      </c>
      <c r="D416" s="716">
        <f t="shared" si="20"/>
        <v>0</v>
      </c>
      <c r="E416" s="4" t="s">
        <v>2</v>
      </c>
      <c r="F416" s="43">
        <v>2195.63</v>
      </c>
      <c r="G416" s="43">
        <v>2278.6799999999998</v>
      </c>
      <c r="H416" s="43">
        <v>2166.54</v>
      </c>
      <c r="I416" s="43">
        <v>2386.25</v>
      </c>
      <c r="J416" s="43">
        <v>2305.77</v>
      </c>
      <c r="K416" s="43">
        <v>2524.4699999999998</v>
      </c>
      <c r="L416" s="43">
        <v>2274.63</v>
      </c>
      <c r="M416" s="887"/>
      <c r="N416" s="16"/>
      <c r="O416" s="16"/>
      <c r="P416" s="16"/>
      <c r="Q416" s="16"/>
      <c r="R416" s="16"/>
    </row>
    <row r="417" spans="1:18" hidden="1" outlineLevel="1" x14ac:dyDescent="0.2">
      <c r="A417" s="22" t="s">
        <v>1227</v>
      </c>
      <c r="B417" s="2" t="str">
        <f t="shared" si="19"/>
        <v>GWh</v>
      </c>
      <c r="C417" s="2" t="s">
        <v>1221</v>
      </c>
      <c r="D417" s="716">
        <f t="shared" si="20"/>
        <v>0</v>
      </c>
      <c r="E417" s="4" t="s">
        <v>19</v>
      </c>
      <c r="F417" s="43">
        <v>2409.5</v>
      </c>
      <c r="G417" s="43">
        <v>2725.0999999999995</v>
      </c>
      <c r="H417" s="43">
        <v>2437.3000000000002</v>
      </c>
      <c r="I417" s="43">
        <v>2995.4000000000005</v>
      </c>
      <c r="J417" s="43">
        <v>3294.64</v>
      </c>
      <c r="K417" s="43">
        <v>3689.8</v>
      </c>
      <c r="L417" s="43">
        <v>3689.8</v>
      </c>
      <c r="M417" s="887"/>
      <c r="N417" s="16"/>
      <c r="O417" s="16"/>
      <c r="P417" s="16"/>
      <c r="Q417" s="16"/>
      <c r="R417" s="16"/>
    </row>
    <row r="418" spans="1:18" hidden="1" outlineLevel="1" x14ac:dyDescent="0.2">
      <c r="A418" s="22" t="s">
        <v>1227</v>
      </c>
      <c r="B418" s="2" t="str">
        <f t="shared" si="19"/>
        <v>GWh</v>
      </c>
      <c r="C418" s="2" t="s">
        <v>1221</v>
      </c>
      <c r="D418" s="716">
        <f t="shared" si="20"/>
        <v>0</v>
      </c>
      <c r="E418" s="4" t="s">
        <v>3</v>
      </c>
      <c r="F418" s="43">
        <v>0.76600000000000001</v>
      </c>
      <c r="G418" s="43">
        <v>0.63400000000000001</v>
      </c>
      <c r="H418" s="43">
        <v>0.64200000000000002</v>
      </c>
      <c r="I418" s="43">
        <v>0.73399999999999999</v>
      </c>
      <c r="J418" s="43">
        <v>0.86699999999999999</v>
      </c>
      <c r="K418" s="43">
        <v>0.90400000000000003</v>
      </c>
      <c r="L418" s="43">
        <v>3.0720000000000001</v>
      </c>
      <c r="M418" s="887"/>
      <c r="N418" s="16"/>
      <c r="O418" s="16"/>
      <c r="P418" s="16"/>
      <c r="Q418" s="16"/>
      <c r="R418" s="16"/>
    </row>
    <row r="419" spans="1:18" hidden="1" outlineLevel="1" x14ac:dyDescent="0.2">
      <c r="A419" s="22" t="s">
        <v>1227</v>
      </c>
      <c r="B419" s="2" t="str">
        <f t="shared" si="19"/>
        <v>GWh</v>
      </c>
      <c r="C419" s="2" t="s">
        <v>1221</v>
      </c>
      <c r="D419" s="716">
        <f t="shared" si="20"/>
        <v>0</v>
      </c>
      <c r="E419" s="4" t="s">
        <v>20</v>
      </c>
      <c r="F419" s="43">
        <v>1928.7559409999997</v>
      </c>
      <c r="G419" s="43">
        <v>1126.0774899999983</v>
      </c>
      <c r="H419" s="43">
        <v>1919.6190360000012</v>
      </c>
      <c r="I419" s="43">
        <v>2262.0197900000003</v>
      </c>
      <c r="J419" s="43">
        <v>2068.959780000001</v>
      </c>
      <c r="K419" s="43">
        <v>7261.4594992887642</v>
      </c>
      <c r="L419" s="43">
        <v>5429.3368918918923</v>
      </c>
      <c r="M419" s="887"/>
      <c r="N419" s="16"/>
      <c r="O419" s="16"/>
      <c r="P419" s="16"/>
      <c r="Q419" s="16"/>
      <c r="R419" s="16"/>
    </row>
    <row r="420" spans="1:18" hidden="1" outlineLevel="1" x14ac:dyDescent="0.2">
      <c r="A420" s="22" t="s">
        <v>1227</v>
      </c>
      <c r="B420" s="2" t="str">
        <f t="shared" si="19"/>
        <v>GWh</v>
      </c>
      <c r="C420" s="2" t="s">
        <v>1221</v>
      </c>
      <c r="D420" s="716">
        <f t="shared" si="20"/>
        <v>0</v>
      </c>
      <c r="E420" s="4" t="s">
        <v>21</v>
      </c>
      <c r="F420" s="43">
        <v>0</v>
      </c>
      <c r="G420" s="43">
        <v>0</v>
      </c>
      <c r="H420" s="43">
        <v>0</v>
      </c>
      <c r="I420" s="43">
        <v>0</v>
      </c>
      <c r="J420" s="43">
        <v>0</v>
      </c>
      <c r="K420" s="43">
        <v>0</v>
      </c>
      <c r="L420" s="43">
        <v>0</v>
      </c>
      <c r="M420" s="887"/>
      <c r="N420" s="16"/>
      <c r="O420" s="16"/>
      <c r="P420" s="16"/>
      <c r="Q420" s="16"/>
      <c r="R420" s="16"/>
    </row>
    <row r="421" spans="1:18" hidden="1" outlineLevel="1" x14ac:dyDescent="0.2">
      <c r="A421" s="22" t="s">
        <v>1227</v>
      </c>
      <c r="B421" s="2" t="str">
        <f t="shared" si="19"/>
        <v>GWh</v>
      </c>
      <c r="C421" s="2" t="s">
        <v>1221</v>
      </c>
      <c r="D421" s="716">
        <f t="shared" si="20"/>
        <v>0</v>
      </c>
      <c r="E421" s="4" t="s">
        <v>1096</v>
      </c>
      <c r="F421" s="43">
        <v>17.821000000000002</v>
      </c>
      <c r="G421" s="43">
        <v>34.625141999999997</v>
      </c>
      <c r="H421" s="43">
        <v>37.811999999999998</v>
      </c>
      <c r="I421" s="43">
        <v>92.668999999999997</v>
      </c>
      <c r="J421" s="43">
        <v>243.96</v>
      </c>
      <c r="K421" s="43">
        <v>102.91800000000001</v>
      </c>
      <c r="L421" s="43">
        <v>258.44099999999997</v>
      </c>
      <c r="M421" s="887"/>
      <c r="N421" s="16"/>
      <c r="O421" s="16"/>
      <c r="P421" s="16"/>
      <c r="Q421" s="16"/>
      <c r="R421" s="16"/>
    </row>
    <row r="422" spans="1:18" hidden="1" outlineLevel="1" x14ac:dyDescent="0.2">
      <c r="A422" s="22" t="s">
        <v>1227</v>
      </c>
      <c r="B422" s="2" t="str">
        <f t="shared" si="19"/>
        <v>GWh</v>
      </c>
      <c r="C422" s="2" t="s">
        <v>1221</v>
      </c>
      <c r="D422" s="716">
        <f t="shared" si="20"/>
        <v>0</v>
      </c>
      <c r="E422" s="4" t="s">
        <v>22</v>
      </c>
      <c r="F422" s="43">
        <v>1970.309</v>
      </c>
      <c r="G422" s="43">
        <v>1214.2949999999998</v>
      </c>
      <c r="H422" s="43">
        <v>3380.8874469999996</v>
      </c>
      <c r="I422" s="43">
        <v>2618.0540899000002</v>
      </c>
      <c r="J422" s="43">
        <v>1141.2786114</v>
      </c>
      <c r="K422" s="43">
        <v>2566.4556969999999</v>
      </c>
      <c r="L422" s="43">
        <v>3689.0337793999993</v>
      </c>
      <c r="M422" s="887"/>
      <c r="N422" s="16"/>
      <c r="O422" s="16"/>
      <c r="P422" s="16"/>
      <c r="Q422" s="16"/>
      <c r="R422" s="16"/>
    </row>
    <row r="423" spans="1:18" hidden="1" outlineLevel="1" x14ac:dyDescent="0.2">
      <c r="A423" s="22" t="s">
        <v>1227</v>
      </c>
      <c r="B423" s="2" t="str">
        <f t="shared" si="19"/>
        <v>GWh</v>
      </c>
      <c r="C423" s="2" t="s">
        <v>1221</v>
      </c>
      <c r="D423" s="719">
        <f t="shared" si="20"/>
        <v>0</v>
      </c>
      <c r="E423" s="86" t="s">
        <v>23</v>
      </c>
      <c r="F423" s="374">
        <v>16629</v>
      </c>
      <c r="G423" s="374">
        <v>14241</v>
      </c>
      <c r="H423" s="374">
        <v>16350</v>
      </c>
      <c r="I423" s="374">
        <v>19777</v>
      </c>
      <c r="J423" s="374">
        <v>22077</v>
      </c>
      <c r="K423" s="374">
        <v>21877</v>
      </c>
      <c r="L423" s="374">
        <v>25279</v>
      </c>
      <c r="M423" s="918"/>
      <c r="N423" s="16"/>
      <c r="O423" s="16"/>
      <c r="P423" s="16"/>
      <c r="Q423" s="16"/>
      <c r="R423" s="16"/>
    </row>
    <row r="424" spans="1:18" hidden="1" outlineLevel="1" x14ac:dyDescent="0.2">
      <c r="A424" s="532" t="s">
        <v>1227</v>
      </c>
      <c r="B424" s="533" t="str">
        <f t="shared" si="19"/>
        <v>GWh</v>
      </c>
      <c r="C424" s="533" t="s">
        <v>1222</v>
      </c>
      <c r="D424" s="715">
        <f t="shared" si="20"/>
        <v>0</v>
      </c>
      <c r="E424" s="468" t="s">
        <v>4</v>
      </c>
      <c r="F424" s="534">
        <v>0</v>
      </c>
      <c r="G424" s="534">
        <v>0</v>
      </c>
      <c r="H424" s="534">
        <v>0</v>
      </c>
      <c r="I424" s="534">
        <v>0</v>
      </c>
      <c r="J424" s="534">
        <v>0</v>
      </c>
      <c r="K424" s="534">
        <v>0</v>
      </c>
      <c r="L424" s="534">
        <v>0</v>
      </c>
      <c r="M424" s="888"/>
      <c r="N424" s="16"/>
      <c r="O424" s="16"/>
      <c r="P424" s="16"/>
      <c r="Q424" s="16"/>
      <c r="R424" s="16"/>
    </row>
    <row r="425" spans="1:18" hidden="1" outlineLevel="1" x14ac:dyDescent="0.2">
      <c r="A425" s="22" t="s">
        <v>1227</v>
      </c>
      <c r="B425" s="2" t="str">
        <f t="shared" si="19"/>
        <v>GWh</v>
      </c>
      <c r="C425" s="2" t="s">
        <v>1222</v>
      </c>
      <c r="D425" s="716">
        <f t="shared" si="20"/>
        <v>0</v>
      </c>
      <c r="E425" s="4" t="s">
        <v>5</v>
      </c>
      <c r="F425" s="43">
        <v>0</v>
      </c>
      <c r="G425" s="43">
        <v>0</v>
      </c>
      <c r="H425" s="43">
        <v>0</v>
      </c>
      <c r="I425" s="43">
        <v>0</v>
      </c>
      <c r="J425" s="43">
        <v>0</v>
      </c>
      <c r="K425" s="43">
        <v>0</v>
      </c>
      <c r="L425" s="43">
        <v>0</v>
      </c>
      <c r="M425" s="887"/>
      <c r="N425" s="16"/>
      <c r="O425" s="16"/>
      <c r="P425" s="16"/>
      <c r="Q425" s="16"/>
      <c r="R425" s="16"/>
    </row>
    <row r="426" spans="1:18" hidden="1" outlineLevel="1" x14ac:dyDescent="0.2">
      <c r="A426" s="22" t="s">
        <v>1227</v>
      </c>
      <c r="B426" s="2" t="str">
        <f t="shared" si="19"/>
        <v>GWh</v>
      </c>
      <c r="C426" s="2" t="s">
        <v>1222</v>
      </c>
      <c r="D426" s="716">
        <f t="shared" si="20"/>
        <v>0</v>
      </c>
      <c r="E426" s="4" t="s">
        <v>6</v>
      </c>
      <c r="F426" s="43">
        <v>0</v>
      </c>
      <c r="G426" s="43">
        <v>0</v>
      </c>
      <c r="H426" s="43">
        <v>0</v>
      </c>
      <c r="I426" s="43">
        <v>0</v>
      </c>
      <c r="J426" s="43">
        <v>0</v>
      </c>
      <c r="K426" s="43">
        <v>0</v>
      </c>
      <c r="L426" s="43">
        <v>0</v>
      </c>
      <c r="M426" s="887"/>
      <c r="N426" s="16"/>
      <c r="O426" s="16"/>
      <c r="P426" s="16"/>
      <c r="Q426" s="16"/>
      <c r="R426" s="16"/>
    </row>
    <row r="427" spans="1:18" hidden="1" outlineLevel="1" x14ac:dyDescent="0.2">
      <c r="A427" s="22" t="s">
        <v>1227</v>
      </c>
      <c r="B427" s="2" t="str">
        <f t="shared" si="19"/>
        <v>GWh</v>
      </c>
      <c r="C427" s="2" t="s">
        <v>1222</v>
      </c>
      <c r="D427" s="716">
        <f t="shared" si="20"/>
        <v>0</v>
      </c>
      <c r="E427" s="4" t="s">
        <v>143</v>
      </c>
      <c r="F427" s="43">
        <v>0</v>
      </c>
      <c r="G427" s="43">
        <v>0</v>
      </c>
      <c r="H427" s="43">
        <v>0</v>
      </c>
      <c r="I427" s="43">
        <v>0</v>
      </c>
      <c r="J427" s="43">
        <v>0</v>
      </c>
      <c r="K427" s="43">
        <v>0</v>
      </c>
      <c r="L427" s="43">
        <v>0</v>
      </c>
      <c r="M427" s="887"/>
      <c r="N427" s="16"/>
      <c r="O427" s="16"/>
      <c r="P427" s="16"/>
      <c r="Q427" s="16"/>
      <c r="R427" s="16"/>
    </row>
    <row r="428" spans="1:18" hidden="1" outlineLevel="1" x14ac:dyDescent="0.2">
      <c r="A428" s="22" t="s">
        <v>1227</v>
      </c>
      <c r="B428" s="2" t="str">
        <f t="shared" si="19"/>
        <v>GWh</v>
      </c>
      <c r="C428" s="2" t="s">
        <v>1222</v>
      </c>
      <c r="D428" s="716">
        <f t="shared" si="20"/>
        <v>0</v>
      </c>
      <c r="E428" s="4" t="s">
        <v>7</v>
      </c>
      <c r="F428" s="43">
        <v>0</v>
      </c>
      <c r="G428" s="43">
        <v>0</v>
      </c>
      <c r="H428" s="43">
        <v>0</v>
      </c>
      <c r="I428" s="43">
        <v>0</v>
      </c>
      <c r="J428" s="43">
        <v>0</v>
      </c>
      <c r="K428" s="43">
        <v>0</v>
      </c>
      <c r="L428" s="43">
        <v>0</v>
      </c>
      <c r="M428" s="887"/>
      <c r="N428" s="16"/>
      <c r="O428" s="16"/>
      <c r="P428" s="16"/>
      <c r="Q428" s="16"/>
      <c r="R428" s="16"/>
    </row>
    <row r="429" spans="1:18" hidden="1" outlineLevel="1" x14ac:dyDescent="0.2">
      <c r="A429" s="22" t="s">
        <v>1227</v>
      </c>
      <c r="B429" s="2" t="str">
        <f t="shared" si="19"/>
        <v>GWh</v>
      </c>
      <c r="C429" s="2" t="s">
        <v>1222</v>
      </c>
      <c r="D429" s="716">
        <f t="shared" si="20"/>
        <v>0</v>
      </c>
      <c r="E429" s="4" t="s">
        <v>31</v>
      </c>
      <c r="F429" s="43">
        <v>6730</v>
      </c>
      <c r="G429" s="43">
        <v>6011</v>
      </c>
      <c r="H429" s="43">
        <v>6497</v>
      </c>
      <c r="I429" s="43">
        <v>5416</v>
      </c>
      <c r="J429" s="43">
        <v>6991</v>
      </c>
      <c r="K429" s="43">
        <v>6486</v>
      </c>
      <c r="L429" s="43">
        <v>6486</v>
      </c>
      <c r="M429" s="887"/>
      <c r="N429" s="16"/>
      <c r="O429" s="16"/>
      <c r="P429" s="16"/>
      <c r="Q429" s="16"/>
      <c r="R429" s="16"/>
    </row>
    <row r="430" spans="1:18" hidden="1" outlineLevel="1" x14ac:dyDescent="0.2">
      <c r="A430" s="22" t="s">
        <v>1227</v>
      </c>
      <c r="B430" s="2" t="str">
        <f t="shared" si="19"/>
        <v>GWh</v>
      </c>
      <c r="C430" s="2" t="s">
        <v>1222</v>
      </c>
      <c r="D430" s="716">
        <f t="shared" si="20"/>
        <v>0</v>
      </c>
      <c r="E430" s="4" t="s">
        <v>8</v>
      </c>
      <c r="F430" s="43">
        <v>12095.650530000001</v>
      </c>
      <c r="G430" s="43">
        <v>14716.212920000002</v>
      </c>
      <c r="H430" s="43">
        <v>15285.559330000002</v>
      </c>
      <c r="I430" s="43">
        <v>15735.775449999999</v>
      </c>
      <c r="J430" s="43">
        <v>17571.281309999998</v>
      </c>
      <c r="K430" s="43">
        <v>21483.550569999999</v>
      </c>
      <c r="L430" s="43">
        <v>26857.565063000002</v>
      </c>
      <c r="M430" s="887"/>
      <c r="N430" s="16"/>
      <c r="O430" s="16"/>
      <c r="P430" s="16"/>
      <c r="Q430" s="16"/>
      <c r="R430" s="16"/>
    </row>
    <row r="431" spans="1:18" hidden="1" outlineLevel="1" x14ac:dyDescent="0.2">
      <c r="A431" s="22" t="s">
        <v>1227</v>
      </c>
      <c r="B431" s="2" t="str">
        <f t="shared" si="19"/>
        <v>GWh</v>
      </c>
      <c r="C431" s="2" t="s">
        <v>1222</v>
      </c>
      <c r="D431" s="716">
        <f t="shared" si="20"/>
        <v>0</v>
      </c>
      <c r="E431" s="4" t="s">
        <v>9</v>
      </c>
      <c r="F431" s="43">
        <v>0</v>
      </c>
      <c r="G431" s="43">
        <v>0</v>
      </c>
      <c r="H431" s="43">
        <v>0</v>
      </c>
      <c r="I431" s="43">
        <v>0</v>
      </c>
      <c r="J431" s="43">
        <v>0</v>
      </c>
      <c r="K431" s="43">
        <v>1632</v>
      </c>
      <c r="L431" s="43">
        <v>2570</v>
      </c>
      <c r="M431" s="887"/>
      <c r="N431" s="16"/>
      <c r="O431" s="16"/>
      <c r="P431" s="16"/>
      <c r="Q431" s="16"/>
      <c r="R431" s="16"/>
    </row>
    <row r="432" spans="1:18" hidden="1" outlineLevel="1" x14ac:dyDescent="0.2">
      <c r="A432" s="22" t="s">
        <v>1227</v>
      </c>
      <c r="B432" s="2" t="str">
        <f t="shared" si="19"/>
        <v>GWh</v>
      </c>
      <c r="C432" s="2" t="s">
        <v>1222</v>
      </c>
      <c r="D432" s="716">
        <f t="shared" si="20"/>
        <v>0</v>
      </c>
      <c r="E432" s="4" t="s">
        <v>10</v>
      </c>
      <c r="F432" s="43">
        <v>0</v>
      </c>
      <c r="G432" s="43">
        <v>0</v>
      </c>
      <c r="H432" s="43">
        <v>0</v>
      </c>
      <c r="I432" s="43">
        <v>0</v>
      </c>
      <c r="J432" s="43">
        <v>0</v>
      </c>
      <c r="K432" s="43">
        <v>0</v>
      </c>
      <c r="L432" s="43">
        <v>0</v>
      </c>
      <c r="M432" s="887"/>
      <c r="N432" s="16"/>
      <c r="O432" s="16"/>
      <c r="P432" s="16"/>
      <c r="Q432" s="16"/>
      <c r="R432" s="16"/>
    </row>
    <row r="433" spans="1:18" hidden="1" outlineLevel="1" x14ac:dyDescent="0.2">
      <c r="A433" s="22" t="s">
        <v>1227</v>
      </c>
      <c r="B433" s="2" t="str">
        <f t="shared" si="19"/>
        <v>GWh</v>
      </c>
      <c r="C433" s="2" t="s">
        <v>1222</v>
      </c>
      <c r="D433" s="716">
        <f t="shared" si="20"/>
        <v>0</v>
      </c>
      <c r="E433" s="4" t="s">
        <v>11</v>
      </c>
      <c r="F433" s="43">
        <v>1915.09</v>
      </c>
      <c r="G433" s="43">
        <v>1915.09</v>
      </c>
      <c r="H433" s="43">
        <v>1915.09</v>
      </c>
      <c r="I433" s="43">
        <v>1915.09</v>
      </c>
      <c r="J433" s="43">
        <v>1854.4807499999999</v>
      </c>
      <c r="K433" s="43">
        <v>1836.0863844781402</v>
      </c>
      <c r="L433" s="43">
        <v>1947.3753016455678</v>
      </c>
      <c r="M433" s="887"/>
      <c r="N433" s="16"/>
      <c r="O433" s="16"/>
      <c r="P433" s="16"/>
      <c r="Q433" s="16"/>
      <c r="R433" s="16"/>
    </row>
    <row r="434" spans="1:18" hidden="1" outlineLevel="1" x14ac:dyDescent="0.2">
      <c r="A434" s="22" t="s">
        <v>1227</v>
      </c>
      <c r="B434" s="2" t="str">
        <f t="shared" si="19"/>
        <v>GWh</v>
      </c>
      <c r="C434" s="2" t="s">
        <v>1222</v>
      </c>
      <c r="D434" s="716">
        <f t="shared" si="20"/>
        <v>0</v>
      </c>
      <c r="E434" s="4" t="s">
        <v>12</v>
      </c>
      <c r="F434" s="43">
        <v>0</v>
      </c>
      <c r="G434" s="43">
        <v>0</v>
      </c>
      <c r="H434" s="43">
        <v>0</v>
      </c>
      <c r="I434" s="43">
        <v>0</v>
      </c>
      <c r="J434" s="43">
        <v>0</v>
      </c>
      <c r="K434" s="43">
        <v>0</v>
      </c>
      <c r="L434" s="43">
        <v>0</v>
      </c>
      <c r="M434" s="887"/>
      <c r="N434" s="16"/>
      <c r="O434" s="16"/>
      <c r="P434" s="16"/>
      <c r="Q434" s="16"/>
      <c r="R434" s="16"/>
    </row>
    <row r="435" spans="1:18" hidden="1" outlineLevel="1" x14ac:dyDescent="0.2">
      <c r="A435" s="22" t="s">
        <v>1227</v>
      </c>
      <c r="B435" s="2" t="str">
        <f t="shared" si="19"/>
        <v>GWh</v>
      </c>
      <c r="C435" s="2" t="s">
        <v>1222</v>
      </c>
      <c r="D435" s="716">
        <f t="shared" si="20"/>
        <v>0</v>
      </c>
      <c r="E435" s="4" t="s">
        <v>1</v>
      </c>
      <c r="F435" s="43">
        <v>0</v>
      </c>
      <c r="G435" s="43">
        <v>0</v>
      </c>
      <c r="H435" s="43">
        <v>0</v>
      </c>
      <c r="I435" s="43">
        <v>0</v>
      </c>
      <c r="J435" s="43">
        <v>0</v>
      </c>
      <c r="K435" s="43">
        <v>0</v>
      </c>
      <c r="L435" s="43">
        <v>0</v>
      </c>
      <c r="M435" s="887"/>
      <c r="N435" s="16"/>
      <c r="O435" s="16"/>
      <c r="P435" s="16"/>
      <c r="Q435" s="16"/>
      <c r="R435" s="16"/>
    </row>
    <row r="436" spans="1:18" hidden="1" outlineLevel="1" x14ac:dyDescent="0.2">
      <c r="A436" s="22" t="s">
        <v>1227</v>
      </c>
      <c r="B436" s="2" t="str">
        <f t="shared" si="19"/>
        <v>GWh</v>
      </c>
      <c r="C436" s="2" t="s">
        <v>1222</v>
      </c>
      <c r="D436" s="716">
        <f t="shared" si="20"/>
        <v>0</v>
      </c>
      <c r="E436" s="4" t="s">
        <v>13</v>
      </c>
      <c r="F436" s="43">
        <v>1013.53</v>
      </c>
      <c r="G436" s="43">
        <v>1037.5176960000001</v>
      </c>
      <c r="H436" s="43">
        <v>1047.5580528</v>
      </c>
      <c r="I436" s="43">
        <v>636.02396068539997</v>
      </c>
      <c r="J436" s="43">
        <v>984.39590144751207</v>
      </c>
      <c r="K436" s="43">
        <v>1084.7905687662856</v>
      </c>
      <c r="L436" s="43">
        <v>1237.915154378135</v>
      </c>
      <c r="M436" s="887"/>
      <c r="N436" s="16"/>
      <c r="O436" s="16"/>
      <c r="P436" s="16"/>
      <c r="Q436" s="16"/>
      <c r="R436" s="16"/>
    </row>
    <row r="437" spans="1:18" hidden="1" outlineLevel="1" x14ac:dyDescent="0.2">
      <c r="A437" s="22" t="s">
        <v>1227</v>
      </c>
      <c r="B437" s="2" t="str">
        <f t="shared" si="19"/>
        <v>GWh</v>
      </c>
      <c r="C437" s="2" t="s">
        <v>1222</v>
      </c>
      <c r="D437" s="716">
        <f t="shared" si="20"/>
        <v>0</v>
      </c>
      <c r="E437" s="4" t="s">
        <v>14</v>
      </c>
      <c r="F437" s="43">
        <v>0</v>
      </c>
      <c r="G437" s="43">
        <v>0</v>
      </c>
      <c r="H437" s="43">
        <v>0</v>
      </c>
      <c r="I437" s="43">
        <v>0</v>
      </c>
      <c r="J437" s="43">
        <v>0</v>
      </c>
      <c r="K437" s="43">
        <v>0</v>
      </c>
      <c r="L437" s="43">
        <v>0</v>
      </c>
      <c r="M437" s="887"/>
      <c r="N437" s="16"/>
      <c r="O437" s="16"/>
      <c r="P437" s="16"/>
      <c r="Q437" s="16"/>
      <c r="R437" s="16"/>
    </row>
    <row r="438" spans="1:18" hidden="1" outlineLevel="1" x14ac:dyDescent="0.2">
      <c r="A438" s="22" t="s">
        <v>1227</v>
      </c>
      <c r="B438" s="2" t="str">
        <f t="shared" si="19"/>
        <v>GWh</v>
      </c>
      <c r="C438" s="2" t="s">
        <v>1222</v>
      </c>
      <c r="D438" s="716">
        <f t="shared" si="20"/>
        <v>0</v>
      </c>
      <c r="E438" s="4" t="s">
        <v>15</v>
      </c>
      <c r="F438" s="43">
        <v>0</v>
      </c>
      <c r="G438" s="43">
        <v>0</v>
      </c>
      <c r="H438" s="43">
        <v>0</v>
      </c>
      <c r="I438" s="43">
        <v>0</v>
      </c>
      <c r="J438" s="43">
        <v>0</v>
      </c>
      <c r="K438" s="43">
        <v>0</v>
      </c>
      <c r="L438" s="43">
        <v>0</v>
      </c>
      <c r="M438" s="887"/>
      <c r="N438" s="16"/>
      <c r="O438" s="16"/>
      <c r="P438" s="16"/>
      <c r="Q438" s="16"/>
      <c r="R438" s="16"/>
    </row>
    <row r="439" spans="1:18" hidden="1" outlineLevel="1" x14ac:dyDescent="0.2">
      <c r="A439" s="22" t="s">
        <v>1227</v>
      </c>
      <c r="B439" s="2" t="str">
        <f t="shared" si="19"/>
        <v>GWh</v>
      </c>
      <c r="C439" s="2" t="s">
        <v>1222</v>
      </c>
      <c r="D439" s="716">
        <f t="shared" si="20"/>
        <v>0</v>
      </c>
      <c r="E439" s="4" t="s">
        <v>16</v>
      </c>
      <c r="F439" s="43">
        <v>0</v>
      </c>
      <c r="G439" s="43">
        <v>0</v>
      </c>
      <c r="H439" s="43">
        <v>6.9</v>
      </c>
      <c r="I439" s="43">
        <v>45.2</v>
      </c>
      <c r="J439" s="43">
        <v>46.5</v>
      </c>
      <c r="K439" s="43">
        <v>97.838760759999985</v>
      </c>
      <c r="L439" s="43">
        <v>96.422494269999987</v>
      </c>
      <c r="M439" s="887"/>
      <c r="N439" s="16"/>
      <c r="O439" s="16"/>
      <c r="P439" s="16"/>
      <c r="Q439" s="16"/>
      <c r="R439" s="16"/>
    </row>
    <row r="440" spans="1:18" hidden="1" outlineLevel="1" x14ac:dyDescent="0.2">
      <c r="A440" s="22" t="s">
        <v>1227</v>
      </c>
      <c r="B440" s="2" t="str">
        <f t="shared" si="19"/>
        <v>GWh</v>
      </c>
      <c r="C440" s="2" t="s">
        <v>1222</v>
      </c>
      <c r="D440" s="716">
        <f t="shared" si="20"/>
        <v>0</v>
      </c>
      <c r="E440" s="4" t="s">
        <v>17</v>
      </c>
      <c r="F440" s="43">
        <v>0</v>
      </c>
      <c r="G440" s="43">
        <v>0</v>
      </c>
      <c r="H440" s="43">
        <v>0</v>
      </c>
      <c r="I440" s="43">
        <v>0</v>
      </c>
      <c r="J440" s="43">
        <v>0</v>
      </c>
      <c r="K440" s="43">
        <v>0</v>
      </c>
      <c r="L440" s="43">
        <v>0</v>
      </c>
      <c r="M440" s="887"/>
      <c r="N440" s="16"/>
      <c r="O440" s="16"/>
      <c r="P440" s="16"/>
      <c r="Q440" s="16"/>
      <c r="R440" s="16"/>
    </row>
    <row r="441" spans="1:18" hidden="1" outlineLevel="1" x14ac:dyDescent="0.2">
      <c r="A441" s="22" t="s">
        <v>1227</v>
      </c>
      <c r="B441" s="2" t="str">
        <f t="shared" si="19"/>
        <v>GWh</v>
      </c>
      <c r="C441" s="2" t="s">
        <v>1222</v>
      </c>
      <c r="D441" s="716">
        <f t="shared" si="20"/>
        <v>0</v>
      </c>
      <c r="E441" s="4" t="s">
        <v>18</v>
      </c>
      <c r="F441" s="43">
        <v>17931.203310999997</v>
      </c>
      <c r="G441" s="43">
        <v>18165.720423999999</v>
      </c>
      <c r="H441" s="43">
        <v>17854.140452</v>
      </c>
      <c r="I441" s="43">
        <v>16951.209638</v>
      </c>
      <c r="J441" s="43">
        <v>16550.075945000001</v>
      </c>
      <c r="K441" s="43">
        <v>18223.430521000002</v>
      </c>
      <c r="L441" s="43">
        <v>17789.103145000001</v>
      </c>
      <c r="M441" s="887"/>
      <c r="N441" s="16"/>
      <c r="O441" s="16"/>
      <c r="P441" s="16"/>
      <c r="Q441" s="16"/>
      <c r="R441" s="16"/>
    </row>
    <row r="442" spans="1:18" hidden="1" outlineLevel="1" x14ac:dyDescent="0.2">
      <c r="A442" s="22" t="s">
        <v>1227</v>
      </c>
      <c r="B442" s="2" t="str">
        <f t="shared" si="19"/>
        <v>GWh</v>
      </c>
      <c r="C442" s="2" t="s">
        <v>1222</v>
      </c>
      <c r="D442" s="716">
        <f t="shared" si="20"/>
        <v>0</v>
      </c>
      <c r="E442" s="4" t="s">
        <v>2</v>
      </c>
      <c r="F442" s="43">
        <v>0</v>
      </c>
      <c r="G442" s="43">
        <v>0</v>
      </c>
      <c r="H442" s="43">
        <v>0</v>
      </c>
      <c r="I442" s="43">
        <v>0</v>
      </c>
      <c r="J442" s="43">
        <v>0</v>
      </c>
      <c r="K442" s="43">
        <v>0</v>
      </c>
      <c r="L442" s="43">
        <v>0</v>
      </c>
      <c r="M442" s="887"/>
      <c r="N442" s="16"/>
      <c r="O442" s="16"/>
      <c r="P442" s="16"/>
      <c r="Q442" s="16"/>
      <c r="R442" s="16"/>
    </row>
    <row r="443" spans="1:18" hidden="1" outlineLevel="1" x14ac:dyDescent="0.2">
      <c r="A443" s="22" t="s">
        <v>1227</v>
      </c>
      <c r="B443" s="2" t="str">
        <f t="shared" si="19"/>
        <v>GWh</v>
      </c>
      <c r="C443" s="2" t="s">
        <v>1222</v>
      </c>
      <c r="D443" s="716">
        <f t="shared" si="20"/>
        <v>0</v>
      </c>
      <c r="E443" s="4" t="s">
        <v>19</v>
      </c>
      <c r="F443" s="43">
        <v>0</v>
      </c>
      <c r="G443" s="43">
        <v>0</v>
      </c>
      <c r="H443" s="43">
        <v>0</v>
      </c>
      <c r="I443" s="43">
        <v>0</v>
      </c>
      <c r="J443" s="43">
        <v>0</v>
      </c>
      <c r="K443" s="43">
        <v>0</v>
      </c>
      <c r="L443" s="43">
        <v>0</v>
      </c>
      <c r="M443" s="887"/>
      <c r="N443" s="16"/>
      <c r="O443" s="16"/>
      <c r="P443" s="16"/>
      <c r="Q443" s="16"/>
      <c r="R443" s="16"/>
    </row>
    <row r="444" spans="1:18" hidden="1" outlineLevel="1" x14ac:dyDescent="0.2">
      <c r="A444" s="22" t="s">
        <v>1227</v>
      </c>
      <c r="B444" s="2" t="str">
        <f t="shared" si="19"/>
        <v>GWh</v>
      </c>
      <c r="C444" s="2" t="s">
        <v>1222</v>
      </c>
      <c r="D444" s="716">
        <f t="shared" si="20"/>
        <v>0</v>
      </c>
      <c r="E444" s="4" t="s">
        <v>3</v>
      </c>
      <c r="F444" s="43">
        <v>0</v>
      </c>
      <c r="G444" s="43">
        <v>0</v>
      </c>
      <c r="H444" s="43">
        <v>0</v>
      </c>
      <c r="I444" s="43">
        <v>0</v>
      </c>
      <c r="J444" s="43">
        <v>0</v>
      </c>
      <c r="K444" s="43">
        <v>0</v>
      </c>
      <c r="L444" s="43">
        <v>0</v>
      </c>
      <c r="M444" s="887"/>
      <c r="N444" s="16"/>
      <c r="O444" s="16"/>
      <c r="P444" s="16"/>
      <c r="Q444" s="16"/>
      <c r="R444" s="16"/>
    </row>
    <row r="445" spans="1:18" hidden="1" outlineLevel="1" x14ac:dyDescent="0.2">
      <c r="A445" s="22" t="s">
        <v>1227</v>
      </c>
      <c r="B445" s="2" t="str">
        <f t="shared" si="19"/>
        <v>GWh</v>
      </c>
      <c r="C445" s="2" t="s">
        <v>1222</v>
      </c>
      <c r="D445" s="716">
        <f t="shared" si="20"/>
        <v>0</v>
      </c>
      <c r="E445" s="4" t="s">
        <v>20</v>
      </c>
      <c r="F445" s="43">
        <v>880.97733900000003</v>
      </c>
      <c r="G445" s="43">
        <v>840.136077</v>
      </c>
      <c r="H445" s="43">
        <v>909.28338199999996</v>
      </c>
      <c r="I445" s="43">
        <v>929.14913100000001</v>
      </c>
      <c r="J445" s="43">
        <v>1111.0421980000001</v>
      </c>
      <c r="K445" s="43">
        <v>156.41553855208949</v>
      </c>
      <c r="L445" s="43">
        <v>108.42008573178202</v>
      </c>
      <c r="M445" s="887"/>
      <c r="N445" s="16"/>
      <c r="O445" s="16"/>
      <c r="P445" s="16"/>
      <c r="Q445" s="16"/>
      <c r="R445" s="16"/>
    </row>
    <row r="446" spans="1:18" hidden="1" outlineLevel="1" x14ac:dyDescent="0.2">
      <c r="A446" s="22" t="s">
        <v>1227</v>
      </c>
      <c r="B446" s="2" t="str">
        <f t="shared" si="19"/>
        <v>GWh</v>
      </c>
      <c r="C446" s="2" t="s">
        <v>1222</v>
      </c>
      <c r="D446" s="716">
        <f t="shared" si="20"/>
        <v>0</v>
      </c>
      <c r="E446" s="4" t="s">
        <v>21</v>
      </c>
      <c r="F446" s="43">
        <v>0</v>
      </c>
      <c r="G446" s="43">
        <v>0</v>
      </c>
      <c r="H446" s="43">
        <v>0</v>
      </c>
      <c r="I446" s="43">
        <v>0</v>
      </c>
      <c r="J446" s="43">
        <v>0</v>
      </c>
      <c r="K446" s="43">
        <v>0</v>
      </c>
      <c r="L446" s="43">
        <v>0</v>
      </c>
      <c r="M446" s="887"/>
      <c r="N446" s="16"/>
      <c r="O446" s="16"/>
      <c r="P446" s="16"/>
      <c r="Q446" s="16"/>
      <c r="R446" s="16"/>
    </row>
    <row r="447" spans="1:18" hidden="1" outlineLevel="1" x14ac:dyDescent="0.2">
      <c r="A447" s="22" t="s">
        <v>1227</v>
      </c>
      <c r="B447" s="2" t="str">
        <f t="shared" si="19"/>
        <v>GWh</v>
      </c>
      <c r="C447" s="2" t="s">
        <v>1222</v>
      </c>
      <c r="D447" s="716">
        <f t="shared" si="20"/>
        <v>0</v>
      </c>
      <c r="E447" s="4" t="s">
        <v>1096</v>
      </c>
      <c r="F447" s="43">
        <v>0</v>
      </c>
      <c r="G447" s="43">
        <v>0</v>
      </c>
      <c r="H447" s="43">
        <v>0</v>
      </c>
      <c r="I447" s="43">
        <v>0</v>
      </c>
      <c r="J447" s="43">
        <v>0</v>
      </c>
      <c r="K447" s="43">
        <v>0</v>
      </c>
      <c r="L447" s="43">
        <v>0</v>
      </c>
      <c r="M447" s="887"/>
      <c r="N447" s="16"/>
      <c r="O447" s="16"/>
      <c r="P447" s="16"/>
      <c r="Q447" s="16"/>
      <c r="R447" s="16"/>
    </row>
    <row r="448" spans="1:18" hidden="1" outlineLevel="1" x14ac:dyDescent="0.2">
      <c r="A448" s="22" t="s">
        <v>1227</v>
      </c>
      <c r="B448" s="2" t="str">
        <f t="shared" si="19"/>
        <v>GWh</v>
      </c>
      <c r="C448" s="2" t="s">
        <v>1222</v>
      </c>
      <c r="D448" s="716">
        <f t="shared" si="20"/>
        <v>0</v>
      </c>
      <c r="E448" s="4" t="s">
        <v>22</v>
      </c>
      <c r="F448" s="43">
        <v>0</v>
      </c>
      <c r="G448" s="43">
        <v>0</v>
      </c>
      <c r="H448" s="43">
        <v>0</v>
      </c>
      <c r="I448" s="43">
        <v>0</v>
      </c>
      <c r="J448" s="43">
        <v>0</v>
      </c>
      <c r="K448" s="43">
        <v>0</v>
      </c>
      <c r="L448" s="43">
        <v>0</v>
      </c>
      <c r="M448" s="887"/>
      <c r="N448" s="16"/>
      <c r="O448" s="16"/>
      <c r="P448" s="16"/>
      <c r="Q448" s="16"/>
      <c r="R448" s="16"/>
    </row>
    <row r="449" spans="1:18" hidden="1" outlineLevel="1" x14ac:dyDescent="0.2">
      <c r="A449" s="22" t="s">
        <v>1227</v>
      </c>
      <c r="B449" s="2" t="str">
        <f t="shared" si="19"/>
        <v>GWh</v>
      </c>
      <c r="C449" s="2" t="s">
        <v>1222</v>
      </c>
      <c r="D449" s="717">
        <f t="shared" si="20"/>
        <v>0</v>
      </c>
      <c r="E449" s="86" t="s">
        <v>23</v>
      </c>
      <c r="F449" s="374">
        <v>0</v>
      </c>
      <c r="G449" s="374">
        <v>0</v>
      </c>
      <c r="H449" s="374">
        <v>0</v>
      </c>
      <c r="I449" s="374">
        <v>0</v>
      </c>
      <c r="J449" s="374">
        <v>0</v>
      </c>
      <c r="K449" s="374">
        <v>0</v>
      </c>
      <c r="L449" s="374">
        <v>0</v>
      </c>
      <c r="M449" s="918"/>
      <c r="N449" s="16"/>
      <c r="O449" s="16"/>
      <c r="P449" s="16"/>
      <c r="Q449" s="16"/>
      <c r="R449" s="16"/>
    </row>
    <row r="450" spans="1:18" hidden="1" outlineLevel="1" x14ac:dyDescent="0.2">
      <c r="A450" s="532" t="s">
        <v>1227</v>
      </c>
      <c r="B450" s="533" t="str">
        <f t="shared" si="19"/>
        <v>GWh</v>
      </c>
      <c r="C450" s="533" t="s">
        <v>125</v>
      </c>
      <c r="D450" s="718">
        <f t="shared" si="20"/>
        <v>1</v>
      </c>
      <c r="E450" s="468" t="s">
        <v>4</v>
      </c>
      <c r="F450" s="534">
        <v>2054.0680000000002</v>
      </c>
      <c r="G450" s="534">
        <v>2025.231</v>
      </c>
      <c r="H450" s="534">
        <v>1929.1913399999996</v>
      </c>
      <c r="I450" s="534">
        <v>1701.4802999999997</v>
      </c>
      <c r="J450" s="534">
        <v>1555.8181430000004</v>
      </c>
      <c r="K450" s="534">
        <v>1357.6077399999999</v>
      </c>
      <c r="L450" s="534">
        <v>1357.6077399999999</v>
      </c>
      <c r="M450" s="888"/>
      <c r="N450" s="16"/>
      <c r="O450" s="16"/>
      <c r="P450" s="16"/>
      <c r="Q450" s="16"/>
      <c r="R450" s="16"/>
    </row>
    <row r="451" spans="1:18" hidden="1" outlineLevel="1" x14ac:dyDescent="0.2">
      <c r="A451" s="22" t="s">
        <v>1227</v>
      </c>
      <c r="B451" s="2" t="str">
        <f t="shared" si="19"/>
        <v>GWh</v>
      </c>
      <c r="C451" s="2" t="s">
        <v>125</v>
      </c>
      <c r="D451" s="716">
        <f t="shared" si="20"/>
        <v>1</v>
      </c>
      <c r="E451" s="4" t="s">
        <v>5</v>
      </c>
      <c r="F451" s="43">
        <v>0</v>
      </c>
      <c r="G451" s="43">
        <v>0</v>
      </c>
      <c r="H451" s="43">
        <v>0</v>
      </c>
      <c r="I451" s="43">
        <v>0</v>
      </c>
      <c r="J451" s="43">
        <v>0</v>
      </c>
      <c r="K451" s="43">
        <v>0</v>
      </c>
      <c r="L451" s="43">
        <v>0</v>
      </c>
      <c r="M451" s="887"/>
      <c r="N451" s="16"/>
      <c r="O451" s="16"/>
      <c r="P451" s="16"/>
      <c r="Q451" s="16"/>
      <c r="R451" s="16"/>
    </row>
    <row r="452" spans="1:18" hidden="1" outlineLevel="1" x14ac:dyDescent="0.2">
      <c r="A452" s="22" t="s">
        <v>1227</v>
      </c>
      <c r="B452" s="2" t="str">
        <f t="shared" si="19"/>
        <v>GWh</v>
      </c>
      <c r="C452" s="2" t="s">
        <v>125</v>
      </c>
      <c r="D452" s="716">
        <f t="shared" si="20"/>
        <v>1</v>
      </c>
      <c r="E452" s="4" t="s">
        <v>6</v>
      </c>
      <c r="F452" s="43">
        <v>0</v>
      </c>
      <c r="G452" s="43">
        <v>0</v>
      </c>
      <c r="H452" s="43">
        <v>0</v>
      </c>
      <c r="I452" s="43">
        <v>0</v>
      </c>
      <c r="J452" s="43">
        <v>0</v>
      </c>
      <c r="K452" s="43">
        <v>0</v>
      </c>
      <c r="L452" s="43">
        <v>0</v>
      </c>
      <c r="M452" s="887"/>
      <c r="N452" s="16"/>
      <c r="O452" s="16"/>
      <c r="P452" s="16"/>
      <c r="Q452" s="16"/>
      <c r="R452" s="16"/>
    </row>
    <row r="453" spans="1:18" hidden="1" outlineLevel="1" x14ac:dyDescent="0.2">
      <c r="A453" s="22" t="s">
        <v>1227</v>
      </c>
      <c r="B453" s="2" t="str">
        <f t="shared" si="19"/>
        <v>GWh</v>
      </c>
      <c r="C453" s="2" t="s">
        <v>125</v>
      </c>
      <c r="D453" s="716">
        <f t="shared" si="20"/>
        <v>1</v>
      </c>
      <c r="E453" s="4" t="s">
        <v>143</v>
      </c>
      <c r="F453" s="43">
        <v>177.73267000000001</v>
      </c>
      <c r="G453" s="43">
        <v>177.40299999999999</v>
      </c>
      <c r="H453" s="43">
        <v>204.48727695566078</v>
      </c>
      <c r="I453" s="43">
        <v>187.70943199999999</v>
      </c>
      <c r="J453" s="43">
        <v>263.14998000000003</v>
      </c>
      <c r="K453" s="43">
        <v>244.59941299999997</v>
      </c>
      <c r="L453" s="43">
        <v>208.59143799999998</v>
      </c>
      <c r="M453" s="887"/>
      <c r="N453" s="16"/>
      <c r="O453" s="16"/>
      <c r="P453" s="16"/>
      <c r="Q453" s="16"/>
      <c r="R453" s="16"/>
    </row>
    <row r="454" spans="1:18" hidden="1" outlineLevel="1" x14ac:dyDescent="0.2">
      <c r="A454" s="22" t="s">
        <v>1227</v>
      </c>
      <c r="B454" s="2" t="str">
        <f t="shared" si="19"/>
        <v>GWh</v>
      </c>
      <c r="C454" s="2" t="s">
        <v>125</v>
      </c>
      <c r="D454" s="716">
        <f t="shared" si="20"/>
        <v>1</v>
      </c>
      <c r="E454" s="4" t="s">
        <v>7</v>
      </c>
      <c r="F454" s="43">
        <v>1218.9689999999998</v>
      </c>
      <c r="G454" s="43">
        <v>1319.5650000000003</v>
      </c>
      <c r="H454" s="43">
        <v>1249.9110000000001</v>
      </c>
      <c r="I454" s="43">
        <v>1279.9655</v>
      </c>
      <c r="J454" s="43">
        <v>1283.2679999999998</v>
      </c>
      <c r="K454" s="43">
        <v>1345.3</v>
      </c>
      <c r="L454" s="43">
        <v>1345.3</v>
      </c>
      <c r="M454" s="887"/>
      <c r="N454" s="16"/>
      <c r="O454" s="16"/>
      <c r="P454" s="16"/>
      <c r="Q454" s="16"/>
      <c r="R454" s="16"/>
    </row>
    <row r="455" spans="1:18" hidden="1" outlineLevel="1" x14ac:dyDescent="0.2">
      <c r="A455" s="22" t="s">
        <v>1227</v>
      </c>
      <c r="B455" s="2" t="str">
        <f t="shared" si="19"/>
        <v>GWh</v>
      </c>
      <c r="C455" s="2" t="s">
        <v>125</v>
      </c>
      <c r="D455" s="716">
        <f t="shared" si="20"/>
        <v>1</v>
      </c>
      <c r="E455" s="4" t="s">
        <v>31</v>
      </c>
      <c r="F455" s="43">
        <v>7327.74</v>
      </c>
      <c r="G455" s="43">
        <v>8462.16</v>
      </c>
      <c r="H455" s="43">
        <v>11580.72</v>
      </c>
      <c r="I455" s="43">
        <v>13691.88</v>
      </c>
      <c r="J455" s="43">
        <v>15824.94</v>
      </c>
      <c r="K455" s="43">
        <v>17471.82</v>
      </c>
      <c r="L455" s="43">
        <v>17471.82</v>
      </c>
      <c r="M455" s="887"/>
      <c r="N455" s="16"/>
      <c r="O455" s="16"/>
      <c r="P455" s="16"/>
      <c r="Q455" s="16"/>
      <c r="R455" s="16"/>
    </row>
    <row r="456" spans="1:18" hidden="1" outlineLevel="1" x14ac:dyDescent="0.2">
      <c r="A456" s="22" t="s">
        <v>1227</v>
      </c>
      <c r="B456" s="2" t="str">
        <f t="shared" ref="B456:B519" si="21">IF(A456="Capacity", "MW", "GWh")</f>
        <v>GWh</v>
      </c>
      <c r="C456" s="2" t="s">
        <v>125</v>
      </c>
      <c r="D456" s="716">
        <f t="shared" si="20"/>
        <v>1</v>
      </c>
      <c r="E456" s="4" t="s">
        <v>8</v>
      </c>
      <c r="F456" s="43">
        <v>2785.0914299999995</v>
      </c>
      <c r="G456" s="43">
        <v>2540.6759099999999</v>
      </c>
      <c r="H456" s="43">
        <v>3108.7223428734396</v>
      </c>
      <c r="I456" s="43">
        <v>3238.3645420499997</v>
      </c>
      <c r="J456" s="43">
        <v>3030.2514224999986</v>
      </c>
      <c r="K456" s="43">
        <v>3076.3993315099988</v>
      </c>
      <c r="L456" s="43">
        <v>3419.8789899499998</v>
      </c>
      <c r="M456" s="887"/>
      <c r="N456" s="16"/>
      <c r="O456" s="16"/>
      <c r="P456" s="16"/>
      <c r="Q456" s="16"/>
      <c r="R456" s="16"/>
    </row>
    <row r="457" spans="1:18" hidden="1" outlineLevel="1" x14ac:dyDescent="0.2">
      <c r="A457" s="22" t="s">
        <v>1227</v>
      </c>
      <c r="B457" s="2" t="str">
        <f t="shared" si="21"/>
        <v>GWh</v>
      </c>
      <c r="C457" s="2" t="s">
        <v>125</v>
      </c>
      <c r="D457" s="716">
        <f t="shared" si="20"/>
        <v>1</v>
      </c>
      <c r="E457" s="4" t="s">
        <v>9</v>
      </c>
      <c r="F457" s="43">
        <v>1920.63</v>
      </c>
      <c r="G457" s="43">
        <v>2028.3779999999999</v>
      </c>
      <c r="H457" s="43">
        <v>2051.154</v>
      </c>
      <c r="I457" s="43">
        <v>2067.36</v>
      </c>
      <c r="J457" s="43">
        <v>2272.3440000000001</v>
      </c>
      <c r="K457" s="43">
        <v>2848</v>
      </c>
      <c r="L457" s="43">
        <v>2658</v>
      </c>
      <c r="M457" s="887"/>
      <c r="N457" s="16"/>
      <c r="O457" s="16"/>
      <c r="P457" s="16"/>
      <c r="Q457" s="16"/>
      <c r="R457" s="16"/>
    </row>
    <row r="458" spans="1:18" hidden="1" outlineLevel="1" x14ac:dyDescent="0.2">
      <c r="A458" s="22" t="s">
        <v>1227</v>
      </c>
      <c r="B458" s="2" t="str">
        <f t="shared" si="21"/>
        <v>GWh</v>
      </c>
      <c r="C458" s="2" t="s">
        <v>125</v>
      </c>
      <c r="D458" s="716">
        <f t="shared" si="20"/>
        <v>1</v>
      </c>
      <c r="E458" s="4" t="s">
        <v>10</v>
      </c>
      <c r="F458" s="43">
        <v>2042.0133374766715</v>
      </c>
      <c r="G458" s="43">
        <v>2333.0077811743322</v>
      </c>
      <c r="H458" s="43">
        <v>2572.7695599305598</v>
      </c>
      <c r="I458" s="43">
        <v>2477.8866032252427</v>
      </c>
      <c r="J458" s="43">
        <v>2591.4205301819752</v>
      </c>
      <c r="K458" s="43">
        <v>2417.1692573807104</v>
      </c>
      <c r="L458" s="43">
        <v>2453.0794290619733</v>
      </c>
      <c r="M458" s="887"/>
      <c r="N458" s="16"/>
      <c r="O458" s="16"/>
      <c r="P458" s="16"/>
      <c r="Q458" s="16"/>
      <c r="R458" s="16"/>
    </row>
    <row r="459" spans="1:18" hidden="1" outlineLevel="1" x14ac:dyDescent="0.2">
      <c r="A459" s="22" t="s">
        <v>1227</v>
      </c>
      <c r="B459" s="2" t="str">
        <f t="shared" si="21"/>
        <v>GWh</v>
      </c>
      <c r="C459" s="2" t="s">
        <v>125</v>
      </c>
      <c r="D459" s="716">
        <f t="shared" si="20"/>
        <v>1</v>
      </c>
      <c r="E459" s="4" t="s">
        <v>11</v>
      </c>
      <c r="F459" s="43">
        <v>673.85733592416</v>
      </c>
      <c r="G459" s="43">
        <v>673.85733592416</v>
      </c>
      <c r="H459" s="43">
        <v>744.38099999999997</v>
      </c>
      <c r="I459" s="43">
        <v>788.88800000000003</v>
      </c>
      <c r="J459" s="43">
        <v>911.62865999999997</v>
      </c>
      <c r="K459" s="43">
        <v>818.08453401639997</v>
      </c>
      <c r="L459" s="43">
        <v>840.7548727267</v>
      </c>
      <c r="M459" s="887"/>
      <c r="N459" s="16"/>
      <c r="O459" s="16"/>
      <c r="P459" s="16"/>
      <c r="Q459" s="16"/>
      <c r="R459" s="16"/>
    </row>
    <row r="460" spans="1:18" hidden="1" outlineLevel="1" x14ac:dyDescent="0.2">
      <c r="A460" s="22" t="s">
        <v>1227</v>
      </c>
      <c r="B460" s="2" t="str">
        <f t="shared" si="21"/>
        <v>GWh</v>
      </c>
      <c r="C460" s="2" t="s">
        <v>125</v>
      </c>
      <c r="D460" s="716">
        <f t="shared" si="20"/>
        <v>1</v>
      </c>
      <c r="E460" s="4" t="s">
        <v>12</v>
      </c>
      <c r="F460" s="43">
        <v>1161.1039999999998</v>
      </c>
      <c r="G460" s="43">
        <v>1469.9409300000002</v>
      </c>
      <c r="H460" s="43">
        <v>1696.8470400000001</v>
      </c>
      <c r="I460" s="43">
        <v>1721.8378499999999</v>
      </c>
      <c r="J460" s="43">
        <v>1401.92976</v>
      </c>
      <c r="K460" s="43">
        <v>1850.0191699999998</v>
      </c>
      <c r="L460" s="43">
        <v>1743.2209600000003</v>
      </c>
      <c r="M460" s="887"/>
      <c r="N460" s="16"/>
      <c r="O460" s="16"/>
      <c r="P460" s="16"/>
      <c r="Q460" s="16"/>
      <c r="R460" s="16"/>
    </row>
    <row r="461" spans="1:18" hidden="1" outlineLevel="1" x14ac:dyDescent="0.2">
      <c r="A461" s="22" t="s">
        <v>1227</v>
      </c>
      <c r="B461" s="2" t="str">
        <f t="shared" si="21"/>
        <v>GWh</v>
      </c>
      <c r="C461" s="2" t="s">
        <v>125</v>
      </c>
      <c r="D461" s="716">
        <f t="shared" si="20"/>
        <v>1</v>
      </c>
      <c r="E461" s="4" t="s">
        <v>1</v>
      </c>
      <c r="F461" s="43">
        <v>140.64580000000001</v>
      </c>
      <c r="G461" s="43">
        <v>135.19</v>
      </c>
      <c r="H461" s="43">
        <v>161.041</v>
      </c>
      <c r="I461" s="43">
        <v>118.0009</v>
      </c>
      <c r="J461" s="43">
        <v>146.1507</v>
      </c>
      <c r="K461" s="43">
        <v>176.1507</v>
      </c>
      <c r="L461" s="43">
        <v>176.1507</v>
      </c>
      <c r="M461" s="887"/>
      <c r="N461" s="16"/>
      <c r="O461" s="16"/>
      <c r="P461" s="16"/>
      <c r="Q461" s="16"/>
      <c r="R461" s="16"/>
    </row>
    <row r="462" spans="1:18" hidden="1" outlineLevel="1" x14ac:dyDescent="0.2">
      <c r="A462" s="22" t="s">
        <v>1227</v>
      </c>
      <c r="B462" s="2" t="str">
        <f t="shared" si="21"/>
        <v>GWh</v>
      </c>
      <c r="C462" s="2" t="s">
        <v>125</v>
      </c>
      <c r="D462" s="716">
        <f t="shared" si="20"/>
        <v>1</v>
      </c>
      <c r="E462" s="4" t="s">
        <v>13</v>
      </c>
      <c r="F462" s="43">
        <v>843.81960000000026</v>
      </c>
      <c r="G462" s="43">
        <v>781.33867271022302</v>
      </c>
      <c r="H462" s="43">
        <v>997.54047073907714</v>
      </c>
      <c r="I462" s="43">
        <v>828.29271614588185</v>
      </c>
      <c r="J462" s="43">
        <v>913.18766191595273</v>
      </c>
      <c r="K462" s="43">
        <v>997.74287548258519</v>
      </c>
      <c r="L462" s="43">
        <v>1166.6190941188777</v>
      </c>
      <c r="M462" s="887"/>
      <c r="N462" s="16"/>
      <c r="O462" s="16"/>
      <c r="P462" s="16"/>
      <c r="Q462" s="16"/>
      <c r="R462" s="16"/>
    </row>
    <row r="463" spans="1:18" hidden="1" outlineLevel="1" x14ac:dyDescent="0.2">
      <c r="A463" s="22" t="s">
        <v>1227</v>
      </c>
      <c r="B463" s="2" t="str">
        <f t="shared" si="21"/>
        <v>GWh</v>
      </c>
      <c r="C463" s="2" t="s">
        <v>125</v>
      </c>
      <c r="D463" s="716">
        <f t="shared" si="20"/>
        <v>1</v>
      </c>
      <c r="E463" s="4" t="s">
        <v>14</v>
      </c>
      <c r="F463" s="43">
        <v>0</v>
      </c>
      <c r="G463" s="43">
        <v>0</v>
      </c>
      <c r="H463" s="43">
        <v>0</v>
      </c>
      <c r="I463" s="43">
        <v>0</v>
      </c>
      <c r="J463" s="43">
        <v>0</v>
      </c>
      <c r="K463" s="43">
        <v>0</v>
      </c>
      <c r="L463" s="43">
        <v>0</v>
      </c>
      <c r="M463" s="887"/>
      <c r="N463" s="16"/>
      <c r="O463" s="16"/>
      <c r="P463" s="16"/>
      <c r="Q463" s="16"/>
      <c r="R463" s="16"/>
    </row>
    <row r="464" spans="1:18" hidden="1" outlineLevel="1" x14ac:dyDescent="0.2">
      <c r="A464" s="22" t="s">
        <v>1227</v>
      </c>
      <c r="B464" s="2" t="str">
        <f t="shared" si="21"/>
        <v>GWh</v>
      </c>
      <c r="C464" s="2" t="s">
        <v>125</v>
      </c>
      <c r="D464" s="716">
        <f t="shared" si="20"/>
        <v>1</v>
      </c>
      <c r="E464" s="4" t="s">
        <v>15</v>
      </c>
      <c r="F464" s="43">
        <v>0</v>
      </c>
      <c r="G464" s="43">
        <v>0</v>
      </c>
      <c r="H464" s="43">
        <v>0</v>
      </c>
      <c r="I464" s="43">
        <v>0</v>
      </c>
      <c r="J464" s="43">
        <v>0</v>
      </c>
      <c r="K464" s="43">
        <v>0</v>
      </c>
      <c r="L464" s="43">
        <v>0</v>
      </c>
      <c r="M464" s="887"/>
      <c r="N464" s="16"/>
      <c r="O464" s="16"/>
      <c r="P464" s="16"/>
      <c r="Q464" s="16"/>
      <c r="R464" s="16"/>
    </row>
    <row r="465" spans="1:18" hidden="1" outlineLevel="1" x14ac:dyDescent="0.2">
      <c r="A465" s="22" t="s">
        <v>1227</v>
      </c>
      <c r="B465" s="2" t="str">
        <f t="shared" si="21"/>
        <v>GWh</v>
      </c>
      <c r="C465" s="2" t="s">
        <v>125</v>
      </c>
      <c r="D465" s="716">
        <f t="shared" si="20"/>
        <v>1</v>
      </c>
      <c r="E465" s="4" t="s">
        <v>16</v>
      </c>
      <c r="F465" s="43">
        <v>445</v>
      </c>
      <c r="G465" s="43">
        <v>457.3</v>
      </c>
      <c r="H465" s="43">
        <v>517.79999999999995</v>
      </c>
      <c r="I465" s="43">
        <v>516.1</v>
      </c>
      <c r="J465" s="43">
        <v>687</v>
      </c>
      <c r="K465" s="43">
        <v>669.13919296999995</v>
      </c>
      <c r="L465" s="43">
        <v>678.99501590000011</v>
      </c>
      <c r="M465" s="887"/>
      <c r="N465" s="16"/>
      <c r="O465" s="16"/>
      <c r="P465" s="16"/>
      <c r="Q465" s="16"/>
      <c r="R465" s="16"/>
    </row>
    <row r="466" spans="1:18" hidden="1" outlineLevel="1" x14ac:dyDescent="0.2">
      <c r="A466" s="22" t="s">
        <v>1227</v>
      </c>
      <c r="B466" s="2" t="str">
        <f t="shared" si="21"/>
        <v>GWh</v>
      </c>
      <c r="C466" s="2" t="s">
        <v>125</v>
      </c>
      <c r="D466" s="716">
        <f t="shared" si="20"/>
        <v>1</v>
      </c>
      <c r="E466" s="4" t="s">
        <v>17</v>
      </c>
      <c r="F466" s="43">
        <v>169.63194499999997</v>
      </c>
      <c r="G466" s="43">
        <v>159.82064600000001</v>
      </c>
      <c r="H466" s="43">
        <v>158.18</v>
      </c>
      <c r="I466" s="43">
        <v>140.07266700000002</v>
      </c>
      <c r="J466" s="43">
        <v>151.15170600000002</v>
      </c>
      <c r="K466" s="43">
        <v>149.52637003999999</v>
      </c>
      <c r="L466" s="43">
        <v>148.447852119</v>
      </c>
      <c r="M466" s="887"/>
      <c r="N466" s="16"/>
      <c r="O466" s="16"/>
      <c r="P466" s="16"/>
      <c r="Q466" s="16"/>
      <c r="R466" s="16"/>
    </row>
    <row r="467" spans="1:18" hidden="1" outlineLevel="1" x14ac:dyDescent="0.2">
      <c r="A467" s="22" t="s">
        <v>1227</v>
      </c>
      <c r="B467" s="2" t="str">
        <f t="shared" si="21"/>
        <v>GWh</v>
      </c>
      <c r="C467" s="2" t="s">
        <v>125</v>
      </c>
      <c r="D467" s="716">
        <f t="shared" si="20"/>
        <v>1</v>
      </c>
      <c r="E467" s="4" t="s">
        <v>18</v>
      </c>
      <c r="F467" s="43">
        <v>831.24529803905455</v>
      </c>
      <c r="G467" s="43">
        <v>755.30973413552783</v>
      </c>
      <c r="H467" s="43">
        <v>1110.8435711710326</v>
      </c>
      <c r="I467" s="43">
        <v>910.60665532317967</v>
      </c>
      <c r="J467" s="43">
        <v>1646.4189684367161</v>
      </c>
      <c r="K467" s="43">
        <v>1617.2426509506788</v>
      </c>
      <c r="L467" s="43">
        <v>1606.4294609114327</v>
      </c>
      <c r="M467" s="887"/>
      <c r="N467" s="16"/>
      <c r="O467" s="16"/>
      <c r="P467" s="16"/>
      <c r="Q467" s="16"/>
      <c r="R467" s="16"/>
    </row>
    <row r="468" spans="1:18" hidden="1" outlineLevel="1" x14ac:dyDescent="0.2">
      <c r="A468" s="22" t="s">
        <v>1227</v>
      </c>
      <c r="B468" s="2" t="str">
        <f t="shared" si="21"/>
        <v>GWh</v>
      </c>
      <c r="C468" s="2" t="s">
        <v>125</v>
      </c>
      <c r="D468" s="716">
        <f t="shared" si="20"/>
        <v>1</v>
      </c>
      <c r="E468" s="4" t="s">
        <v>2</v>
      </c>
      <c r="F468" s="43">
        <v>193.06</v>
      </c>
      <c r="G468" s="43">
        <v>174.51</v>
      </c>
      <c r="H468" s="43">
        <v>302.58</v>
      </c>
      <c r="I468" s="43">
        <v>188.13</v>
      </c>
      <c r="J468" s="43">
        <v>276.22000000000003</v>
      </c>
      <c r="K468" s="43">
        <v>232.79</v>
      </c>
      <c r="L468" s="43">
        <v>236.6</v>
      </c>
      <c r="M468" s="887"/>
      <c r="N468" s="16"/>
      <c r="O468" s="16"/>
      <c r="P468" s="16"/>
      <c r="Q468" s="16"/>
      <c r="R468" s="16"/>
    </row>
    <row r="469" spans="1:18" hidden="1" outlineLevel="1" x14ac:dyDescent="0.2">
      <c r="A469" s="22" t="s">
        <v>1227</v>
      </c>
      <c r="B469" s="2" t="str">
        <f t="shared" si="21"/>
        <v>GWh</v>
      </c>
      <c r="C469" s="2" t="s">
        <v>125</v>
      </c>
      <c r="D469" s="716">
        <f t="shared" si="20"/>
        <v>1</v>
      </c>
      <c r="E469" s="4" t="s">
        <v>19</v>
      </c>
      <c r="F469" s="43">
        <v>552.6</v>
      </c>
      <c r="G469" s="43">
        <v>330.9</v>
      </c>
      <c r="H469" s="43">
        <v>402.1</v>
      </c>
      <c r="I469" s="43">
        <v>401.79999999999995</v>
      </c>
      <c r="J469" s="43">
        <v>794.6</v>
      </c>
      <c r="K469" s="43">
        <v>1085.5899999999999</v>
      </c>
      <c r="L469" s="43">
        <v>1085.5899999999999</v>
      </c>
      <c r="M469" s="887"/>
      <c r="N469" s="16"/>
      <c r="O469" s="16"/>
      <c r="P469" s="16"/>
      <c r="Q469" s="16"/>
      <c r="R469" s="16"/>
    </row>
    <row r="470" spans="1:18" hidden="1" outlineLevel="1" x14ac:dyDescent="0.2">
      <c r="A470" s="22" t="s">
        <v>1227</v>
      </c>
      <c r="B470" s="2" t="str">
        <f t="shared" si="21"/>
        <v>GWh</v>
      </c>
      <c r="C470" s="2" t="s">
        <v>125</v>
      </c>
      <c r="D470" s="716">
        <f t="shared" si="20"/>
        <v>1</v>
      </c>
      <c r="E470" s="4" t="s">
        <v>3</v>
      </c>
      <c r="F470" s="43">
        <v>0</v>
      </c>
      <c r="G470" s="43">
        <v>0</v>
      </c>
      <c r="H470" s="43">
        <v>0</v>
      </c>
      <c r="I470" s="43">
        <v>0</v>
      </c>
      <c r="J470" s="43">
        <v>0</v>
      </c>
      <c r="K470" s="43">
        <v>0</v>
      </c>
      <c r="L470" s="43">
        <v>0</v>
      </c>
      <c r="M470" s="887"/>
      <c r="N470" s="16"/>
      <c r="O470" s="16"/>
      <c r="P470" s="16"/>
      <c r="Q470" s="16"/>
      <c r="R470" s="16"/>
    </row>
    <row r="471" spans="1:18" hidden="1" outlineLevel="1" x14ac:dyDescent="0.2">
      <c r="A471" s="22" t="s">
        <v>1227</v>
      </c>
      <c r="B471" s="2" t="str">
        <f t="shared" si="21"/>
        <v>GWh</v>
      </c>
      <c r="C471" s="2" t="s">
        <v>125</v>
      </c>
      <c r="D471" s="716">
        <f t="shared" si="20"/>
        <v>1</v>
      </c>
      <c r="E471" s="4" t="s">
        <v>20</v>
      </c>
      <c r="F471" s="43">
        <v>1934.2011699999994</v>
      </c>
      <c r="G471" s="43">
        <v>2480.1388579999998</v>
      </c>
      <c r="H471" s="43">
        <v>2530.3621440000002</v>
      </c>
      <c r="I471" s="43">
        <v>2950.2913489999996</v>
      </c>
      <c r="J471" s="43">
        <v>2950.4612279999997</v>
      </c>
      <c r="K471" s="43">
        <v>3561.0603666302181</v>
      </c>
      <c r="L471" s="43">
        <v>3806.9127969172969</v>
      </c>
      <c r="M471" s="887"/>
      <c r="N471" s="16"/>
      <c r="O471" s="16"/>
      <c r="P471" s="16"/>
      <c r="Q471" s="16"/>
      <c r="R471" s="16"/>
    </row>
    <row r="472" spans="1:18" hidden="1" outlineLevel="1" x14ac:dyDescent="0.2">
      <c r="A472" s="22" t="s">
        <v>1227</v>
      </c>
      <c r="B472" s="2" t="str">
        <f t="shared" si="21"/>
        <v>GWh</v>
      </c>
      <c r="C472" s="2" t="s">
        <v>125</v>
      </c>
      <c r="D472" s="716">
        <f t="shared" si="20"/>
        <v>1</v>
      </c>
      <c r="E472" s="4" t="s">
        <v>21</v>
      </c>
      <c r="F472" s="43">
        <v>0</v>
      </c>
      <c r="G472" s="43">
        <v>0</v>
      </c>
      <c r="H472" s="43">
        <v>0</v>
      </c>
      <c r="I472" s="43">
        <v>0</v>
      </c>
      <c r="J472" s="43">
        <v>0</v>
      </c>
      <c r="K472" s="43">
        <v>0</v>
      </c>
      <c r="L472" s="43">
        <v>0</v>
      </c>
      <c r="M472" s="887"/>
      <c r="N472" s="16"/>
      <c r="O472" s="16"/>
      <c r="P472" s="16"/>
      <c r="Q472" s="16"/>
      <c r="R472" s="16"/>
    </row>
    <row r="473" spans="1:18" hidden="1" outlineLevel="1" x14ac:dyDescent="0.2">
      <c r="A473" s="22" t="s">
        <v>1227</v>
      </c>
      <c r="B473" s="2" t="str">
        <f t="shared" si="21"/>
        <v>GWh</v>
      </c>
      <c r="C473" s="2" t="s">
        <v>125</v>
      </c>
      <c r="D473" s="716">
        <f t="shared" si="20"/>
        <v>1</v>
      </c>
      <c r="E473" s="4" t="s">
        <v>1096</v>
      </c>
      <c r="F473" s="43">
        <v>0</v>
      </c>
      <c r="G473" s="43">
        <v>0</v>
      </c>
      <c r="H473" s="43">
        <v>0</v>
      </c>
      <c r="I473" s="43">
        <v>0</v>
      </c>
      <c r="J473" s="43">
        <v>0</v>
      </c>
      <c r="K473" s="43">
        <v>0</v>
      </c>
      <c r="L473" s="43">
        <v>0</v>
      </c>
      <c r="M473" s="887"/>
      <c r="N473" s="16"/>
      <c r="O473" s="16"/>
      <c r="P473" s="16"/>
      <c r="Q473" s="16"/>
      <c r="R473" s="16"/>
    </row>
    <row r="474" spans="1:18" hidden="1" outlineLevel="1" x14ac:dyDescent="0.2">
      <c r="A474" s="22" t="s">
        <v>1227</v>
      </c>
      <c r="B474" s="2" t="str">
        <f t="shared" si="21"/>
        <v>GWh</v>
      </c>
      <c r="C474" s="2" t="s">
        <v>125</v>
      </c>
      <c r="D474" s="716">
        <f t="shared" ref="D474:D537" si="22">IF(C474="","",IF(OR(C474="Wind",C474="Solar",C474="Geothermal",C474="Small Hydro",C474="Biofuels",C474="Biomass &amp; Waste"), 1, 0))</f>
        <v>1</v>
      </c>
      <c r="E474" s="4" t="s">
        <v>22</v>
      </c>
      <c r="F474" s="43">
        <v>0</v>
      </c>
      <c r="G474" s="43">
        <v>0</v>
      </c>
      <c r="H474" s="43">
        <v>0</v>
      </c>
      <c r="I474" s="43">
        <v>0</v>
      </c>
      <c r="J474" s="43">
        <v>0</v>
      </c>
      <c r="K474" s="43">
        <v>0</v>
      </c>
      <c r="L474" s="43">
        <v>0</v>
      </c>
      <c r="M474" s="887"/>
      <c r="N474" s="16"/>
      <c r="O474" s="16"/>
      <c r="P474" s="16"/>
      <c r="Q474" s="16"/>
      <c r="R474" s="16"/>
    </row>
    <row r="475" spans="1:18" hidden="1" outlineLevel="1" x14ac:dyDescent="0.2">
      <c r="A475" s="22" t="s">
        <v>1227</v>
      </c>
      <c r="B475" s="2" t="str">
        <f t="shared" si="21"/>
        <v>GWh</v>
      </c>
      <c r="C475" s="2" t="s">
        <v>125</v>
      </c>
      <c r="D475" s="719">
        <f t="shared" si="22"/>
        <v>1</v>
      </c>
      <c r="E475" s="86" t="s">
        <v>23</v>
      </c>
      <c r="F475" s="374">
        <v>0</v>
      </c>
      <c r="G475" s="374">
        <v>0</v>
      </c>
      <c r="H475" s="374">
        <v>0</v>
      </c>
      <c r="I475" s="374">
        <v>115.32539999999999</v>
      </c>
      <c r="J475" s="374">
        <v>115.32539999999999</v>
      </c>
      <c r="K475" s="374">
        <v>115.32539999999999</v>
      </c>
      <c r="L475" s="374">
        <v>115.32539999999999</v>
      </c>
      <c r="M475" s="918"/>
      <c r="N475" s="16"/>
      <c r="O475" s="16"/>
      <c r="P475" s="16"/>
      <c r="Q475" s="16"/>
      <c r="R475" s="16"/>
    </row>
    <row r="476" spans="1:18" hidden="1" outlineLevel="1" x14ac:dyDescent="0.2">
      <c r="A476" s="532" t="s">
        <v>1227</v>
      </c>
      <c r="B476" s="533" t="str">
        <f t="shared" si="21"/>
        <v>GWh</v>
      </c>
      <c r="C476" s="533" t="s">
        <v>101</v>
      </c>
      <c r="D476" s="715">
        <f t="shared" si="22"/>
        <v>1</v>
      </c>
      <c r="E476" s="468" t="s">
        <v>4</v>
      </c>
      <c r="F476" s="534">
        <v>69.64</v>
      </c>
      <c r="G476" s="534">
        <v>61.594000000000001</v>
      </c>
      <c r="H476" s="534">
        <v>41.950810000000004</v>
      </c>
      <c r="I476" s="534">
        <v>36.848707600000004</v>
      </c>
      <c r="J476" s="534">
        <v>25.320591200000003</v>
      </c>
      <c r="K476" s="534">
        <v>27.029177830000002</v>
      </c>
      <c r="L476" s="534">
        <v>27.029177830000002</v>
      </c>
      <c r="M476" s="888"/>
      <c r="N476" s="16"/>
      <c r="O476" s="16"/>
      <c r="P476" s="16"/>
      <c r="Q476" s="16"/>
      <c r="R476" s="16"/>
    </row>
    <row r="477" spans="1:18" hidden="1" outlineLevel="1" x14ac:dyDescent="0.2">
      <c r="A477" s="22" t="s">
        <v>1227</v>
      </c>
      <c r="B477" s="2" t="str">
        <f t="shared" si="21"/>
        <v>GWh</v>
      </c>
      <c r="C477" s="2" t="s">
        <v>101</v>
      </c>
      <c r="D477" s="716">
        <f t="shared" si="22"/>
        <v>1</v>
      </c>
      <c r="E477" s="4" t="s">
        <v>5</v>
      </c>
      <c r="F477" s="43">
        <v>0</v>
      </c>
      <c r="G477" s="43">
        <v>0</v>
      </c>
      <c r="H477" s="43">
        <v>0</v>
      </c>
      <c r="I477" s="43">
        <v>0</v>
      </c>
      <c r="J477" s="43">
        <v>0</v>
      </c>
      <c r="K477" s="43">
        <v>0</v>
      </c>
      <c r="L477" s="43">
        <v>0</v>
      </c>
      <c r="M477" s="887"/>
      <c r="N477" s="16"/>
      <c r="O477" s="16"/>
      <c r="P477" s="16"/>
      <c r="Q477" s="16"/>
      <c r="R477" s="16"/>
    </row>
    <row r="478" spans="1:18" hidden="1" outlineLevel="1" x14ac:dyDescent="0.2">
      <c r="A478" s="22" t="s">
        <v>1227</v>
      </c>
      <c r="B478" s="2" t="str">
        <f t="shared" si="21"/>
        <v>GWh</v>
      </c>
      <c r="C478" s="2" t="s">
        <v>101</v>
      </c>
      <c r="D478" s="716">
        <f t="shared" si="22"/>
        <v>1</v>
      </c>
      <c r="E478" s="4" t="s">
        <v>6</v>
      </c>
      <c r="F478" s="43">
        <v>0</v>
      </c>
      <c r="G478" s="43">
        <v>0</v>
      </c>
      <c r="H478" s="43">
        <v>0</v>
      </c>
      <c r="I478" s="43">
        <v>0</v>
      </c>
      <c r="J478" s="43">
        <v>0</v>
      </c>
      <c r="K478" s="43">
        <v>0</v>
      </c>
      <c r="L478" s="43">
        <v>0</v>
      </c>
      <c r="M478" s="887"/>
      <c r="N478" s="16"/>
      <c r="O478" s="16"/>
      <c r="P478" s="16"/>
      <c r="Q478" s="16"/>
      <c r="R478" s="16"/>
    </row>
    <row r="479" spans="1:18" hidden="1" outlineLevel="1" x14ac:dyDescent="0.2">
      <c r="A479" s="22" t="s">
        <v>1227</v>
      </c>
      <c r="B479" s="2" t="str">
        <f t="shared" si="21"/>
        <v>GWh</v>
      </c>
      <c r="C479" s="2" t="s">
        <v>101</v>
      </c>
      <c r="D479" s="716">
        <f t="shared" si="22"/>
        <v>1</v>
      </c>
      <c r="E479" s="4" t="s">
        <v>143</v>
      </c>
      <c r="F479" s="43">
        <v>0</v>
      </c>
      <c r="G479" s="43">
        <v>0</v>
      </c>
      <c r="H479" s="43">
        <v>0</v>
      </c>
      <c r="I479" s="43">
        <v>0</v>
      </c>
      <c r="J479" s="43">
        <v>0</v>
      </c>
      <c r="K479" s="43">
        <v>0</v>
      </c>
      <c r="L479" s="43">
        <v>0</v>
      </c>
      <c r="M479" s="887"/>
      <c r="N479" s="16"/>
      <c r="O479" s="16"/>
      <c r="P479" s="16"/>
      <c r="Q479" s="16"/>
      <c r="R479" s="16"/>
    </row>
    <row r="480" spans="1:18" hidden="1" outlineLevel="1" x14ac:dyDescent="0.2">
      <c r="A480" s="22" t="s">
        <v>1227</v>
      </c>
      <c r="B480" s="2" t="str">
        <f t="shared" si="21"/>
        <v>GWh</v>
      </c>
      <c r="C480" s="2" t="s">
        <v>101</v>
      </c>
      <c r="D480" s="716">
        <f t="shared" si="22"/>
        <v>1</v>
      </c>
      <c r="E480" s="4" t="s">
        <v>7</v>
      </c>
      <c r="F480" s="43">
        <v>0</v>
      </c>
      <c r="G480" s="43">
        <v>0</v>
      </c>
      <c r="H480" s="43">
        <v>0</v>
      </c>
      <c r="I480" s="43">
        <v>0</v>
      </c>
      <c r="J480" s="43">
        <v>0</v>
      </c>
      <c r="K480" s="43">
        <v>0</v>
      </c>
      <c r="L480" s="43">
        <v>0</v>
      </c>
      <c r="M480" s="887"/>
      <c r="N480" s="16"/>
      <c r="O480" s="16"/>
      <c r="P480" s="16"/>
      <c r="Q480" s="16"/>
      <c r="R480" s="16"/>
    </row>
    <row r="481" spans="1:18" hidden="1" outlineLevel="1" x14ac:dyDescent="0.2">
      <c r="A481" s="22" t="s">
        <v>1227</v>
      </c>
      <c r="B481" s="2" t="str">
        <f t="shared" si="21"/>
        <v>GWh</v>
      </c>
      <c r="C481" s="2" t="s">
        <v>101</v>
      </c>
      <c r="D481" s="716">
        <f t="shared" si="22"/>
        <v>1</v>
      </c>
      <c r="E481" s="4" t="s">
        <v>31</v>
      </c>
      <c r="F481" s="43">
        <v>237</v>
      </c>
      <c r="G481" s="43">
        <v>559</v>
      </c>
      <c r="H481" s="43">
        <v>1183</v>
      </c>
      <c r="I481" s="43">
        <v>1446</v>
      </c>
      <c r="J481" s="43">
        <v>2248</v>
      </c>
      <c r="K481" s="43">
        <v>2705</v>
      </c>
      <c r="L481" s="43">
        <v>2705</v>
      </c>
      <c r="M481" s="887"/>
      <c r="N481" s="16"/>
      <c r="O481" s="16"/>
      <c r="P481" s="16"/>
      <c r="Q481" s="16"/>
      <c r="R481" s="16"/>
    </row>
    <row r="482" spans="1:18" hidden="1" outlineLevel="1" x14ac:dyDescent="0.2">
      <c r="A482" s="22" t="s">
        <v>1227</v>
      </c>
      <c r="B482" s="2" t="str">
        <f t="shared" si="21"/>
        <v>GWh</v>
      </c>
      <c r="C482" s="2" t="s">
        <v>101</v>
      </c>
      <c r="D482" s="716">
        <f t="shared" si="22"/>
        <v>1</v>
      </c>
      <c r="E482" s="4" t="s">
        <v>8</v>
      </c>
      <c r="F482" s="43">
        <v>0</v>
      </c>
      <c r="G482" s="43">
        <v>2.8125799999999996</v>
      </c>
      <c r="H482" s="43">
        <v>38.11510599999999</v>
      </c>
      <c r="I482" s="43">
        <v>78.206867000000003</v>
      </c>
      <c r="J482" s="43">
        <v>332.13580699999983</v>
      </c>
      <c r="K482" s="43">
        <v>331.63300500000014</v>
      </c>
      <c r="L482" s="43">
        <v>390.12681199999997</v>
      </c>
      <c r="M482" s="887"/>
      <c r="N482" s="16"/>
      <c r="O482" s="16"/>
      <c r="P482" s="16"/>
      <c r="Q482" s="16"/>
      <c r="R482" s="16"/>
    </row>
    <row r="483" spans="1:18" hidden="1" outlineLevel="1" x14ac:dyDescent="0.2">
      <c r="A483" s="22" t="s">
        <v>1227</v>
      </c>
      <c r="B483" s="2" t="str">
        <f t="shared" si="21"/>
        <v>GWh</v>
      </c>
      <c r="C483" s="2" t="s">
        <v>101</v>
      </c>
      <c r="D483" s="716">
        <f t="shared" si="22"/>
        <v>1</v>
      </c>
      <c r="E483" s="4" t="s">
        <v>9</v>
      </c>
      <c r="F483" s="43">
        <v>63</v>
      </c>
      <c r="G483" s="43">
        <v>49.9</v>
      </c>
      <c r="H483" s="43">
        <v>48.355199999999996</v>
      </c>
      <c r="I483" s="43">
        <v>48.355199999999996</v>
      </c>
      <c r="J483" s="43">
        <v>48.355199999999996</v>
      </c>
      <c r="K483" s="43">
        <v>41.27</v>
      </c>
      <c r="L483" s="43">
        <v>54.85</v>
      </c>
      <c r="M483" s="887"/>
      <c r="N483" s="16"/>
      <c r="O483" s="16"/>
      <c r="P483" s="16"/>
      <c r="Q483" s="16"/>
      <c r="R483" s="16"/>
    </row>
    <row r="484" spans="1:18" hidden="1" outlineLevel="1" x14ac:dyDescent="0.2">
      <c r="A484" s="22" t="s">
        <v>1227</v>
      </c>
      <c r="B484" s="2" t="str">
        <f t="shared" si="21"/>
        <v>GWh</v>
      </c>
      <c r="C484" s="2" t="s">
        <v>101</v>
      </c>
      <c r="D484" s="716">
        <f t="shared" si="22"/>
        <v>1</v>
      </c>
      <c r="E484" s="4" t="s">
        <v>10</v>
      </c>
      <c r="F484" s="43">
        <v>272.16262180000001</v>
      </c>
      <c r="G484" s="43">
        <v>240.39669513000001</v>
      </c>
      <c r="H484" s="43">
        <v>198.07720509999996</v>
      </c>
      <c r="I484" s="43">
        <v>309.38656215000003</v>
      </c>
      <c r="J484" s="43">
        <v>358.48279583000004</v>
      </c>
      <c r="K484" s="43">
        <v>414.3971317700001</v>
      </c>
      <c r="L484" s="43">
        <v>522.99199999999996</v>
      </c>
      <c r="M484" s="887"/>
      <c r="N484" s="16"/>
      <c r="O484" s="16"/>
      <c r="P484" s="16"/>
      <c r="Q484" s="16"/>
      <c r="R484" s="16"/>
    </row>
    <row r="485" spans="1:18" hidden="1" outlineLevel="1" x14ac:dyDescent="0.2">
      <c r="A485" s="22" t="s">
        <v>1227</v>
      </c>
      <c r="B485" s="2" t="str">
        <f t="shared" si="21"/>
        <v>GWh</v>
      </c>
      <c r="C485" s="2" t="s">
        <v>101</v>
      </c>
      <c r="D485" s="716">
        <f t="shared" si="22"/>
        <v>1</v>
      </c>
      <c r="E485" s="4" t="s">
        <v>11</v>
      </c>
      <c r="F485" s="43">
        <v>0</v>
      </c>
      <c r="G485" s="43">
        <v>0</v>
      </c>
      <c r="H485" s="43">
        <v>0</v>
      </c>
      <c r="I485" s="43">
        <v>0</v>
      </c>
      <c r="J485" s="43">
        <v>0</v>
      </c>
      <c r="K485" s="43">
        <v>13.745418690000001</v>
      </c>
      <c r="L485" s="43">
        <v>94.134360891000028</v>
      </c>
      <c r="M485" s="887"/>
      <c r="N485" s="16"/>
      <c r="O485" s="16"/>
      <c r="P485" s="16"/>
      <c r="Q485" s="16"/>
      <c r="R485" s="16"/>
    </row>
    <row r="486" spans="1:18" hidden="1" outlineLevel="1" x14ac:dyDescent="0.2">
      <c r="A486" s="22" t="s">
        <v>1227</v>
      </c>
      <c r="B486" s="2" t="str">
        <f t="shared" si="21"/>
        <v>GWh</v>
      </c>
      <c r="C486" s="2" t="s">
        <v>101</v>
      </c>
      <c r="D486" s="716">
        <f t="shared" si="22"/>
        <v>1</v>
      </c>
      <c r="E486" s="4" t="s">
        <v>12</v>
      </c>
      <c r="F486" s="43">
        <v>0</v>
      </c>
      <c r="G486" s="43">
        <v>0.96</v>
      </c>
      <c r="H486" s="43">
        <v>2.6824599999999998</v>
      </c>
      <c r="I486" s="43">
        <v>3.2044299999999999</v>
      </c>
      <c r="J486" s="43">
        <v>3.43</v>
      </c>
      <c r="K486" s="43">
        <v>3.34</v>
      </c>
      <c r="L486" s="43">
        <v>2.4</v>
      </c>
      <c r="M486" s="887"/>
      <c r="N486" s="16"/>
      <c r="O486" s="16"/>
      <c r="P486" s="16"/>
      <c r="Q486" s="16"/>
      <c r="R486" s="16"/>
    </row>
    <row r="487" spans="1:18" hidden="1" outlineLevel="1" x14ac:dyDescent="0.2">
      <c r="A487" s="22" t="s">
        <v>1227</v>
      </c>
      <c r="B487" s="2" t="str">
        <f t="shared" si="21"/>
        <v>GWh</v>
      </c>
      <c r="C487" s="2" t="s">
        <v>101</v>
      </c>
      <c r="D487" s="716">
        <f t="shared" si="22"/>
        <v>1</v>
      </c>
      <c r="E487" s="4" t="s">
        <v>1</v>
      </c>
      <c r="F487" s="43">
        <v>0</v>
      </c>
      <c r="G487" s="43">
        <v>0</v>
      </c>
      <c r="H487" s="43">
        <v>0</v>
      </c>
      <c r="I487" s="43">
        <v>0</v>
      </c>
      <c r="J487" s="43">
        <v>0</v>
      </c>
      <c r="K487" s="43">
        <v>0</v>
      </c>
      <c r="L487" s="43">
        <v>0</v>
      </c>
      <c r="M487" s="887"/>
      <c r="N487" s="16"/>
      <c r="O487" s="16"/>
      <c r="P487" s="16"/>
      <c r="Q487" s="16"/>
      <c r="R487" s="16"/>
    </row>
    <row r="488" spans="1:18" hidden="1" outlineLevel="1" x14ac:dyDescent="0.2">
      <c r="A488" s="22" t="s">
        <v>1227</v>
      </c>
      <c r="B488" s="2" t="str">
        <f t="shared" si="21"/>
        <v>GWh</v>
      </c>
      <c r="C488" s="2" t="s">
        <v>101</v>
      </c>
      <c r="D488" s="716">
        <f t="shared" si="22"/>
        <v>1</v>
      </c>
      <c r="E488" s="4" t="s">
        <v>13</v>
      </c>
      <c r="F488" s="43">
        <v>0</v>
      </c>
      <c r="G488" s="43">
        <v>0</v>
      </c>
      <c r="H488" s="43">
        <v>0</v>
      </c>
      <c r="I488" s="43">
        <v>0</v>
      </c>
      <c r="J488" s="43">
        <v>0</v>
      </c>
      <c r="K488" s="43">
        <v>0</v>
      </c>
      <c r="L488" s="43">
        <v>0</v>
      </c>
      <c r="M488" s="887"/>
      <c r="N488" s="16"/>
      <c r="O488" s="16"/>
      <c r="P488" s="16"/>
      <c r="Q488" s="16"/>
      <c r="R488" s="16"/>
    </row>
    <row r="489" spans="1:18" hidden="1" outlineLevel="1" x14ac:dyDescent="0.2">
      <c r="A489" s="22" t="s">
        <v>1227</v>
      </c>
      <c r="B489" s="2" t="str">
        <f t="shared" si="21"/>
        <v>GWh</v>
      </c>
      <c r="C489" s="2" t="s">
        <v>101</v>
      </c>
      <c r="D489" s="716">
        <f t="shared" si="22"/>
        <v>1</v>
      </c>
      <c r="E489" s="4" t="s">
        <v>14</v>
      </c>
      <c r="F489" s="43">
        <v>0</v>
      </c>
      <c r="G489" s="43">
        <v>0</v>
      </c>
      <c r="H489" s="43">
        <v>0</v>
      </c>
      <c r="I489" s="43">
        <v>0</v>
      </c>
      <c r="J489" s="43">
        <v>0</v>
      </c>
      <c r="K489" s="43">
        <v>0</v>
      </c>
      <c r="L489" s="43">
        <v>0</v>
      </c>
      <c r="M489" s="887"/>
      <c r="N489" s="16"/>
      <c r="O489" s="16"/>
      <c r="P489" s="16"/>
      <c r="Q489" s="16"/>
      <c r="R489" s="16"/>
    </row>
    <row r="490" spans="1:18" hidden="1" outlineLevel="1" x14ac:dyDescent="0.2">
      <c r="A490" s="22" t="s">
        <v>1227</v>
      </c>
      <c r="B490" s="2" t="str">
        <f t="shared" si="21"/>
        <v>GWh</v>
      </c>
      <c r="C490" s="2" t="s">
        <v>101</v>
      </c>
      <c r="D490" s="716">
        <f t="shared" si="22"/>
        <v>1</v>
      </c>
      <c r="E490" s="4" t="s">
        <v>15</v>
      </c>
      <c r="F490" s="43">
        <v>0</v>
      </c>
      <c r="G490" s="43">
        <v>0</v>
      </c>
      <c r="H490" s="43">
        <v>0</v>
      </c>
      <c r="I490" s="43">
        <v>0</v>
      </c>
      <c r="J490" s="43">
        <v>0</v>
      </c>
      <c r="K490" s="43">
        <v>0</v>
      </c>
      <c r="L490" s="43">
        <v>0</v>
      </c>
      <c r="M490" s="887"/>
      <c r="N490" s="16"/>
      <c r="O490" s="16"/>
      <c r="P490" s="16"/>
      <c r="Q490" s="16"/>
      <c r="R490" s="16"/>
    </row>
    <row r="491" spans="1:18" hidden="1" outlineLevel="1" x14ac:dyDescent="0.2">
      <c r="A491" s="22" t="s">
        <v>1227</v>
      </c>
      <c r="B491" s="2" t="str">
        <f t="shared" si="21"/>
        <v>GWh</v>
      </c>
      <c r="C491" s="2" t="s">
        <v>101</v>
      </c>
      <c r="D491" s="716">
        <f t="shared" si="22"/>
        <v>1</v>
      </c>
      <c r="E491" s="4" t="s">
        <v>16</v>
      </c>
      <c r="F491" s="43">
        <v>0</v>
      </c>
      <c r="G491" s="43">
        <v>0</v>
      </c>
      <c r="H491" s="43">
        <v>0</v>
      </c>
      <c r="I491" s="43">
        <v>0</v>
      </c>
      <c r="J491" s="43">
        <v>0</v>
      </c>
      <c r="K491" s="43">
        <v>116.67103881</v>
      </c>
      <c r="L491" s="43">
        <v>336.81004478</v>
      </c>
      <c r="M491" s="887"/>
      <c r="N491" s="16"/>
      <c r="O491" s="16"/>
      <c r="P491" s="16"/>
      <c r="Q491" s="16"/>
      <c r="R491" s="16"/>
    </row>
    <row r="492" spans="1:18" hidden="1" outlineLevel="1" x14ac:dyDescent="0.2">
      <c r="A492" s="22" t="s">
        <v>1227</v>
      </c>
      <c r="B492" s="2" t="str">
        <f t="shared" si="21"/>
        <v>GWh</v>
      </c>
      <c r="C492" s="2" t="s">
        <v>101</v>
      </c>
      <c r="D492" s="716">
        <f t="shared" si="22"/>
        <v>1</v>
      </c>
      <c r="E492" s="4" t="s">
        <v>17</v>
      </c>
      <c r="F492" s="43">
        <v>55.4114</v>
      </c>
      <c r="G492" s="43">
        <v>51.926349999999999</v>
      </c>
      <c r="H492" s="43">
        <v>49.238382000000009</v>
      </c>
      <c r="I492" s="43">
        <v>58.565187230000006</v>
      </c>
      <c r="J492" s="43">
        <v>53.726278999999998</v>
      </c>
      <c r="K492" s="43">
        <v>93.787163335320869</v>
      </c>
      <c r="L492" s="43">
        <v>109.70566835000001</v>
      </c>
      <c r="M492" s="887"/>
      <c r="N492" s="16"/>
      <c r="O492" s="16"/>
      <c r="P492" s="16"/>
      <c r="Q492" s="16"/>
      <c r="R492" s="16"/>
    </row>
    <row r="493" spans="1:18" hidden="1" outlineLevel="1" x14ac:dyDescent="0.2">
      <c r="A493" s="22" t="s">
        <v>1227</v>
      </c>
      <c r="B493" s="2" t="str">
        <f t="shared" si="21"/>
        <v>GWh</v>
      </c>
      <c r="C493" s="2" t="s">
        <v>101</v>
      </c>
      <c r="D493" s="716">
        <f t="shared" si="22"/>
        <v>1</v>
      </c>
      <c r="E493" s="4" t="s">
        <v>18</v>
      </c>
      <c r="F493" s="43">
        <v>44.802795000000003</v>
      </c>
      <c r="G493" s="43">
        <v>248.43227200000001</v>
      </c>
      <c r="H493" s="43">
        <v>254.613257</v>
      </c>
      <c r="I493" s="43">
        <v>1446.3623980615837</v>
      </c>
      <c r="J493" s="43">
        <v>1158.4980265249267</v>
      </c>
      <c r="K493" s="43">
        <v>1073.9631742628242</v>
      </c>
      <c r="L493" s="43">
        <v>4348.3515656494874</v>
      </c>
      <c r="M493" s="887"/>
      <c r="N493" s="16"/>
      <c r="O493" s="16"/>
      <c r="P493" s="16"/>
      <c r="Q493" s="16"/>
      <c r="R493" s="16"/>
    </row>
    <row r="494" spans="1:18" hidden="1" outlineLevel="1" x14ac:dyDescent="0.2">
      <c r="A494" s="22" t="s">
        <v>1227</v>
      </c>
      <c r="B494" s="2" t="str">
        <f t="shared" si="21"/>
        <v>GWh</v>
      </c>
      <c r="C494" s="2" t="s">
        <v>101</v>
      </c>
      <c r="D494" s="716">
        <f t="shared" si="22"/>
        <v>1</v>
      </c>
      <c r="E494" s="4" t="s">
        <v>2</v>
      </c>
      <c r="F494" s="43">
        <v>0</v>
      </c>
      <c r="G494" s="43">
        <v>0</v>
      </c>
      <c r="H494" s="43">
        <v>0</v>
      </c>
      <c r="I494" s="43">
        <v>112</v>
      </c>
      <c r="J494" s="43">
        <v>163.38999999999999</v>
      </c>
      <c r="K494" s="43">
        <v>210.66</v>
      </c>
      <c r="L494" s="43">
        <v>264.07</v>
      </c>
      <c r="M494" s="887"/>
      <c r="N494" s="16"/>
      <c r="O494" s="16"/>
      <c r="P494" s="16"/>
      <c r="Q494" s="16"/>
      <c r="R494" s="16"/>
    </row>
    <row r="495" spans="1:18" hidden="1" outlineLevel="1" x14ac:dyDescent="0.2">
      <c r="A495" s="22" t="s">
        <v>1227</v>
      </c>
      <c r="B495" s="2" t="str">
        <f t="shared" si="21"/>
        <v>GWh</v>
      </c>
      <c r="C495" s="2" t="s">
        <v>101</v>
      </c>
      <c r="D495" s="716">
        <f t="shared" si="22"/>
        <v>1</v>
      </c>
      <c r="E495" s="4" t="s">
        <v>19</v>
      </c>
      <c r="F495" s="43">
        <v>0</v>
      </c>
      <c r="G495" s="43">
        <v>0</v>
      </c>
      <c r="H495" s="43">
        <v>0</v>
      </c>
      <c r="I495" s="43">
        <v>0</v>
      </c>
      <c r="J495" s="43">
        <v>0</v>
      </c>
      <c r="K495" s="43">
        <v>0</v>
      </c>
      <c r="L495" s="43">
        <v>0</v>
      </c>
      <c r="M495" s="887"/>
      <c r="N495" s="16"/>
      <c r="O495" s="16"/>
      <c r="P495" s="16"/>
      <c r="Q495" s="16"/>
      <c r="R495" s="16"/>
    </row>
    <row r="496" spans="1:18" hidden="1" outlineLevel="1" x14ac:dyDescent="0.2">
      <c r="A496" s="22" t="s">
        <v>1227</v>
      </c>
      <c r="B496" s="2" t="str">
        <f t="shared" si="21"/>
        <v>GWh</v>
      </c>
      <c r="C496" s="2" t="s">
        <v>101</v>
      </c>
      <c r="D496" s="716">
        <f t="shared" si="22"/>
        <v>1</v>
      </c>
      <c r="E496" s="4" t="s">
        <v>3</v>
      </c>
      <c r="F496" s="43">
        <v>0</v>
      </c>
      <c r="G496" s="43">
        <v>0</v>
      </c>
      <c r="H496" s="43">
        <v>0</v>
      </c>
      <c r="I496" s="43">
        <v>0</v>
      </c>
      <c r="J496" s="43">
        <v>0</v>
      </c>
      <c r="K496" s="43">
        <v>0</v>
      </c>
      <c r="L496" s="43">
        <v>0</v>
      </c>
      <c r="M496" s="887"/>
      <c r="N496" s="16"/>
      <c r="O496" s="16"/>
      <c r="P496" s="16"/>
      <c r="Q496" s="16"/>
      <c r="R496" s="16"/>
    </row>
    <row r="497" spans="1:18" hidden="1" outlineLevel="1" x14ac:dyDescent="0.2">
      <c r="A497" s="22" t="s">
        <v>1227</v>
      </c>
      <c r="B497" s="2" t="str">
        <f t="shared" si="21"/>
        <v>GWh</v>
      </c>
      <c r="C497" s="2" t="s">
        <v>101</v>
      </c>
      <c r="D497" s="716">
        <f t="shared" si="22"/>
        <v>1</v>
      </c>
      <c r="E497" s="4" t="s">
        <v>20</v>
      </c>
      <c r="F497" s="43">
        <v>0</v>
      </c>
      <c r="G497" s="43">
        <v>0</v>
      </c>
      <c r="H497" s="43">
        <v>0</v>
      </c>
      <c r="I497" s="43">
        <v>0</v>
      </c>
      <c r="J497" s="43">
        <v>0</v>
      </c>
      <c r="K497" s="43">
        <v>0</v>
      </c>
      <c r="L497" s="43">
        <v>0</v>
      </c>
      <c r="M497" s="887"/>
      <c r="N497" s="16"/>
      <c r="O497" s="16"/>
      <c r="P497" s="16"/>
      <c r="Q497" s="16"/>
      <c r="R497" s="16"/>
    </row>
    <row r="498" spans="1:18" hidden="1" outlineLevel="1" x14ac:dyDescent="0.2">
      <c r="A498" s="22" t="s">
        <v>1227</v>
      </c>
      <c r="B498" s="2" t="str">
        <f t="shared" si="21"/>
        <v>GWh</v>
      </c>
      <c r="C498" s="2" t="s">
        <v>101</v>
      </c>
      <c r="D498" s="716">
        <f t="shared" si="22"/>
        <v>1</v>
      </c>
      <c r="E498" s="4" t="s">
        <v>21</v>
      </c>
      <c r="F498" s="43">
        <v>0</v>
      </c>
      <c r="G498" s="43">
        <v>0</v>
      </c>
      <c r="H498" s="43">
        <v>0</v>
      </c>
      <c r="I498" s="43">
        <v>0</v>
      </c>
      <c r="J498" s="43">
        <v>0</v>
      </c>
      <c r="K498" s="43">
        <v>0</v>
      </c>
      <c r="L498" s="43">
        <v>0</v>
      </c>
      <c r="M498" s="887"/>
      <c r="N498" s="16"/>
      <c r="O498" s="16"/>
      <c r="P498" s="16"/>
      <c r="Q498" s="16"/>
      <c r="R498" s="16"/>
    </row>
    <row r="499" spans="1:18" hidden="1" outlineLevel="1" x14ac:dyDescent="0.2">
      <c r="A499" s="22" t="s">
        <v>1227</v>
      </c>
      <c r="B499" s="2" t="str">
        <f t="shared" si="21"/>
        <v>GWh</v>
      </c>
      <c r="C499" s="2" t="s">
        <v>101</v>
      </c>
      <c r="D499" s="716">
        <f t="shared" si="22"/>
        <v>1</v>
      </c>
      <c r="E499" s="4" t="s">
        <v>1096</v>
      </c>
      <c r="F499" s="43">
        <v>0</v>
      </c>
      <c r="G499" s="43">
        <v>0</v>
      </c>
      <c r="H499" s="43">
        <v>0</v>
      </c>
      <c r="I499" s="43">
        <v>0</v>
      </c>
      <c r="J499" s="43">
        <v>0</v>
      </c>
      <c r="K499" s="43">
        <v>0</v>
      </c>
      <c r="L499" s="43">
        <v>0</v>
      </c>
      <c r="M499" s="887"/>
      <c r="N499" s="16"/>
      <c r="O499" s="16"/>
      <c r="P499" s="16"/>
      <c r="Q499" s="16"/>
      <c r="R499" s="16"/>
    </row>
    <row r="500" spans="1:18" hidden="1" outlineLevel="1" x14ac:dyDescent="0.2">
      <c r="A500" s="22" t="s">
        <v>1227</v>
      </c>
      <c r="B500" s="2" t="str">
        <f t="shared" si="21"/>
        <v>GWh</v>
      </c>
      <c r="C500" s="2" t="s">
        <v>101</v>
      </c>
      <c r="D500" s="716">
        <f t="shared" si="22"/>
        <v>1</v>
      </c>
      <c r="E500" s="4" t="s">
        <v>22</v>
      </c>
      <c r="F500" s="43">
        <v>0</v>
      </c>
      <c r="G500" s="43">
        <v>0</v>
      </c>
      <c r="H500" s="43">
        <v>0</v>
      </c>
      <c r="I500" s="43">
        <v>41.631292099999996</v>
      </c>
      <c r="J500" s="43">
        <v>68.004009999999994</v>
      </c>
      <c r="K500" s="43">
        <v>111.32516</v>
      </c>
      <c r="L500" s="43">
        <v>110.87209</v>
      </c>
      <c r="M500" s="887"/>
      <c r="N500" s="16"/>
      <c r="O500" s="16"/>
      <c r="P500" s="16"/>
      <c r="Q500" s="16"/>
      <c r="R500" s="16"/>
    </row>
    <row r="501" spans="1:18" hidden="1" outlineLevel="1" x14ac:dyDescent="0.2">
      <c r="A501" s="22" t="s">
        <v>1227</v>
      </c>
      <c r="B501" s="2" t="str">
        <f t="shared" si="21"/>
        <v>GWh</v>
      </c>
      <c r="C501" s="2" t="s">
        <v>101</v>
      </c>
      <c r="D501" s="717">
        <f t="shared" si="22"/>
        <v>1</v>
      </c>
      <c r="E501" s="86" t="s">
        <v>23</v>
      </c>
      <c r="F501" s="43">
        <v>0</v>
      </c>
      <c r="G501" s="43">
        <v>0</v>
      </c>
      <c r="H501" s="43">
        <v>0</v>
      </c>
      <c r="I501" s="43">
        <v>0</v>
      </c>
      <c r="J501" s="43">
        <v>0</v>
      </c>
      <c r="K501" s="43">
        <v>0</v>
      </c>
      <c r="L501" s="43">
        <v>0</v>
      </c>
      <c r="M501" s="918"/>
      <c r="N501" s="16"/>
      <c r="O501" s="16"/>
      <c r="P501" s="16"/>
      <c r="Q501" s="16"/>
      <c r="R501" s="16"/>
    </row>
    <row r="502" spans="1:18" hidden="1" outlineLevel="1" x14ac:dyDescent="0.2">
      <c r="A502" s="532" t="s">
        <v>1227</v>
      </c>
      <c r="B502" s="533" t="str">
        <f t="shared" si="21"/>
        <v>GWh</v>
      </c>
      <c r="C502" s="533" t="s">
        <v>80</v>
      </c>
      <c r="D502" s="718">
        <f t="shared" si="22"/>
        <v>1</v>
      </c>
      <c r="E502" s="468" t="s">
        <v>4</v>
      </c>
      <c r="F502" s="534">
        <v>9.0999999999999998E-2</v>
      </c>
      <c r="G502" s="534">
        <v>0.109</v>
      </c>
      <c r="H502" s="534">
        <v>0.14294000000000001</v>
      </c>
      <c r="I502" s="534">
        <v>4.1000000000000002E-2</v>
      </c>
      <c r="J502" s="534">
        <v>8.588999999999998E-2</v>
      </c>
      <c r="K502" s="534">
        <v>1.6135550000000001</v>
      </c>
      <c r="L502" s="534">
        <v>1.6135550000000001</v>
      </c>
      <c r="M502" s="888"/>
      <c r="N502" s="16"/>
      <c r="O502" s="16"/>
      <c r="P502" s="16"/>
      <c r="Q502" s="16"/>
      <c r="R502" s="16"/>
    </row>
    <row r="503" spans="1:18" hidden="1" outlineLevel="1" x14ac:dyDescent="0.2">
      <c r="A503" s="22" t="s">
        <v>1227</v>
      </c>
      <c r="B503" s="2" t="str">
        <f t="shared" si="21"/>
        <v>GWh</v>
      </c>
      <c r="C503" s="2" t="s">
        <v>80</v>
      </c>
      <c r="D503" s="716">
        <f t="shared" si="22"/>
        <v>1</v>
      </c>
      <c r="E503" s="4" t="s">
        <v>5</v>
      </c>
      <c r="F503" s="43">
        <v>0</v>
      </c>
      <c r="G503" s="43">
        <v>0</v>
      </c>
      <c r="H503" s="43">
        <v>0</v>
      </c>
      <c r="I503" s="43">
        <v>0</v>
      </c>
      <c r="J503" s="43">
        <v>0</v>
      </c>
      <c r="K503" s="43">
        <v>0</v>
      </c>
      <c r="L503" s="43">
        <v>0</v>
      </c>
      <c r="M503" s="887"/>
      <c r="N503" s="16"/>
      <c r="O503" s="16"/>
      <c r="P503" s="16"/>
      <c r="Q503" s="16"/>
      <c r="R503" s="16"/>
    </row>
    <row r="504" spans="1:18" hidden="1" outlineLevel="1" x14ac:dyDescent="0.2">
      <c r="A504" s="22" t="s">
        <v>1227</v>
      </c>
      <c r="B504" s="2" t="str">
        <f t="shared" si="21"/>
        <v>GWh</v>
      </c>
      <c r="C504" s="2" t="s">
        <v>80</v>
      </c>
      <c r="D504" s="716">
        <f t="shared" si="22"/>
        <v>1</v>
      </c>
      <c r="E504" s="4" t="s">
        <v>6</v>
      </c>
      <c r="F504" s="43">
        <v>0</v>
      </c>
      <c r="G504" s="43">
        <v>0</v>
      </c>
      <c r="H504" s="43">
        <v>0</v>
      </c>
      <c r="I504" s="43">
        <v>0</v>
      </c>
      <c r="J504" s="43">
        <v>0</v>
      </c>
      <c r="K504" s="43">
        <v>0</v>
      </c>
      <c r="L504" s="43">
        <v>0</v>
      </c>
      <c r="M504" s="887"/>
      <c r="N504" s="16"/>
      <c r="O504" s="16"/>
      <c r="P504" s="16"/>
      <c r="Q504" s="16"/>
      <c r="R504" s="16"/>
    </row>
    <row r="505" spans="1:18" hidden="1" outlineLevel="1" x14ac:dyDescent="0.2">
      <c r="A505" s="22" t="s">
        <v>1227</v>
      </c>
      <c r="B505" s="2" t="str">
        <f t="shared" si="21"/>
        <v>GWh</v>
      </c>
      <c r="C505" s="2" t="s">
        <v>80</v>
      </c>
      <c r="D505" s="716">
        <f t="shared" si="22"/>
        <v>1</v>
      </c>
      <c r="E505" s="4" t="s">
        <v>143</v>
      </c>
      <c r="F505" s="43">
        <v>0</v>
      </c>
      <c r="G505" s="43">
        <v>0</v>
      </c>
      <c r="H505" s="43">
        <v>0</v>
      </c>
      <c r="I505" s="43">
        <v>0</v>
      </c>
      <c r="J505" s="43">
        <v>0</v>
      </c>
      <c r="K505" s="43">
        <v>0</v>
      </c>
      <c r="L505" s="43">
        <v>0.25495509999999999</v>
      </c>
      <c r="M505" s="887"/>
      <c r="N505" s="16"/>
      <c r="O505" s="16"/>
      <c r="P505" s="16"/>
      <c r="Q505" s="16"/>
      <c r="R505" s="16"/>
    </row>
    <row r="506" spans="1:18" hidden="1" outlineLevel="1" x14ac:dyDescent="0.2">
      <c r="A506" s="22" t="s">
        <v>1227</v>
      </c>
      <c r="B506" s="2" t="str">
        <f t="shared" si="21"/>
        <v>GWh</v>
      </c>
      <c r="C506" s="2" t="s">
        <v>80</v>
      </c>
      <c r="D506" s="716">
        <f t="shared" si="22"/>
        <v>1</v>
      </c>
      <c r="E506" s="4" t="s">
        <v>7</v>
      </c>
      <c r="F506" s="43">
        <v>0</v>
      </c>
      <c r="G506" s="43">
        <v>0</v>
      </c>
      <c r="H506" s="43">
        <v>0</v>
      </c>
      <c r="I506" s="43">
        <v>0</v>
      </c>
      <c r="J506" s="43">
        <v>0</v>
      </c>
      <c r="K506" s="43">
        <v>0</v>
      </c>
      <c r="L506" s="43">
        <v>0</v>
      </c>
      <c r="M506" s="887"/>
      <c r="N506" s="16"/>
      <c r="O506" s="16"/>
      <c r="P506" s="16"/>
      <c r="Q506" s="16"/>
      <c r="R506" s="16"/>
    </row>
    <row r="507" spans="1:18" hidden="1" outlineLevel="1" x14ac:dyDescent="0.2">
      <c r="A507" s="22" t="s">
        <v>1227</v>
      </c>
      <c r="B507" s="2" t="str">
        <f t="shared" si="21"/>
        <v>GWh</v>
      </c>
      <c r="C507" s="2" t="s">
        <v>80</v>
      </c>
      <c r="D507" s="716">
        <f t="shared" si="22"/>
        <v>1</v>
      </c>
      <c r="E507" s="4" t="s">
        <v>31</v>
      </c>
      <c r="F507" s="43">
        <v>0</v>
      </c>
      <c r="G507" s="43">
        <v>0</v>
      </c>
      <c r="H507" s="43">
        <v>0</v>
      </c>
      <c r="I507" s="43">
        <v>0</v>
      </c>
      <c r="J507" s="43">
        <v>0</v>
      </c>
      <c r="K507" s="43">
        <v>0</v>
      </c>
      <c r="L507" s="43">
        <v>0</v>
      </c>
      <c r="M507" s="887"/>
      <c r="N507" s="16"/>
      <c r="O507" s="16"/>
      <c r="P507" s="16"/>
      <c r="Q507" s="16"/>
      <c r="R507" s="16"/>
    </row>
    <row r="508" spans="1:18" hidden="1" outlineLevel="1" x14ac:dyDescent="0.2">
      <c r="A508" s="22" t="s">
        <v>1227</v>
      </c>
      <c r="B508" s="2" t="str">
        <f t="shared" si="21"/>
        <v>GWh</v>
      </c>
      <c r="C508" s="2" t="s">
        <v>80</v>
      </c>
      <c r="D508" s="716">
        <f t="shared" si="22"/>
        <v>1</v>
      </c>
      <c r="E508" s="4" t="s">
        <v>8</v>
      </c>
      <c r="F508" s="43">
        <v>0</v>
      </c>
      <c r="G508" s="43">
        <v>0</v>
      </c>
      <c r="H508" s="43">
        <v>0</v>
      </c>
      <c r="I508" s="43">
        <v>0</v>
      </c>
      <c r="J508" s="43">
        <v>0</v>
      </c>
      <c r="K508" s="43">
        <v>0</v>
      </c>
      <c r="L508" s="43">
        <v>0.34039000000000008</v>
      </c>
      <c r="M508" s="887"/>
      <c r="N508" s="16"/>
      <c r="O508" s="16"/>
      <c r="P508" s="16"/>
      <c r="Q508" s="16"/>
      <c r="R508" s="16"/>
    </row>
    <row r="509" spans="1:18" hidden="1" outlineLevel="1" x14ac:dyDescent="0.2">
      <c r="A509" s="22" t="s">
        <v>1227</v>
      </c>
      <c r="B509" s="2" t="str">
        <f t="shared" si="21"/>
        <v>GWh</v>
      </c>
      <c r="C509" s="2" t="s">
        <v>80</v>
      </c>
      <c r="D509" s="716">
        <f t="shared" si="22"/>
        <v>1</v>
      </c>
      <c r="E509" s="4" t="s">
        <v>9</v>
      </c>
      <c r="F509" s="43">
        <v>0</v>
      </c>
      <c r="G509" s="43">
        <v>0</v>
      </c>
      <c r="H509" s="43">
        <v>0</v>
      </c>
      <c r="I509" s="43">
        <v>0</v>
      </c>
      <c r="J509" s="43">
        <v>0</v>
      </c>
      <c r="K509" s="43">
        <v>0</v>
      </c>
      <c r="L509" s="43">
        <v>0</v>
      </c>
      <c r="M509" s="887"/>
      <c r="N509" s="16"/>
      <c r="O509" s="16"/>
      <c r="P509" s="16"/>
      <c r="Q509" s="16"/>
      <c r="R509" s="16"/>
    </row>
    <row r="510" spans="1:18" hidden="1" outlineLevel="1" x14ac:dyDescent="0.2">
      <c r="A510" s="22" t="s">
        <v>1227</v>
      </c>
      <c r="B510" s="2" t="str">
        <f t="shared" si="21"/>
        <v>GWh</v>
      </c>
      <c r="C510" s="2" t="s">
        <v>80</v>
      </c>
      <c r="D510" s="716">
        <f t="shared" si="22"/>
        <v>1</v>
      </c>
      <c r="E510" s="4" t="s">
        <v>10</v>
      </c>
      <c r="F510" s="43">
        <v>0</v>
      </c>
      <c r="G510" s="43">
        <v>0</v>
      </c>
      <c r="H510" s="43">
        <v>0</v>
      </c>
      <c r="I510" s="43">
        <v>0</v>
      </c>
      <c r="J510" s="43">
        <v>0</v>
      </c>
      <c r="K510" s="43">
        <v>0</v>
      </c>
      <c r="L510" s="43">
        <v>0.26700000000000002</v>
      </c>
      <c r="M510" s="887"/>
      <c r="N510" s="16"/>
      <c r="O510" s="16"/>
      <c r="P510" s="16"/>
      <c r="Q510" s="16"/>
      <c r="R510" s="16"/>
    </row>
    <row r="511" spans="1:18" hidden="1" outlineLevel="1" x14ac:dyDescent="0.2">
      <c r="A511" s="22" t="s">
        <v>1227</v>
      </c>
      <c r="B511" s="2" t="str">
        <f t="shared" si="21"/>
        <v>GWh</v>
      </c>
      <c r="C511" s="2" t="s">
        <v>80</v>
      </c>
      <c r="D511" s="716">
        <f t="shared" si="22"/>
        <v>1</v>
      </c>
      <c r="E511" s="4" t="s">
        <v>11</v>
      </c>
      <c r="F511" s="43">
        <v>0</v>
      </c>
      <c r="G511" s="43">
        <v>0</v>
      </c>
      <c r="H511" s="43">
        <v>0</v>
      </c>
      <c r="I511" s="43">
        <v>0</v>
      </c>
      <c r="J511" s="43">
        <v>0</v>
      </c>
      <c r="K511" s="43">
        <v>0</v>
      </c>
      <c r="L511" s="43">
        <v>0</v>
      </c>
      <c r="M511" s="887"/>
      <c r="N511" s="16"/>
      <c r="O511" s="16"/>
      <c r="P511" s="16"/>
      <c r="Q511" s="16"/>
      <c r="R511" s="16"/>
    </row>
    <row r="512" spans="1:18" hidden="1" outlineLevel="1" x14ac:dyDescent="0.2">
      <c r="A512" s="22" t="s">
        <v>1227</v>
      </c>
      <c r="B512" s="2" t="str">
        <f t="shared" si="21"/>
        <v>GWh</v>
      </c>
      <c r="C512" s="2" t="s">
        <v>80</v>
      </c>
      <c r="D512" s="716">
        <f t="shared" si="22"/>
        <v>1</v>
      </c>
      <c r="E512" s="4" t="s">
        <v>12</v>
      </c>
      <c r="F512" s="43">
        <v>1.4880000000000001E-2</v>
      </c>
      <c r="G512" s="43">
        <v>0.02</v>
      </c>
      <c r="H512" s="43">
        <v>2.6690000000000002E-2</v>
      </c>
      <c r="I512" s="43">
        <v>7.8700000000000003E-3</v>
      </c>
      <c r="J512" s="43">
        <v>0</v>
      </c>
      <c r="K512" s="43">
        <v>0.01</v>
      </c>
      <c r="L512" s="43">
        <v>0.33</v>
      </c>
      <c r="M512" s="887"/>
      <c r="N512" s="16"/>
      <c r="O512" s="16"/>
      <c r="P512" s="16"/>
      <c r="Q512" s="16"/>
      <c r="R512" s="16"/>
    </row>
    <row r="513" spans="1:18" hidden="1" outlineLevel="1" x14ac:dyDescent="0.2">
      <c r="A513" s="22" t="s">
        <v>1227</v>
      </c>
      <c r="B513" s="2" t="str">
        <f t="shared" si="21"/>
        <v>GWh</v>
      </c>
      <c r="C513" s="2" t="s">
        <v>80</v>
      </c>
      <c r="D513" s="716">
        <f t="shared" si="22"/>
        <v>1</v>
      </c>
      <c r="E513" s="4" t="s">
        <v>1</v>
      </c>
      <c r="F513" s="43">
        <v>0</v>
      </c>
      <c r="G513" s="43">
        <v>0</v>
      </c>
      <c r="H513" s="43">
        <v>0</v>
      </c>
      <c r="I513" s="43">
        <v>0</v>
      </c>
      <c r="J513" s="43">
        <v>0</v>
      </c>
      <c r="K513" s="43">
        <v>0</v>
      </c>
      <c r="L513" s="43">
        <v>0</v>
      </c>
      <c r="M513" s="887"/>
      <c r="N513" s="16"/>
      <c r="O513" s="16"/>
      <c r="P513" s="16"/>
      <c r="Q513" s="16"/>
      <c r="R513" s="16"/>
    </row>
    <row r="514" spans="1:18" hidden="1" outlineLevel="1" x14ac:dyDescent="0.2">
      <c r="A514" s="22" t="s">
        <v>1227</v>
      </c>
      <c r="B514" s="2" t="str">
        <f t="shared" si="21"/>
        <v>GWh</v>
      </c>
      <c r="C514" s="2" t="s">
        <v>80</v>
      </c>
      <c r="D514" s="716">
        <f t="shared" si="22"/>
        <v>1</v>
      </c>
      <c r="E514" s="4" t="s">
        <v>13</v>
      </c>
      <c r="F514" s="43">
        <v>0</v>
      </c>
      <c r="G514" s="43">
        <v>0</v>
      </c>
      <c r="H514" s="43">
        <v>0</v>
      </c>
      <c r="I514" s="43">
        <v>0</v>
      </c>
      <c r="J514" s="43">
        <v>0</v>
      </c>
      <c r="K514" s="43">
        <v>0</v>
      </c>
      <c r="L514" s="43">
        <v>0</v>
      </c>
      <c r="M514" s="887"/>
      <c r="N514" s="16"/>
      <c r="O514" s="16"/>
      <c r="P514" s="16"/>
      <c r="Q514" s="16"/>
      <c r="R514" s="16"/>
    </row>
    <row r="515" spans="1:18" hidden="1" outlineLevel="1" x14ac:dyDescent="0.2">
      <c r="A515" s="22" t="s">
        <v>1227</v>
      </c>
      <c r="B515" s="2" t="str">
        <f t="shared" si="21"/>
        <v>GWh</v>
      </c>
      <c r="C515" s="2" t="s">
        <v>80</v>
      </c>
      <c r="D515" s="716">
        <f t="shared" si="22"/>
        <v>1</v>
      </c>
      <c r="E515" s="4" t="s">
        <v>14</v>
      </c>
      <c r="F515" s="43">
        <v>0</v>
      </c>
      <c r="G515" s="43">
        <v>0</v>
      </c>
      <c r="H515" s="43">
        <v>0</v>
      </c>
      <c r="I515" s="43">
        <v>0</v>
      </c>
      <c r="J515" s="43">
        <v>0</v>
      </c>
      <c r="K515" s="43">
        <v>0</v>
      </c>
      <c r="L515" s="43">
        <v>0</v>
      </c>
      <c r="M515" s="887"/>
      <c r="N515" s="16"/>
      <c r="O515" s="16"/>
      <c r="P515" s="16"/>
      <c r="Q515" s="16"/>
      <c r="R515" s="16"/>
    </row>
    <row r="516" spans="1:18" hidden="1" outlineLevel="1" x14ac:dyDescent="0.2">
      <c r="A516" s="22" t="s">
        <v>1227</v>
      </c>
      <c r="B516" s="2" t="str">
        <f t="shared" si="21"/>
        <v>GWh</v>
      </c>
      <c r="C516" s="2" t="s">
        <v>80</v>
      </c>
      <c r="D516" s="716">
        <f t="shared" si="22"/>
        <v>1</v>
      </c>
      <c r="E516" s="4" t="s">
        <v>15</v>
      </c>
      <c r="F516" s="43">
        <v>0</v>
      </c>
      <c r="G516" s="43">
        <v>0</v>
      </c>
      <c r="H516" s="43">
        <v>0</v>
      </c>
      <c r="I516" s="43">
        <v>0</v>
      </c>
      <c r="J516" s="43">
        <v>0</v>
      </c>
      <c r="K516" s="43">
        <v>0</v>
      </c>
      <c r="L516" s="43">
        <v>0</v>
      </c>
      <c r="M516" s="887"/>
      <c r="N516" s="16"/>
      <c r="O516" s="16"/>
      <c r="P516" s="16"/>
      <c r="Q516" s="16"/>
      <c r="R516" s="16"/>
    </row>
    <row r="517" spans="1:18" hidden="1" outlineLevel="1" x14ac:dyDescent="0.2">
      <c r="A517" s="22" t="s">
        <v>1227</v>
      </c>
      <c r="B517" s="2" t="str">
        <f t="shared" si="21"/>
        <v>GWh</v>
      </c>
      <c r="C517" s="2" t="s">
        <v>80</v>
      </c>
      <c r="D517" s="716">
        <f t="shared" si="22"/>
        <v>1</v>
      </c>
      <c r="E517" s="4" t="s">
        <v>16</v>
      </c>
      <c r="F517" s="43">
        <v>0</v>
      </c>
      <c r="G517" s="43">
        <v>0</v>
      </c>
      <c r="H517" s="43">
        <v>0</v>
      </c>
      <c r="I517" s="43">
        <v>0</v>
      </c>
      <c r="J517" s="43">
        <v>0</v>
      </c>
      <c r="K517" s="43">
        <v>0</v>
      </c>
      <c r="L517" s="43">
        <v>0</v>
      </c>
      <c r="M517" s="887"/>
      <c r="N517" s="16"/>
      <c r="O517" s="16"/>
      <c r="P517" s="16"/>
      <c r="Q517" s="16"/>
      <c r="R517" s="16"/>
    </row>
    <row r="518" spans="1:18" hidden="1" outlineLevel="1" x14ac:dyDescent="0.2">
      <c r="A518" s="22" t="s">
        <v>1227</v>
      </c>
      <c r="B518" s="2" t="str">
        <f t="shared" si="21"/>
        <v>GWh</v>
      </c>
      <c r="C518" s="2" t="s">
        <v>80</v>
      </c>
      <c r="D518" s="716">
        <f t="shared" si="22"/>
        <v>1</v>
      </c>
      <c r="E518" s="4" t="s">
        <v>17</v>
      </c>
      <c r="F518" s="43">
        <v>0</v>
      </c>
      <c r="G518" s="43">
        <v>0</v>
      </c>
      <c r="H518" s="43">
        <v>0</v>
      </c>
      <c r="I518" s="43">
        <v>0</v>
      </c>
      <c r="J518" s="43">
        <v>0</v>
      </c>
      <c r="K518" s="43">
        <v>0</v>
      </c>
      <c r="L518" s="43">
        <v>0</v>
      </c>
      <c r="M518" s="887"/>
      <c r="N518" s="16"/>
      <c r="O518" s="16"/>
      <c r="P518" s="16"/>
      <c r="Q518" s="16"/>
      <c r="R518" s="16"/>
    </row>
    <row r="519" spans="1:18" hidden="1" outlineLevel="1" x14ac:dyDescent="0.2">
      <c r="A519" s="22" t="s">
        <v>1227</v>
      </c>
      <c r="B519" s="2" t="str">
        <f t="shared" si="21"/>
        <v>GWh</v>
      </c>
      <c r="C519" s="2" t="s">
        <v>80</v>
      </c>
      <c r="D519" s="716">
        <f t="shared" si="22"/>
        <v>1</v>
      </c>
      <c r="E519" s="4" t="s">
        <v>18</v>
      </c>
      <c r="F519" s="43">
        <v>0</v>
      </c>
      <c r="G519" s="43">
        <v>0</v>
      </c>
      <c r="H519" s="43">
        <v>0</v>
      </c>
      <c r="I519" s="43">
        <v>0</v>
      </c>
      <c r="J519" s="43">
        <v>0</v>
      </c>
      <c r="K519" s="43">
        <v>0</v>
      </c>
      <c r="L519" s="43">
        <v>2.0158579999999997</v>
      </c>
      <c r="M519" s="887"/>
      <c r="N519" s="16"/>
      <c r="O519" s="16"/>
      <c r="P519" s="16"/>
      <c r="Q519" s="16"/>
      <c r="R519" s="16"/>
    </row>
    <row r="520" spans="1:18" hidden="1" outlineLevel="1" x14ac:dyDescent="0.2">
      <c r="A520" s="22" t="s">
        <v>1227</v>
      </c>
      <c r="B520" s="2" t="str">
        <f t="shared" ref="B520:B583" si="23">IF(A520="Capacity", "MW", "GWh")</f>
        <v>GWh</v>
      </c>
      <c r="C520" s="2" t="s">
        <v>80</v>
      </c>
      <c r="D520" s="716">
        <f t="shared" si="22"/>
        <v>1</v>
      </c>
      <c r="E520" s="4" t="s">
        <v>2</v>
      </c>
      <c r="F520" s="43">
        <v>0</v>
      </c>
      <c r="G520" s="43">
        <v>0</v>
      </c>
      <c r="H520" s="43">
        <v>0</v>
      </c>
      <c r="I520" s="43">
        <v>0</v>
      </c>
      <c r="J520" s="43">
        <v>0</v>
      </c>
      <c r="K520" s="43">
        <v>0</v>
      </c>
      <c r="L520" s="43">
        <v>0</v>
      </c>
      <c r="M520" s="887"/>
      <c r="N520" s="16"/>
      <c r="O520" s="16"/>
      <c r="P520" s="16"/>
      <c r="Q520" s="16"/>
      <c r="R520" s="16"/>
    </row>
    <row r="521" spans="1:18" hidden="1" outlineLevel="1" x14ac:dyDescent="0.2">
      <c r="A521" s="22" t="s">
        <v>1227</v>
      </c>
      <c r="B521" s="2" t="str">
        <f t="shared" si="23"/>
        <v>GWh</v>
      </c>
      <c r="C521" s="2" t="s">
        <v>80</v>
      </c>
      <c r="D521" s="716">
        <f t="shared" si="22"/>
        <v>1</v>
      </c>
      <c r="E521" s="4" t="s">
        <v>19</v>
      </c>
      <c r="F521" s="43">
        <v>0</v>
      </c>
      <c r="G521" s="43">
        <v>0</v>
      </c>
      <c r="H521" s="43">
        <v>0</v>
      </c>
      <c r="I521" s="43">
        <v>0</v>
      </c>
      <c r="J521" s="43">
        <v>0</v>
      </c>
      <c r="K521" s="43">
        <v>0</v>
      </c>
      <c r="L521" s="43">
        <v>0</v>
      </c>
      <c r="M521" s="887"/>
      <c r="N521" s="16"/>
      <c r="O521" s="16"/>
      <c r="P521" s="16"/>
      <c r="Q521" s="16"/>
      <c r="R521" s="16"/>
    </row>
    <row r="522" spans="1:18" hidden="1" outlineLevel="1" x14ac:dyDescent="0.2">
      <c r="A522" s="22" t="s">
        <v>1227</v>
      </c>
      <c r="B522" s="2" t="str">
        <f t="shared" si="23"/>
        <v>GWh</v>
      </c>
      <c r="C522" s="2" t="s">
        <v>80</v>
      </c>
      <c r="D522" s="716">
        <f t="shared" si="22"/>
        <v>1</v>
      </c>
      <c r="E522" s="4" t="s">
        <v>3</v>
      </c>
      <c r="F522" s="43">
        <v>0</v>
      </c>
      <c r="G522" s="43">
        <v>0</v>
      </c>
      <c r="H522" s="43">
        <v>0</v>
      </c>
      <c r="I522" s="43">
        <v>0</v>
      </c>
      <c r="J522" s="43">
        <v>0</v>
      </c>
      <c r="K522" s="43">
        <v>0</v>
      </c>
      <c r="L522" s="43">
        <v>0</v>
      </c>
      <c r="M522" s="887"/>
      <c r="N522" s="16"/>
      <c r="O522" s="16"/>
      <c r="P522" s="16"/>
      <c r="Q522" s="16"/>
      <c r="R522" s="16"/>
    </row>
    <row r="523" spans="1:18" hidden="1" outlineLevel="1" x14ac:dyDescent="0.2">
      <c r="A523" s="22" t="s">
        <v>1227</v>
      </c>
      <c r="B523" s="2" t="str">
        <f t="shared" si="23"/>
        <v>GWh</v>
      </c>
      <c r="C523" s="2" t="s">
        <v>80</v>
      </c>
      <c r="D523" s="716">
        <f t="shared" si="22"/>
        <v>1</v>
      </c>
      <c r="E523" s="4" t="s">
        <v>20</v>
      </c>
      <c r="F523" s="43">
        <v>0</v>
      </c>
      <c r="G523" s="43">
        <v>0</v>
      </c>
      <c r="H523" s="43">
        <v>0</v>
      </c>
      <c r="I523" s="43">
        <v>0</v>
      </c>
      <c r="J523" s="43">
        <v>0</v>
      </c>
      <c r="K523" s="43">
        <v>0</v>
      </c>
      <c r="L523" s="43">
        <v>59.7</v>
      </c>
      <c r="M523" s="887"/>
      <c r="N523" s="16"/>
      <c r="O523" s="16"/>
      <c r="P523" s="16"/>
      <c r="Q523" s="16"/>
      <c r="R523" s="16"/>
    </row>
    <row r="524" spans="1:18" hidden="1" outlineLevel="1" x14ac:dyDescent="0.2">
      <c r="A524" s="22" t="s">
        <v>1227</v>
      </c>
      <c r="B524" s="2" t="str">
        <f t="shared" si="23"/>
        <v>GWh</v>
      </c>
      <c r="C524" s="2" t="s">
        <v>80</v>
      </c>
      <c r="D524" s="716">
        <f t="shared" si="22"/>
        <v>1</v>
      </c>
      <c r="E524" s="4" t="s">
        <v>21</v>
      </c>
      <c r="F524" s="43">
        <v>0</v>
      </c>
      <c r="G524" s="43">
        <v>0</v>
      </c>
      <c r="H524" s="43">
        <v>0</v>
      </c>
      <c r="I524" s="43">
        <v>0</v>
      </c>
      <c r="J524" s="43">
        <v>0</v>
      </c>
      <c r="K524" s="43">
        <v>0</v>
      </c>
      <c r="L524" s="43">
        <v>0</v>
      </c>
      <c r="M524" s="887"/>
      <c r="N524" s="16"/>
      <c r="O524" s="16"/>
      <c r="P524" s="16"/>
      <c r="Q524" s="16"/>
      <c r="R524" s="16"/>
    </row>
    <row r="525" spans="1:18" hidden="1" outlineLevel="1" x14ac:dyDescent="0.2">
      <c r="A525" s="22" t="s">
        <v>1227</v>
      </c>
      <c r="B525" s="2" t="str">
        <f t="shared" si="23"/>
        <v>GWh</v>
      </c>
      <c r="C525" s="2" t="s">
        <v>80</v>
      </c>
      <c r="D525" s="716">
        <f t="shared" si="22"/>
        <v>1</v>
      </c>
      <c r="E525" s="4" t="s">
        <v>1096</v>
      </c>
      <c r="F525" s="43">
        <v>0</v>
      </c>
      <c r="G525" s="43">
        <v>0</v>
      </c>
      <c r="H525" s="43">
        <v>0</v>
      </c>
      <c r="I525" s="43">
        <v>0</v>
      </c>
      <c r="J525" s="43">
        <v>0</v>
      </c>
      <c r="K525" s="43">
        <v>0</v>
      </c>
      <c r="L525" s="43">
        <v>0</v>
      </c>
      <c r="M525" s="887"/>
      <c r="N525" s="16"/>
      <c r="O525" s="16"/>
      <c r="P525" s="16"/>
      <c r="Q525" s="16"/>
      <c r="R525" s="16"/>
    </row>
    <row r="526" spans="1:18" hidden="1" outlineLevel="1" x14ac:dyDescent="0.2">
      <c r="A526" s="22" t="s">
        <v>1227</v>
      </c>
      <c r="B526" s="2" t="str">
        <f t="shared" si="23"/>
        <v>GWh</v>
      </c>
      <c r="C526" s="2" t="s">
        <v>80</v>
      </c>
      <c r="D526" s="716">
        <f t="shared" si="22"/>
        <v>1</v>
      </c>
      <c r="E526" s="4" t="s">
        <v>22</v>
      </c>
      <c r="F526" s="43">
        <v>0</v>
      </c>
      <c r="G526" s="43">
        <v>0</v>
      </c>
      <c r="H526" s="43">
        <v>0</v>
      </c>
      <c r="I526" s="43">
        <v>0</v>
      </c>
      <c r="J526" s="43">
        <v>0</v>
      </c>
      <c r="K526" s="43">
        <v>0</v>
      </c>
      <c r="L526" s="43">
        <v>0</v>
      </c>
      <c r="M526" s="887"/>
      <c r="N526" s="16"/>
      <c r="O526" s="16"/>
      <c r="P526" s="16"/>
      <c r="Q526" s="16"/>
      <c r="R526" s="16"/>
    </row>
    <row r="527" spans="1:18" hidden="1" outlineLevel="1" x14ac:dyDescent="0.2">
      <c r="A527" s="22" t="s">
        <v>1227</v>
      </c>
      <c r="B527" s="2" t="str">
        <f t="shared" si="23"/>
        <v>GWh</v>
      </c>
      <c r="C527" s="2" t="s">
        <v>80</v>
      </c>
      <c r="D527" s="719">
        <f t="shared" si="22"/>
        <v>1</v>
      </c>
      <c r="E527" s="86" t="s">
        <v>23</v>
      </c>
      <c r="F527" s="43">
        <v>0</v>
      </c>
      <c r="G527" s="43">
        <v>0</v>
      </c>
      <c r="H527" s="43">
        <v>0</v>
      </c>
      <c r="I527" s="43">
        <v>0</v>
      </c>
      <c r="J527" s="43">
        <v>0</v>
      </c>
      <c r="K527" s="43">
        <v>0</v>
      </c>
      <c r="L527" s="43">
        <v>0</v>
      </c>
      <c r="M527" s="918"/>
      <c r="N527" s="16"/>
      <c r="O527" s="16"/>
      <c r="P527" s="16"/>
      <c r="Q527" s="16"/>
      <c r="R527" s="16"/>
    </row>
    <row r="528" spans="1:18" hidden="1" outlineLevel="1" x14ac:dyDescent="0.2">
      <c r="A528" s="532" t="s">
        <v>1227</v>
      </c>
      <c r="B528" s="533" t="str">
        <f t="shared" si="23"/>
        <v>GWh</v>
      </c>
      <c r="C528" s="533" t="s">
        <v>157</v>
      </c>
      <c r="D528" s="715">
        <f t="shared" si="22"/>
        <v>1</v>
      </c>
      <c r="E528" s="468" t="s">
        <v>4</v>
      </c>
      <c r="F528" s="534">
        <v>0</v>
      </c>
      <c r="G528" s="534">
        <v>0</v>
      </c>
      <c r="H528" s="534">
        <v>0</v>
      </c>
      <c r="I528" s="534">
        <v>0</v>
      </c>
      <c r="J528" s="534">
        <v>0</v>
      </c>
      <c r="K528" s="534">
        <v>0</v>
      </c>
      <c r="L528" s="534">
        <v>0</v>
      </c>
      <c r="M528" s="888"/>
      <c r="N528" s="16"/>
      <c r="O528" s="16"/>
      <c r="P528" s="16"/>
      <c r="Q528" s="16"/>
      <c r="R528" s="16"/>
    </row>
    <row r="529" spans="1:18" hidden="1" outlineLevel="1" x14ac:dyDescent="0.2">
      <c r="A529" s="22" t="s">
        <v>1227</v>
      </c>
      <c r="B529" s="2" t="str">
        <f t="shared" si="23"/>
        <v>GWh</v>
      </c>
      <c r="C529" s="2" t="s">
        <v>157</v>
      </c>
      <c r="D529" s="716">
        <f t="shared" si="22"/>
        <v>1</v>
      </c>
      <c r="E529" s="4" t="s">
        <v>5</v>
      </c>
      <c r="F529" s="43">
        <v>0</v>
      </c>
      <c r="G529" s="43">
        <v>0</v>
      </c>
      <c r="H529" s="43">
        <v>0</v>
      </c>
      <c r="I529" s="43">
        <v>0</v>
      </c>
      <c r="J529" s="43">
        <v>0</v>
      </c>
      <c r="K529" s="43">
        <v>0</v>
      </c>
      <c r="L529" s="43">
        <v>0</v>
      </c>
      <c r="M529" s="887"/>
      <c r="N529" s="16"/>
      <c r="O529" s="16"/>
      <c r="P529" s="16"/>
      <c r="Q529" s="16"/>
      <c r="R529" s="16"/>
    </row>
    <row r="530" spans="1:18" hidden="1" outlineLevel="1" x14ac:dyDescent="0.2">
      <c r="A530" s="22" t="s">
        <v>1227</v>
      </c>
      <c r="B530" s="2" t="str">
        <f t="shared" si="23"/>
        <v>GWh</v>
      </c>
      <c r="C530" s="2" t="s">
        <v>157</v>
      </c>
      <c r="D530" s="716">
        <f t="shared" si="22"/>
        <v>1</v>
      </c>
      <c r="E530" s="4" t="s">
        <v>6</v>
      </c>
      <c r="F530" s="43">
        <v>0</v>
      </c>
      <c r="G530" s="43">
        <v>0</v>
      </c>
      <c r="H530" s="43">
        <v>0</v>
      </c>
      <c r="I530" s="43">
        <v>0</v>
      </c>
      <c r="J530" s="43">
        <v>0</v>
      </c>
      <c r="K530" s="43">
        <v>0</v>
      </c>
      <c r="L530" s="43">
        <v>0</v>
      </c>
      <c r="M530" s="887"/>
      <c r="N530" s="16"/>
      <c r="O530" s="16"/>
      <c r="P530" s="16"/>
      <c r="Q530" s="16"/>
      <c r="R530" s="16"/>
    </row>
    <row r="531" spans="1:18" hidden="1" outlineLevel="1" x14ac:dyDescent="0.2">
      <c r="A531" s="22" t="s">
        <v>1227</v>
      </c>
      <c r="B531" s="2" t="str">
        <f t="shared" si="23"/>
        <v>GWh</v>
      </c>
      <c r="C531" s="2" t="s">
        <v>157</v>
      </c>
      <c r="D531" s="716">
        <f t="shared" si="22"/>
        <v>1</v>
      </c>
      <c r="E531" s="4" t="s">
        <v>143</v>
      </c>
      <c r="F531" s="43">
        <v>0</v>
      </c>
      <c r="G531" s="43">
        <v>0</v>
      </c>
      <c r="H531" s="43">
        <v>0</v>
      </c>
      <c r="I531" s="43">
        <v>0</v>
      </c>
      <c r="J531" s="43">
        <v>0</v>
      </c>
      <c r="K531" s="43">
        <v>0</v>
      </c>
      <c r="L531" s="43">
        <v>0</v>
      </c>
      <c r="M531" s="887"/>
      <c r="N531" s="16"/>
      <c r="O531" s="16"/>
      <c r="P531" s="16"/>
      <c r="Q531" s="16"/>
      <c r="R531" s="16"/>
    </row>
    <row r="532" spans="1:18" hidden="1" outlineLevel="1" x14ac:dyDescent="0.2">
      <c r="A532" s="22" t="s">
        <v>1227</v>
      </c>
      <c r="B532" s="2" t="str">
        <f t="shared" si="23"/>
        <v>GWh</v>
      </c>
      <c r="C532" s="2" t="s">
        <v>157</v>
      </c>
      <c r="D532" s="716">
        <f t="shared" si="22"/>
        <v>1</v>
      </c>
      <c r="E532" s="4" t="s">
        <v>7</v>
      </c>
      <c r="F532" s="43">
        <v>0</v>
      </c>
      <c r="G532" s="43">
        <v>0</v>
      </c>
      <c r="H532" s="43">
        <v>0</v>
      </c>
      <c r="I532" s="43">
        <v>0</v>
      </c>
      <c r="J532" s="43">
        <v>0</v>
      </c>
      <c r="K532" s="43">
        <v>0</v>
      </c>
      <c r="L532" s="43">
        <v>0</v>
      </c>
      <c r="M532" s="887"/>
      <c r="N532" s="16"/>
      <c r="O532" s="16"/>
      <c r="P532" s="16"/>
      <c r="Q532" s="16"/>
      <c r="R532" s="16"/>
    </row>
    <row r="533" spans="1:18" hidden="1" outlineLevel="1" x14ac:dyDescent="0.2">
      <c r="A533" s="22" t="s">
        <v>1227</v>
      </c>
      <c r="B533" s="2" t="str">
        <f t="shared" si="23"/>
        <v>GWh</v>
      </c>
      <c r="C533" s="2" t="s">
        <v>157</v>
      </c>
      <c r="D533" s="716">
        <f t="shared" si="22"/>
        <v>1</v>
      </c>
      <c r="E533" s="4" t="s">
        <v>31</v>
      </c>
      <c r="F533" s="43">
        <v>0</v>
      </c>
      <c r="G533" s="43">
        <v>0</v>
      </c>
      <c r="H533" s="43">
        <v>0</v>
      </c>
      <c r="I533" s="43">
        <v>0</v>
      </c>
      <c r="J533" s="43">
        <v>0</v>
      </c>
      <c r="K533" s="43">
        <v>0</v>
      </c>
      <c r="L533" s="43">
        <v>0</v>
      </c>
      <c r="M533" s="887"/>
      <c r="N533" s="16"/>
      <c r="O533" s="16"/>
      <c r="P533" s="16"/>
      <c r="Q533" s="16"/>
      <c r="R533" s="16"/>
    </row>
    <row r="534" spans="1:18" hidden="1" outlineLevel="1" x14ac:dyDescent="0.2">
      <c r="A534" s="22" t="s">
        <v>1227</v>
      </c>
      <c r="B534" s="2" t="str">
        <f t="shared" si="23"/>
        <v>GWh</v>
      </c>
      <c r="C534" s="2" t="s">
        <v>157</v>
      </c>
      <c r="D534" s="716">
        <f t="shared" si="22"/>
        <v>1</v>
      </c>
      <c r="E534" s="4" t="s">
        <v>8</v>
      </c>
      <c r="F534" s="43">
        <v>0</v>
      </c>
      <c r="G534" s="43">
        <v>0</v>
      </c>
      <c r="H534" s="43">
        <v>0</v>
      </c>
      <c r="I534" s="43">
        <v>0</v>
      </c>
      <c r="J534" s="43">
        <v>0</v>
      </c>
      <c r="K534" s="43">
        <v>0</v>
      </c>
      <c r="L534" s="43">
        <v>0</v>
      </c>
      <c r="M534" s="887"/>
      <c r="N534" s="16"/>
      <c r="O534" s="16"/>
      <c r="P534" s="16"/>
      <c r="Q534" s="16"/>
      <c r="R534" s="16"/>
    </row>
    <row r="535" spans="1:18" hidden="1" outlineLevel="1" x14ac:dyDescent="0.2">
      <c r="A535" s="22" t="s">
        <v>1227</v>
      </c>
      <c r="B535" s="2" t="str">
        <f t="shared" si="23"/>
        <v>GWh</v>
      </c>
      <c r="C535" s="2" t="s">
        <v>157</v>
      </c>
      <c r="D535" s="716">
        <f t="shared" si="22"/>
        <v>1</v>
      </c>
      <c r="E535" s="4" t="s">
        <v>9</v>
      </c>
      <c r="F535" s="43">
        <v>0</v>
      </c>
      <c r="G535" s="43">
        <v>0</v>
      </c>
      <c r="H535" s="43">
        <v>0</v>
      </c>
      <c r="I535" s="43">
        <v>0</v>
      </c>
      <c r="J535" s="43">
        <v>0</v>
      </c>
      <c r="K535" s="43">
        <v>0</v>
      </c>
      <c r="L535" s="43">
        <v>0</v>
      </c>
      <c r="M535" s="887"/>
      <c r="N535" s="16"/>
      <c r="O535" s="16"/>
      <c r="P535" s="16"/>
      <c r="Q535" s="16"/>
      <c r="R535" s="16"/>
    </row>
    <row r="536" spans="1:18" hidden="1" outlineLevel="1" x14ac:dyDescent="0.2">
      <c r="A536" s="22" t="s">
        <v>1227</v>
      </c>
      <c r="B536" s="2" t="str">
        <f t="shared" si="23"/>
        <v>GWh</v>
      </c>
      <c r="C536" s="2" t="s">
        <v>157</v>
      </c>
      <c r="D536" s="716">
        <f t="shared" si="22"/>
        <v>1</v>
      </c>
      <c r="E536" s="4" t="s">
        <v>10</v>
      </c>
      <c r="F536" s="43">
        <v>1219.5635999636363</v>
      </c>
      <c r="G536" s="43">
        <v>1228.69947667</v>
      </c>
      <c r="H536" s="43">
        <v>1130.02638288</v>
      </c>
      <c r="I536" s="43">
        <v>1172.7318634635626</v>
      </c>
      <c r="J536" s="43">
        <v>1176.0161220799998</v>
      </c>
      <c r="K536" s="43">
        <v>1286.6247714200001</v>
      </c>
      <c r="L536" s="43">
        <v>1403.1969999999999</v>
      </c>
      <c r="M536" s="887"/>
      <c r="N536" s="16"/>
      <c r="O536" s="16"/>
      <c r="P536" s="16"/>
      <c r="Q536" s="16"/>
      <c r="R536" s="16"/>
    </row>
    <row r="537" spans="1:18" hidden="1" outlineLevel="1" x14ac:dyDescent="0.2">
      <c r="A537" s="22" t="s">
        <v>1227</v>
      </c>
      <c r="B537" s="2" t="str">
        <f t="shared" si="23"/>
        <v>GWh</v>
      </c>
      <c r="C537" s="2" t="s">
        <v>157</v>
      </c>
      <c r="D537" s="716">
        <f t="shared" si="22"/>
        <v>1</v>
      </c>
      <c r="E537" s="4" t="s">
        <v>11</v>
      </c>
      <c r="F537" s="43">
        <v>0</v>
      </c>
      <c r="G537" s="43">
        <v>0</v>
      </c>
      <c r="H537" s="43">
        <v>0</v>
      </c>
      <c r="I537" s="43">
        <v>0</v>
      </c>
      <c r="J537" s="43">
        <v>0</v>
      </c>
      <c r="K537" s="43">
        <v>0</v>
      </c>
      <c r="L537" s="43">
        <v>0</v>
      </c>
      <c r="M537" s="887"/>
      <c r="N537" s="16"/>
      <c r="O537" s="16"/>
      <c r="P537" s="16"/>
      <c r="Q537" s="16"/>
      <c r="R537" s="16"/>
    </row>
    <row r="538" spans="1:18" hidden="1" outlineLevel="1" x14ac:dyDescent="0.2">
      <c r="A538" s="22" t="s">
        <v>1227</v>
      </c>
      <c r="B538" s="2" t="str">
        <f t="shared" si="23"/>
        <v>GWh</v>
      </c>
      <c r="C538" s="2" t="s">
        <v>157</v>
      </c>
      <c r="D538" s="716">
        <f t="shared" ref="D538:D601" si="24">IF(C538="","",IF(OR(C538="Wind",C538="Solar",C538="Geothermal",C538="Small Hydro",C538="Biofuels",C538="Biomass &amp; Waste"), 1, 0))</f>
        <v>1</v>
      </c>
      <c r="E538" s="4" t="s">
        <v>12</v>
      </c>
      <c r="F538" s="43">
        <v>0</v>
      </c>
      <c r="G538" s="43">
        <v>0</v>
      </c>
      <c r="H538" s="43">
        <v>0</v>
      </c>
      <c r="I538" s="43">
        <v>0</v>
      </c>
      <c r="J538" s="43">
        <v>0</v>
      </c>
      <c r="K538" s="43">
        <v>0</v>
      </c>
      <c r="L538" s="43">
        <v>0</v>
      </c>
      <c r="M538" s="887"/>
      <c r="N538" s="16"/>
      <c r="O538" s="16"/>
      <c r="P538" s="16"/>
      <c r="Q538" s="16"/>
      <c r="R538" s="16"/>
    </row>
    <row r="539" spans="1:18" hidden="1" outlineLevel="1" x14ac:dyDescent="0.2">
      <c r="A539" s="22" t="s">
        <v>1227</v>
      </c>
      <c r="B539" s="2" t="str">
        <f t="shared" si="23"/>
        <v>GWh</v>
      </c>
      <c r="C539" s="2" t="s">
        <v>157</v>
      </c>
      <c r="D539" s="716">
        <f t="shared" si="24"/>
        <v>1</v>
      </c>
      <c r="E539" s="4" t="s">
        <v>1</v>
      </c>
      <c r="F539" s="43">
        <v>1140.44</v>
      </c>
      <c r="G539" s="43">
        <v>1381.66</v>
      </c>
      <c r="H539" s="43">
        <v>1519.14</v>
      </c>
      <c r="I539" s="43">
        <v>1523.94</v>
      </c>
      <c r="J539" s="43">
        <v>1525.13</v>
      </c>
      <c r="K539" s="43">
        <v>1430</v>
      </c>
      <c r="L539" s="43">
        <v>1430</v>
      </c>
      <c r="M539" s="887"/>
      <c r="N539" s="16"/>
      <c r="O539" s="16"/>
      <c r="P539" s="16"/>
      <c r="Q539" s="16"/>
      <c r="R539" s="16"/>
    </row>
    <row r="540" spans="1:18" hidden="1" outlineLevel="1" x14ac:dyDescent="0.2">
      <c r="A540" s="22" t="s">
        <v>1227</v>
      </c>
      <c r="B540" s="2" t="str">
        <f t="shared" si="23"/>
        <v>GWh</v>
      </c>
      <c r="C540" s="2" t="s">
        <v>157</v>
      </c>
      <c r="D540" s="716">
        <f t="shared" si="24"/>
        <v>1</v>
      </c>
      <c r="E540" s="4" t="s">
        <v>13</v>
      </c>
      <c r="F540" s="43">
        <v>142.53</v>
      </c>
      <c r="G540" s="43">
        <v>232.89521710299098</v>
      </c>
      <c r="H540" s="43">
        <v>271.65189904213497</v>
      </c>
      <c r="I540" s="43">
        <v>279.93954291863497</v>
      </c>
      <c r="J540" s="43">
        <v>259.30763693087499</v>
      </c>
      <c r="K540" s="43">
        <v>237.07968057763199</v>
      </c>
      <c r="L540" s="43">
        <v>245.62771775782198</v>
      </c>
      <c r="M540" s="887"/>
      <c r="N540" s="16"/>
      <c r="O540" s="16"/>
      <c r="P540" s="16"/>
      <c r="Q540" s="16"/>
      <c r="R540" s="16"/>
    </row>
    <row r="541" spans="1:18" hidden="1" outlineLevel="1" x14ac:dyDescent="0.2">
      <c r="A541" s="22" t="s">
        <v>1227</v>
      </c>
      <c r="B541" s="2" t="str">
        <f t="shared" si="23"/>
        <v>GWh</v>
      </c>
      <c r="C541" s="2" t="s">
        <v>157</v>
      </c>
      <c r="D541" s="716">
        <f t="shared" si="24"/>
        <v>1</v>
      </c>
      <c r="E541" s="4" t="s">
        <v>14</v>
      </c>
      <c r="F541" s="43">
        <v>0</v>
      </c>
      <c r="G541" s="43">
        <v>0</v>
      </c>
      <c r="H541" s="43">
        <v>0</v>
      </c>
      <c r="I541" s="43">
        <v>0</v>
      </c>
      <c r="J541" s="43">
        <v>0</v>
      </c>
      <c r="K541" s="43">
        <v>0</v>
      </c>
      <c r="L541" s="43">
        <v>0</v>
      </c>
      <c r="M541" s="887"/>
      <c r="N541" s="16"/>
      <c r="O541" s="16"/>
      <c r="P541" s="16"/>
      <c r="Q541" s="16"/>
      <c r="R541" s="16"/>
    </row>
    <row r="542" spans="1:18" hidden="1" outlineLevel="1" x14ac:dyDescent="0.2">
      <c r="A542" s="22" t="s">
        <v>1227</v>
      </c>
      <c r="B542" s="2" t="str">
        <f t="shared" si="23"/>
        <v>GWh</v>
      </c>
      <c r="C542" s="2" t="s">
        <v>157</v>
      </c>
      <c r="D542" s="716">
        <f t="shared" si="24"/>
        <v>1</v>
      </c>
      <c r="E542" s="4" t="s">
        <v>15</v>
      </c>
      <c r="F542" s="43">
        <v>0</v>
      </c>
      <c r="G542" s="43">
        <v>0</v>
      </c>
      <c r="H542" s="43">
        <v>0</v>
      </c>
      <c r="I542" s="43">
        <v>0</v>
      </c>
      <c r="J542" s="43">
        <v>0</v>
      </c>
      <c r="K542" s="43">
        <v>0</v>
      </c>
      <c r="L542" s="43">
        <v>0</v>
      </c>
      <c r="M542" s="887"/>
      <c r="N542" s="16"/>
      <c r="O542" s="16"/>
      <c r="P542" s="16"/>
      <c r="Q542" s="16"/>
      <c r="R542" s="16"/>
    </row>
    <row r="543" spans="1:18" hidden="1" outlineLevel="1" x14ac:dyDescent="0.2">
      <c r="A543" s="22" t="s">
        <v>1227</v>
      </c>
      <c r="B543" s="2" t="str">
        <f t="shared" si="23"/>
        <v>GWh</v>
      </c>
      <c r="C543" s="2" t="s">
        <v>157</v>
      </c>
      <c r="D543" s="716">
        <f t="shared" si="24"/>
        <v>1</v>
      </c>
      <c r="E543" s="4" t="s">
        <v>16</v>
      </c>
      <c r="F543" s="43">
        <v>0</v>
      </c>
      <c r="G543" s="43">
        <v>0</v>
      </c>
      <c r="H543" s="43">
        <v>0</v>
      </c>
      <c r="I543" s="43">
        <v>0</v>
      </c>
      <c r="J543" s="43">
        <v>0</v>
      </c>
      <c r="K543" s="43">
        <v>0</v>
      </c>
      <c r="L543" s="43">
        <v>0</v>
      </c>
      <c r="M543" s="887"/>
      <c r="N543" s="16"/>
      <c r="O543" s="16"/>
      <c r="P543" s="16"/>
      <c r="Q543" s="16"/>
      <c r="R543" s="16"/>
    </row>
    <row r="544" spans="1:18" hidden="1" outlineLevel="1" x14ac:dyDescent="0.2">
      <c r="A544" s="22" t="s">
        <v>1227</v>
      </c>
      <c r="B544" s="2" t="str">
        <f t="shared" si="23"/>
        <v>GWh</v>
      </c>
      <c r="C544" s="2" t="s">
        <v>157</v>
      </c>
      <c r="D544" s="716">
        <f t="shared" si="24"/>
        <v>1</v>
      </c>
      <c r="E544" s="4" t="s">
        <v>17</v>
      </c>
      <c r="F544" s="43">
        <v>0</v>
      </c>
      <c r="G544" s="43">
        <v>0</v>
      </c>
      <c r="H544" s="43">
        <v>0</v>
      </c>
      <c r="I544" s="43">
        <v>0</v>
      </c>
      <c r="J544" s="43">
        <v>0</v>
      </c>
      <c r="K544" s="43">
        <v>0</v>
      </c>
      <c r="L544" s="43">
        <v>0</v>
      </c>
      <c r="M544" s="887"/>
      <c r="N544" s="16"/>
      <c r="O544" s="16"/>
      <c r="P544" s="16"/>
      <c r="Q544" s="16"/>
      <c r="R544" s="16"/>
    </row>
    <row r="545" spans="1:18" hidden="1" outlineLevel="1" x14ac:dyDescent="0.2">
      <c r="A545" s="22" t="s">
        <v>1227</v>
      </c>
      <c r="B545" s="2" t="str">
        <f t="shared" si="23"/>
        <v>GWh</v>
      </c>
      <c r="C545" s="2" t="s">
        <v>157</v>
      </c>
      <c r="D545" s="716">
        <f t="shared" si="24"/>
        <v>1</v>
      </c>
      <c r="E545" s="4" t="s">
        <v>18</v>
      </c>
      <c r="F545" s="43">
        <v>6685.3866810000009</v>
      </c>
      <c r="G545" s="43">
        <v>7403.8540429999994</v>
      </c>
      <c r="H545" s="43">
        <v>7055.7596799999983</v>
      </c>
      <c r="I545" s="43">
        <v>6739.6659400000008</v>
      </c>
      <c r="J545" s="43">
        <v>6618.4601590000002</v>
      </c>
      <c r="K545" s="43">
        <v>6506.614329</v>
      </c>
      <c r="L545" s="43">
        <v>5816.7243679999992</v>
      </c>
      <c r="M545" s="887"/>
      <c r="N545" s="16"/>
      <c r="O545" s="16"/>
      <c r="P545" s="16"/>
      <c r="Q545" s="16"/>
      <c r="R545" s="16"/>
    </row>
    <row r="546" spans="1:18" hidden="1" outlineLevel="1" x14ac:dyDescent="0.2">
      <c r="A546" s="22" t="s">
        <v>1227</v>
      </c>
      <c r="B546" s="2" t="str">
        <f t="shared" si="23"/>
        <v>GWh</v>
      </c>
      <c r="C546" s="2" t="s">
        <v>157</v>
      </c>
      <c r="D546" s="716">
        <f t="shared" si="24"/>
        <v>1</v>
      </c>
      <c r="E546" s="4" t="s">
        <v>2</v>
      </c>
      <c r="F546" s="43">
        <v>310.99</v>
      </c>
      <c r="G546" s="43">
        <v>243.24</v>
      </c>
      <c r="H546" s="43">
        <v>322.14</v>
      </c>
      <c r="I546" s="43">
        <v>296.52</v>
      </c>
      <c r="J546" s="43">
        <v>302.11</v>
      </c>
      <c r="K546" s="43">
        <v>272.85000000000002</v>
      </c>
      <c r="L546" s="43">
        <v>525</v>
      </c>
      <c r="M546" s="887"/>
      <c r="N546" s="16"/>
      <c r="O546" s="16"/>
      <c r="P546" s="16"/>
      <c r="Q546" s="16"/>
      <c r="R546" s="16"/>
    </row>
    <row r="547" spans="1:18" hidden="1" outlineLevel="1" x14ac:dyDescent="0.2">
      <c r="A547" s="22" t="s">
        <v>1227</v>
      </c>
      <c r="B547" s="2" t="str">
        <f t="shared" si="23"/>
        <v>GWh</v>
      </c>
      <c r="C547" s="2" t="s">
        <v>157</v>
      </c>
      <c r="D547" s="716">
        <f t="shared" si="24"/>
        <v>1</v>
      </c>
      <c r="E547" s="4" t="s">
        <v>19</v>
      </c>
      <c r="F547" s="43">
        <v>0</v>
      </c>
      <c r="G547" s="43">
        <v>0</v>
      </c>
      <c r="H547" s="43">
        <v>0</v>
      </c>
      <c r="I547" s="43">
        <v>0</v>
      </c>
      <c r="J547" s="43">
        <v>0</v>
      </c>
      <c r="K547" s="43">
        <v>0</v>
      </c>
      <c r="L547" s="43">
        <v>0</v>
      </c>
      <c r="M547" s="887"/>
      <c r="N547" s="16"/>
      <c r="O547" s="16"/>
      <c r="P547" s="16"/>
      <c r="Q547" s="16"/>
      <c r="R547" s="16"/>
    </row>
    <row r="548" spans="1:18" hidden="1" outlineLevel="1" x14ac:dyDescent="0.2">
      <c r="A548" s="22" t="s">
        <v>1227</v>
      </c>
      <c r="B548" s="2" t="str">
        <f t="shared" si="23"/>
        <v>GWh</v>
      </c>
      <c r="C548" s="2" t="s">
        <v>157</v>
      </c>
      <c r="D548" s="716">
        <f t="shared" si="24"/>
        <v>1</v>
      </c>
      <c r="E548" s="4" t="s">
        <v>3</v>
      </c>
      <c r="F548" s="43">
        <v>0</v>
      </c>
      <c r="G548" s="43">
        <v>0</v>
      </c>
      <c r="H548" s="43">
        <v>0</v>
      </c>
      <c r="I548" s="43">
        <v>0</v>
      </c>
      <c r="J548" s="43">
        <v>0</v>
      </c>
      <c r="K548" s="43">
        <v>0</v>
      </c>
      <c r="L548" s="43">
        <v>0</v>
      </c>
      <c r="M548" s="887"/>
      <c r="N548" s="16"/>
      <c r="O548" s="16"/>
      <c r="P548" s="16"/>
      <c r="Q548" s="16"/>
      <c r="R548" s="16"/>
    </row>
    <row r="549" spans="1:18" hidden="1" outlineLevel="1" x14ac:dyDescent="0.2">
      <c r="A549" s="22" t="s">
        <v>1227</v>
      </c>
      <c r="B549" s="2" t="str">
        <f t="shared" si="23"/>
        <v>GWh</v>
      </c>
      <c r="C549" s="2" t="s">
        <v>157</v>
      </c>
      <c r="D549" s="716">
        <f t="shared" si="24"/>
        <v>1</v>
      </c>
      <c r="E549" s="4" t="s">
        <v>20</v>
      </c>
      <c r="F549" s="43">
        <v>0</v>
      </c>
      <c r="G549" s="43">
        <v>0</v>
      </c>
      <c r="H549" s="43">
        <v>0</v>
      </c>
      <c r="I549" s="43">
        <v>0</v>
      </c>
      <c r="J549" s="43">
        <v>0</v>
      </c>
      <c r="K549" s="43">
        <v>0</v>
      </c>
      <c r="L549" s="43">
        <v>0</v>
      </c>
      <c r="M549" s="887"/>
      <c r="N549" s="16"/>
      <c r="O549" s="16"/>
      <c r="P549" s="16"/>
      <c r="Q549" s="16"/>
      <c r="R549" s="16"/>
    </row>
    <row r="550" spans="1:18" hidden="1" outlineLevel="1" x14ac:dyDescent="0.2">
      <c r="A550" s="22" t="s">
        <v>1227</v>
      </c>
      <c r="B550" s="2" t="str">
        <f t="shared" si="23"/>
        <v>GWh</v>
      </c>
      <c r="C550" s="2" t="s">
        <v>157</v>
      </c>
      <c r="D550" s="716">
        <f t="shared" si="24"/>
        <v>1</v>
      </c>
      <c r="E550" s="4" t="s">
        <v>21</v>
      </c>
      <c r="F550" s="43">
        <v>0</v>
      </c>
      <c r="G550" s="43">
        <v>0</v>
      </c>
      <c r="H550" s="43">
        <v>0</v>
      </c>
      <c r="I550" s="43">
        <v>0</v>
      </c>
      <c r="J550" s="43">
        <v>0</v>
      </c>
      <c r="K550" s="43">
        <v>0</v>
      </c>
      <c r="L550" s="43">
        <v>0</v>
      </c>
      <c r="M550" s="887"/>
      <c r="N550" s="16"/>
      <c r="O550" s="16"/>
      <c r="P550" s="16"/>
      <c r="Q550" s="16"/>
      <c r="R550" s="16"/>
    </row>
    <row r="551" spans="1:18" hidden="1" outlineLevel="1" x14ac:dyDescent="0.2">
      <c r="A551" s="22" t="s">
        <v>1227</v>
      </c>
      <c r="B551" s="2" t="str">
        <f t="shared" si="23"/>
        <v>GWh</v>
      </c>
      <c r="C551" s="2" t="s">
        <v>157</v>
      </c>
      <c r="D551" s="716">
        <f t="shared" si="24"/>
        <v>1</v>
      </c>
      <c r="E551" s="4" t="s">
        <v>1096</v>
      </c>
      <c r="F551" s="43">
        <v>0</v>
      </c>
      <c r="G551" s="43">
        <v>0</v>
      </c>
      <c r="H551" s="43">
        <v>0</v>
      </c>
      <c r="I551" s="43">
        <v>0</v>
      </c>
      <c r="J551" s="43">
        <v>0</v>
      </c>
      <c r="K551" s="43">
        <v>0</v>
      </c>
      <c r="L551" s="43">
        <v>0</v>
      </c>
      <c r="M551" s="887"/>
      <c r="N551" s="16"/>
      <c r="O551" s="16"/>
      <c r="P551" s="16"/>
      <c r="Q551" s="16"/>
      <c r="R551" s="16"/>
    </row>
    <row r="552" spans="1:18" hidden="1" outlineLevel="1" x14ac:dyDescent="0.2">
      <c r="A552" s="22" t="s">
        <v>1227</v>
      </c>
      <c r="B552" s="2" t="str">
        <f t="shared" si="23"/>
        <v>GWh</v>
      </c>
      <c r="C552" s="2" t="s">
        <v>157</v>
      </c>
      <c r="D552" s="716">
        <f t="shared" si="24"/>
        <v>1</v>
      </c>
      <c r="E552" s="4" t="s">
        <v>22</v>
      </c>
      <c r="F552" s="43">
        <v>0</v>
      </c>
      <c r="G552" s="43">
        <v>0</v>
      </c>
      <c r="H552" s="43">
        <v>0</v>
      </c>
      <c r="I552" s="43">
        <v>0</v>
      </c>
      <c r="J552" s="43">
        <v>0</v>
      </c>
      <c r="K552" s="43">
        <v>0</v>
      </c>
      <c r="L552" s="43">
        <v>0</v>
      </c>
      <c r="M552" s="887"/>
      <c r="N552" s="16"/>
      <c r="O552" s="16"/>
      <c r="P552" s="16"/>
      <c r="Q552" s="16"/>
      <c r="R552" s="16"/>
    </row>
    <row r="553" spans="1:18" hidden="1" outlineLevel="1" x14ac:dyDescent="0.2">
      <c r="A553" s="22" t="s">
        <v>1227</v>
      </c>
      <c r="B553" s="2" t="str">
        <f t="shared" si="23"/>
        <v>GWh</v>
      </c>
      <c r="C553" s="2" t="s">
        <v>157</v>
      </c>
      <c r="D553" s="717">
        <f t="shared" si="24"/>
        <v>1</v>
      </c>
      <c r="E553" s="86" t="s">
        <v>23</v>
      </c>
      <c r="F553" s="43">
        <v>0</v>
      </c>
      <c r="G553" s="43">
        <v>0</v>
      </c>
      <c r="H553" s="43">
        <v>0</v>
      </c>
      <c r="I553" s="43">
        <v>0</v>
      </c>
      <c r="J553" s="43">
        <v>0</v>
      </c>
      <c r="K553" s="43">
        <v>0</v>
      </c>
      <c r="L553" s="43">
        <v>0</v>
      </c>
      <c r="M553" s="918"/>
      <c r="N553" s="16"/>
      <c r="O553" s="16"/>
      <c r="P553" s="16"/>
      <c r="Q553" s="16"/>
      <c r="R553" s="16"/>
    </row>
    <row r="554" spans="1:18" hidden="1" outlineLevel="1" x14ac:dyDescent="0.2">
      <c r="A554" s="532" t="s">
        <v>1227</v>
      </c>
      <c r="B554" s="533" t="str">
        <f t="shared" si="23"/>
        <v>GWh</v>
      </c>
      <c r="C554" s="533" t="s">
        <v>114</v>
      </c>
      <c r="D554" s="718">
        <f t="shared" si="24"/>
        <v>1</v>
      </c>
      <c r="E554" s="468" t="s">
        <v>4</v>
      </c>
      <c r="F554" s="534">
        <v>0</v>
      </c>
      <c r="G554" s="534">
        <v>0</v>
      </c>
      <c r="H554" s="534">
        <v>0</v>
      </c>
      <c r="I554" s="534">
        <v>0.26600000000000001</v>
      </c>
      <c r="J554" s="534">
        <v>0.16</v>
      </c>
      <c r="K554" s="534">
        <v>0.18</v>
      </c>
      <c r="L554" s="534">
        <v>0.18</v>
      </c>
      <c r="M554" s="888"/>
      <c r="N554" s="16"/>
      <c r="O554" s="16"/>
      <c r="P554" s="16"/>
      <c r="Q554" s="16"/>
      <c r="R554" s="16"/>
    </row>
    <row r="555" spans="1:18" hidden="1" outlineLevel="1" x14ac:dyDescent="0.2">
      <c r="A555" s="22" t="s">
        <v>1227</v>
      </c>
      <c r="B555" s="2" t="str">
        <f t="shared" si="23"/>
        <v>GWh</v>
      </c>
      <c r="C555" s="2" t="s">
        <v>114</v>
      </c>
      <c r="D555" s="716">
        <f t="shared" si="24"/>
        <v>1</v>
      </c>
      <c r="E555" s="4" t="s">
        <v>5</v>
      </c>
      <c r="F555" s="43">
        <v>0</v>
      </c>
      <c r="G555" s="43">
        <v>0</v>
      </c>
      <c r="H555" s="43">
        <v>0</v>
      </c>
      <c r="I555" s="43">
        <v>0</v>
      </c>
      <c r="J555" s="43">
        <v>0</v>
      </c>
      <c r="K555" s="43">
        <v>0</v>
      </c>
      <c r="L555" s="43">
        <v>0</v>
      </c>
      <c r="M555" s="887"/>
      <c r="N555" s="16"/>
      <c r="O555" s="16"/>
      <c r="P555" s="16"/>
      <c r="Q555" s="16"/>
      <c r="R555" s="16"/>
    </row>
    <row r="556" spans="1:18" hidden="1" outlineLevel="1" x14ac:dyDescent="0.2">
      <c r="A556" s="22" t="s">
        <v>1227</v>
      </c>
      <c r="B556" s="2" t="str">
        <f t="shared" si="23"/>
        <v>GWh</v>
      </c>
      <c r="C556" s="2" t="s">
        <v>114</v>
      </c>
      <c r="D556" s="716">
        <f t="shared" si="24"/>
        <v>1</v>
      </c>
      <c r="E556" s="4" t="s">
        <v>6</v>
      </c>
      <c r="F556" s="43">
        <v>0</v>
      </c>
      <c r="G556" s="43">
        <v>0</v>
      </c>
      <c r="H556" s="43">
        <v>0</v>
      </c>
      <c r="I556" s="43">
        <v>0</v>
      </c>
      <c r="J556" s="43">
        <v>0</v>
      </c>
      <c r="K556" s="43">
        <v>0</v>
      </c>
      <c r="L556" s="43">
        <v>0</v>
      </c>
      <c r="M556" s="887"/>
      <c r="N556" s="16"/>
      <c r="O556" s="16"/>
      <c r="P556" s="16"/>
      <c r="Q556" s="16"/>
      <c r="R556" s="16"/>
    </row>
    <row r="557" spans="1:18" hidden="1" outlineLevel="1" x14ac:dyDescent="0.2">
      <c r="A557" s="22" t="s">
        <v>1227</v>
      </c>
      <c r="B557" s="2" t="str">
        <f t="shared" si="23"/>
        <v>GWh</v>
      </c>
      <c r="C557" s="2" t="s">
        <v>114</v>
      </c>
      <c r="D557" s="716">
        <f t="shared" si="24"/>
        <v>1</v>
      </c>
      <c r="E557" s="4" t="s">
        <v>143</v>
      </c>
      <c r="F557" s="43">
        <v>0</v>
      </c>
      <c r="G557" s="43">
        <v>0</v>
      </c>
      <c r="H557" s="43">
        <v>0</v>
      </c>
      <c r="I557" s="43">
        <v>1.33</v>
      </c>
      <c r="J557" s="43">
        <v>48.174999999999997</v>
      </c>
      <c r="K557" s="43">
        <v>70.719974999999963</v>
      </c>
      <c r="L557" s="43">
        <v>64.506361999999982</v>
      </c>
      <c r="M557" s="887"/>
      <c r="N557" s="16"/>
      <c r="O557" s="16"/>
      <c r="P557" s="16"/>
      <c r="Q557" s="16"/>
      <c r="R557" s="16"/>
    </row>
    <row r="558" spans="1:18" hidden="1" outlineLevel="1" x14ac:dyDescent="0.2">
      <c r="A558" s="22" t="s">
        <v>1227</v>
      </c>
      <c r="B558" s="2" t="str">
        <f t="shared" si="23"/>
        <v>GWh</v>
      </c>
      <c r="C558" s="2" t="s">
        <v>114</v>
      </c>
      <c r="D558" s="716">
        <f t="shared" si="24"/>
        <v>1</v>
      </c>
      <c r="E558" s="4" t="s">
        <v>7</v>
      </c>
      <c r="F558" s="43">
        <v>0</v>
      </c>
      <c r="G558" s="43">
        <v>14.201000000000001</v>
      </c>
      <c r="H558" s="43">
        <v>39.317999999999998</v>
      </c>
      <c r="I558" s="43">
        <v>59.67</v>
      </c>
      <c r="J558" s="43">
        <v>85.456000000000003</v>
      </c>
      <c r="K558" s="43">
        <v>64</v>
      </c>
      <c r="L558" s="43">
        <v>64</v>
      </c>
      <c r="M558" s="887"/>
      <c r="N558" s="16"/>
      <c r="O558" s="16"/>
      <c r="P558" s="16"/>
      <c r="Q558" s="16"/>
      <c r="R558" s="16"/>
    </row>
    <row r="559" spans="1:18" hidden="1" outlineLevel="1" x14ac:dyDescent="0.2">
      <c r="A559" s="22" t="s">
        <v>1227</v>
      </c>
      <c r="B559" s="2" t="str">
        <f t="shared" si="23"/>
        <v>GWh</v>
      </c>
      <c r="C559" s="2" t="s">
        <v>114</v>
      </c>
      <c r="D559" s="716">
        <f t="shared" si="24"/>
        <v>1</v>
      </c>
      <c r="E559" s="4" t="s">
        <v>31</v>
      </c>
      <c r="F559" s="43">
        <v>18687</v>
      </c>
      <c r="G559" s="43">
        <v>21675</v>
      </c>
      <c r="H559" s="43">
        <v>23339</v>
      </c>
      <c r="I559" s="43">
        <v>24447</v>
      </c>
      <c r="J559" s="43">
        <v>34880</v>
      </c>
      <c r="K559" s="43">
        <v>37223</v>
      </c>
      <c r="L559" s="43">
        <v>37223</v>
      </c>
      <c r="M559" s="887"/>
      <c r="N559" s="16"/>
      <c r="O559" s="16"/>
      <c r="P559" s="16"/>
      <c r="Q559" s="16"/>
      <c r="R559" s="16"/>
    </row>
    <row r="560" spans="1:18" hidden="1" outlineLevel="1" x14ac:dyDescent="0.2">
      <c r="A560" s="22" t="s">
        <v>1227</v>
      </c>
      <c r="B560" s="2" t="str">
        <f t="shared" si="23"/>
        <v>GWh</v>
      </c>
      <c r="C560" s="2" t="s">
        <v>114</v>
      </c>
      <c r="D560" s="716">
        <f t="shared" si="24"/>
        <v>1</v>
      </c>
      <c r="E560" s="4" t="s">
        <v>8</v>
      </c>
      <c r="F560" s="43">
        <v>570.18692999999985</v>
      </c>
      <c r="G560" s="43">
        <v>744.39233000000013</v>
      </c>
      <c r="H560" s="43">
        <v>884.06703999999968</v>
      </c>
      <c r="I560" s="43">
        <v>966.30650000000014</v>
      </c>
      <c r="J560" s="43">
        <v>841.37641000000008</v>
      </c>
      <c r="K560" s="43">
        <v>834.8806800000001</v>
      </c>
      <c r="L560" s="43">
        <v>1618.33062</v>
      </c>
      <c r="M560" s="887"/>
      <c r="N560" s="16"/>
      <c r="O560" s="16"/>
      <c r="P560" s="16"/>
      <c r="Q560" s="16"/>
      <c r="R560" s="16"/>
    </row>
    <row r="561" spans="1:18" hidden="1" outlineLevel="1" x14ac:dyDescent="0.2">
      <c r="A561" s="22" t="s">
        <v>1227</v>
      </c>
      <c r="B561" s="2" t="str">
        <f t="shared" si="23"/>
        <v>GWh</v>
      </c>
      <c r="C561" s="2" t="s">
        <v>114</v>
      </c>
      <c r="D561" s="716">
        <f t="shared" si="24"/>
        <v>1</v>
      </c>
      <c r="E561" s="4" t="s">
        <v>9</v>
      </c>
      <c r="F561" s="43">
        <v>94.1</v>
      </c>
      <c r="G561" s="43">
        <v>72.599999999999994</v>
      </c>
      <c r="H561" s="43">
        <v>51.9</v>
      </c>
      <c r="I561" s="43">
        <v>106.2</v>
      </c>
      <c r="J561" s="43">
        <v>222.7</v>
      </c>
      <c r="K561" s="43">
        <v>317</v>
      </c>
      <c r="L561" s="43">
        <v>347</v>
      </c>
      <c r="M561" s="887"/>
      <c r="N561" s="16"/>
      <c r="O561" s="16"/>
      <c r="P561" s="16"/>
      <c r="Q561" s="16"/>
      <c r="R561" s="16"/>
    </row>
    <row r="562" spans="1:18" hidden="1" outlineLevel="1" x14ac:dyDescent="0.2">
      <c r="A562" s="22" t="s">
        <v>1227</v>
      </c>
      <c r="B562" s="2" t="str">
        <f t="shared" si="23"/>
        <v>GWh</v>
      </c>
      <c r="C562" s="2" t="s">
        <v>114</v>
      </c>
      <c r="D562" s="716">
        <f t="shared" si="24"/>
        <v>1</v>
      </c>
      <c r="E562" s="4" t="s">
        <v>10</v>
      </c>
      <c r="F562" s="43">
        <v>12.232297500000001</v>
      </c>
      <c r="G562" s="43">
        <v>12.911433499999999</v>
      </c>
      <c r="H562" s="43">
        <v>22.401400120000002</v>
      </c>
      <c r="I562" s="43">
        <v>46.726824659999998</v>
      </c>
      <c r="J562" s="43">
        <v>65.28369232</v>
      </c>
      <c r="K562" s="43">
        <v>67.395174589999996</v>
      </c>
      <c r="L562" s="43">
        <v>81.614999999999995</v>
      </c>
      <c r="M562" s="887"/>
      <c r="N562" s="16"/>
      <c r="O562" s="16"/>
      <c r="P562" s="16"/>
      <c r="Q562" s="16"/>
      <c r="R562" s="16"/>
    </row>
    <row r="563" spans="1:18" hidden="1" outlineLevel="1" x14ac:dyDescent="0.2">
      <c r="A563" s="22" t="s">
        <v>1227</v>
      </c>
      <c r="B563" s="2" t="str">
        <f t="shared" si="23"/>
        <v>GWh</v>
      </c>
      <c r="C563" s="2" t="s">
        <v>114</v>
      </c>
      <c r="D563" s="716">
        <f t="shared" si="24"/>
        <v>1</v>
      </c>
      <c r="E563" s="4" t="s">
        <v>11</v>
      </c>
      <c r="F563" s="43">
        <v>0</v>
      </c>
      <c r="G563" s="43">
        <v>0</v>
      </c>
      <c r="H563" s="43">
        <v>0</v>
      </c>
      <c r="I563" s="43">
        <v>0</v>
      </c>
      <c r="J563" s="43">
        <v>0</v>
      </c>
      <c r="K563" s="43">
        <v>0</v>
      </c>
      <c r="L563" s="43">
        <v>0</v>
      </c>
      <c r="M563" s="887"/>
      <c r="N563" s="16"/>
      <c r="O563" s="16"/>
      <c r="P563" s="16"/>
      <c r="Q563" s="16"/>
      <c r="R563" s="16"/>
    </row>
    <row r="564" spans="1:18" hidden="1" outlineLevel="1" x14ac:dyDescent="0.2">
      <c r="A564" s="22" t="s">
        <v>1227</v>
      </c>
      <c r="B564" s="2" t="str">
        <f t="shared" si="23"/>
        <v>GWh</v>
      </c>
      <c r="C564" s="2" t="s">
        <v>114</v>
      </c>
      <c r="D564" s="716">
        <f t="shared" si="24"/>
        <v>1</v>
      </c>
      <c r="E564" s="4" t="s">
        <v>12</v>
      </c>
      <c r="F564" s="43">
        <v>145.55572999999998</v>
      </c>
      <c r="G564" s="43">
        <v>218.75</v>
      </c>
      <c r="H564" s="43">
        <v>208.33</v>
      </c>
      <c r="I564" s="43">
        <v>216.52008000000001</v>
      </c>
      <c r="J564" s="43">
        <v>235.56188</v>
      </c>
      <c r="K564" s="43">
        <v>278.2</v>
      </c>
      <c r="L564" s="43">
        <v>296.35324000000003</v>
      </c>
      <c r="M564" s="887"/>
      <c r="N564" s="16"/>
      <c r="O564" s="16"/>
      <c r="P564" s="16"/>
      <c r="Q564" s="16"/>
      <c r="R564" s="16"/>
    </row>
    <row r="565" spans="1:18" hidden="1" outlineLevel="1" x14ac:dyDescent="0.2">
      <c r="A565" s="22" t="s">
        <v>1227</v>
      </c>
      <c r="B565" s="2" t="str">
        <f t="shared" si="23"/>
        <v>GWh</v>
      </c>
      <c r="C565" s="2" t="s">
        <v>114</v>
      </c>
      <c r="D565" s="716">
        <f t="shared" si="24"/>
        <v>1</v>
      </c>
      <c r="E565" s="4" t="s">
        <v>1</v>
      </c>
      <c r="F565" s="43">
        <v>175.86859999999999</v>
      </c>
      <c r="G565" s="43">
        <v>220.89240000000001</v>
      </c>
      <c r="H565" s="43">
        <v>241.34950000000001</v>
      </c>
      <c r="I565" s="43">
        <v>231.98450000000003</v>
      </c>
      <c r="J565" s="43">
        <v>282.73389999999995</v>
      </c>
      <c r="K565" s="43">
        <v>169.6</v>
      </c>
      <c r="L565" s="43">
        <v>169.6</v>
      </c>
      <c r="M565" s="887"/>
      <c r="N565" s="16"/>
      <c r="O565" s="16"/>
      <c r="P565" s="16"/>
      <c r="Q565" s="16"/>
      <c r="R565" s="16"/>
    </row>
    <row r="566" spans="1:18" hidden="1" outlineLevel="1" x14ac:dyDescent="0.2">
      <c r="A566" s="22" t="s">
        <v>1227</v>
      </c>
      <c r="B566" s="2" t="str">
        <f t="shared" si="23"/>
        <v>GWh</v>
      </c>
      <c r="C566" s="2" t="s">
        <v>114</v>
      </c>
      <c r="D566" s="716">
        <f t="shared" si="24"/>
        <v>1</v>
      </c>
      <c r="E566" s="4" t="s">
        <v>13</v>
      </c>
      <c r="F566" s="43">
        <v>403.48500000000001</v>
      </c>
      <c r="G566" s="43">
        <v>488.31052415647349</v>
      </c>
      <c r="H566" s="43">
        <v>447.66825250514523</v>
      </c>
      <c r="I566" s="43">
        <v>547.67393952853934</v>
      </c>
      <c r="J566" s="43">
        <v>507.91530247700643</v>
      </c>
      <c r="K566" s="43">
        <v>472.67514689416214</v>
      </c>
      <c r="L566" s="43">
        <v>542.79738793934348</v>
      </c>
      <c r="M566" s="887"/>
      <c r="N566" s="16"/>
      <c r="O566" s="16"/>
      <c r="P566" s="16"/>
      <c r="Q566" s="16"/>
      <c r="R566" s="16"/>
    </row>
    <row r="567" spans="1:18" hidden="1" outlineLevel="1" x14ac:dyDescent="0.2">
      <c r="A567" s="22" t="s">
        <v>1227</v>
      </c>
      <c r="B567" s="2" t="str">
        <f t="shared" si="23"/>
        <v>GWh</v>
      </c>
      <c r="C567" s="2" t="s">
        <v>114</v>
      </c>
      <c r="D567" s="716">
        <f t="shared" si="24"/>
        <v>1</v>
      </c>
      <c r="E567" s="4" t="s">
        <v>14</v>
      </c>
      <c r="F567" s="43">
        <v>0</v>
      </c>
      <c r="G567" s="43">
        <v>0</v>
      </c>
      <c r="H567" s="43">
        <v>0</v>
      </c>
      <c r="I567" s="43">
        <v>0</v>
      </c>
      <c r="J567" s="43">
        <v>0</v>
      </c>
      <c r="K567" s="43">
        <v>0</v>
      </c>
      <c r="L567" s="43">
        <v>0</v>
      </c>
      <c r="M567" s="887"/>
      <c r="N567" s="16"/>
      <c r="O567" s="16"/>
      <c r="P567" s="16"/>
      <c r="Q567" s="16"/>
      <c r="R567" s="16"/>
    </row>
    <row r="568" spans="1:18" hidden="1" outlineLevel="1" x14ac:dyDescent="0.2">
      <c r="A568" s="22" t="s">
        <v>1227</v>
      </c>
      <c r="B568" s="2" t="str">
        <f t="shared" si="23"/>
        <v>GWh</v>
      </c>
      <c r="C568" s="2" t="s">
        <v>114</v>
      </c>
      <c r="D568" s="716">
        <f t="shared" si="24"/>
        <v>1</v>
      </c>
      <c r="E568" s="4" t="s">
        <v>15</v>
      </c>
      <c r="F568" s="43">
        <v>0</v>
      </c>
      <c r="G568" s="43">
        <v>0</v>
      </c>
      <c r="H568" s="43">
        <v>0</v>
      </c>
      <c r="I568" s="43">
        <v>0</v>
      </c>
      <c r="J568" s="43">
        <v>0</v>
      </c>
      <c r="K568" s="43">
        <v>0</v>
      </c>
      <c r="L568" s="43">
        <v>0</v>
      </c>
      <c r="M568" s="887"/>
      <c r="N568" s="16"/>
      <c r="O568" s="16"/>
      <c r="P568" s="16"/>
      <c r="Q568" s="16"/>
      <c r="R568" s="16"/>
    </row>
    <row r="569" spans="1:18" hidden="1" outlineLevel="1" x14ac:dyDescent="0.2">
      <c r="A569" s="22" t="s">
        <v>1227</v>
      </c>
      <c r="B569" s="2" t="str">
        <f t="shared" si="23"/>
        <v>GWh</v>
      </c>
      <c r="C569" s="2" t="s">
        <v>114</v>
      </c>
      <c r="D569" s="716">
        <f t="shared" si="24"/>
        <v>1</v>
      </c>
      <c r="E569" s="4" t="s">
        <v>16</v>
      </c>
      <c r="F569" s="43">
        <v>99.9</v>
      </c>
      <c r="G569" s="43">
        <v>114</v>
      </c>
      <c r="H569" s="43">
        <v>184.8</v>
      </c>
      <c r="I569" s="43">
        <v>156.30000000000001</v>
      </c>
      <c r="J569" s="43">
        <v>142.1</v>
      </c>
      <c r="K569" s="43">
        <v>174.89840940300002</v>
      </c>
      <c r="L569" s="43">
        <v>180.29948425999999</v>
      </c>
      <c r="M569" s="887"/>
      <c r="N569" s="16"/>
      <c r="O569" s="16"/>
      <c r="P569" s="16"/>
      <c r="Q569" s="16"/>
      <c r="R569" s="16"/>
    </row>
    <row r="570" spans="1:18" hidden="1" outlineLevel="1" x14ac:dyDescent="0.2">
      <c r="A570" s="22" t="s">
        <v>1227</v>
      </c>
      <c r="B570" s="2" t="str">
        <f t="shared" si="23"/>
        <v>GWh</v>
      </c>
      <c r="C570" s="2" t="s">
        <v>114</v>
      </c>
      <c r="D570" s="716">
        <f t="shared" si="24"/>
        <v>1</v>
      </c>
      <c r="E570" s="4" t="s">
        <v>17</v>
      </c>
      <c r="F570" s="43">
        <v>0</v>
      </c>
      <c r="G570" s="43">
        <v>0</v>
      </c>
      <c r="H570" s="43">
        <v>0</v>
      </c>
      <c r="I570" s="43">
        <v>0</v>
      </c>
      <c r="J570" s="43">
        <v>0</v>
      </c>
      <c r="K570" s="43">
        <v>0</v>
      </c>
      <c r="L570" s="43">
        <v>0</v>
      </c>
      <c r="M570" s="887"/>
      <c r="N570" s="16"/>
      <c r="O570" s="16"/>
      <c r="P570" s="16"/>
      <c r="Q570" s="16"/>
      <c r="R570" s="16"/>
    </row>
    <row r="571" spans="1:18" hidden="1" outlineLevel="1" x14ac:dyDescent="0.2">
      <c r="A571" s="22" t="s">
        <v>1227</v>
      </c>
      <c r="B571" s="2" t="str">
        <f t="shared" si="23"/>
        <v>GWh</v>
      </c>
      <c r="C571" s="2" t="s">
        <v>114</v>
      </c>
      <c r="D571" s="716">
        <f t="shared" si="24"/>
        <v>1</v>
      </c>
      <c r="E571" s="4" t="s">
        <v>18</v>
      </c>
      <c r="F571" s="43">
        <v>264.78985960547999</v>
      </c>
      <c r="G571" s="43">
        <v>264.78985960547999</v>
      </c>
      <c r="H571" s="43">
        <v>264.78985960547999</v>
      </c>
      <c r="I571" s="43">
        <v>266.14976130467994</v>
      </c>
      <c r="J571" s="43">
        <v>267.93293240775597</v>
      </c>
      <c r="K571" s="43">
        <v>355.19442469117195</v>
      </c>
      <c r="L571" s="43">
        <v>441.52438431063592</v>
      </c>
      <c r="M571" s="887"/>
      <c r="N571" s="16"/>
      <c r="O571" s="16"/>
      <c r="P571" s="16"/>
      <c r="Q571" s="16"/>
      <c r="R571" s="16"/>
    </row>
    <row r="572" spans="1:18" hidden="1" outlineLevel="1" x14ac:dyDescent="0.2">
      <c r="A572" s="22" t="s">
        <v>1227</v>
      </c>
      <c r="B572" s="2" t="str">
        <f t="shared" si="23"/>
        <v>GWh</v>
      </c>
      <c r="C572" s="2" t="s">
        <v>114</v>
      </c>
      <c r="D572" s="716">
        <f t="shared" si="24"/>
        <v>1</v>
      </c>
      <c r="E572" s="4" t="s">
        <v>2</v>
      </c>
      <c r="F572" s="43">
        <v>322.77999999999997</v>
      </c>
      <c r="G572" s="43">
        <v>380.67</v>
      </c>
      <c r="H572" s="43">
        <v>337.83</v>
      </c>
      <c r="I572" s="43">
        <v>362.57</v>
      </c>
      <c r="J572" s="43">
        <v>384.64</v>
      </c>
      <c r="K572" s="43">
        <v>372.74</v>
      </c>
      <c r="L572" s="43">
        <v>420.49</v>
      </c>
      <c r="M572" s="887"/>
      <c r="N572" s="16"/>
      <c r="O572" s="16"/>
      <c r="P572" s="16"/>
      <c r="Q572" s="16"/>
      <c r="R572" s="16"/>
    </row>
    <row r="573" spans="1:18" hidden="1" outlineLevel="1" x14ac:dyDescent="0.2">
      <c r="A573" s="22" t="s">
        <v>1227</v>
      </c>
      <c r="B573" s="2" t="str">
        <f t="shared" si="23"/>
        <v>GWh</v>
      </c>
      <c r="C573" s="2" t="s">
        <v>114</v>
      </c>
      <c r="D573" s="716">
        <f t="shared" si="24"/>
        <v>1</v>
      </c>
      <c r="E573" s="4" t="s">
        <v>19</v>
      </c>
      <c r="F573" s="43">
        <v>0</v>
      </c>
      <c r="G573" s="43">
        <v>0</v>
      </c>
      <c r="H573" s="43">
        <v>0</v>
      </c>
      <c r="I573" s="43">
        <v>0</v>
      </c>
      <c r="J573" s="43">
        <v>0</v>
      </c>
      <c r="K573" s="43">
        <v>0</v>
      </c>
      <c r="L573" s="43">
        <v>0</v>
      </c>
      <c r="M573" s="887"/>
      <c r="N573" s="16"/>
      <c r="O573" s="16"/>
      <c r="P573" s="16"/>
      <c r="Q573" s="16"/>
      <c r="R573" s="16"/>
    </row>
    <row r="574" spans="1:18" hidden="1" outlineLevel="1" x14ac:dyDescent="0.2">
      <c r="A574" s="22" t="s">
        <v>1227</v>
      </c>
      <c r="B574" s="2" t="str">
        <f t="shared" si="23"/>
        <v>GWh</v>
      </c>
      <c r="C574" s="2" t="s">
        <v>114</v>
      </c>
      <c r="D574" s="716">
        <f t="shared" si="24"/>
        <v>1</v>
      </c>
      <c r="E574" s="4" t="s">
        <v>3</v>
      </c>
      <c r="F574" s="43">
        <v>0</v>
      </c>
      <c r="G574" s="43">
        <v>0</v>
      </c>
      <c r="H574" s="43">
        <v>0</v>
      </c>
      <c r="I574" s="43">
        <v>0</v>
      </c>
      <c r="J574" s="43">
        <v>0</v>
      </c>
      <c r="K574" s="43">
        <v>0</v>
      </c>
      <c r="L574" s="43">
        <v>0</v>
      </c>
      <c r="M574" s="887"/>
      <c r="N574" s="16"/>
      <c r="O574" s="16"/>
      <c r="P574" s="16"/>
      <c r="Q574" s="16"/>
      <c r="R574" s="16"/>
    </row>
    <row r="575" spans="1:18" hidden="1" outlineLevel="1" x14ac:dyDescent="0.2">
      <c r="A575" s="22" t="s">
        <v>1227</v>
      </c>
      <c r="B575" s="2" t="str">
        <f t="shared" si="23"/>
        <v>GWh</v>
      </c>
      <c r="C575" s="2" t="s">
        <v>114</v>
      </c>
      <c r="D575" s="716">
        <f t="shared" si="24"/>
        <v>1</v>
      </c>
      <c r="E575" s="4" t="s">
        <v>20</v>
      </c>
      <c r="F575" s="43">
        <v>50.530273000000001</v>
      </c>
      <c r="G575" s="43">
        <v>58.136980000000001</v>
      </c>
      <c r="H575" s="43">
        <v>55.935949999999998</v>
      </c>
      <c r="I575" s="43">
        <v>63.835748999999993</v>
      </c>
      <c r="J575" s="43">
        <v>250.36338800000001</v>
      </c>
      <c r="K575" s="43">
        <v>200.18793103448277</v>
      </c>
      <c r="L575" s="43">
        <v>252.41467889908256</v>
      </c>
      <c r="M575" s="887"/>
      <c r="N575" s="16"/>
      <c r="O575" s="16"/>
      <c r="P575" s="16"/>
      <c r="Q575" s="16"/>
      <c r="R575" s="16"/>
    </row>
    <row r="576" spans="1:18" hidden="1" outlineLevel="1" x14ac:dyDescent="0.2">
      <c r="A576" s="22" t="s">
        <v>1227</v>
      </c>
      <c r="B576" s="2" t="str">
        <f t="shared" si="23"/>
        <v>GWh</v>
      </c>
      <c r="C576" s="2" t="s">
        <v>114</v>
      </c>
      <c r="D576" s="716">
        <f t="shared" si="24"/>
        <v>1</v>
      </c>
      <c r="E576" s="4" t="s">
        <v>21</v>
      </c>
      <c r="F576" s="43">
        <v>0</v>
      </c>
      <c r="G576" s="43">
        <v>0</v>
      </c>
      <c r="H576" s="43">
        <v>0</v>
      </c>
      <c r="I576" s="43">
        <v>0</v>
      </c>
      <c r="J576" s="43">
        <v>0</v>
      </c>
      <c r="K576" s="43">
        <v>0</v>
      </c>
      <c r="L576" s="43">
        <v>0</v>
      </c>
      <c r="M576" s="887"/>
      <c r="N576" s="16"/>
      <c r="O576" s="16"/>
      <c r="P576" s="16"/>
      <c r="Q576" s="16"/>
      <c r="R576" s="16"/>
    </row>
    <row r="577" spans="1:18" hidden="1" outlineLevel="1" x14ac:dyDescent="0.2">
      <c r="A577" s="22" t="s">
        <v>1227</v>
      </c>
      <c r="B577" s="2" t="str">
        <f t="shared" si="23"/>
        <v>GWh</v>
      </c>
      <c r="C577" s="2" t="s">
        <v>114</v>
      </c>
      <c r="D577" s="716">
        <f t="shared" si="24"/>
        <v>1</v>
      </c>
      <c r="E577" s="4" t="s">
        <v>1096</v>
      </c>
      <c r="F577" s="43">
        <v>0</v>
      </c>
      <c r="G577" s="43">
        <v>0</v>
      </c>
      <c r="H577" s="43">
        <v>0</v>
      </c>
      <c r="I577" s="43">
        <v>0</v>
      </c>
      <c r="J577" s="43">
        <v>0</v>
      </c>
      <c r="K577" s="43">
        <v>0</v>
      </c>
      <c r="L577" s="43">
        <v>0</v>
      </c>
      <c r="M577" s="887"/>
      <c r="N577" s="16"/>
      <c r="O577" s="16"/>
      <c r="P577" s="16"/>
      <c r="Q577" s="16"/>
      <c r="R577" s="16"/>
    </row>
    <row r="578" spans="1:18" hidden="1" outlineLevel="1" x14ac:dyDescent="0.2">
      <c r="A578" s="22" t="s">
        <v>1227</v>
      </c>
      <c r="B578" s="2" t="str">
        <f t="shared" si="23"/>
        <v>GWh</v>
      </c>
      <c r="C578" s="2" t="s">
        <v>114</v>
      </c>
      <c r="D578" s="716">
        <f t="shared" si="24"/>
        <v>1</v>
      </c>
      <c r="E578" s="4" t="s">
        <v>22</v>
      </c>
      <c r="F578" s="43">
        <v>0</v>
      </c>
      <c r="G578" s="43">
        <v>23.189</v>
      </c>
      <c r="H578" s="43">
        <v>136.904</v>
      </c>
      <c r="I578" s="43">
        <v>189.54778080000003</v>
      </c>
      <c r="J578" s="43">
        <v>284.48027000000002</v>
      </c>
      <c r="K578" s="43">
        <v>367.63799</v>
      </c>
      <c r="L578" s="43">
        <v>505.45562999999999</v>
      </c>
      <c r="M578" s="887"/>
      <c r="N578" s="16"/>
      <c r="O578" s="16"/>
      <c r="P578" s="16"/>
      <c r="Q578" s="16"/>
      <c r="R578" s="16"/>
    </row>
    <row r="579" spans="1:18" hidden="1" outlineLevel="1" x14ac:dyDescent="0.2">
      <c r="A579" s="22" t="s">
        <v>1227</v>
      </c>
      <c r="B579" s="2" t="str">
        <f t="shared" si="23"/>
        <v>GWh</v>
      </c>
      <c r="C579" s="2" t="s">
        <v>114</v>
      </c>
      <c r="D579" s="719">
        <f t="shared" si="24"/>
        <v>1</v>
      </c>
      <c r="E579" s="86" t="s">
        <v>23</v>
      </c>
      <c r="F579" s="43">
        <v>0</v>
      </c>
      <c r="G579" s="43">
        <v>0</v>
      </c>
      <c r="H579" s="43">
        <v>0</v>
      </c>
      <c r="I579" s="43">
        <v>0</v>
      </c>
      <c r="J579" s="43">
        <v>0</v>
      </c>
      <c r="K579" s="43">
        <v>0</v>
      </c>
      <c r="L579" s="43">
        <v>0</v>
      </c>
      <c r="M579" s="918"/>
      <c r="N579" s="16"/>
      <c r="O579" s="16"/>
      <c r="P579" s="16"/>
      <c r="Q579" s="16"/>
      <c r="R579" s="16"/>
    </row>
    <row r="580" spans="1:18" hidden="1" outlineLevel="1" x14ac:dyDescent="0.2">
      <c r="A580" s="532" t="s">
        <v>1227</v>
      </c>
      <c r="B580" s="533" t="str">
        <f t="shared" si="23"/>
        <v>GWh</v>
      </c>
      <c r="C580" s="533" t="s">
        <v>1223</v>
      </c>
      <c r="D580" s="715">
        <f t="shared" si="24"/>
        <v>0</v>
      </c>
      <c r="E580" s="468" t="s">
        <v>4</v>
      </c>
      <c r="F580" s="534">
        <v>7690.9089999999997</v>
      </c>
      <c r="G580" s="534">
        <v>7217.2280000000001</v>
      </c>
      <c r="H580" s="534">
        <v>7331.0950000000003</v>
      </c>
      <c r="I580" s="534">
        <v>8161.6689999999999</v>
      </c>
      <c r="J580" s="534">
        <v>7170.8850000000002</v>
      </c>
      <c r="K580" s="534">
        <v>6370.9040000000005</v>
      </c>
      <c r="L580" s="534">
        <v>6370.9040000000005</v>
      </c>
      <c r="M580" s="888"/>
      <c r="N580" s="16"/>
      <c r="O580" s="16"/>
      <c r="P580" s="16"/>
      <c r="Q580" s="16"/>
      <c r="R580" s="16"/>
    </row>
    <row r="581" spans="1:18" hidden="1" outlineLevel="1" x14ac:dyDescent="0.2">
      <c r="A581" s="22" t="s">
        <v>1227</v>
      </c>
      <c r="B581" s="2" t="str">
        <f t="shared" si="23"/>
        <v>GWh</v>
      </c>
      <c r="C581" s="2" t="s">
        <v>1223</v>
      </c>
      <c r="D581" s="716">
        <f t="shared" si="24"/>
        <v>0</v>
      </c>
      <c r="E581" s="4" t="s">
        <v>5</v>
      </c>
      <c r="F581" s="43">
        <v>0</v>
      </c>
      <c r="G581" s="43">
        <v>0</v>
      </c>
      <c r="H581" s="43">
        <v>0</v>
      </c>
      <c r="I581" s="43">
        <v>0</v>
      </c>
      <c r="J581" s="43">
        <v>0</v>
      </c>
      <c r="K581" s="43">
        <v>0</v>
      </c>
      <c r="L581" s="43">
        <v>0</v>
      </c>
      <c r="M581" s="887"/>
      <c r="N581" s="16"/>
      <c r="O581" s="16"/>
      <c r="P581" s="16"/>
      <c r="Q581" s="16"/>
      <c r="R581" s="16"/>
    </row>
    <row r="582" spans="1:18" hidden="1" outlineLevel="1" x14ac:dyDescent="0.2">
      <c r="A582" s="22" t="s">
        <v>1227</v>
      </c>
      <c r="B582" s="2" t="str">
        <f t="shared" si="23"/>
        <v>GWh</v>
      </c>
      <c r="C582" s="2" t="s">
        <v>1223</v>
      </c>
      <c r="D582" s="716">
        <f t="shared" si="24"/>
        <v>0</v>
      </c>
      <c r="E582" s="4" t="s">
        <v>6</v>
      </c>
      <c r="F582" s="43">
        <v>0</v>
      </c>
      <c r="G582" s="43">
        <v>0</v>
      </c>
      <c r="H582" s="43">
        <v>0</v>
      </c>
      <c r="I582" s="43">
        <v>0</v>
      </c>
      <c r="J582" s="43">
        <v>0</v>
      </c>
      <c r="K582" s="43">
        <v>0</v>
      </c>
      <c r="L582" s="43">
        <v>0</v>
      </c>
      <c r="M582" s="887"/>
      <c r="N582" s="16"/>
      <c r="O582" s="16"/>
      <c r="P582" s="16"/>
      <c r="Q582" s="16"/>
      <c r="R582" s="16"/>
    </row>
    <row r="583" spans="1:18" hidden="1" outlineLevel="1" x14ac:dyDescent="0.2">
      <c r="A583" s="22" t="s">
        <v>1227</v>
      </c>
      <c r="B583" s="2" t="str">
        <f t="shared" si="23"/>
        <v>GWh</v>
      </c>
      <c r="C583" s="2" t="s">
        <v>1223</v>
      </c>
      <c r="D583" s="716">
        <f t="shared" si="24"/>
        <v>0</v>
      </c>
      <c r="E583" s="4" t="s">
        <v>143</v>
      </c>
      <c r="F583" s="43">
        <v>0</v>
      </c>
      <c r="G583" s="43">
        <v>0</v>
      </c>
      <c r="H583" s="43">
        <v>0</v>
      </c>
      <c r="I583" s="43">
        <v>0</v>
      </c>
      <c r="J583" s="43">
        <v>0</v>
      </c>
      <c r="K583" s="43">
        <v>0</v>
      </c>
      <c r="L583" s="43">
        <v>0</v>
      </c>
      <c r="M583" s="887"/>
      <c r="N583" s="16"/>
      <c r="O583" s="16"/>
      <c r="P583" s="16"/>
      <c r="Q583" s="16"/>
      <c r="R583" s="16"/>
    </row>
    <row r="584" spans="1:18" hidden="1" outlineLevel="1" x14ac:dyDescent="0.2">
      <c r="A584" s="22" t="s">
        <v>1227</v>
      </c>
      <c r="B584" s="2" t="str">
        <f t="shared" ref="B584:B647" si="25">IF(A584="Capacity", "MW", "GWh")</f>
        <v>GWh</v>
      </c>
      <c r="C584" s="2" t="s">
        <v>1223</v>
      </c>
      <c r="D584" s="716">
        <f t="shared" si="24"/>
        <v>0</v>
      </c>
      <c r="E584" s="4" t="s">
        <v>7</v>
      </c>
      <c r="F584" s="43">
        <v>0</v>
      </c>
      <c r="G584" s="43">
        <v>0</v>
      </c>
      <c r="H584" s="43">
        <v>0</v>
      </c>
      <c r="I584" s="43">
        <v>0</v>
      </c>
      <c r="J584" s="43">
        <v>0</v>
      </c>
      <c r="K584" s="43">
        <v>0</v>
      </c>
      <c r="L584" s="43">
        <v>0</v>
      </c>
      <c r="M584" s="887"/>
      <c r="N584" s="16"/>
      <c r="O584" s="16"/>
      <c r="P584" s="16"/>
      <c r="Q584" s="16"/>
      <c r="R584" s="16"/>
    </row>
    <row r="585" spans="1:18" hidden="1" outlineLevel="1" x14ac:dyDescent="0.2">
      <c r="A585" s="22" t="s">
        <v>1227</v>
      </c>
      <c r="B585" s="2" t="str">
        <f t="shared" si="25"/>
        <v>GWh</v>
      </c>
      <c r="C585" s="2" t="s">
        <v>1223</v>
      </c>
      <c r="D585" s="716">
        <f t="shared" si="24"/>
        <v>0</v>
      </c>
      <c r="E585" s="4" t="s">
        <v>31</v>
      </c>
      <c r="F585" s="43">
        <v>13754</v>
      </c>
      <c r="G585" s="43">
        <v>12350</v>
      </c>
      <c r="H585" s="43">
        <v>13969</v>
      </c>
      <c r="I585" s="43">
        <v>12957</v>
      </c>
      <c r="J585" s="43">
        <v>14523</v>
      </c>
      <c r="K585" s="43">
        <v>15659</v>
      </c>
      <c r="L585" s="43">
        <v>15659</v>
      </c>
      <c r="M585" s="887"/>
      <c r="N585" s="16"/>
      <c r="O585" s="16"/>
      <c r="P585" s="16"/>
      <c r="Q585" s="16"/>
      <c r="R585" s="16"/>
    </row>
    <row r="586" spans="1:18" hidden="1" outlineLevel="1" x14ac:dyDescent="0.2">
      <c r="A586" s="22" t="s">
        <v>1227</v>
      </c>
      <c r="B586" s="2" t="str">
        <f t="shared" si="25"/>
        <v>GWh</v>
      </c>
      <c r="C586" s="2" t="s">
        <v>1223</v>
      </c>
      <c r="D586" s="716">
        <f t="shared" si="24"/>
        <v>0</v>
      </c>
      <c r="E586" s="4" t="s">
        <v>8</v>
      </c>
      <c r="F586" s="43">
        <v>0</v>
      </c>
      <c r="G586" s="43">
        <v>0</v>
      </c>
      <c r="H586" s="43">
        <v>0</v>
      </c>
      <c r="I586" s="43">
        <v>0</v>
      </c>
      <c r="J586" s="43">
        <v>0</v>
      </c>
      <c r="K586" s="43">
        <v>0</v>
      </c>
      <c r="L586" s="43">
        <v>0</v>
      </c>
      <c r="M586" s="887"/>
      <c r="N586" s="16"/>
      <c r="O586" s="16"/>
      <c r="P586" s="16"/>
      <c r="Q586" s="16"/>
      <c r="R586" s="16"/>
    </row>
    <row r="587" spans="1:18" hidden="1" outlineLevel="1" x14ac:dyDescent="0.2">
      <c r="A587" s="22" t="s">
        <v>1227</v>
      </c>
      <c r="B587" s="2" t="str">
        <f t="shared" si="25"/>
        <v>GWh</v>
      </c>
      <c r="C587" s="2" t="s">
        <v>1223</v>
      </c>
      <c r="D587" s="716">
        <f t="shared" si="24"/>
        <v>0</v>
      </c>
      <c r="E587" s="4" t="s">
        <v>9</v>
      </c>
      <c r="F587" s="43">
        <v>0</v>
      </c>
      <c r="G587" s="43">
        <v>0</v>
      </c>
      <c r="H587" s="43">
        <v>0</v>
      </c>
      <c r="I587" s="43">
        <v>0</v>
      </c>
      <c r="J587" s="43">
        <v>0</v>
      </c>
      <c r="K587" s="43">
        <v>0</v>
      </c>
      <c r="L587" s="43">
        <v>0</v>
      </c>
      <c r="M587" s="887"/>
      <c r="N587" s="16"/>
      <c r="O587" s="16"/>
      <c r="P587" s="16"/>
      <c r="Q587" s="16"/>
      <c r="R587" s="16"/>
    </row>
    <row r="588" spans="1:18" hidden="1" outlineLevel="1" x14ac:dyDescent="0.2">
      <c r="A588" s="22" t="s">
        <v>1227</v>
      </c>
      <c r="B588" s="2" t="str">
        <f t="shared" si="25"/>
        <v>GWh</v>
      </c>
      <c r="C588" s="2" t="s">
        <v>1223</v>
      </c>
      <c r="D588" s="716">
        <f t="shared" si="24"/>
        <v>0</v>
      </c>
      <c r="E588" s="4" t="s">
        <v>10</v>
      </c>
      <c r="F588" s="43">
        <v>0</v>
      </c>
      <c r="G588" s="43">
        <v>0</v>
      </c>
      <c r="H588" s="43">
        <v>0</v>
      </c>
      <c r="I588" s="43">
        <v>0</v>
      </c>
      <c r="J588" s="43">
        <v>0</v>
      </c>
      <c r="K588" s="43">
        <v>0</v>
      </c>
      <c r="L588" s="43">
        <v>0</v>
      </c>
      <c r="M588" s="887"/>
      <c r="N588" s="16"/>
      <c r="O588" s="16"/>
      <c r="P588" s="16"/>
      <c r="Q588" s="16"/>
      <c r="R588" s="16"/>
    </row>
    <row r="589" spans="1:18" hidden="1" outlineLevel="1" x14ac:dyDescent="0.2">
      <c r="A589" s="22" t="s">
        <v>1227</v>
      </c>
      <c r="B589" s="2" t="str">
        <f t="shared" si="25"/>
        <v>GWh</v>
      </c>
      <c r="C589" s="2" t="s">
        <v>1223</v>
      </c>
      <c r="D589" s="716">
        <f t="shared" si="24"/>
        <v>0</v>
      </c>
      <c r="E589" s="4" t="s">
        <v>11</v>
      </c>
      <c r="F589" s="43">
        <v>0</v>
      </c>
      <c r="G589" s="43">
        <v>0</v>
      </c>
      <c r="H589" s="43">
        <v>0</v>
      </c>
      <c r="I589" s="43">
        <v>0</v>
      </c>
      <c r="J589" s="43">
        <v>0</v>
      </c>
      <c r="K589" s="43">
        <v>0</v>
      </c>
      <c r="L589" s="43">
        <v>0</v>
      </c>
      <c r="M589" s="887"/>
      <c r="N589" s="16"/>
      <c r="O589" s="16"/>
      <c r="P589" s="16"/>
      <c r="Q589" s="16"/>
      <c r="R589" s="16"/>
    </row>
    <row r="590" spans="1:18" hidden="1" outlineLevel="1" x14ac:dyDescent="0.2">
      <c r="A590" s="22" t="s">
        <v>1227</v>
      </c>
      <c r="B590" s="2" t="str">
        <f t="shared" si="25"/>
        <v>GWh</v>
      </c>
      <c r="C590" s="2" t="s">
        <v>1223</v>
      </c>
      <c r="D590" s="716">
        <f t="shared" si="24"/>
        <v>0</v>
      </c>
      <c r="E590" s="4" t="s">
        <v>12</v>
      </c>
      <c r="F590" s="43">
        <v>0</v>
      </c>
      <c r="G590" s="43">
        <v>0</v>
      </c>
      <c r="H590" s="43">
        <v>0</v>
      </c>
      <c r="I590" s="43">
        <v>0</v>
      </c>
      <c r="J590" s="43">
        <v>0</v>
      </c>
      <c r="K590" s="43">
        <v>0</v>
      </c>
      <c r="L590" s="43">
        <v>0</v>
      </c>
      <c r="M590" s="887"/>
      <c r="N590" s="16"/>
      <c r="O590" s="16"/>
      <c r="P590" s="16"/>
      <c r="Q590" s="16"/>
      <c r="R590" s="16"/>
    </row>
    <row r="591" spans="1:18" hidden="1" outlineLevel="1" x14ac:dyDescent="0.2">
      <c r="A591" s="22" t="s">
        <v>1227</v>
      </c>
      <c r="B591" s="2" t="str">
        <f t="shared" si="25"/>
        <v>GWh</v>
      </c>
      <c r="C591" s="2" t="s">
        <v>1223</v>
      </c>
      <c r="D591" s="716">
        <f t="shared" si="24"/>
        <v>0</v>
      </c>
      <c r="E591" s="4" t="s">
        <v>1</v>
      </c>
      <c r="F591" s="43">
        <v>0</v>
      </c>
      <c r="G591" s="43">
        <v>0</v>
      </c>
      <c r="H591" s="43">
        <v>0</v>
      </c>
      <c r="I591" s="43">
        <v>0</v>
      </c>
      <c r="J591" s="43">
        <v>0</v>
      </c>
      <c r="K591" s="43">
        <v>0</v>
      </c>
      <c r="L591" s="43">
        <v>0</v>
      </c>
      <c r="M591" s="887"/>
      <c r="N591" s="16"/>
      <c r="O591" s="16"/>
      <c r="P591" s="16"/>
      <c r="Q591" s="16"/>
      <c r="R591" s="16"/>
    </row>
    <row r="592" spans="1:18" hidden="1" outlineLevel="1" x14ac:dyDescent="0.2">
      <c r="A592" s="22" t="s">
        <v>1227</v>
      </c>
      <c r="B592" s="2" t="str">
        <f t="shared" si="25"/>
        <v>GWh</v>
      </c>
      <c r="C592" s="2" t="s">
        <v>1223</v>
      </c>
      <c r="D592" s="716">
        <f t="shared" si="24"/>
        <v>0</v>
      </c>
      <c r="E592" s="4" t="s">
        <v>13</v>
      </c>
      <c r="F592" s="43">
        <v>0</v>
      </c>
      <c r="G592" s="43">
        <v>0</v>
      </c>
      <c r="H592" s="43">
        <v>0</v>
      </c>
      <c r="I592" s="43">
        <v>0</v>
      </c>
      <c r="J592" s="43">
        <v>0</v>
      </c>
      <c r="K592" s="43">
        <v>0</v>
      </c>
      <c r="L592" s="43">
        <v>0</v>
      </c>
      <c r="M592" s="887"/>
      <c r="N592" s="16"/>
      <c r="O592" s="16"/>
      <c r="P592" s="16"/>
      <c r="Q592" s="16"/>
      <c r="R592" s="16"/>
    </row>
    <row r="593" spans="1:18" hidden="1" outlineLevel="1" x14ac:dyDescent="0.2">
      <c r="A593" s="22" t="s">
        <v>1227</v>
      </c>
      <c r="B593" s="2" t="str">
        <f t="shared" si="25"/>
        <v>GWh</v>
      </c>
      <c r="C593" s="2" t="s">
        <v>1223</v>
      </c>
      <c r="D593" s="716">
        <f t="shared" si="24"/>
        <v>0</v>
      </c>
      <c r="E593" s="4" t="s">
        <v>14</v>
      </c>
      <c r="F593" s="43">
        <v>0</v>
      </c>
      <c r="G593" s="43">
        <v>0</v>
      </c>
      <c r="H593" s="43">
        <v>0</v>
      </c>
      <c r="I593" s="43">
        <v>0</v>
      </c>
      <c r="J593" s="43">
        <v>0</v>
      </c>
      <c r="K593" s="43">
        <v>0</v>
      </c>
      <c r="L593" s="43">
        <v>0</v>
      </c>
      <c r="M593" s="887"/>
      <c r="N593" s="16"/>
      <c r="O593" s="16"/>
      <c r="P593" s="16"/>
      <c r="Q593" s="16"/>
      <c r="R593" s="16"/>
    </row>
    <row r="594" spans="1:18" hidden="1" outlineLevel="1" x14ac:dyDescent="0.2">
      <c r="A594" s="22" t="s">
        <v>1227</v>
      </c>
      <c r="B594" s="2" t="str">
        <f t="shared" si="25"/>
        <v>GWh</v>
      </c>
      <c r="C594" s="2" t="s">
        <v>1223</v>
      </c>
      <c r="D594" s="716">
        <f t="shared" si="24"/>
        <v>0</v>
      </c>
      <c r="E594" s="4" t="s">
        <v>15</v>
      </c>
      <c r="F594" s="43">
        <v>0</v>
      </c>
      <c r="G594" s="43">
        <v>0</v>
      </c>
      <c r="H594" s="43">
        <v>0</v>
      </c>
      <c r="I594" s="43">
        <v>0</v>
      </c>
      <c r="J594" s="43">
        <v>0</v>
      </c>
      <c r="K594" s="43">
        <v>0</v>
      </c>
      <c r="L594" s="43">
        <v>0</v>
      </c>
      <c r="M594" s="887"/>
      <c r="N594" s="16"/>
      <c r="O594" s="16"/>
      <c r="P594" s="16"/>
      <c r="Q594" s="16"/>
      <c r="R594" s="16"/>
    </row>
    <row r="595" spans="1:18" hidden="1" outlineLevel="1" x14ac:dyDescent="0.2">
      <c r="A595" s="22" t="s">
        <v>1227</v>
      </c>
      <c r="B595" s="2" t="str">
        <f t="shared" si="25"/>
        <v>GWh</v>
      </c>
      <c r="C595" s="2" t="s">
        <v>1223</v>
      </c>
      <c r="D595" s="716">
        <f t="shared" si="24"/>
        <v>0</v>
      </c>
      <c r="E595" s="4" t="s">
        <v>16</v>
      </c>
      <c r="F595" s="43">
        <v>0</v>
      </c>
      <c r="G595" s="43">
        <v>0</v>
      </c>
      <c r="H595" s="43">
        <v>0</v>
      </c>
      <c r="I595" s="43">
        <v>0</v>
      </c>
      <c r="J595" s="43">
        <v>0</v>
      </c>
      <c r="K595" s="43">
        <v>0</v>
      </c>
      <c r="L595" s="43">
        <v>0</v>
      </c>
      <c r="M595" s="887"/>
      <c r="N595" s="16"/>
      <c r="O595" s="16"/>
      <c r="P595" s="16"/>
      <c r="Q595" s="16"/>
      <c r="R595" s="16"/>
    </row>
    <row r="596" spans="1:18" hidden="1" outlineLevel="1" x14ac:dyDescent="0.2">
      <c r="A596" s="22" t="s">
        <v>1227</v>
      </c>
      <c r="B596" s="2" t="str">
        <f t="shared" si="25"/>
        <v>GWh</v>
      </c>
      <c r="C596" s="2" t="s">
        <v>1223</v>
      </c>
      <c r="D596" s="716">
        <f t="shared" si="24"/>
        <v>0</v>
      </c>
      <c r="E596" s="4" t="s">
        <v>17</v>
      </c>
      <c r="F596" s="43">
        <v>0</v>
      </c>
      <c r="G596" s="43">
        <v>0</v>
      </c>
      <c r="H596" s="43">
        <v>0</v>
      </c>
      <c r="I596" s="43">
        <v>0</v>
      </c>
      <c r="J596" s="43">
        <v>0</v>
      </c>
      <c r="K596" s="43">
        <v>0</v>
      </c>
      <c r="L596" s="43">
        <v>0</v>
      </c>
      <c r="M596" s="887"/>
      <c r="N596" s="16"/>
      <c r="O596" s="16"/>
      <c r="P596" s="16"/>
      <c r="Q596" s="16"/>
      <c r="R596" s="16"/>
    </row>
    <row r="597" spans="1:18" hidden="1" outlineLevel="1" x14ac:dyDescent="0.2">
      <c r="A597" s="22" t="s">
        <v>1227</v>
      </c>
      <c r="B597" s="2" t="str">
        <f t="shared" si="25"/>
        <v>GWh</v>
      </c>
      <c r="C597" s="2" t="s">
        <v>1223</v>
      </c>
      <c r="D597" s="716">
        <f t="shared" si="24"/>
        <v>0</v>
      </c>
      <c r="E597" s="4" t="s">
        <v>18</v>
      </c>
      <c r="F597" s="43">
        <v>10866.241104000001</v>
      </c>
      <c r="G597" s="43">
        <v>10420.725025</v>
      </c>
      <c r="H597" s="43">
        <v>9803.976279999999</v>
      </c>
      <c r="I597" s="43">
        <v>10501.078928000001</v>
      </c>
      <c r="J597" s="43">
        <v>5879.2406389999996</v>
      </c>
      <c r="K597" s="43">
        <v>10089.195025999999</v>
      </c>
      <c r="L597" s="43">
        <v>8769.5988160000015</v>
      </c>
      <c r="M597" s="887"/>
      <c r="N597" s="16"/>
      <c r="O597" s="16"/>
      <c r="P597" s="16"/>
      <c r="Q597" s="16"/>
      <c r="R597" s="16"/>
    </row>
    <row r="598" spans="1:18" hidden="1" outlineLevel="1" x14ac:dyDescent="0.2">
      <c r="A598" s="22" t="s">
        <v>1227</v>
      </c>
      <c r="B598" s="2" t="str">
        <f t="shared" si="25"/>
        <v>GWh</v>
      </c>
      <c r="C598" s="2" t="s">
        <v>1223</v>
      </c>
      <c r="D598" s="716">
        <f t="shared" si="24"/>
        <v>0</v>
      </c>
      <c r="E598" s="4" t="s">
        <v>2</v>
      </c>
      <c r="F598" s="43">
        <v>0</v>
      </c>
      <c r="G598" s="43">
        <v>0</v>
      </c>
      <c r="H598" s="43">
        <v>0</v>
      </c>
      <c r="I598" s="43">
        <v>0</v>
      </c>
      <c r="J598" s="43">
        <v>0</v>
      </c>
      <c r="K598" s="43">
        <v>0</v>
      </c>
      <c r="L598" s="43">
        <v>0</v>
      </c>
      <c r="M598" s="887"/>
      <c r="N598" s="16"/>
      <c r="O598" s="16"/>
      <c r="P598" s="16"/>
      <c r="Q598" s="16"/>
      <c r="R598" s="16"/>
    </row>
    <row r="599" spans="1:18" hidden="1" outlineLevel="1" x14ac:dyDescent="0.2">
      <c r="A599" s="22" t="s">
        <v>1227</v>
      </c>
      <c r="B599" s="2" t="str">
        <f t="shared" si="25"/>
        <v>GWh</v>
      </c>
      <c r="C599" s="2" t="s">
        <v>1223</v>
      </c>
      <c r="D599" s="716">
        <f t="shared" si="24"/>
        <v>0</v>
      </c>
      <c r="E599" s="4" t="s">
        <v>19</v>
      </c>
      <c r="F599" s="43">
        <v>0</v>
      </c>
      <c r="G599" s="43">
        <v>0</v>
      </c>
      <c r="H599" s="43">
        <v>0</v>
      </c>
      <c r="I599" s="43">
        <v>0</v>
      </c>
      <c r="J599" s="43">
        <v>0</v>
      </c>
      <c r="K599" s="43">
        <v>0</v>
      </c>
      <c r="L599" s="43">
        <v>0</v>
      </c>
      <c r="M599" s="887"/>
      <c r="N599" s="16"/>
      <c r="O599" s="16"/>
      <c r="P599" s="16"/>
      <c r="Q599" s="16"/>
      <c r="R599" s="16"/>
    </row>
    <row r="600" spans="1:18" hidden="1" outlineLevel="1" x14ac:dyDescent="0.2">
      <c r="A600" s="22" t="s">
        <v>1227</v>
      </c>
      <c r="B600" s="2" t="str">
        <f t="shared" si="25"/>
        <v>GWh</v>
      </c>
      <c r="C600" s="2" t="s">
        <v>1223</v>
      </c>
      <c r="D600" s="716">
        <f t="shared" si="24"/>
        <v>0</v>
      </c>
      <c r="E600" s="4" t="s">
        <v>3</v>
      </c>
      <c r="F600" s="43">
        <v>0</v>
      </c>
      <c r="G600" s="43">
        <v>0</v>
      </c>
      <c r="H600" s="43">
        <v>0</v>
      </c>
      <c r="I600" s="43">
        <v>0</v>
      </c>
      <c r="J600" s="43">
        <v>0</v>
      </c>
      <c r="K600" s="43">
        <v>0</v>
      </c>
      <c r="L600" s="43">
        <v>0</v>
      </c>
      <c r="M600" s="887"/>
      <c r="N600" s="16"/>
      <c r="O600" s="16"/>
      <c r="P600" s="16"/>
      <c r="Q600" s="16"/>
      <c r="R600" s="16"/>
    </row>
    <row r="601" spans="1:18" hidden="1" outlineLevel="1" x14ac:dyDescent="0.2">
      <c r="A601" s="22" t="s">
        <v>1227</v>
      </c>
      <c r="B601" s="2" t="str">
        <f t="shared" si="25"/>
        <v>GWh</v>
      </c>
      <c r="C601" s="2" t="s">
        <v>1223</v>
      </c>
      <c r="D601" s="716">
        <f t="shared" si="24"/>
        <v>0</v>
      </c>
      <c r="E601" s="4" t="s">
        <v>20</v>
      </c>
      <c r="F601" s="43">
        <v>0</v>
      </c>
      <c r="G601" s="43">
        <v>0</v>
      </c>
      <c r="H601" s="43">
        <v>0</v>
      </c>
      <c r="I601" s="43">
        <v>0</v>
      </c>
      <c r="J601" s="43">
        <v>0</v>
      </c>
      <c r="K601" s="43">
        <v>0</v>
      </c>
      <c r="L601" s="43">
        <v>0</v>
      </c>
      <c r="M601" s="887"/>
      <c r="N601" s="16"/>
      <c r="O601" s="16"/>
      <c r="P601" s="16"/>
      <c r="Q601" s="16"/>
      <c r="R601" s="16"/>
    </row>
    <row r="602" spans="1:18" hidden="1" outlineLevel="1" x14ac:dyDescent="0.2">
      <c r="A602" s="22" t="s">
        <v>1227</v>
      </c>
      <c r="B602" s="2" t="str">
        <f t="shared" si="25"/>
        <v>GWh</v>
      </c>
      <c r="C602" s="2" t="s">
        <v>1223</v>
      </c>
      <c r="D602" s="716">
        <f t="shared" ref="D602:D605" si="26">IF(C602="","",IF(OR(C602="Wind",C602="Solar",C602="Geothermal",C602="Small Hydro",C602="Biofuels",C602="Biomass &amp; Waste"), 1, 0))</f>
        <v>0</v>
      </c>
      <c r="E602" s="4" t="s">
        <v>21</v>
      </c>
      <c r="F602" s="43">
        <v>0</v>
      </c>
      <c r="G602" s="43">
        <v>0</v>
      </c>
      <c r="H602" s="43">
        <v>0</v>
      </c>
      <c r="I602" s="43">
        <v>0</v>
      </c>
      <c r="J602" s="43">
        <v>0</v>
      </c>
      <c r="K602" s="43">
        <v>0</v>
      </c>
      <c r="L602" s="43">
        <v>0</v>
      </c>
      <c r="M602" s="887"/>
      <c r="N602" s="16"/>
      <c r="O602" s="16"/>
      <c r="P602" s="16"/>
      <c r="Q602" s="16"/>
      <c r="R602" s="16"/>
    </row>
    <row r="603" spans="1:18" hidden="1" outlineLevel="1" x14ac:dyDescent="0.2">
      <c r="A603" s="22" t="s">
        <v>1227</v>
      </c>
      <c r="B603" s="2" t="str">
        <f t="shared" si="25"/>
        <v>GWh</v>
      </c>
      <c r="C603" s="2" t="s">
        <v>1223</v>
      </c>
      <c r="D603" s="716">
        <f t="shared" si="26"/>
        <v>0</v>
      </c>
      <c r="E603" s="4" t="s">
        <v>1096</v>
      </c>
      <c r="F603" s="43">
        <v>0</v>
      </c>
      <c r="G603" s="43">
        <v>0</v>
      </c>
      <c r="H603" s="43">
        <v>0</v>
      </c>
      <c r="I603" s="43">
        <v>0</v>
      </c>
      <c r="J603" s="43">
        <v>0</v>
      </c>
      <c r="K603" s="43">
        <v>0</v>
      </c>
      <c r="L603" s="43">
        <v>0</v>
      </c>
      <c r="M603" s="887"/>
      <c r="N603" s="16"/>
      <c r="O603" s="16"/>
      <c r="P603" s="16"/>
      <c r="Q603" s="16"/>
      <c r="R603" s="16"/>
    </row>
    <row r="604" spans="1:18" hidden="1" outlineLevel="1" x14ac:dyDescent="0.2">
      <c r="A604" s="22" t="s">
        <v>1227</v>
      </c>
      <c r="B604" s="2" t="str">
        <f t="shared" si="25"/>
        <v>GWh</v>
      </c>
      <c r="C604" s="2" t="s">
        <v>1223</v>
      </c>
      <c r="D604" s="716">
        <f t="shared" si="26"/>
        <v>0</v>
      </c>
      <c r="E604" s="4" t="s">
        <v>22</v>
      </c>
      <c r="F604" s="43">
        <v>0</v>
      </c>
      <c r="G604" s="43">
        <v>0</v>
      </c>
      <c r="H604" s="43">
        <v>0</v>
      </c>
      <c r="I604" s="43">
        <v>0</v>
      </c>
      <c r="J604" s="43">
        <v>0</v>
      </c>
      <c r="K604" s="43">
        <v>0</v>
      </c>
      <c r="L604" s="43">
        <v>0</v>
      </c>
      <c r="M604" s="887"/>
      <c r="N604" s="16"/>
      <c r="O604" s="16"/>
      <c r="P604" s="16"/>
      <c r="Q604" s="16"/>
      <c r="R604" s="16"/>
    </row>
    <row r="605" spans="1:18" hidden="1" outlineLevel="1" x14ac:dyDescent="0.2">
      <c r="A605" s="22" t="s">
        <v>1227</v>
      </c>
      <c r="B605" s="2" t="str">
        <f t="shared" si="25"/>
        <v>GWh</v>
      </c>
      <c r="C605" s="2" t="s">
        <v>1223</v>
      </c>
      <c r="D605" s="717">
        <f t="shared" si="26"/>
        <v>0</v>
      </c>
      <c r="E605" s="86" t="s">
        <v>23</v>
      </c>
      <c r="F605" s="43">
        <v>0</v>
      </c>
      <c r="G605" s="43">
        <v>0</v>
      </c>
      <c r="H605" s="43">
        <v>0</v>
      </c>
      <c r="I605" s="43">
        <v>0</v>
      </c>
      <c r="J605" s="43">
        <v>0</v>
      </c>
      <c r="K605" s="43">
        <v>0</v>
      </c>
      <c r="L605" s="43">
        <v>0</v>
      </c>
      <c r="M605" s="918"/>
      <c r="N605" s="16"/>
      <c r="O605" s="16"/>
      <c r="P605" s="16"/>
      <c r="Q605" s="16"/>
      <c r="R605" s="16"/>
    </row>
    <row r="606" spans="1:18" hidden="1" outlineLevel="1" x14ac:dyDescent="0.2">
      <c r="A606" s="532" t="s">
        <v>1227</v>
      </c>
      <c r="B606" s="533" t="str">
        <f t="shared" si="25"/>
        <v>GWh</v>
      </c>
      <c r="C606" s="533" t="s">
        <v>1224</v>
      </c>
      <c r="D606" s="718">
        <f t="shared" ref="D606:D613" si="27">IF(C606="","",IF(OR(C606="Wind",C606="Solar",C606="Geothermal",C606="Small Hydro",C606="Biofuels",C606="Biomass &amp; Waste"), 1, 0))</f>
        <v>0</v>
      </c>
      <c r="E606" s="468" t="s">
        <v>4</v>
      </c>
      <c r="F606" s="534">
        <v>45436.252</v>
      </c>
      <c r="G606" s="534">
        <v>49358.694000000003</v>
      </c>
      <c r="H606" s="534">
        <v>59066.258880000001</v>
      </c>
      <c r="I606" s="534">
        <v>63566.800596000008</v>
      </c>
      <c r="J606" s="534">
        <v>63287.637206999992</v>
      </c>
      <c r="K606" s="534">
        <v>68306.279532399989</v>
      </c>
      <c r="L606" s="534">
        <v>68306.279532399989</v>
      </c>
      <c r="M606" s="888"/>
      <c r="N606" s="16"/>
      <c r="O606" s="16"/>
      <c r="P606" s="16"/>
      <c r="Q606" s="16"/>
      <c r="R606" s="16"/>
    </row>
    <row r="607" spans="1:18" hidden="1" outlineLevel="1" x14ac:dyDescent="0.2">
      <c r="A607" s="22" t="s">
        <v>1227</v>
      </c>
      <c r="B607" s="2" t="str">
        <f t="shared" si="25"/>
        <v>GWh</v>
      </c>
      <c r="C607" s="2" t="s">
        <v>1224</v>
      </c>
      <c r="D607" s="716">
        <f t="shared" si="27"/>
        <v>0</v>
      </c>
      <c r="E607" s="4" t="s">
        <v>5</v>
      </c>
      <c r="F607" s="43">
        <v>0</v>
      </c>
      <c r="G607" s="43">
        <v>0</v>
      </c>
      <c r="H607" s="43">
        <v>0</v>
      </c>
      <c r="I607" s="43">
        <v>0</v>
      </c>
      <c r="J607" s="43">
        <v>0</v>
      </c>
      <c r="K607" s="43">
        <v>0</v>
      </c>
      <c r="L607" s="43">
        <v>0</v>
      </c>
      <c r="M607" s="887"/>
      <c r="N607" s="16"/>
      <c r="O607" s="16"/>
      <c r="P607" s="16"/>
      <c r="Q607" s="16"/>
      <c r="R607" s="16"/>
    </row>
    <row r="608" spans="1:18" hidden="1" outlineLevel="1" x14ac:dyDescent="0.2">
      <c r="A608" s="22" t="s">
        <v>1227</v>
      </c>
      <c r="B608" s="2" t="str">
        <f t="shared" si="25"/>
        <v>GWh</v>
      </c>
      <c r="C608" s="2" t="s">
        <v>1224</v>
      </c>
      <c r="D608" s="716">
        <f t="shared" si="27"/>
        <v>0</v>
      </c>
      <c r="E608" s="4" t="s">
        <v>6</v>
      </c>
      <c r="F608" s="43">
        <v>0</v>
      </c>
      <c r="G608" s="43">
        <v>0</v>
      </c>
      <c r="H608" s="43">
        <v>0</v>
      </c>
      <c r="I608" s="43">
        <v>0</v>
      </c>
      <c r="J608" s="43">
        <v>0</v>
      </c>
      <c r="K608" s="43">
        <v>0</v>
      </c>
      <c r="L608" s="43">
        <v>0</v>
      </c>
      <c r="M608" s="887"/>
      <c r="N608" s="16"/>
      <c r="O608" s="16"/>
      <c r="P608" s="16"/>
      <c r="Q608" s="16"/>
      <c r="R608" s="16"/>
    </row>
    <row r="609" spans="1:18" hidden="1" outlineLevel="1" x14ac:dyDescent="0.2">
      <c r="A609" s="22" t="s">
        <v>1227</v>
      </c>
      <c r="B609" s="2" t="str">
        <f t="shared" si="25"/>
        <v>GWh</v>
      </c>
      <c r="C609" s="2" t="s">
        <v>1224</v>
      </c>
      <c r="D609" s="716">
        <f t="shared" si="27"/>
        <v>0</v>
      </c>
      <c r="E609" s="4" t="s">
        <v>143</v>
      </c>
      <c r="F609" s="43">
        <v>0</v>
      </c>
      <c r="G609" s="43">
        <v>0</v>
      </c>
      <c r="H609" s="43">
        <v>0</v>
      </c>
      <c r="I609" s="43">
        <v>0</v>
      </c>
      <c r="J609" s="43">
        <v>0</v>
      </c>
      <c r="K609" s="43">
        <v>0</v>
      </c>
      <c r="L609" s="43">
        <v>0</v>
      </c>
      <c r="M609" s="887"/>
      <c r="N609" s="16"/>
      <c r="O609" s="16"/>
      <c r="P609" s="16"/>
      <c r="Q609" s="16"/>
      <c r="R609" s="16"/>
    </row>
    <row r="610" spans="1:18" hidden="1" outlineLevel="1" x14ac:dyDescent="0.2">
      <c r="A610" s="22" t="s">
        <v>1227</v>
      </c>
      <c r="B610" s="2" t="str">
        <f t="shared" si="25"/>
        <v>GWh</v>
      </c>
      <c r="C610" s="2" t="s">
        <v>1224</v>
      </c>
      <c r="D610" s="716">
        <f t="shared" si="27"/>
        <v>0</v>
      </c>
      <c r="E610" s="4" t="s">
        <v>7</v>
      </c>
      <c r="F610" s="43">
        <v>107.9</v>
      </c>
      <c r="G610" s="43">
        <v>119.69999999999999</v>
      </c>
      <c r="H610" s="43">
        <v>264.20000000000005</v>
      </c>
      <c r="I610" s="43">
        <v>287.89999999999998</v>
      </c>
      <c r="J610" s="43">
        <v>256.8</v>
      </c>
      <c r="K610" s="43">
        <v>644.30000000000007</v>
      </c>
      <c r="L610" s="43">
        <v>644.30000000000007</v>
      </c>
      <c r="M610" s="887"/>
      <c r="N610" s="16"/>
      <c r="O610" s="16"/>
      <c r="P610" s="16"/>
      <c r="Q610" s="16"/>
      <c r="R610" s="16"/>
    </row>
    <row r="611" spans="1:18" hidden="1" outlineLevel="1" x14ac:dyDescent="0.2">
      <c r="A611" s="22" t="s">
        <v>1227</v>
      </c>
      <c r="B611" s="2" t="str">
        <f t="shared" si="25"/>
        <v>GWh</v>
      </c>
      <c r="C611" s="2" t="s">
        <v>1224</v>
      </c>
      <c r="D611" s="716">
        <f t="shared" si="27"/>
        <v>0</v>
      </c>
      <c r="E611" s="4" t="s">
        <v>31</v>
      </c>
      <c r="F611" s="43">
        <v>1655</v>
      </c>
      <c r="G611" s="43">
        <v>1412</v>
      </c>
      <c r="H611" s="43">
        <v>2043</v>
      </c>
      <c r="I611" s="43">
        <v>1932</v>
      </c>
      <c r="J611" s="43">
        <v>1899</v>
      </c>
      <c r="K611" s="43">
        <v>2818</v>
      </c>
      <c r="L611" s="43">
        <v>2818</v>
      </c>
      <c r="M611" s="887"/>
      <c r="N611" s="16"/>
      <c r="O611" s="16"/>
      <c r="P611" s="16"/>
      <c r="Q611" s="16"/>
      <c r="R611" s="16"/>
    </row>
    <row r="612" spans="1:18" hidden="1" outlineLevel="1" x14ac:dyDescent="0.2">
      <c r="A612" s="22" t="s">
        <v>1227</v>
      </c>
      <c r="B612" s="2" t="str">
        <f t="shared" si="25"/>
        <v>GWh</v>
      </c>
      <c r="C612" s="2" t="s">
        <v>1224</v>
      </c>
      <c r="D612" s="716">
        <f t="shared" si="27"/>
        <v>0</v>
      </c>
      <c r="E612" s="4" t="s">
        <v>8</v>
      </c>
      <c r="F612" s="43">
        <v>0</v>
      </c>
      <c r="G612" s="43">
        <v>0</v>
      </c>
      <c r="H612" s="43">
        <v>0</v>
      </c>
      <c r="I612" s="43">
        <v>0</v>
      </c>
      <c r="J612" s="43">
        <v>0</v>
      </c>
      <c r="K612" s="43">
        <v>37.856999999999999</v>
      </c>
      <c r="L612" s="43">
        <v>25.026140000000002</v>
      </c>
      <c r="M612" s="887"/>
      <c r="N612" s="16"/>
      <c r="O612" s="16"/>
      <c r="P612" s="16"/>
      <c r="Q612" s="16"/>
      <c r="R612" s="16"/>
    </row>
    <row r="613" spans="1:18" hidden="1" outlineLevel="1" x14ac:dyDescent="0.2">
      <c r="A613" s="22" t="s">
        <v>1227</v>
      </c>
      <c r="B613" s="2" t="str">
        <f t="shared" si="25"/>
        <v>GWh</v>
      </c>
      <c r="C613" s="2" t="s">
        <v>1224</v>
      </c>
      <c r="D613" s="716">
        <f t="shared" si="27"/>
        <v>0</v>
      </c>
      <c r="E613" s="4" t="s">
        <v>9</v>
      </c>
      <c r="F613" s="43">
        <v>9974</v>
      </c>
      <c r="G613" s="43">
        <v>9651</v>
      </c>
      <c r="H613" s="43">
        <v>8724</v>
      </c>
      <c r="I613" s="43">
        <v>15030</v>
      </c>
      <c r="J613" s="43">
        <v>16256</v>
      </c>
      <c r="K613" s="43">
        <v>0</v>
      </c>
      <c r="L613" s="43">
        <v>0</v>
      </c>
      <c r="M613" s="887"/>
      <c r="N613" s="16"/>
      <c r="O613" s="16"/>
      <c r="P613" s="16"/>
      <c r="Q613" s="16"/>
      <c r="R613" s="16"/>
    </row>
    <row r="614" spans="1:18" hidden="1" outlineLevel="1" x14ac:dyDescent="0.2">
      <c r="A614" s="22" t="s">
        <v>1227</v>
      </c>
      <c r="B614" s="2" t="str">
        <f t="shared" si="25"/>
        <v>GWh</v>
      </c>
      <c r="C614" s="2" t="s">
        <v>1224</v>
      </c>
      <c r="D614" s="716">
        <f t="shared" ref="D614:D704" si="28">IF(C614="","",IF(OR(C614="Wind",C614="Solar",C614="Geothermal",C614="Small Hydro",C614="Biofuels",C614="Biomass &amp; Waste"), 1, 0))</f>
        <v>0</v>
      </c>
      <c r="E614" s="4" t="s">
        <v>10</v>
      </c>
      <c r="F614" s="43">
        <v>0</v>
      </c>
      <c r="G614" s="43">
        <v>0</v>
      </c>
      <c r="H614" s="43">
        <v>0</v>
      </c>
      <c r="I614" s="43">
        <v>0</v>
      </c>
      <c r="J614" s="43">
        <v>0</v>
      </c>
      <c r="K614" s="43">
        <v>0</v>
      </c>
      <c r="L614" s="43">
        <v>0</v>
      </c>
      <c r="M614" s="887"/>
      <c r="N614" s="16"/>
      <c r="O614" s="16"/>
      <c r="P614" s="16"/>
      <c r="Q614" s="16"/>
      <c r="R614" s="16"/>
    </row>
    <row r="615" spans="1:18" hidden="1" outlineLevel="1" x14ac:dyDescent="0.2">
      <c r="A615" s="22" t="s">
        <v>1227</v>
      </c>
      <c r="B615" s="2" t="str">
        <f t="shared" si="25"/>
        <v>GWh</v>
      </c>
      <c r="C615" s="2" t="s">
        <v>1224</v>
      </c>
      <c r="D615" s="716">
        <f t="shared" si="28"/>
        <v>0</v>
      </c>
      <c r="E615" s="4" t="s">
        <v>11</v>
      </c>
      <c r="F615" s="43">
        <v>0</v>
      </c>
      <c r="G615" s="43">
        <v>0</v>
      </c>
      <c r="H615" s="43">
        <v>0</v>
      </c>
      <c r="I615" s="43">
        <v>0</v>
      </c>
      <c r="J615" s="43">
        <v>0</v>
      </c>
      <c r="K615" s="43">
        <v>0</v>
      </c>
      <c r="L615" s="43">
        <v>0</v>
      </c>
      <c r="M615" s="887"/>
      <c r="N615" s="16"/>
      <c r="O615" s="16"/>
      <c r="P615" s="16"/>
      <c r="Q615" s="16"/>
      <c r="R615" s="16"/>
    </row>
    <row r="616" spans="1:18" hidden="1" outlineLevel="1" x14ac:dyDescent="0.2">
      <c r="A616" s="22" t="s">
        <v>1227</v>
      </c>
      <c r="B616" s="2" t="str">
        <f t="shared" si="25"/>
        <v>GWh</v>
      </c>
      <c r="C616" s="2" t="s">
        <v>1224</v>
      </c>
      <c r="D616" s="716">
        <f t="shared" si="28"/>
        <v>0</v>
      </c>
      <c r="E616" s="4" t="s">
        <v>12</v>
      </c>
      <c r="F616" s="43">
        <v>356.14533</v>
      </c>
      <c r="G616" s="43">
        <v>1032.56</v>
      </c>
      <c r="H616" s="43">
        <v>814.26</v>
      </c>
      <c r="I616" s="43">
        <v>1004.0339399999999</v>
      </c>
      <c r="J616" s="43">
        <v>1067.235821</v>
      </c>
      <c r="K616" s="43">
        <v>1085.99</v>
      </c>
      <c r="L616" s="43">
        <v>1171.4618599999999</v>
      </c>
      <c r="M616" s="887"/>
      <c r="N616" s="16"/>
      <c r="O616" s="16"/>
      <c r="P616" s="16"/>
      <c r="Q616" s="16"/>
      <c r="R616" s="16"/>
    </row>
    <row r="617" spans="1:18" hidden="1" outlineLevel="1" x14ac:dyDescent="0.2">
      <c r="A617" s="22" t="s">
        <v>1227</v>
      </c>
      <c r="B617" s="2" t="str">
        <f t="shared" si="25"/>
        <v>GWh</v>
      </c>
      <c r="C617" s="2" t="s">
        <v>1224</v>
      </c>
      <c r="D617" s="716">
        <f t="shared" si="28"/>
        <v>0</v>
      </c>
      <c r="E617" s="4" t="s">
        <v>1</v>
      </c>
      <c r="F617" s="43">
        <v>0</v>
      </c>
      <c r="G617" s="43">
        <v>0</v>
      </c>
      <c r="H617" s="43">
        <v>0</v>
      </c>
      <c r="I617" s="43">
        <v>0</v>
      </c>
      <c r="J617" s="43">
        <v>0</v>
      </c>
      <c r="K617" s="43">
        <v>0</v>
      </c>
      <c r="L617" s="43">
        <v>0</v>
      </c>
      <c r="M617" s="887"/>
      <c r="N617" s="16"/>
      <c r="O617" s="16"/>
      <c r="P617" s="16"/>
      <c r="Q617" s="16"/>
      <c r="R617" s="16"/>
    </row>
    <row r="618" spans="1:18" hidden="1" outlineLevel="1" x14ac:dyDescent="0.2">
      <c r="A618" s="22" t="s">
        <v>1227</v>
      </c>
      <c r="B618" s="2" t="str">
        <f t="shared" si="25"/>
        <v>GWh</v>
      </c>
      <c r="C618" s="2" t="s">
        <v>1224</v>
      </c>
      <c r="D618" s="716">
        <f t="shared" si="28"/>
        <v>0</v>
      </c>
      <c r="E618" s="4" t="s">
        <v>13</v>
      </c>
      <c r="F618" s="43">
        <v>0</v>
      </c>
      <c r="G618" s="43">
        <v>0</v>
      </c>
      <c r="H618" s="43">
        <v>0</v>
      </c>
      <c r="I618" s="43">
        <v>0</v>
      </c>
      <c r="J618" s="43">
        <v>0</v>
      </c>
      <c r="K618" s="43">
        <v>0</v>
      </c>
      <c r="L618" s="43">
        <v>0</v>
      </c>
      <c r="M618" s="887"/>
      <c r="N618" s="16"/>
      <c r="O618" s="16"/>
      <c r="P618" s="16"/>
      <c r="Q618" s="16"/>
      <c r="R618" s="16"/>
    </row>
    <row r="619" spans="1:18" hidden="1" outlineLevel="1" x14ac:dyDescent="0.2">
      <c r="A619" s="22" t="s">
        <v>1227</v>
      </c>
      <c r="B619" s="2" t="str">
        <f t="shared" si="25"/>
        <v>GWh</v>
      </c>
      <c r="C619" s="2" t="s">
        <v>1224</v>
      </c>
      <c r="D619" s="716">
        <f t="shared" si="28"/>
        <v>0</v>
      </c>
      <c r="E619" s="4" t="s">
        <v>14</v>
      </c>
      <c r="F619" s="43">
        <v>0</v>
      </c>
      <c r="G619" s="43">
        <v>0</v>
      </c>
      <c r="H619" s="43">
        <v>0</v>
      </c>
      <c r="I619" s="43">
        <v>0</v>
      </c>
      <c r="J619" s="43">
        <v>0</v>
      </c>
      <c r="K619" s="43">
        <v>0</v>
      </c>
      <c r="L619" s="43">
        <v>0</v>
      </c>
      <c r="M619" s="887"/>
      <c r="N619" s="16"/>
      <c r="O619" s="16"/>
      <c r="P619" s="16"/>
      <c r="Q619" s="16"/>
      <c r="R619" s="16"/>
    </row>
    <row r="620" spans="1:18" hidden="1" outlineLevel="1" x14ac:dyDescent="0.2">
      <c r="A620" s="22" t="s">
        <v>1227</v>
      </c>
      <c r="B620" s="2" t="str">
        <f t="shared" si="25"/>
        <v>GWh</v>
      </c>
      <c r="C620" s="2" t="s">
        <v>1224</v>
      </c>
      <c r="D620" s="716">
        <f t="shared" si="28"/>
        <v>0</v>
      </c>
      <c r="E620" s="4" t="s">
        <v>15</v>
      </c>
      <c r="F620" s="43">
        <v>0</v>
      </c>
      <c r="G620" s="43">
        <v>0</v>
      </c>
      <c r="H620" s="43">
        <v>0</v>
      </c>
      <c r="I620" s="43">
        <v>0</v>
      </c>
      <c r="J620" s="43">
        <v>0</v>
      </c>
      <c r="K620" s="43">
        <v>0</v>
      </c>
      <c r="L620" s="43">
        <v>0</v>
      </c>
      <c r="M620" s="887"/>
      <c r="N620" s="16"/>
      <c r="O620" s="16"/>
      <c r="P620" s="16"/>
      <c r="Q620" s="16"/>
      <c r="R620" s="16"/>
    </row>
    <row r="621" spans="1:18" hidden="1" outlineLevel="1" x14ac:dyDescent="0.2">
      <c r="A621" s="22" t="s">
        <v>1227</v>
      </c>
      <c r="B621" s="2" t="str">
        <f t="shared" si="25"/>
        <v>GWh</v>
      </c>
      <c r="C621" s="2" t="s">
        <v>1224</v>
      </c>
      <c r="D621" s="716">
        <f t="shared" si="28"/>
        <v>0</v>
      </c>
      <c r="E621" s="4" t="s">
        <v>16</v>
      </c>
      <c r="F621" s="43">
        <v>0</v>
      </c>
      <c r="G621" s="43">
        <v>0</v>
      </c>
      <c r="H621" s="43">
        <v>0</v>
      </c>
      <c r="I621" s="43">
        <v>0</v>
      </c>
      <c r="J621" s="43">
        <v>0</v>
      </c>
      <c r="K621" s="43">
        <v>0</v>
      </c>
      <c r="L621" s="43">
        <v>0</v>
      </c>
      <c r="M621" s="887"/>
      <c r="N621" s="16"/>
      <c r="O621" s="16"/>
      <c r="P621" s="16"/>
      <c r="Q621" s="16"/>
      <c r="R621" s="16"/>
    </row>
    <row r="622" spans="1:18" hidden="1" outlineLevel="1" x14ac:dyDescent="0.2">
      <c r="A622" s="22" t="s">
        <v>1227</v>
      </c>
      <c r="B622" s="2" t="str">
        <f t="shared" si="25"/>
        <v>GWh</v>
      </c>
      <c r="C622" s="2" t="s">
        <v>1224</v>
      </c>
      <c r="D622" s="716">
        <f t="shared" si="28"/>
        <v>0</v>
      </c>
      <c r="E622" s="4" t="s">
        <v>17</v>
      </c>
      <c r="F622" s="43">
        <v>0</v>
      </c>
      <c r="G622" s="43">
        <v>0</v>
      </c>
      <c r="H622" s="43">
        <v>0</v>
      </c>
      <c r="I622" s="43">
        <v>0</v>
      </c>
      <c r="J622" s="43">
        <v>0</v>
      </c>
      <c r="K622" s="43">
        <v>0</v>
      </c>
      <c r="L622" s="43">
        <v>0</v>
      </c>
      <c r="M622" s="887"/>
      <c r="N622" s="16"/>
      <c r="O622" s="16"/>
      <c r="P622" s="16"/>
      <c r="Q622" s="16"/>
      <c r="R622" s="16"/>
    </row>
    <row r="623" spans="1:18" hidden="1" outlineLevel="1" x14ac:dyDescent="0.2">
      <c r="A623" s="22" t="s">
        <v>1227</v>
      </c>
      <c r="B623" s="2" t="str">
        <f t="shared" si="25"/>
        <v>GWh</v>
      </c>
      <c r="C623" s="2" t="s">
        <v>1224</v>
      </c>
      <c r="D623" s="716">
        <f t="shared" si="28"/>
        <v>0</v>
      </c>
      <c r="E623" s="4" t="s">
        <v>18</v>
      </c>
      <c r="F623" s="43">
        <v>0</v>
      </c>
      <c r="G623" s="43">
        <v>0</v>
      </c>
      <c r="H623" s="43">
        <v>0</v>
      </c>
      <c r="I623" s="43">
        <v>0</v>
      </c>
      <c r="J623" s="43">
        <v>0</v>
      </c>
      <c r="K623" s="43">
        <v>0</v>
      </c>
      <c r="L623" s="43">
        <v>0</v>
      </c>
      <c r="M623" s="887"/>
      <c r="N623" s="16"/>
      <c r="O623" s="16"/>
      <c r="P623" s="16"/>
      <c r="Q623" s="16"/>
      <c r="R623" s="16"/>
    </row>
    <row r="624" spans="1:18" hidden="1" outlineLevel="1" x14ac:dyDescent="0.2">
      <c r="A624" s="22" t="s">
        <v>1227</v>
      </c>
      <c r="B624" s="2" t="str">
        <f t="shared" si="25"/>
        <v>GWh</v>
      </c>
      <c r="C624" s="2" t="s">
        <v>1224</v>
      </c>
      <c r="D624" s="716">
        <f t="shared" si="28"/>
        <v>0</v>
      </c>
      <c r="E624" s="4" t="s">
        <v>2</v>
      </c>
      <c r="F624" s="43">
        <v>0</v>
      </c>
      <c r="G624" s="43">
        <v>0</v>
      </c>
      <c r="H624" s="43">
        <v>0</v>
      </c>
      <c r="I624" s="43">
        <v>0</v>
      </c>
      <c r="J624" s="43">
        <v>0</v>
      </c>
      <c r="K624" s="43">
        <v>0</v>
      </c>
      <c r="L624" s="43">
        <v>0</v>
      </c>
      <c r="M624" s="887"/>
      <c r="N624" s="16"/>
      <c r="O624" s="16"/>
      <c r="P624" s="16"/>
      <c r="Q624" s="16"/>
      <c r="R624" s="16"/>
    </row>
    <row r="625" spans="1:18" hidden="1" outlineLevel="1" x14ac:dyDescent="0.2">
      <c r="A625" s="22" t="s">
        <v>1227</v>
      </c>
      <c r="B625" s="2" t="str">
        <f t="shared" si="25"/>
        <v>GWh</v>
      </c>
      <c r="C625" s="2" t="s">
        <v>1224</v>
      </c>
      <c r="D625" s="716">
        <f t="shared" si="28"/>
        <v>0</v>
      </c>
      <c r="E625" s="4" t="s">
        <v>19</v>
      </c>
      <c r="F625" s="43">
        <v>0</v>
      </c>
      <c r="G625" s="43">
        <v>0</v>
      </c>
      <c r="H625" s="43">
        <v>0</v>
      </c>
      <c r="I625" s="43">
        <v>0</v>
      </c>
      <c r="J625" s="43">
        <v>0</v>
      </c>
      <c r="K625" s="43">
        <v>0</v>
      </c>
      <c r="L625" s="43">
        <v>0</v>
      </c>
      <c r="M625" s="887"/>
      <c r="N625" s="16"/>
      <c r="O625" s="16"/>
      <c r="P625" s="16"/>
      <c r="Q625" s="16"/>
      <c r="R625" s="16"/>
    </row>
    <row r="626" spans="1:18" hidden="1" outlineLevel="1" x14ac:dyDescent="0.2">
      <c r="A626" s="22" t="s">
        <v>1227</v>
      </c>
      <c r="B626" s="2" t="str">
        <f t="shared" si="25"/>
        <v>GWh</v>
      </c>
      <c r="C626" s="2" t="s">
        <v>1224</v>
      </c>
      <c r="D626" s="716">
        <f t="shared" si="28"/>
        <v>0</v>
      </c>
      <c r="E626" s="4" t="s">
        <v>3</v>
      </c>
      <c r="F626" s="43">
        <v>0</v>
      </c>
      <c r="G626" s="43">
        <v>0</v>
      </c>
      <c r="H626" s="43">
        <v>0</v>
      </c>
      <c r="I626" s="43">
        <v>0</v>
      </c>
      <c r="J626" s="43">
        <v>0</v>
      </c>
      <c r="K626" s="43">
        <v>0</v>
      </c>
      <c r="L626" s="43">
        <v>0</v>
      </c>
      <c r="M626" s="887"/>
      <c r="N626" s="16"/>
      <c r="O626" s="16"/>
      <c r="P626" s="16"/>
      <c r="Q626" s="16"/>
      <c r="R626" s="16"/>
    </row>
    <row r="627" spans="1:18" hidden="1" outlineLevel="1" x14ac:dyDescent="0.2">
      <c r="A627" s="22" t="s">
        <v>1227</v>
      </c>
      <c r="B627" s="2" t="str">
        <f t="shared" si="25"/>
        <v>GWh</v>
      </c>
      <c r="C627" s="2" t="s">
        <v>1224</v>
      </c>
      <c r="D627" s="716">
        <f t="shared" si="28"/>
        <v>0</v>
      </c>
      <c r="E627" s="4" t="s">
        <v>20</v>
      </c>
      <c r="F627" s="43">
        <v>2211.6120030000002</v>
      </c>
      <c r="G627" s="43">
        <v>3555.3294660000001</v>
      </c>
      <c r="H627" s="43">
        <v>4256.3603050000002</v>
      </c>
      <c r="I627" s="43">
        <v>3872.4842449999996</v>
      </c>
      <c r="J627" s="43">
        <v>4361.3619259999987</v>
      </c>
      <c r="K627" s="43">
        <v>4227.1788756076403</v>
      </c>
      <c r="L627" s="43">
        <v>3532.0482987080045</v>
      </c>
      <c r="M627" s="887"/>
      <c r="N627" s="16"/>
      <c r="O627" s="16"/>
      <c r="P627" s="16"/>
      <c r="Q627" s="16"/>
      <c r="R627" s="16"/>
    </row>
    <row r="628" spans="1:18" hidden="1" outlineLevel="1" x14ac:dyDescent="0.2">
      <c r="A628" s="22" t="s">
        <v>1227</v>
      </c>
      <c r="B628" s="2" t="str">
        <f t="shared" si="25"/>
        <v>GWh</v>
      </c>
      <c r="C628" s="2" t="s">
        <v>1224</v>
      </c>
      <c r="D628" s="716">
        <f t="shared" si="28"/>
        <v>0</v>
      </c>
      <c r="E628" s="4" t="s">
        <v>21</v>
      </c>
      <c r="F628" s="43">
        <v>160.19999999999999</v>
      </c>
      <c r="G628" s="43">
        <v>57.44</v>
      </c>
      <c r="H628" s="43">
        <v>34.950000000000003</v>
      </c>
      <c r="I628" s="43">
        <v>173.54</v>
      </c>
      <c r="J628" s="43">
        <v>361.7</v>
      </c>
      <c r="K628" s="43">
        <v>247.79</v>
      </c>
      <c r="L628" s="43">
        <v>247.79</v>
      </c>
      <c r="M628" s="887"/>
      <c r="N628" s="16"/>
      <c r="O628" s="16"/>
      <c r="P628" s="16"/>
      <c r="Q628" s="16"/>
      <c r="R628" s="16"/>
    </row>
    <row r="629" spans="1:18" hidden="1" outlineLevel="1" x14ac:dyDescent="0.2">
      <c r="A629" s="22" t="s">
        <v>1227</v>
      </c>
      <c r="B629" s="2" t="str">
        <f t="shared" si="25"/>
        <v>GWh</v>
      </c>
      <c r="C629" s="2" t="s">
        <v>1224</v>
      </c>
      <c r="D629" s="716">
        <f t="shared" si="28"/>
        <v>0</v>
      </c>
      <c r="E629" s="4" t="s">
        <v>1096</v>
      </c>
      <c r="F629" s="43">
        <v>0</v>
      </c>
      <c r="G629" s="43">
        <v>0</v>
      </c>
      <c r="H629" s="43">
        <v>0</v>
      </c>
      <c r="I629" s="43">
        <v>0</v>
      </c>
      <c r="J629" s="43">
        <v>0</v>
      </c>
      <c r="K629" s="43">
        <v>0</v>
      </c>
      <c r="L629" s="43">
        <v>0</v>
      </c>
      <c r="M629" s="887"/>
      <c r="N629" s="16"/>
      <c r="O629" s="16"/>
      <c r="P629" s="16"/>
      <c r="Q629" s="16"/>
      <c r="R629" s="16"/>
    </row>
    <row r="630" spans="1:18" hidden="1" outlineLevel="1" x14ac:dyDescent="0.2">
      <c r="A630" s="22" t="s">
        <v>1227</v>
      </c>
      <c r="B630" s="2" t="str">
        <f t="shared" si="25"/>
        <v>GWh</v>
      </c>
      <c r="C630" s="2" t="s">
        <v>1224</v>
      </c>
      <c r="D630" s="716">
        <f t="shared" si="28"/>
        <v>0</v>
      </c>
      <c r="E630" s="4" t="s">
        <v>22</v>
      </c>
      <c r="F630" s="43">
        <v>0</v>
      </c>
      <c r="G630" s="43">
        <v>0</v>
      </c>
      <c r="H630" s="43">
        <v>0</v>
      </c>
      <c r="I630" s="43">
        <v>0</v>
      </c>
      <c r="J630" s="43">
        <v>0</v>
      </c>
      <c r="K630" s="43">
        <v>0</v>
      </c>
      <c r="L630" s="43">
        <v>0</v>
      </c>
      <c r="M630" s="887"/>
      <c r="N630" s="16"/>
      <c r="O630" s="16"/>
      <c r="P630" s="16"/>
      <c r="Q630" s="16"/>
      <c r="R630" s="16"/>
    </row>
    <row r="631" spans="1:18" hidden="1" outlineLevel="1" x14ac:dyDescent="0.2">
      <c r="A631" s="91" t="s">
        <v>1227</v>
      </c>
      <c r="B631" s="386" t="str">
        <f t="shared" si="25"/>
        <v>GWh</v>
      </c>
      <c r="C631" s="386" t="s">
        <v>1224</v>
      </c>
      <c r="D631" s="719">
        <f t="shared" si="28"/>
        <v>0</v>
      </c>
      <c r="E631" s="86" t="s">
        <v>23</v>
      </c>
      <c r="F631" s="374">
        <v>0</v>
      </c>
      <c r="G631" s="374">
        <v>0</v>
      </c>
      <c r="H631" s="374">
        <v>0</v>
      </c>
      <c r="I631" s="374">
        <v>0</v>
      </c>
      <c r="J631" s="374">
        <v>0</v>
      </c>
      <c r="K631" s="374">
        <v>0</v>
      </c>
      <c r="L631" s="374">
        <v>0</v>
      </c>
      <c r="M631" s="918"/>
      <c r="N631" s="16"/>
      <c r="O631" s="16"/>
      <c r="P631" s="16"/>
      <c r="Q631" s="16"/>
      <c r="R631" s="16"/>
    </row>
    <row r="632" spans="1:18" hidden="1" outlineLevel="1" x14ac:dyDescent="0.2">
      <c r="A632" s="532" t="s">
        <v>1227</v>
      </c>
      <c r="B632" s="533" t="str">
        <f t="shared" si="25"/>
        <v>GWh</v>
      </c>
      <c r="C632" s="533" t="s">
        <v>1225</v>
      </c>
      <c r="D632" s="715">
        <v>1</v>
      </c>
      <c r="E632" s="468" t="s">
        <v>4</v>
      </c>
      <c r="F632" s="535">
        <f>SUMIFS(F$346:F$631, $E$346:$E$631, $E632, $D$346:$D$631, $D632)</f>
        <v>2123.799</v>
      </c>
      <c r="G632" s="535">
        <f t="shared" ref="G632:L647" si="29">SUMIFS(G$346:G$631, $E$346:$E$631, $E632, $D$346:$D$631, $D632)</f>
        <v>2086.9339999999997</v>
      </c>
      <c r="H632" s="535">
        <f t="shared" si="29"/>
        <v>1971.2850899999996</v>
      </c>
      <c r="I632" s="535">
        <f t="shared" si="29"/>
        <v>1738.6360075999996</v>
      </c>
      <c r="J632" s="535">
        <f t="shared" si="29"/>
        <v>1581.3846242000006</v>
      </c>
      <c r="K632" s="535">
        <f t="shared" si="29"/>
        <v>1386.4304728299999</v>
      </c>
      <c r="L632" s="535">
        <f t="shared" si="29"/>
        <v>1386.4304728299999</v>
      </c>
      <c r="M632" s="889"/>
    </row>
    <row r="633" spans="1:18" hidden="1" outlineLevel="1" x14ac:dyDescent="0.2">
      <c r="A633" s="22" t="s">
        <v>1227</v>
      </c>
      <c r="B633" s="2" t="str">
        <f t="shared" si="25"/>
        <v>GWh</v>
      </c>
      <c r="C633" s="2" t="s">
        <v>1225</v>
      </c>
      <c r="D633" s="716">
        <v>1</v>
      </c>
      <c r="E633" s="4" t="s">
        <v>5</v>
      </c>
      <c r="F633" s="78">
        <f t="shared" ref="F633:L648" si="30">SUMIFS(F$346:F$631, $E$346:$E$631, $E633, $D$346:$D$631, $D633)</f>
        <v>0</v>
      </c>
      <c r="G633" s="78">
        <f t="shared" si="29"/>
        <v>0</v>
      </c>
      <c r="H633" s="78">
        <f t="shared" si="29"/>
        <v>0</v>
      </c>
      <c r="I633" s="78">
        <f t="shared" si="29"/>
        <v>0</v>
      </c>
      <c r="J633" s="78">
        <f t="shared" si="29"/>
        <v>0</v>
      </c>
      <c r="K633" s="78">
        <f t="shared" si="29"/>
        <v>0</v>
      </c>
      <c r="L633" s="78">
        <f t="shared" si="29"/>
        <v>0</v>
      </c>
      <c r="M633" s="890"/>
    </row>
    <row r="634" spans="1:18" hidden="1" outlineLevel="1" x14ac:dyDescent="0.2">
      <c r="A634" s="22" t="s">
        <v>1227</v>
      </c>
      <c r="B634" s="2" t="str">
        <f t="shared" si="25"/>
        <v>GWh</v>
      </c>
      <c r="C634" s="2" t="s">
        <v>1225</v>
      </c>
      <c r="D634" s="716">
        <v>1</v>
      </c>
      <c r="E634" s="4" t="s">
        <v>6</v>
      </c>
      <c r="F634" s="78">
        <f t="shared" si="30"/>
        <v>0</v>
      </c>
      <c r="G634" s="78">
        <f t="shared" si="29"/>
        <v>0</v>
      </c>
      <c r="H634" s="78">
        <f t="shared" si="29"/>
        <v>0</v>
      </c>
      <c r="I634" s="78">
        <f t="shared" si="29"/>
        <v>0</v>
      </c>
      <c r="J634" s="78">
        <f t="shared" si="29"/>
        <v>0</v>
      </c>
      <c r="K634" s="78">
        <f t="shared" si="29"/>
        <v>0</v>
      </c>
      <c r="L634" s="78">
        <f t="shared" si="29"/>
        <v>0</v>
      </c>
      <c r="M634" s="890"/>
    </row>
    <row r="635" spans="1:18" hidden="1" outlineLevel="1" x14ac:dyDescent="0.2">
      <c r="A635" s="22" t="s">
        <v>1227</v>
      </c>
      <c r="B635" s="2" t="str">
        <f t="shared" si="25"/>
        <v>GWh</v>
      </c>
      <c r="C635" s="2" t="s">
        <v>1225</v>
      </c>
      <c r="D635" s="716">
        <v>1</v>
      </c>
      <c r="E635" s="4" t="s">
        <v>143</v>
      </c>
      <c r="F635" s="78">
        <f t="shared" si="30"/>
        <v>177.73267000000001</v>
      </c>
      <c r="G635" s="78">
        <f t="shared" si="29"/>
        <v>177.40299999999999</v>
      </c>
      <c r="H635" s="78">
        <f t="shared" si="29"/>
        <v>204.48727695566078</v>
      </c>
      <c r="I635" s="78">
        <f t="shared" si="29"/>
        <v>189.03943200000001</v>
      </c>
      <c r="J635" s="78">
        <f t="shared" si="29"/>
        <v>311.32498000000004</v>
      </c>
      <c r="K635" s="78">
        <f t="shared" si="29"/>
        <v>315.31938799999995</v>
      </c>
      <c r="L635" s="78">
        <f t="shared" si="29"/>
        <v>273.35275509999997</v>
      </c>
      <c r="M635" s="890"/>
    </row>
    <row r="636" spans="1:18" hidden="1" outlineLevel="1" x14ac:dyDescent="0.2">
      <c r="A636" s="22" t="s">
        <v>1227</v>
      </c>
      <c r="B636" s="2" t="str">
        <f t="shared" si="25"/>
        <v>GWh</v>
      </c>
      <c r="C636" s="2" t="s">
        <v>1225</v>
      </c>
      <c r="D636" s="716">
        <v>1</v>
      </c>
      <c r="E636" s="4" t="s">
        <v>7</v>
      </c>
      <c r="F636" s="78">
        <f t="shared" si="30"/>
        <v>1218.9689999999998</v>
      </c>
      <c r="G636" s="78">
        <f t="shared" si="29"/>
        <v>1333.7660000000003</v>
      </c>
      <c r="H636" s="78">
        <f t="shared" si="29"/>
        <v>1289.229</v>
      </c>
      <c r="I636" s="78">
        <f t="shared" si="29"/>
        <v>1339.6355000000001</v>
      </c>
      <c r="J636" s="78">
        <f t="shared" si="29"/>
        <v>1368.7239999999997</v>
      </c>
      <c r="K636" s="78">
        <f t="shared" si="29"/>
        <v>1409.3</v>
      </c>
      <c r="L636" s="78">
        <f t="shared" si="29"/>
        <v>1409.3</v>
      </c>
      <c r="M636" s="890"/>
    </row>
    <row r="637" spans="1:18" hidden="1" outlineLevel="1" x14ac:dyDescent="0.2">
      <c r="A637" s="22" t="s">
        <v>1227</v>
      </c>
      <c r="B637" s="2" t="str">
        <f t="shared" si="25"/>
        <v>GWh</v>
      </c>
      <c r="C637" s="2" t="s">
        <v>1225</v>
      </c>
      <c r="D637" s="716">
        <v>1</v>
      </c>
      <c r="E637" s="4" t="s">
        <v>31</v>
      </c>
      <c r="F637" s="78">
        <f t="shared" si="30"/>
        <v>26251.739999999998</v>
      </c>
      <c r="G637" s="78">
        <f t="shared" si="29"/>
        <v>30696.16</v>
      </c>
      <c r="H637" s="78">
        <f t="shared" si="29"/>
        <v>36102.720000000001</v>
      </c>
      <c r="I637" s="78">
        <f t="shared" si="29"/>
        <v>39584.879999999997</v>
      </c>
      <c r="J637" s="78">
        <f t="shared" si="29"/>
        <v>52952.94</v>
      </c>
      <c r="K637" s="78">
        <f t="shared" si="29"/>
        <v>57399.82</v>
      </c>
      <c r="L637" s="78">
        <f t="shared" si="29"/>
        <v>57399.82</v>
      </c>
      <c r="M637" s="890"/>
    </row>
    <row r="638" spans="1:18" hidden="1" outlineLevel="1" x14ac:dyDescent="0.2">
      <c r="A638" s="22" t="s">
        <v>1227</v>
      </c>
      <c r="B638" s="2" t="str">
        <f t="shared" si="25"/>
        <v>GWh</v>
      </c>
      <c r="C638" s="2" t="s">
        <v>1225</v>
      </c>
      <c r="D638" s="716">
        <v>1</v>
      </c>
      <c r="E638" s="4" t="s">
        <v>8</v>
      </c>
      <c r="F638" s="78">
        <f t="shared" si="30"/>
        <v>3355.2783599999993</v>
      </c>
      <c r="G638" s="78">
        <f t="shared" si="29"/>
        <v>3287.8808199999999</v>
      </c>
      <c r="H638" s="78">
        <f t="shared" si="29"/>
        <v>4030.9044888734397</v>
      </c>
      <c r="I638" s="78">
        <f t="shared" si="29"/>
        <v>4282.8779090499993</v>
      </c>
      <c r="J638" s="78">
        <f t="shared" si="29"/>
        <v>4203.7636394999981</v>
      </c>
      <c r="K638" s="78">
        <f t="shared" si="29"/>
        <v>4242.9130165099987</v>
      </c>
      <c r="L638" s="78">
        <f t="shared" si="29"/>
        <v>5428.6768119499993</v>
      </c>
      <c r="M638" s="890"/>
    </row>
    <row r="639" spans="1:18" hidden="1" outlineLevel="1" x14ac:dyDescent="0.2">
      <c r="A639" s="22" t="s">
        <v>1227</v>
      </c>
      <c r="B639" s="2" t="str">
        <f t="shared" si="25"/>
        <v>GWh</v>
      </c>
      <c r="C639" s="2" t="s">
        <v>1225</v>
      </c>
      <c r="D639" s="716">
        <v>1</v>
      </c>
      <c r="E639" s="4" t="s">
        <v>9</v>
      </c>
      <c r="F639" s="78">
        <f t="shared" si="30"/>
        <v>2077.73</v>
      </c>
      <c r="G639" s="78">
        <f t="shared" si="29"/>
        <v>2150.8779999999997</v>
      </c>
      <c r="H639" s="78">
        <f t="shared" si="29"/>
        <v>2151.4092000000001</v>
      </c>
      <c r="I639" s="78">
        <f t="shared" si="29"/>
        <v>2221.9151999999999</v>
      </c>
      <c r="J639" s="78">
        <f t="shared" si="29"/>
        <v>2543.3991999999998</v>
      </c>
      <c r="K639" s="78">
        <f t="shared" si="29"/>
        <v>3206.27</v>
      </c>
      <c r="L639" s="78">
        <f t="shared" si="29"/>
        <v>3059.85</v>
      </c>
      <c r="M639" s="890"/>
    </row>
    <row r="640" spans="1:18" hidden="1" outlineLevel="1" x14ac:dyDescent="0.2">
      <c r="A640" s="22" t="s">
        <v>1227</v>
      </c>
      <c r="B640" s="2" t="str">
        <f t="shared" si="25"/>
        <v>GWh</v>
      </c>
      <c r="C640" s="2" t="s">
        <v>1225</v>
      </c>
      <c r="D640" s="716">
        <v>1</v>
      </c>
      <c r="E640" s="4" t="s">
        <v>10</v>
      </c>
      <c r="F640" s="78">
        <f t="shared" si="30"/>
        <v>3545.9718567403083</v>
      </c>
      <c r="G640" s="78">
        <f t="shared" si="29"/>
        <v>3815.015386474332</v>
      </c>
      <c r="H640" s="78">
        <f t="shared" si="29"/>
        <v>3923.2745480305598</v>
      </c>
      <c r="I640" s="78">
        <f t="shared" si="29"/>
        <v>4006.7318534988053</v>
      </c>
      <c r="J640" s="78">
        <f t="shared" si="29"/>
        <v>4191.2031404119753</v>
      </c>
      <c r="K640" s="78">
        <f t="shared" si="29"/>
        <v>4185.5863351607113</v>
      </c>
      <c r="L640" s="78">
        <f t="shared" si="29"/>
        <v>4461.1504290619732</v>
      </c>
      <c r="M640" s="890"/>
    </row>
    <row r="641" spans="1:13" hidden="1" outlineLevel="1" x14ac:dyDescent="0.2">
      <c r="A641" s="22" t="s">
        <v>1227</v>
      </c>
      <c r="B641" s="2" t="str">
        <f t="shared" si="25"/>
        <v>GWh</v>
      </c>
      <c r="C641" s="2" t="s">
        <v>1225</v>
      </c>
      <c r="D641" s="716">
        <v>1</v>
      </c>
      <c r="E641" s="4" t="s">
        <v>11</v>
      </c>
      <c r="F641" s="78">
        <f t="shared" si="30"/>
        <v>673.85733592416</v>
      </c>
      <c r="G641" s="78">
        <f t="shared" si="29"/>
        <v>673.85733592416</v>
      </c>
      <c r="H641" s="78">
        <f t="shared" si="29"/>
        <v>744.38099999999997</v>
      </c>
      <c r="I641" s="78">
        <f t="shared" si="29"/>
        <v>788.88800000000003</v>
      </c>
      <c r="J641" s="78">
        <f t="shared" si="29"/>
        <v>911.62865999999997</v>
      </c>
      <c r="K641" s="78">
        <f t="shared" si="29"/>
        <v>831.82995270639992</v>
      </c>
      <c r="L641" s="78">
        <f>SUMIFS(L$346:L$631, $E$346:$E$631, $E641, $D$346:$D$631, $D641)</f>
        <v>934.88923361770003</v>
      </c>
      <c r="M641" s="890"/>
    </row>
    <row r="642" spans="1:13" hidden="1" outlineLevel="1" x14ac:dyDescent="0.2">
      <c r="A642" s="22" t="s">
        <v>1227</v>
      </c>
      <c r="B642" s="2" t="str">
        <f t="shared" si="25"/>
        <v>GWh</v>
      </c>
      <c r="C642" s="2" t="s">
        <v>1225</v>
      </c>
      <c r="D642" s="716">
        <v>1</v>
      </c>
      <c r="E642" s="4" t="s">
        <v>12</v>
      </c>
      <c r="F642" s="78">
        <f t="shared" si="30"/>
        <v>1306.6746099999998</v>
      </c>
      <c r="G642" s="78">
        <f t="shared" si="29"/>
        <v>1689.6709300000002</v>
      </c>
      <c r="H642" s="78">
        <f t="shared" si="29"/>
        <v>1907.8861899999999</v>
      </c>
      <c r="I642" s="78">
        <f t="shared" si="29"/>
        <v>1941.5702299999998</v>
      </c>
      <c r="J642" s="78">
        <f t="shared" si="29"/>
        <v>1640.92164</v>
      </c>
      <c r="K642" s="78">
        <f>SUMIFS(K$346:K$631, $E$346:$E$631, $E642, $D$346:$D$631, $D642)</f>
        <v>2131.5691699999998</v>
      </c>
      <c r="L642" s="78">
        <f t="shared" si="29"/>
        <v>2042.3042000000005</v>
      </c>
      <c r="M642" s="890"/>
    </row>
    <row r="643" spans="1:13" hidden="1" outlineLevel="1" x14ac:dyDescent="0.2">
      <c r="A643" s="22" t="s">
        <v>1227</v>
      </c>
      <c r="B643" s="2" t="str">
        <f t="shared" si="25"/>
        <v>GWh</v>
      </c>
      <c r="C643" s="2" t="s">
        <v>1225</v>
      </c>
      <c r="D643" s="716">
        <v>1</v>
      </c>
      <c r="E643" s="4" t="s">
        <v>1</v>
      </c>
      <c r="F643" s="78">
        <f t="shared" si="30"/>
        <v>1456.9544000000001</v>
      </c>
      <c r="G643" s="78">
        <f t="shared" si="29"/>
        <v>1737.7424000000001</v>
      </c>
      <c r="H643" s="78">
        <f t="shared" si="29"/>
        <v>1921.5305000000001</v>
      </c>
      <c r="I643" s="78">
        <f t="shared" si="29"/>
        <v>1873.9254000000001</v>
      </c>
      <c r="J643" s="78">
        <f t="shared" si="29"/>
        <v>1954.0146</v>
      </c>
      <c r="K643" s="78">
        <f t="shared" si="29"/>
        <v>1775.7506999999998</v>
      </c>
      <c r="L643" s="78">
        <f t="shared" si="29"/>
        <v>1775.7506999999998</v>
      </c>
      <c r="M643" s="890"/>
    </row>
    <row r="644" spans="1:13" hidden="1" outlineLevel="1" x14ac:dyDescent="0.2">
      <c r="A644" s="22" t="s">
        <v>1227</v>
      </c>
      <c r="B644" s="2" t="str">
        <f t="shared" si="25"/>
        <v>GWh</v>
      </c>
      <c r="C644" s="2" t="s">
        <v>1225</v>
      </c>
      <c r="D644" s="716">
        <v>1</v>
      </c>
      <c r="E644" s="4" t="s">
        <v>13</v>
      </c>
      <c r="F644" s="78">
        <f t="shared" si="30"/>
        <v>1389.8346000000001</v>
      </c>
      <c r="G644" s="78">
        <f t="shared" si="29"/>
        <v>1502.5444139696874</v>
      </c>
      <c r="H644" s="78">
        <f t="shared" si="29"/>
        <v>1716.8606222863573</v>
      </c>
      <c r="I644" s="78">
        <f t="shared" si="29"/>
        <v>1655.9061985930562</v>
      </c>
      <c r="J644" s="78">
        <f t="shared" si="29"/>
        <v>1680.410601323834</v>
      </c>
      <c r="K644" s="78">
        <f t="shared" si="29"/>
        <v>1707.4977029543793</v>
      </c>
      <c r="L644" s="78">
        <f t="shared" si="29"/>
        <v>1955.0441998160431</v>
      </c>
      <c r="M644" s="890"/>
    </row>
    <row r="645" spans="1:13" hidden="1" outlineLevel="1" x14ac:dyDescent="0.2">
      <c r="A645" s="22" t="s">
        <v>1227</v>
      </c>
      <c r="B645" s="2" t="str">
        <f t="shared" si="25"/>
        <v>GWh</v>
      </c>
      <c r="C645" s="2" t="s">
        <v>1225</v>
      </c>
      <c r="D645" s="716">
        <v>1</v>
      </c>
      <c r="E645" s="4" t="s">
        <v>14</v>
      </c>
      <c r="F645" s="78">
        <f t="shared" si="30"/>
        <v>0</v>
      </c>
      <c r="G645" s="78">
        <f t="shared" si="29"/>
        <v>0</v>
      </c>
      <c r="H645" s="78">
        <f t="shared" si="29"/>
        <v>0</v>
      </c>
      <c r="I645" s="78">
        <f t="shared" si="29"/>
        <v>0</v>
      </c>
      <c r="J645" s="78">
        <f t="shared" si="29"/>
        <v>0</v>
      </c>
      <c r="K645" s="78">
        <f t="shared" si="29"/>
        <v>0</v>
      </c>
      <c r="L645" s="78">
        <f t="shared" si="29"/>
        <v>0</v>
      </c>
      <c r="M645" s="890"/>
    </row>
    <row r="646" spans="1:13" hidden="1" outlineLevel="1" x14ac:dyDescent="0.2">
      <c r="A646" s="22" t="s">
        <v>1227</v>
      </c>
      <c r="B646" s="2" t="str">
        <f t="shared" si="25"/>
        <v>GWh</v>
      </c>
      <c r="C646" s="2" t="s">
        <v>1225</v>
      </c>
      <c r="D646" s="716">
        <v>1</v>
      </c>
      <c r="E646" s="4" t="s">
        <v>15</v>
      </c>
      <c r="F646" s="78">
        <f t="shared" si="30"/>
        <v>0</v>
      </c>
      <c r="G646" s="78">
        <f t="shared" si="29"/>
        <v>0</v>
      </c>
      <c r="H646" s="78">
        <f t="shared" si="29"/>
        <v>0</v>
      </c>
      <c r="I646" s="78">
        <f t="shared" si="29"/>
        <v>0</v>
      </c>
      <c r="J646" s="78">
        <f t="shared" si="29"/>
        <v>0</v>
      </c>
      <c r="K646" s="78">
        <f t="shared" si="29"/>
        <v>0</v>
      </c>
      <c r="L646" s="78">
        <f t="shared" si="29"/>
        <v>0</v>
      </c>
      <c r="M646" s="890"/>
    </row>
    <row r="647" spans="1:13" hidden="1" outlineLevel="1" x14ac:dyDescent="0.2">
      <c r="A647" s="22" t="s">
        <v>1227</v>
      </c>
      <c r="B647" s="2" t="str">
        <f t="shared" si="25"/>
        <v>GWh</v>
      </c>
      <c r="C647" s="2" t="s">
        <v>1225</v>
      </c>
      <c r="D647" s="716">
        <v>1</v>
      </c>
      <c r="E647" s="4" t="s">
        <v>16</v>
      </c>
      <c r="F647" s="78">
        <f t="shared" si="30"/>
        <v>544.9</v>
      </c>
      <c r="G647" s="78">
        <f t="shared" si="29"/>
        <v>571.29999999999995</v>
      </c>
      <c r="H647" s="78">
        <f t="shared" si="29"/>
        <v>702.59999999999991</v>
      </c>
      <c r="I647" s="78">
        <f t="shared" si="29"/>
        <v>672.40000000000009</v>
      </c>
      <c r="J647" s="78">
        <f t="shared" si="29"/>
        <v>829.1</v>
      </c>
      <c r="K647" s="78">
        <f t="shared" si="29"/>
        <v>960.70864118300005</v>
      </c>
      <c r="L647" s="78">
        <f t="shared" si="29"/>
        <v>1196.1045449400001</v>
      </c>
      <c r="M647" s="890"/>
    </row>
    <row r="648" spans="1:13" hidden="1" outlineLevel="1" x14ac:dyDescent="0.2">
      <c r="A648" s="22" t="s">
        <v>1227</v>
      </c>
      <c r="B648" s="2" t="str">
        <f t="shared" ref="B648:B683" si="31">IF(A648="Capacity", "MW", "GWh")</f>
        <v>GWh</v>
      </c>
      <c r="C648" s="2" t="s">
        <v>1225</v>
      </c>
      <c r="D648" s="716">
        <v>1</v>
      </c>
      <c r="E648" s="4" t="s">
        <v>17</v>
      </c>
      <c r="F648" s="78">
        <f t="shared" si="30"/>
        <v>225.04334499999999</v>
      </c>
      <c r="G648" s="78">
        <f t="shared" si="30"/>
        <v>211.74699600000002</v>
      </c>
      <c r="H648" s="78">
        <f t="shared" si="30"/>
        <v>207.41838200000001</v>
      </c>
      <c r="I648" s="78">
        <f t="shared" si="30"/>
        <v>198.63785423000002</v>
      </c>
      <c r="J648" s="78">
        <f t="shared" si="30"/>
        <v>204.87798500000002</v>
      </c>
      <c r="K648" s="78">
        <f t="shared" si="30"/>
        <v>243.31353337532084</v>
      </c>
      <c r="L648" s="78">
        <f t="shared" si="30"/>
        <v>258.153520469</v>
      </c>
      <c r="M648" s="890"/>
    </row>
    <row r="649" spans="1:13" hidden="1" outlineLevel="1" x14ac:dyDescent="0.2">
      <c r="A649" s="22" t="s">
        <v>1227</v>
      </c>
      <c r="B649" s="2" t="str">
        <f t="shared" si="31"/>
        <v>GWh</v>
      </c>
      <c r="C649" s="2" t="s">
        <v>1225</v>
      </c>
      <c r="D649" s="716">
        <v>1</v>
      </c>
      <c r="E649" s="4" t="s">
        <v>18</v>
      </c>
      <c r="F649" s="78">
        <f t="shared" ref="F649:L657" si="32">SUMIFS(F$346:F$631, $E$346:$E$631, $E649, $D$346:$D$631, $D649)</f>
        <v>7826.2246336445351</v>
      </c>
      <c r="G649" s="78">
        <f t="shared" si="32"/>
        <v>8672.3859087410074</v>
      </c>
      <c r="H649" s="78">
        <f t="shared" si="32"/>
        <v>8686.0063677765102</v>
      </c>
      <c r="I649" s="78">
        <f t="shared" si="32"/>
        <v>9362.7847546894427</v>
      </c>
      <c r="J649" s="78">
        <f t="shared" si="32"/>
        <v>9691.3100863693981</v>
      </c>
      <c r="K649" s="78">
        <f t="shared" si="32"/>
        <v>9553.0145789046746</v>
      </c>
      <c r="L649" s="78">
        <f t="shared" si="32"/>
        <v>12215.045636871557</v>
      </c>
      <c r="M649" s="890"/>
    </row>
    <row r="650" spans="1:13" hidden="1" outlineLevel="1" x14ac:dyDescent="0.2">
      <c r="A650" s="22" t="s">
        <v>1227</v>
      </c>
      <c r="B650" s="2" t="str">
        <f t="shared" si="31"/>
        <v>GWh</v>
      </c>
      <c r="C650" s="2" t="s">
        <v>1225</v>
      </c>
      <c r="D650" s="716">
        <v>1</v>
      </c>
      <c r="E650" s="4" t="s">
        <v>2</v>
      </c>
      <c r="F650" s="78">
        <f t="shared" si="32"/>
        <v>826.82999999999993</v>
      </c>
      <c r="G650" s="78">
        <f t="shared" si="32"/>
        <v>798.42000000000007</v>
      </c>
      <c r="H650" s="78">
        <f t="shared" si="32"/>
        <v>962.55</v>
      </c>
      <c r="I650" s="78">
        <f t="shared" si="32"/>
        <v>959.22</v>
      </c>
      <c r="J650" s="78">
        <f t="shared" si="32"/>
        <v>1126.3600000000001</v>
      </c>
      <c r="K650" s="78">
        <f t="shared" si="32"/>
        <v>1089.04</v>
      </c>
      <c r="L650" s="78">
        <f t="shared" si="32"/>
        <v>1446.16</v>
      </c>
      <c r="M650" s="890"/>
    </row>
    <row r="651" spans="1:13" hidden="1" outlineLevel="1" x14ac:dyDescent="0.2">
      <c r="A651" s="22" t="s">
        <v>1227</v>
      </c>
      <c r="B651" s="2" t="str">
        <f t="shared" si="31"/>
        <v>GWh</v>
      </c>
      <c r="C651" s="2" t="s">
        <v>1225</v>
      </c>
      <c r="D651" s="716">
        <v>1</v>
      </c>
      <c r="E651" s="4" t="s">
        <v>19</v>
      </c>
      <c r="F651" s="78">
        <f t="shared" si="32"/>
        <v>552.6</v>
      </c>
      <c r="G651" s="78">
        <f t="shared" si="32"/>
        <v>330.9</v>
      </c>
      <c r="H651" s="78">
        <f t="shared" si="32"/>
        <v>402.1</v>
      </c>
      <c r="I651" s="78">
        <f t="shared" si="32"/>
        <v>401.79999999999995</v>
      </c>
      <c r="J651" s="78">
        <f t="shared" si="32"/>
        <v>794.6</v>
      </c>
      <c r="K651" s="78">
        <f t="shared" si="32"/>
        <v>1085.5899999999999</v>
      </c>
      <c r="L651" s="78">
        <f t="shared" si="32"/>
        <v>1085.5899999999999</v>
      </c>
      <c r="M651" s="890"/>
    </row>
    <row r="652" spans="1:13" hidden="1" outlineLevel="1" x14ac:dyDescent="0.2">
      <c r="A652" s="22" t="s">
        <v>1227</v>
      </c>
      <c r="B652" s="2" t="str">
        <f t="shared" si="31"/>
        <v>GWh</v>
      </c>
      <c r="C652" s="2" t="s">
        <v>1225</v>
      </c>
      <c r="D652" s="716">
        <v>1</v>
      </c>
      <c r="E652" s="4" t="s">
        <v>3</v>
      </c>
      <c r="F652" s="78">
        <f t="shared" si="32"/>
        <v>0</v>
      </c>
      <c r="G652" s="78">
        <f t="shared" si="32"/>
        <v>0</v>
      </c>
      <c r="H652" s="78">
        <f t="shared" si="32"/>
        <v>0</v>
      </c>
      <c r="I652" s="78">
        <f t="shared" si="32"/>
        <v>0</v>
      </c>
      <c r="J652" s="78">
        <f t="shared" si="32"/>
        <v>0</v>
      </c>
      <c r="K652" s="78">
        <f t="shared" si="32"/>
        <v>0</v>
      </c>
      <c r="L652" s="78">
        <f t="shared" si="32"/>
        <v>0</v>
      </c>
      <c r="M652" s="890"/>
    </row>
    <row r="653" spans="1:13" hidden="1" outlineLevel="1" x14ac:dyDescent="0.2">
      <c r="A653" s="22" t="s">
        <v>1227</v>
      </c>
      <c r="B653" s="2" t="str">
        <f t="shared" si="31"/>
        <v>GWh</v>
      </c>
      <c r="C653" s="2" t="s">
        <v>1225</v>
      </c>
      <c r="D653" s="716">
        <v>1</v>
      </c>
      <c r="E653" s="4" t="s">
        <v>20</v>
      </c>
      <c r="F653" s="78">
        <f t="shared" si="32"/>
        <v>1984.7314429999994</v>
      </c>
      <c r="G653" s="78">
        <f t="shared" si="32"/>
        <v>2538.275838</v>
      </c>
      <c r="H653" s="78">
        <f t="shared" si="32"/>
        <v>2586.2980940000002</v>
      </c>
      <c r="I653" s="78">
        <f t="shared" si="32"/>
        <v>3014.1270979999995</v>
      </c>
      <c r="J653" s="78">
        <f t="shared" si="32"/>
        <v>3200.8246159999999</v>
      </c>
      <c r="K653" s="78">
        <f t="shared" si="32"/>
        <v>3761.2482976647011</v>
      </c>
      <c r="L653" s="78">
        <f t="shared" si="32"/>
        <v>4119.0274758163796</v>
      </c>
      <c r="M653" s="890"/>
    </row>
    <row r="654" spans="1:13" hidden="1" outlineLevel="1" x14ac:dyDescent="0.2">
      <c r="A654" s="22" t="s">
        <v>1227</v>
      </c>
      <c r="B654" s="2" t="str">
        <f t="shared" si="31"/>
        <v>GWh</v>
      </c>
      <c r="C654" s="2" t="s">
        <v>1225</v>
      </c>
      <c r="D654" s="716">
        <v>1</v>
      </c>
      <c r="E654" s="4" t="s">
        <v>21</v>
      </c>
      <c r="F654" s="78">
        <f t="shared" si="32"/>
        <v>0</v>
      </c>
      <c r="G654" s="78">
        <f t="shared" si="32"/>
        <v>0</v>
      </c>
      <c r="H654" s="78">
        <f t="shared" si="32"/>
        <v>0</v>
      </c>
      <c r="I654" s="78">
        <f t="shared" si="32"/>
        <v>0</v>
      </c>
      <c r="J654" s="78">
        <f t="shared" si="32"/>
        <v>0</v>
      </c>
      <c r="K654" s="78">
        <f t="shared" si="32"/>
        <v>0</v>
      </c>
      <c r="L654" s="78">
        <f t="shared" si="32"/>
        <v>0</v>
      </c>
      <c r="M654" s="890"/>
    </row>
    <row r="655" spans="1:13" hidden="1" outlineLevel="1" x14ac:dyDescent="0.2">
      <c r="A655" s="22" t="s">
        <v>1227</v>
      </c>
      <c r="B655" s="2" t="str">
        <f t="shared" si="31"/>
        <v>GWh</v>
      </c>
      <c r="C655" s="2" t="s">
        <v>1225</v>
      </c>
      <c r="D655" s="716">
        <v>1</v>
      </c>
      <c r="E655" s="4" t="s">
        <v>1096</v>
      </c>
      <c r="F655" s="78">
        <f t="shared" si="32"/>
        <v>0</v>
      </c>
      <c r="G655" s="78">
        <f t="shared" si="32"/>
        <v>0</v>
      </c>
      <c r="H655" s="78">
        <f t="shared" si="32"/>
        <v>0</v>
      </c>
      <c r="I655" s="78">
        <f t="shared" si="32"/>
        <v>0</v>
      </c>
      <c r="J655" s="78">
        <f t="shared" si="32"/>
        <v>0</v>
      </c>
      <c r="K655" s="78">
        <f t="shared" si="32"/>
        <v>0</v>
      </c>
      <c r="L655" s="78">
        <f t="shared" si="32"/>
        <v>0</v>
      </c>
      <c r="M655" s="890"/>
    </row>
    <row r="656" spans="1:13" hidden="1" outlineLevel="1" x14ac:dyDescent="0.2">
      <c r="A656" s="22" t="s">
        <v>1227</v>
      </c>
      <c r="B656" s="2" t="str">
        <f t="shared" si="31"/>
        <v>GWh</v>
      </c>
      <c r="C656" s="2" t="s">
        <v>1225</v>
      </c>
      <c r="D656" s="716">
        <v>1</v>
      </c>
      <c r="E656" s="4" t="s">
        <v>22</v>
      </c>
      <c r="F656" s="78">
        <f t="shared" si="32"/>
        <v>0</v>
      </c>
      <c r="G656" s="78">
        <f t="shared" si="32"/>
        <v>23.189</v>
      </c>
      <c r="H656" s="78">
        <f t="shared" si="32"/>
        <v>136.904</v>
      </c>
      <c r="I656" s="78">
        <f t="shared" si="32"/>
        <v>231.17907290000002</v>
      </c>
      <c r="J656" s="78">
        <f t="shared" si="32"/>
        <v>352.48428000000001</v>
      </c>
      <c r="K656" s="78">
        <f t="shared" si="32"/>
        <v>478.96314999999998</v>
      </c>
      <c r="L656" s="78">
        <f t="shared" si="32"/>
        <v>616.32772</v>
      </c>
      <c r="M656" s="890"/>
    </row>
    <row r="657" spans="1:18" hidden="1" outlineLevel="1" x14ac:dyDescent="0.2">
      <c r="A657" s="91" t="s">
        <v>1227</v>
      </c>
      <c r="B657" s="386" t="str">
        <f t="shared" si="31"/>
        <v>GWh</v>
      </c>
      <c r="C657" s="386" t="s">
        <v>1225</v>
      </c>
      <c r="D657" s="717">
        <v>1</v>
      </c>
      <c r="E657" s="86" t="s">
        <v>23</v>
      </c>
      <c r="F657" s="379">
        <f t="shared" si="32"/>
        <v>0</v>
      </c>
      <c r="G657" s="379">
        <f t="shared" si="32"/>
        <v>0</v>
      </c>
      <c r="H657" s="379">
        <f t="shared" si="32"/>
        <v>0</v>
      </c>
      <c r="I657" s="379">
        <f t="shared" si="32"/>
        <v>115.32539999999999</v>
      </c>
      <c r="J657" s="379">
        <f t="shared" si="32"/>
        <v>115.32539999999999</v>
      </c>
      <c r="K657" s="379">
        <f t="shared" si="32"/>
        <v>115.32539999999999</v>
      </c>
      <c r="L657" s="379">
        <f t="shared" si="32"/>
        <v>115.32539999999999</v>
      </c>
      <c r="M657" s="919"/>
    </row>
    <row r="658" spans="1:18" s="103" customFormat="1" hidden="1" outlineLevel="1" x14ac:dyDescent="0.2">
      <c r="A658" s="532" t="s">
        <v>1227</v>
      </c>
      <c r="B658" s="533" t="str">
        <f t="shared" si="31"/>
        <v>GWh</v>
      </c>
      <c r="C658" s="533" t="s">
        <v>1236</v>
      </c>
      <c r="D658" s="718">
        <v>0</v>
      </c>
      <c r="E658" s="468" t="s">
        <v>4</v>
      </c>
      <c r="F658" s="535">
        <f>SUMIFS(F$346:F$631, $E$346:$E$631, $E658)</f>
        <v>113423.55600000001</v>
      </c>
      <c r="G658" s="535">
        <f t="shared" ref="G658:L673" si="33">SUMIFS(G$346:G$631, $E$346:$E$631, $E658)</f>
        <v>113353.122</v>
      </c>
      <c r="H658" s="535">
        <f t="shared" si="33"/>
        <v>121905.24729</v>
      </c>
      <c r="I658" s="535">
        <f t="shared" si="33"/>
        <v>122326.00988330002</v>
      </c>
      <c r="J658" s="535">
        <f t="shared" si="33"/>
        <v>125991.85949390006</v>
      </c>
      <c r="K658" s="535">
        <f t="shared" si="33"/>
        <v>129485.30787912998</v>
      </c>
      <c r="L658" s="535">
        <f t="shared" si="33"/>
        <v>129485.30787912998</v>
      </c>
      <c r="M658" s="889"/>
      <c r="N658" s="20"/>
      <c r="O658" s="20"/>
      <c r="P658" s="20"/>
      <c r="Q658" s="20"/>
      <c r="R658" s="20"/>
    </row>
    <row r="659" spans="1:18" s="103" customFormat="1" hidden="1" outlineLevel="1" x14ac:dyDescent="0.2">
      <c r="A659" s="22" t="s">
        <v>1227</v>
      </c>
      <c r="B659" s="2" t="str">
        <f t="shared" si="31"/>
        <v>GWh</v>
      </c>
      <c r="C659" s="2" t="s">
        <v>1236</v>
      </c>
      <c r="D659" s="716">
        <v>0</v>
      </c>
      <c r="E659" s="4" t="s">
        <v>5</v>
      </c>
      <c r="F659" s="78">
        <f t="shared" ref="F659:L674" si="34">SUMIFS(F$346:F$631, $E$346:$E$631, $E659)</f>
        <v>0</v>
      </c>
      <c r="G659" s="78">
        <f t="shared" si="33"/>
        <v>0</v>
      </c>
      <c r="H659" s="78">
        <f t="shared" si="33"/>
        <v>0</v>
      </c>
      <c r="I659" s="78">
        <f t="shared" si="33"/>
        <v>0</v>
      </c>
      <c r="J659" s="78">
        <f t="shared" si="33"/>
        <v>0</v>
      </c>
      <c r="K659" s="78">
        <f t="shared" si="33"/>
        <v>0</v>
      </c>
      <c r="L659" s="78">
        <f t="shared" si="33"/>
        <v>0</v>
      </c>
      <c r="M659" s="890"/>
      <c r="N659" s="20"/>
      <c r="O659" s="20"/>
      <c r="P659" s="20"/>
      <c r="Q659" s="20"/>
      <c r="R659" s="20"/>
    </row>
    <row r="660" spans="1:18" s="103" customFormat="1" hidden="1" outlineLevel="1" x14ac:dyDescent="0.2">
      <c r="A660" s="22" t="s">
        <v>1227</v>
      </c>
      <c r="B660" s="2" t="str">
        <f t="shared" si="31"/>
        <v>GWh</v>
      </c>
      <c r="C660" s="2" t="s">
        <v>1236</v>
      </c>
      <c r="D660" s="716">
        <v>0</v>
      </c>
      <c r="E660" s="4" t="s">
        <v>6</v>
      </c>
      <c r="F660" s="78">
        <f t="shared" si="34"/>
        <v>1020.4</v>
      </c>
      <c r="G660" s="78">
        <f t="shared" si="33"/>
        <v>1049.2</v>
      </c>
      <c r="H660" s="78">
        <f t="shared" si="33"/>
        <v>1053.7</v>
      </c>
      <c r="I660" s="78">
        <f t="shared" si="33"/>
        <v>1068.4000000000001</v>
      </c>
      <c r="J660" s="78">
        <f t="shared" si="33"/>
        <v>1078.3</v>
      </c>
      <c r="K660" s="78">
        <f t="shared" si="33"/>
        <v>1044</v>
      </c>
      <c r="L660" s="78">
        <f t="shared" si="33"/>
        <v>1024.2852809999999</v>
      </c>
      <c r="M660" s="890"/>
      <c r="N660" s="20"/>
      <c r="O660" s="20"/>
      <c r="P660" s="20"/>
      <c r="Q660" s="20"/>
      <c r="R660" s="20"/>
    </row>
    <row r="661" spans="1:18" s="103" customFormat="1" hidden="1" outlineLevel="1" x14ac:dyDescent="0.2">
      <c r="A661" s="22" t="s">
        <v>1227</v>
      </c>
      <c r="B661" s="2" t="str">
        <f t="shared" si="31"/>
        <v>GWh</v>
      </c>
      <c r="C661" s="2" t="s">
        <v>1236</v>
      </c>
      <c r="D661" s="716">
        <v>0</v>
      </c>
      <c r="E661" s="4" t="s">
        <v>143</v>
      </c>
      <c r="F661" s="78">
        <f t="shared" si="34"/>
        <v>207.86896238000003</v>
      </c>
      <c r="G661" s="78">
        <f t="shared" si="33"/>
        <v>213.48102796779995</v>
      </c>
      <c r="H661" s="78">
        <f t="shared" si="33"/>
        <v>215.19141614216076</v>
      </c>
      <c r="I661" s="78">
        <f t="shared" si="33"/>
        <v>256.58026979707495</v>
      </c>
      <c r="J661" s="78">
        <f t="shared" si="33"/>
        <v>323.39416736800007</v>
      </c>
      <c r="K661" s="78">
        <f t="shared" si="33"/>
        <v>322.22961726249991</v>
      </c>
      <c r="L661" s="78">
        <f t="shared" si="33"/>
        <v>290.30812091799993</v>
      </c>
      <c r="M661" s="890"/>
      <c r="N661" s="20"/>
      <c r="O661" s="20"/>
      <c r="P661" s="20"/>
      <c r="Q661" s="20"/>
      <c r="R661" s="20"/>
    </row>
    <row r="662" spans="1:18" s="103" customFormat="1" hidden="1" outlineLevel="1" x14ac:dyDescent="0.2">
      <c r="A662" s="22" t="s">
        <v>1227</v>
      </c>
      <c r="B662" s="2" t="str">
        <f t="shared" si="31"/>
        <v>GWh</v>
      </c>
      <c r="C662" s="2" t="s">
        <v>1236</v>
      </c>
      <c r="D662" s="716">
        <v>0</v>
      </c>
      <c r="E662" s="4" t="s">
        <v>7</v>
      </c>
      <c r="F662" s="78">
        <f t="shared" si="34"/>
        <v>5093.2999999999993</v>
      </c>
      <c r="G662" s="78">
        <f t="shared" si="33"/>
        <v>5570.6</v>
      </c>
      <c r="H662" s="78">
        <f t="shared" si="33"/>
        <v>6231.8</v>
      </c>
      <c r="I662" s="78">
        <f t="shared" si="33"/>
        <v>6533.9000000000005</v>
      </c>
      <c r="J662" s="78">
        <f t="shared" si="33"/>
        <v>6969.7</v>
      </c>
      <c r="K662" s="78">
        <f t="shared" si="33"/>
        <v>7219.5</v>
      </c>
      <c r="L662" s="78">
        <f t="shared" si="33"/>
        <v>7219.5</v>
      </c>
      <c r="M662" s="890"/>
      <c r="N662" s="20"/>
      <c r="O662" s="20"/>
      <c r="P662" s="20"/>
      <c r="Q662" s="20"/>
      <c r="R662" s="20"/>
    </row>
    <row r="663" spans="1:18" s="103" customFormat="1" hidden="1" outlineLevel="1" x14ac:dyDescent="0.2">
      <c r="A663" s="22" t="s">
        <v>1227</v>
      </c>
      <c r="B663" s="2" t="str">
        <f t="shared" si="31"/>
        <v>GWh</v>
      </c>
      <c r="C663" s="2" t="s">
        <v>1236</v>
      </c>
      <c r="D663" s="716">
        <v>0</v>
      </c>
      <c r="E663" s="4" t="s">
        <v>31</v>
      </c>
      <c r="F663" s="78">
        <f t="shared" si="34"/>
        <v>428319.74</v>
      </c>
      <c r="G663" s="78">
        <f t="shared" si="33"/>
        <v>454918.16</v>
      </c>
      <c r="H663" s="78">
        <f t="shared" si="33"/>
        <v>476510.71999999997</v>
      </c>
      <c r="I663" s="78">
        <f t="shared" si="33"/>
        <v>478601.88</v>
      </c>
      <c r="J663" s="78">
        <f t="shared" si="33"/>
        <v>531560.93999999994</v>
      </c>
      <c r="K663" s="78">
        <f t="shared" si="33"/>
        <v>549230.82000000007</v>
      </c>
      <c r="L663" s="78">
        <f t="shared" si="33"/>
        <v>549230.82000000007</v>
      </c>
      <c r="M663" s="890"/>
      <c r="N663" s="20"/>
      <c r="O663" s="20"/>
      <c r="P663" s="20"/>
      <c r="Q663" s="20"/>
      <c r="R663" s="20"/>
    </row>
    <row r="664" spans="1:18" s="103" customFormat="1" hidden="1" outlineLevel="1" x14ac:dyDescent="0.2">
      <c r="A664" s="22" t="s">
        <v>1227</v>
      </c>
      <c r="B664" s="2" t="str">
        <f t="shared" si="31"/>
        <v>GWh</v>
      </c>
      <c r="C664" s="2" t="s">
        <v>1236</v>
      </c>
      <c r="D664" s="716">
        <v>0</v>
      </c>
      <c r="E664" s="4" t="s">
        <v>8</v>
      </c>
      <c r="F664" s="78">
        <f t="shared" si="34"/>
        <v>53732.800197739911</v>
      </c>
      <c r="G664" s="78">
        <f t="shared" si="33"/>
        <v>56170.57307382</v>
      </c>
      <c r="H664" s="78">
        <f t="shared" si="33"/>
        <v>56703.363551850001</v>
      </c>
      <c r="I664" s="78">
        <f t="shared" si="33"/>
        <v>57044.761372866888</v>
      </c>
      <c r="J664" s="78">
        <f t="shared" si="33"/>
        <v>58671.851648024764</v>
      </c>
      <c r="K664" s="78">
        <f t="shared" si="33"/>
        <v>62369.46137484481</v>
      </c>
      <c r="L664" s="78">
        <f t="shared" si="33"/>
        <v>65999.603879957824</v>
      </c>
      <c r="M664" s="890"/>
      <c r="N664" s="20"/>
      <c r="O664" s="20"/>
      <c r="P664" s="20"/>
      <c r="Q664" s="20"/>
      <c r="R664" s="20"/>
    </row>
    <row r="665" spans="1:18" s="103" customFormat="1" hidden="1" outlineLevel="1" x14ac:dyDescent="0.2">
      <c r="A665" s="22" t="s">
        <v>1227</v>
      </c>
      <c r="B665" s="2" t="str">
        <f t="shared" si="31"/>
        <v>GWh</v>
      </c>
      <c r="C665" s="2" t="s">
        <v>1236</v>
      </c>
      <c r="D665" s="716">
        <v>0</v>
      </c>
      <c r="E665" s="4" t="s">
        <v>9</v>
      </c>
      <c r="F665" s="78">
        <f t="shared" si="34"/>
        <v>52340.53</v>
      </c>
      <c r="G665" s="78">
        <f t="shared" si="33"/>
        <v>53624.477999999996</v>
      </c>
      <c r="H665" s="78">
        <f t="shared" si="33"/>
        <v>54395.409200000002</v>
      </c>
      <c r="I665" s="78">
        <f t="shared" si="33"/>
        <v>55965.715199999999</v>
      </c>
      <c r="J665" s="78">
        <f t="shared" si="33"/>
        <v>56887.999199999991</v>
      </c>
      <c r="K665" s="78">
        <f t="shared" si="33"/>
        <v>58620.27</v>
      </c>
      <c r="L665" s="78">
        <f t="shared" si="33"/>
        <v>60120.85</v>
      </c>
      <c r="M665" s="890"/>
      <c r="N665" s="20"/>
      <c r="O665" s="20"/>
      <c r="P665" s="20"/>
      <c r="Q665" s="20"/>
      <c r="R665" s="20"/>
    </row>
    <row r="666" spans="1:18" s="103" customFormat="1" hidden="1" outlineLevel="1" x14ac:dyDescent="0.2">
      <c r="A666" s="22" t="s">
        <v>1227</v>
      </c>
      <c r="B666" s="2" t="str">
        <f t="shared" si="31"/>
        <v>GWh</v>
      </c>
      <c r="C666" s="2" t="s">
        <v>1236</v>
      </c>
      <c r="D666" s="716">
        <v>0</v>
      </c>
      <c r="E666" s="4" t="s">
        <v>10</v>
      </c>
      <c r="F666" s="78">
        <f t="shared" si="34"/>
        <v>8612.8944557786381</v>
      </c>
      <c r="G666" s="78">
        <f t="shared" si="33"/>
        <v>8918.7525895611325</v>
      </c>
      <c r="H666" s="78">
        <f t="shared" si="33"/>
        <v>9343.0358956745604</v>
      </c>
      <c r="I666" s="78">
        <f t="shared" si="33"/>
        <v>9168.2834724888053</v>
      </c>
      <c r="J666" s="78">
        <f t="shared" si="33"/>
        <v>9488.9869859707742</v>
      </c>
      <c r="K666" s="78">
        <f t="shared" si="33"/>
        <v>9747.7664027336377</v>
      </c>
      <c r="L666" s="78">
        <f t="shared" si="33"/>
        <v>10043.262000000001</v>
      </c>
      <c r="M666" s="890"/>
      <c r="N666" s="20"/>
      <c r="O666" s="20"/>
      <c r="P666" s="20"/>
      <c r="Q666" s="20"/>
      <c r="R666" s="20"/>
    </row>
    <row r="667" spans="1:18" s="103" customFormat="1" hidden="1" outlineLevel="1" x14ac:dyDescent="0.2">
      <c r="A667" s="22" t="s">
        <v>1227</v>
      </c>
      <c r="B667" s="2" t="str">
        <f t="shared" si="31"/>
        <v>GWh</v>
      </c>
      <c r="C667" s="2" t="s">
        <v>1236</v>
      </c>
      <c r="D667" s="716">
        <v>0</v>
      </c>
      <c r="E667" s="4" t="s">
        <v>11</v>
      </c>
      <c r="F667" s="78">
        <f t="shared" si="34"/>
        <v>10658.997000000001</v>
      </c>
      <c r="G667" s="78">
        <f t="shared" si="33"/>
        <v>11136.737000000001</v>
      </c>
      <c r="H667" s="78">
        <f t="shared" si="33"/>
        <v>11501.591999999999</v>
      </c>
      <c r="I667" s="78">
        <f t="shared" si="33"/>
        <v>11613.351000000001</v>
      </c>
      <c r="J667" s="78">
        <f t="shared" si="33"/>
        <v>12351.861175326307</v>
      </c>
      <c r="K667" s="78">
        <f t="shared" si="33"/>
        <v>12471.876305836709</v>
      </c>
      <c r="L667" s="78">
        <f t="shared" si="33"/>
        <v>13357.979500448288</v>
      </c>
      <c r="M667" s="890"/>
      <c r="N667" s="20"/>
      <c r="O667" s="20"/>
      <c r="P667" s="20"/>
      <c r="Q667" s="20"/>
      <c r="R667" s="20"/>
    </row>
    <row r="668" spans="1:18" s="103" customFormat="1" hidden="1" outlineLevel="1" x14ac:dyDescent="0.2">
      <c r="A668" s="22" t="s">
        <v>1227</v>
      </c>
      <c r="B668" s="2" t="str">
        <f t="shared" si="31"/>
        <v>GWh</v>
      </c>
      <c r="C668" s="2" t="s">
        <v>1236</v>
      </c>
      <c r="D668" s="716">
        <v>0</v>
      </c>
      <c r="E668" s="4" t="s">
        <v>12</v>
      </c>
      <c r="F668" s="78">
        <f t="shared" si="34"/>
        <v>14814.044879999999</v>
      </c>
      <c r="G668" s="78">
        <f t="shared" si="33"/>
        <v>17336.66</v>
      </c>
      <c r="H668" s="78">
        <f t="shared" si="33"/>
        <v>18608.529149999998</v>
      </c>
      <c r="I668" s="78">
        <f t="shared" si="33"/>
        <v>18569.052380000001</v>
      </c>
      <c r="J668" s="78">
        <f t="shared" si="33"/>
        <v>19509.851879999998</v>
      </c>
      <c r="K668" s="78">
        <f t="shared" si="33"/>
        <v>20544.090000000004</v>
      </c>
      <c r="L668" s="78">
        <f t="shared" si="33"/>
        <v>22769.882940000003</v>
      </c>
      <c r="M668" s="890"/>
      <c r="N668" s="20"/>
      <c r="O668" s="20"/>
      <c r="P668" s="20"/>
      <c r="Q668" s="20"/>
      <c r="R668" s="20"/>
    </row>
    <row r="669" spans="1:18" s="103" customFormat="1" hidden="1" outlineLevel="1" x14ac:dyDescent="0.2">
      <c r="A669" s="22" t="s">
        <v>1227</v>
      </c>
      <c r="B669" s="2" t="str">
        <f t="shared" si="31"/>
        <v>GWh</v>
      </c>
      <c r="C669" s="2" t="s">
        <v>1236</v>
      </c>
      <c r="D669" s="716">
        <v>0</v>
      </c>
      <c r="E669" s="4" t="s">
        <v>1</v>
      </c>
      <c r="F669" s="78">
        <f t="shared" si="34"/>
        <v>5691.1093999999994</v>
      </c>
      <c r="G669" s="78">
        <f t="shared" si="33"/>
        <v>6011.3539999999994</v>
      </c>
      <c r="H669" s="78">
        <f t="shared" si="33"/>
        <v>6087.7929000000004</v>
      </c>
      <c r="I669" s="78">
        <f t="shared" si="33"/>
        <v>5854.7744000000002</v>
      </c>
      <c r="J669" s="78">
        <f t="shared" si="33"/>
        <v>6040.5497999999998</v>
      </c>
      <c r="K669" s="78">
        <f t="shared" si="33"/>
        <v>5822.4706999999999</v>
      </c>
      <c r="L669" s="78">
        <f t="shared" si="33"/>
        <v>5822.4706999999999</v>
      </c>
      <c r="M669" s="890"/>
      <c r="N669" s="20"/>
      <c r="O669" s="20"/>
      <c r="P669" s="20"/>
      <c r="Q669" s="20"/>
      <c r="R669" s="20"/>
    </row>
    <row r="670" spans="1:18" s="103" customFormat="1" hidden="1" outlineLevel="1" x14ac:dyDescent="0.2">
      <c r="A670" s="22" t="s">
        <v>1227</v>
      </c>
      <c r="B670" s="2" t="str">
        <f t="shared" si="31"/>
        <v>GWh</v>
      </c>
      <c r="C670" s="2" t="s">
        <v>1236</v>
      </c>
      <c r="D670" s="716">
        <v>0</v>
      </c>
      <c r="E670" s="4" t="s">
        <v>13</v>
      </c>
      <c r="F670" s="78">
        <f t="shared" si="34"/>
        <v>7436.6099999999988</v>
      </c>
      <c r="G670" s="78">
        <f t="shared" si="33"/>
        <v>7926.2557857598431</v>
      </c>
      <c r="H670" s="78">
        <f t="shared" si="33"/>
        <v>7915.9424741499279</v>
      </c>
      <c r="I670" s="78">
        <f t="shared" si="33"/>
        <v>7888.5496636143644</v>
      </c>
      <c r="J670" s="78">
        <f t="shared" si="33"/>
        <v>7810.4381526986635</v>
      </c>
      <c r="K670" s="78">
        <f t="shared" si="33"/>
        <v>8146.5707182032384</v>
      </c>
      <c r="L670" s="78">
        <f t="shared" si="33"/>
        <v>8703.5651228699662</v>
      </c>
      <c r="M670" s="890"/>
      <c r="N670" s="20"/>
      <c r="O670" s="20"/>
      <c r="P670" s="20"/>
      <c r="Q670" s="20"/>
      <c r="R670" s="20"/>
    </row>
    <row r="671" spans="1:18" s="103" customFormat="1" hidden="1" outlineLevel="1" x14ac:dyDescent="0.2">
      <c r="A671" s="22" t="s">
        <v>1227</v>
      </c>
      <c r="B671" s="2" t="str">
        <f t="shared" si="31"/>
        <v>GWh</v>
      </c>
      <c r="C671" s="2" t="s">
        <v>1236</v>
      </c>
      <c r="D671" s="716">
        <v>0</v>
      </c>
      <c r="E671" s="4" t="s">
        <v>14</v>
      </c>
      <c r="F671" s="78">
        <f t="shared" si="34"/>
        <v>524.96058999999991</v>
      </c>
      <c r="G671" s="78">
        <f t="shared" si="33"/>
        <v>559.21352000000002</v>
      </c>
      <c r="H671" s="78">
        <f t="shared" si="33"/>
        <v>568.66514000000006</v>
      </c>
      <c r="I671" s="78">
        <f t="shared" si="33"/>
        <v>541.53064000000006</v>
      </c>
      <c r="J671" s="78">
        <f t="shared" si="33"/>
        <v>627.46473000000003</v>
      </c>
      <c r="K671" s="78">
        <f t="shared" si="33"/>
        <v>653.96765000000005</v>
      </c>
      <c r="L671" s="78">
        <f t="shared" si="33"/>
        <v>690.25085999999999</v>
      </c>
      <c r="M671" s="890"/>
      <c r="N671" s="20"/>
      <c r="O671" s="20"/>
      <c r="P671" s="20"/>
      <c r="Q671" s="20"/>
      <c r="R671" s="20"/>
    </row>
    <row r="672" spans="1:18" s="103" customFormat="1" hidden="1" outlineLevel="1" x14ac:dyDescent="0.2">
      <c r="A672" s="22" t="s">
        <v>1227</v>
      </c>
      <c r="B672" s="2" t="str">
        <f t="shared" si="31"/>
        <v>GWh</v>
      </c>
      <c r="C672" s="2" t="s">
        <v>1236</v>
      </c>
      <c r="D672" s="716">
        <v>0</v>
      </c>
      <c r="E672" s="4" t="s">
        <v>15</v>
      </c>
      <c r="F672" s="78">
        <f t="shared" si="34"/>
        <v>0</v>
      </c>
      <c r="G672" s="78">
        <f t="shared" si="33"/>
        <v>0</v>
      </c>
      <c r="H672" s="78">
        <f t="shared" si="33"/>
        <v>0</v>
      </c>
      <c r="I672" s="78">
        <f t="shared" si="33"/>
        <v>0</v>
      </c>
      <c r="J672" s="78">
        <f t="shared" si="33"/>
        <v>0</v>
      </c>
      <c r="K672" s="78">
        <f t="shared" si="33"/>
        <v>0</v>
      </c>
      <c r="L672" s="78">
        <f t="shared" si="33"/>
        <v>0</v>
      </c>
      <c r="M672" s="890"/>
      <c r="N672" s="20"/>
      <c r="O672" s="20"/>
      <c r="P672" s="20"/>
      <c r="Q672" s="20"/>
      <c r="R672" s="20"/>
    </row>
    <row r="673" spans="1:18" s="103" customFormat="1" hidden="1" outlineLevel="1" x14ac:dyDescent="0.2">
      <c r="A673" s="22" t="s">
        <v>1227</v>
      </c>
      <c r="B673" s="2" t="str">
        <f t="shared" si="31"/>
        <v>GWh</v>
      </c>
      <c r="C673" s="2" t="s">
        <v>1236</v>
      </c>
      <c r="D673" s="716">
        <v>0</v>
      </c>
      <c r="E673" s="4" t="s">
        <v>16</v>
      </c>
      <c r="F673" s="78">
        <f t="shared" si="34"/>
        <v>6077.4</v>
      </c>
      <c r="G673" s="78">
        <f t="shared" si="33"/>
        <v>6261.6</v>
      </c>
      <c r="H673" s="78">
        <f t="shared" si="33"/>
        <v>6490.5</v>
      </c>
      <c r="I673" s="78">
        <f t="shared" si="33"/>
        <v>6497.6</v>
      </c>
      <c r="J673" s="78">
        <f t="shared" si="33"/>
        <v>6721.9000000000005</v>
      </c>
      <c r="K673" s="78">
        <f t="shared" si="33"/>
        <v>7127.1386276429994</v>
      </c>
      <c r="L673" s="78">
        <f t="shared" si="33"/>
        <v>7490.0064407099999</v>
      </c>
      <c r="M673" s="890"/>
      <c r="N673" s="20"/>
      <c r="O673" s="20"/>
      <c r="P673" s="20"/>
      <c r="Q673" s="20"/>
      <c r="R673" s="20"/>
    </row>
    <row r="674" spans="1:18" s="103" customFormat="1" hidden="1" outlineLevel="1" x14ac:dyDescent="0.2">
      <c r="A674" s="22" t="s">
        <v>1227</v>
      </c>
      <c r="B674" s="2" t="str">
        <f t="shared" si="31"/>
        <v>GWh</v>
      </c>
      <c r="C674" s="2" t="s">
        <v>1236</v>
      </c>
      <c r="D674" s="716">
        <v>0</v>
      </c>
      <c r="E674" s="4" t="s">
        <v>17</v>
      </c>
      <c r="F674" s="78">
        <f t="shared" si="34"/>
        <v>4046.4293946659996</v>
      </c>
      <c r="G674" s="78">
        <f t="shared" si="34"/>
        <v>4075.4827425700005</v>
      </c>
      <c r="H674" s="78">
        <f t="shared" si="34"/>
        <v>4123.2889999999998</v>
      </c>
      <c r="I674" s="78">
        <f t="shared" si="34"/>
        <v>4213.9814285700004</v>
      </c>
      <c r="J674" s="78">
        <f t="shared" si="34"/>
        <v>4137.3516248999995</v>
      </c>
      <c r="K674" s="78">
        <f t="shared" si="34"/>
        <v>4136.8791506213211</v>
      </c>
      <c r="L674" s="78">
        <f t="shared" si="34"/>
        <v>4135.918101489</v>
      </c>
      <c r="M674" s="890"/>
      <c r="N674" s="20"/>
      <c r="O674" s="20"/>
      <c r="P674" s="20"/>
      <c r="Q674" s="20"/>
      <c r="R674" s="20"/>
    </row>
    <row r="675" spans="1:18" s="103" customFormat="1" hidden="1" outlineLevel="1" x14ac:dyDescent="0.2">
      <c r="A675" s="22" t="s">
        <v>1227</v>
      </c>
      <c r="B675" s="2" t="str">
        <f t="shared" si="31"/>
        <v>GWh</v>
      </c>
      <c r="C675" s="2" t="s">
        <v>1236</v>
      </c>
      <c r="D675" s="716">
        <v>0</v>
      </c>
      <c r="E675" s="4" t="s">
        <v>18</v>
      </c>
      <c r="F675" s="78">
        <f t="shared" ref="F675:L683" si="35">SUMIFS(F$346:F$631, $E$346:$E$631, $E675)</f>
        <v>283201.63873926178</v>
      </c>
      <c r="G675" s="78">
        <f t="shared" si="35"/>
        <v>303977.22395188332</v>
      </c>
      <c r="H675" s="78">
        <f t="shared" si="35"/>
        <v>307668.58642888692</v>
      </c>
      <c r="I675" s="78">
        <f t="shared" si="35"/>
        <v>312314.07766181615</v>
      </c>
      <c r="J675" s="78">
        <f>SUMIFS(J$346:J$631, $E$346:$E$631, $E675)</f>
        <v>320740.28726941423</v>
      </c>
      <c r="K675" s="78">
        <f t="shared" si="35"/>
        <v>335625.02500051068</v>
      </c>
      <c r="L675" s="78">
        <f t="shared" si="35"/>
        <v>343667.73455054243</v>
      </c>
      <c r="M675" s="890"/>
      <c r="N675" s="20"/>
      <c r="O675" s="20"/>
      <c r="P675" s="20"/>
      <c r="Q675" s="20"/>
      <c r="R675" s="20"/>
    </row>
    <row r="676" spans="1:18" s="103" customFormat="1" hidden="1" outlineLevel="1" x14ac:dyDescent="0.2">
      <c r="A676" s="22" t="s">
        <v>1227</v>
      </c>
      <c r="B676" s="2" t="str">
        <f t="shared" si="31"/>
        <v>GWh</v>
      </c>
      <c r="C676" s="2" t="s">
        <v>1236</v>
      </c>
      <c r="D676" s="716">
        <v>0</v>
      </c>
      <c r="E676" s="4" t="s">
        <v>2</v>
      </c>
      <c r="F676" s="78">
        <f t="shared" si="35"/>
        <v>3137.4399999999996</v>
      </c>
      <c r="G676" s="78">
        <f t="shared" si="35"/>
        <v>3209.17</v>
      </c>
      <c r="H676" s="78">
        <f t="shared" si="35"/>
        <v>3360.95</v>
      </c>
      <c r="I676" s="78">
        <f t="shared" si="35"/>
        <v>3454.0600000000004</v>
      </c>
      <c r="J676" s="78">
        <f t="shared" si="35"/>
        <v>3659.07</v>
      </c>
      <c r="K676" s="78">
        <f t="shared" si="35"/>
        <v>3824.4199999999992</v>
      </c>
      <c r="L676" s="78">
        <f t="shared" si="35"/>
        <v>3912.4800000000005</v>
      </c>
      <c r="M676" s="890"/>
      <c r="N676" s="20"/>
      <c r="O676" s="20"/>
      <c r="P676" s="20"/>
      <c r="Q676" s="20"/>
      <c r="R676" s="20"/>
    </row>
    <row r="677" spans="1:18" s="103" customFormat="1" hidden="1" outlineLevel="1" x14ac:dyDescent="0.2">
      <c r="A677" s="22" t="s">
        <v>1227</v>
      </c>
      <c r="B677" s="2" t="str">
        <f t="shared" si="31"/>
        <v>GWh</v>
      </c>
      <c r="C677" s="2" t="s">
        <v>1236</v>
      </c>
      <c r="D677" s="716">
        <v>0</v>
      </c>
      <c r="E677" s="4" t="s">
        <v>19</v>
      </c>
      <c r="F677" s="78">
        <f t="shared" si="35"/>
        <v>5989.4000000000005</v>
      </c>
      <c r="G677" s="78">
        <f t="shared" si="35"/>
        <v>6431.0999999999985</v>
      </c>
      <c r="H677" s="78">
        <f t="shared" si="35"/>
        <v>6409</v>
      </c>
      <c r="I677" s="78">
        <f t="shared" si="35"/>
        <v>6892.2000000000016</v>
      </c>
      <c r="J677" s="78">
        <f t="shared" si="35"/>
        <v>7484.7300000000005</v>
      </c>
      <c r="K677" s="78">
        <f t="shared" si="35"/>
        <v>7714.99</v>
      </c>
      <c r="L677" s="78">
        <f t="shared" si="35"/>
        <v>7714.99</v>
      </c>
      <c r="M677" s="890"/>
      <c r="N677" s="20"/>
      <c r="O677" s="20"/>
      <c r="P677" s="20"/>
      <c r="Q677" s="20"/>
      <c r="R677" s="20"/>
    </row>
    <row r="678" spans="1:18" s="103" customFormat="1" hidden="1" outlineLevel="1" x14ac:dyDescent="0.2">
      <c r="A678" s="22" t="s">
        <v>1227</v>
      </c>
      <c r="B678" s="2" t="str">
        <f t="shared" si="31"/>
        <v>GWh</v>
      </c>
      <c r="C678" s="2" t="s">
        <v>1236</v>
      </c>
      <c r="D678" s="716">
        <v>0</v>
      </c>
      <c r="E678" s="4" t="s">
        <v>3</v>
      </c>
      <c r="F678" s="78">
        <f t="shared" si="35"/>
        <v>53662.499000000003</v>
      </c>
      <c r="G678" s="78">
        <f t="shared" si="35"/>
        <v>53608.28</v>
      </c>
      <c r="H678" s="78">
        <f t="shared" si="35"/>
        <v>55361.586000000003</v>
      </c>
      <c r="I678" s="78">
        <f t="shared" si="35"/>
        <v>54842.291999999994</v>
      </c>
      <c r="J678" s="78">
        <f t="shared" si="35"/>
        <v>53955.689999999995</v>
      </c>
      <c r="K678" s="78">
        <f t="shared" si="35"/>
        <v>57506.468000000001</v>
      </c>
      <c r="L678" s="78">
        <f t="shared" si="35"/>
        <v>60121.48</v>
      </c>
      <c r="M678" s="890"/>
      <c r="N678" s="20"/>
      <c r="O678" s="20"/>
      <c r="P678" s="20"/>
      <c r="Q678" s="20"/>
      <c r="R678" s="20"/>
    </row>
    <row r="679" spans="1:18" s="103" customFormat="1" hidden="1" outlineLevel="1" x14ac:dyDescent="0.2">
      <c r="A679" s="22" t="s">
        <v>1227</v>
      </c>
      <c r="B679" s="2" t="str">
        <f t="shared" si="31"/>
        <v>GWh</v>
      </c>
      <c r="C679" s="2" t="s">
        <v>1236</v>
      </c>
      <c r="D679" s="716">
        <v>0</v>
      </c>
      <c r="E679" s="4" t="s">
        <v>20</v>
      </c>
      <c r="F679" s="78">
        <f t="shared" si="35"/>
        <v>28418.844776999998</v>
      </c>
      <c r="G679" s="78">
        <f t="shared" si="35"/>
        <v>29483.243141999999</v>
      </c>
      <c r="H679" s="78">
        <f t="shared" si="35"/>
        <v>31983.559722999998</v>
      </c>
      <c r="I679" s="78">
        <f t="shared" si="35"/>
        <v>32824.121037999997</v>
      </c>
      <c r="J679" s="78">
        <f t="shared" si="35"/>
        <v>35448.203942</v>
      </c>
      <c r="K679" s="78">
        <f t="shared" si="35"/>
        <v>44833.792223164921</v>
      </c>
      <c r="L679" s="78">
        <f t="shared" si="35"/>
        <v>44886.452499154715</v>
      </c>
      <c r="M679" s="890"/>
      <c r="N679" s="20"/>
      <c r="O679" s="20"/>
      <c r="P679" s="20"/>
      <c r="Q679" s="20"/>
      <c r="R679" s="20"/>
    </row>
    <row r="680" spans="1:18" s="103" customFormat="1" hidden="1" outlineLevel="1" x14ac:dyDescent="0.2">
      <c r="A680" s="22" t="s">
        <v>1227</v>
      </c>
      <c r="B680" s="2" t="str">
        <f t="shared" si="31"/>
        <v>GWh</v>
      </c>
      <c r="C680" s="2" t="s">
        <v>1236</v>
      </c>
      <c r="D680" s="716">
        <v>0</v>
      </c>
      <c r="E680" s="4" t="s">
        <v>21</v>
      </c>
      <c r="F680" s="78">
        <f t="shared" si="35"/>
        <v>920.98803440000006</v>
      </c>
      <c r="G680" s="78">
        <f t="shared" si="35"/>
        <v>909.01315</v>
      </c>
      <c r="H680" s="78">
        <f t="shared" si="35"/>
        <v>987.8845500000001</v>
      </c>
      <c r="I680" s="78">
        <f t="shared" si="35"/>
        <v>1174.9708000000001</v>
      </c>
      <c r="J680" s="78">
        <f t="shared" si="35"/>
        <v>1292.331778</v>
      </c>
      <c r="K680" s="78">
        <f t="shared" si="35"/>
        <v>1358.857413</v>
      </c>
      <c r="L680" s="78">
        <f t="shared" si="35"/>
        <v>1358.857413</v>
      </c>
      <c r="M680" s="890"/>
      <c r="N680" s="20"/>
      <c r="O680" s="20"/>
      <c r="P680" s="20"/>
      <c r="Q680" s="20"/>
      <c r="R680" s="20"/>
    </row>
    <row r="681" spans="1:18" s="103" customFormat="1" hidden="1" outlineLevel="1" x14ac:dyDescent="0.2">
      <c r="A681" s="22" t="s">
        <v>1227</v>
      </c>
      <c r="B681" s="2" t="str">
        <f t="shared" si="31"/>
        <v>GWh</v>
      </c>
      <c r="C681" s="2" t="s">
        <v>1236</v>
      </c>
      <c r="D681" s="716">
        <v>0</v>
      </c>
      <c r="E681" s="4" t="s">
        <v>1096</v>
      </c>
      <c r="F681" s="78">
        <f t="shared" si="35"/>
        <v>14349.352999999999</v>
      </c>
      <c r="G681" s="78">
        <f t="shared" si="35"/>
        <v>15421.777141999999</v>
      </c>
      <c r="H681" s="78">
        <f t="shared" si="35"/>
        <v>15480.7616</v>
      </c>
      <c r="I681" s="78">
        <f t="shared" si="35"/>
        <v>15213.311</v>
      </c>
      <c r="J681" s="78">
        <f t="shared" si="35"/>
        <v>16720.760499999997</v>
      </c>
      <c r="K681" s="78">
        <f t="shared" si="35"/>
        <v>16861.887999999999</v>
      </c>
      <c r="L681" s="78">
        <f t="shared" si="35"/>
        <v>16262.689</v>
      </c>
      <c r="M681" s="890"/>
      <c r="N681" s="20"/>
      <c r="O681" s="20"/>
      <c r="P681" s="20"/>
      <c r="Q681" s="20"/>
      <c r="R681" s="20"/>
    </row>
    <row r="682" spans="1:18" s="103" customFormat="1" hidden="1" outlineLevel="1" x14ac:dyDescent="0.2">
      <c r="A682" s="22" t="s">
        <v>1227</v>
      </c>
      <c r="B682" s="2" t="str">
        <f t="shared" si="31"/>
        <v>GWh</v>
      </c>
      <c r="C682" s="2" t="s">
        <v>1236</v>
      </c>
      <c r="D682" s="716">
        <v>0</v>
      </c>
      <c r="E682" s="4" t="s">
        <v>22</v>
      </c>
      <c r="F682" s="78">
        <f t="shared" si="35"/>
        <v>5564.2624999999998</v>
      </c>
      <c r="G682" s="78">
        <f t="shared" si="35"/>
        <v>9306.2289999999994</v>
      </c>
      <c r="H682" s="78">
        <f t="shared" si="35"/>
        <v>8017.8244470000009</v>
      </c>
      <c r="I682" s="78">
        <f t="shared" si="35"/>
        <v>8023.9431627999993</v>
      </c>
      <c r="J682" s="78">
        <f t="shared" si="35"/>
        <v>10160.073891399999</v>
      </c>
      <c r="K682" s="78">
        <f t="shared" si="35"/>
        <v>9524.3183470000004</v>
      </c>
      <c r="L682" s="78">
        <f t="shared" si="35"/>
        <v>9726.2084993999997</v>
      </c>
      <c r="M682" s="890"/>
      <c r="N682" s="20"/>
      <c r="O682" s="20"/>
      <c r="P682" s="20"/>
      <c r="Q682" s="20"/>
      <c r="R682" s="20"/>
    </row>
    <row r="683" spans="1:18" s="103" customFormat="1" hidden="1" outlineLevel="1" x14ac:dyDescent="0.2">
      <c r="A683" s="22" t="s">
        <v>1227</v>
      </c>
      <c r="B683" s="2" t="str">
        <f t="shared" si="31"/>
        <v>GWh</v>
      </c>
      <c r="C683" s="2" t="s">
        <v>1236</v>
      </c>
      <c r="D683" s="903">
        <v>0</v>
      </c>
      <c r="E683" s="4" t="s">
        <v>23</v>
      </c>
      <c r="F683" s="78">
        <f t="shared" si="35"/>
        <v>113771</v>
      </c>
      <c r="G683" s="78">
        <f t="shared" si="35"/>
        <v>114960</v>
      </c>
      <c r="H683" s="78">
        <f t="shared" si="35"/>
        <v>120686</v>
      </c>
      <c r="I683" s="78">
        <f t="shared" si="35"/>
        <v>124841</v>
      </c>
      <c r="J683" s="78">
        <f t="shared" si="35"/>
        <v>116676</v>
      </c>
      <c r="K683" s="78">
        <f t="shared" si="35"/>
        <v>122842</v>
      </c>
      <c r="L683" s="78">
        <f t="shared" si="35"/>
        <v>127609</v>
      </c>
      <c r="M683" s="890"/>
      <c r="N683" s="20"/>
      <c r="O683" s="20"/>
      <c r="P683" s="20"/>
      <c r="Q683" s="20"/>
      <c r="R683" s="20"/>
    </row>
    <row r="684" spans="1:18" collapsed="1" x14ac:dyDescent="0.2">
      <c r="A684" s="909" t="s">
        <v>1229</v>
      </c>
      <c r="B684" s="910"/>
      <c r="C684" s="910"/>
      <c r="D684" s="911"/>
      <c r="E684" s="910"/>
      <c r="F684" s="912"/>
      <c r="G684" s="912"/>
      <c r="H684" s="912"/>
      <c r="I684" s="912"/>
      <c r="J684" s="912"/>
      <c r="K684" s="912"/>
      <c r="L684" s="912"/>
      <c r="M684" s="891"/>
    </row>
    <row r="685" spans="1:18" hidden="1" outlineLevel="1" x14ac:dyDescent="0.2">
      <c r="A685" s="22" t="s">
        <v>1229</v>
      </c>
      <c r="B685" s="2" t="s">
        <v>252</v>
      </c>
      <c r="C685" s="2" t="s">
        <v>1230</v>
      </c>
      <c r="D685" s="917">
        <f t="shared" si="28"/>
        <v>0</v>
      </c>
      <c r="E685" s="4" t="s">
        <v>4</v>
      </c>
      <c r="F685" s="47">
        <v>1</v>
      </c>
      <c r="G685" s="47">
        <v>1</v>
      </c>
      <c r="H685" s="47">
        <v>1</v>
      </c>
      <c r="I685" s="47">
        <v>1</v>
      </c>
      <c r="J685" s="47">
        <v>1</v>
      </c>
      <c r="K685" s="47">
        <v>1</v>
      </c>
      <c r="L685" s="47">
        <v>1</v>
      </c>
      <c r="M685" s="893"/>
    </row>
    <row r="686" spans="1:18" hidden="1" outlineLevel="1" x14ac:dyDescent="0.2">
      <c r="A686" s="22" t="s">
        <v>1229</v>
      </c>
      <c r="B686" s="2" t="s">
        <v>252</v>
      </c>
      <c r="C686" s="2" t="s">
        <v>1230</v>
      </c>
      <c r="D686" s="710">
        <f t="shared" si="28"/>
        <v>0</v>
      </c>
      <c r="E686" s="4" t="s">
        <v>5</v>
      </c>
      <c r="F686" s="47">
        <v>0</v>
      </c>
      <c r="G686" s="47">
        <v>0</v>
      </c>
      <c r="H686" s="47">
        <v>0</v>
      </c>
      <c r="I686" s="47">
        <v>0</v>
      </c>
      <c r="J686" s="47">
        <v>0</v>
      </c>
      <c r="K686" s="47">
        <v>0</v>
      </c>
      <c r="L686" s="47">
        <v>0</v>
      </c>
      <c r="M686" s="893"/>
    </row>
    <row r="687" spans="1:18" hidden="1" outlineLevel="1" x14ac:dyDescent="0.2">
      <c r="A687" s="22" t="s">
        <v>1229</v>
      </c>
      <c r="B687" s="2" t="s">
        <v>252</v>
      </c>
      <c r="C687" s="2" t="s">
        <v>1230</v>
      </c>
      <c r="D687" s="710">
        <f t="shared" si="28"/>
        <v>0</v>
      </c>
      <c r="E687" s="4" t="s">
        <v>6</v>
      </c>
      <c r="F687" s="47">
        <v>0</v>
      </c>
      <c r="G687" s="47">
        <v>0</v>
      </c>
      <c r="H687" s="47">
        <v>0</v>
      </c>
      <c r="I687" s="47">
        <v>0</v>
      </c>
      <c r="J687" s="47">
        <v>0</v>
      </c>
      <c r="K687" s="47">
        <v>0</v>
      </c>
      <c r="L687" s="47">
        <v>0</v>
      </c>
      <c r="M687" s="893"/>
    </row>
    <row r="688" spans="1:18" hidden="1" outlineLevel="1" x14ac:dyDescent="0.2">
      <c r="A688" s="22" t="s">
        <v>1229</v>
      </c>
      <c r="B688" s="2" t="s">
        <v>252</v>
      </c>
      <c r="C688" s="2" t="s">
        <v>1230</v>
      </c>
      <c r="D688" s="710">
        <f t="shared" si="28"/>
        <v>0</v>
      </c>
      <c r="E688" s="4" t="s">
        <v>143</v>
      </c>
      <c r="F688" s="47">
        <v>1</v>
      </c>
      <c r="G688" s="47">
        <v>1</v>
      </c>
      <c r="H688" s="47">
        <v>1</v>
      </c>
      <c r="I688" s="47">
        <v>1</v>
      </c>
      <c r="J688" s="47">
        <v>1</v>
      </c>
      <c r="K688" s="47"/>
      <c r="L688" s="47">
        <v>1</v>
      </c>
      <c r="M688" s="893"/>
    </row>
    <row r="689" spans="1:13" hidden="1" outlineLevel="1" x14ac:dyDescent="0.2">
      <c r="A689" s="22" t="s">
        <v>1229</v>
      </c>
      <c r="B689" s="2" t="s">
        <v>252</v>
      </c>
      <c r="C689" s="2" t="s">
        <v>1230</v>
      </c>
      <c r="D689" s="710">
        <f t="shared" si="28"/>
        <v>0</v>
      </c>
      <c r="E689" s="4" t="s">
        <v>7</v>
      </c>
      <c r="F689" s="47">
        <v>0</v>
      </c>
      <c r="G689" s="47">
        <v>0</v>
      </c>
      <c r="H689" s="47">
        <v>0</v>
      </c>
      <c r="I689" s="47">
        <v>0</v>
      </c>
      <c r="J689" s="47">
        <v>0</v>
      </c>
      <c r="K689" s="47">
        <v>0</v>
      </c>
      <c r="L689" s="47">
        <v>0</v>
      </c>
      <c r="M689" s="893"/>
    </row>
    <row r="690" spans="1:13" hidden="1" outlineLevel="1" x14ac:dyDescent="0.2">
      <c r="A690" s="22" t="s">
        <v>1229</v>
      </c>
      <c r="B690" s="2" t="s">
        <v>252</v>
      </c>
      <c r="C690" s="2" t="s">
        <v>1230</v>
      </c>
      <c r="D690" s="710">
        <f t="shared" si="28"/>
        <v>0</v>
      </c>
      <c r="E690" s="4" t="s">
        <v>31</v>
      </c>
      <c r="F690" s="47">
        <v>1</v>
      </c>
      <c r="G690" s="47">
        <v>1</v>
      </c>
      <c r="H690" s="47">
        <v>1</v>
      </c>
      <c r="I690" s="47">
        <v>1</v>
      </c>
      <c r="J690" s="47">
        <v>1</v>
      </c>
      <c r="K690" s="47">
        <v>1</v>
      </c>
      <c r="L690" s="47">
        <v>1</v>
      </c>
      <c r="M690" s="893"/>
    </row>
    <row r="691" spans="1:13" hidden="1" outlineLevel="1" x14ac:dyDescent="0.2">
      <c r="A691" s="22" t="s">
        <v>1229</v>
      </c>
      <c r="B691" s="2" t="s">
        <v>252</v>
      </c>
      <c r="C691" s="2" t="s">
        <v>1230</v>
      </c>
      <c r="D691" s="710">
        <f t="shared" si="28"/>
        <v>0</v>
      </c>
      <c r="E691" s="4" t="s">
        <v>8</v>
      </c>
      <c r="F691" s="47">
        <v>1</v>
      </c>
      <c r="G691" s="47">
        <v>1</v>
      </c>
      <c r="H691" s="47">
        <v>1</v>
      </c>
      <c r="I691" s="47">
        <v>1</v>
      </c>
      <c r="J691" s="47">
        <v>1</v>
      </c>
      <c r="K691" s="47">
        <v>1</v>
      </c>
      <c r="L691" s="47">
        <v>1</v>
      </c>
      <c r="M691" s="893"/>
    </row>
    <row r="692" spans="1:13" hidden="1" outlineLevel="1" x14ac:dyDescent="0.2">
      <c r="A692" s="22" t="s">
        <v>1229</v>
      </c>
      <c r="B692" s="2" t="s">
        <v>252</v>
      </c>
      <c r="C692" s="2" t="s">
        <v>1230</v>
      </c>
      <c r="D692" s="710">
        <f t="shared" si="28"/>
        <v>0</v>
      </c>
      <c r="E692" s="4" t="s">
        <v>9</v>
      </c>
      <c r="F692" s="47">
        <v>1</v>
      </c>
      <c r="G692" s="47">
        <v>1</v>
      </c>
      <c r="H692" s="47">
        <v>1</v>
      </c>
      <c r="I692" s="47">
        <v>1</v>
      </c>
      <c r="J692" s="47">
        <v>1</v>
      </c>
      <c r="K692" s="47">
        <v>1</v>
      </c>
      <c r="L692" s="47">
        <v>1</v>
      </c>
      <c r="M692" s="893"/>
    </row>
    <row r="693" spans="1:13" hidden="1" outlineLevel="1" x14ac:dyDescent="0.2">
      <c r="A693" s="22" t="s">
        <v>1229</v>
      </c>
      <c r="B693" s="2" t="s">
        <v>252</v>
      </c>
      <c r="C693" s="2" t="s">
        <v>1230</v>
      </c>
      <c r="D693" s="710">
        <f t="shared" si="28"/>
        <v>0</v>
      </c>
      <c r="E693" s="4" t="s">
        <v>10</v>
      </c>
      <c r="F693" s="47">
        <v>1</v>
      </c>
      <c r="G693" s="47">
        <v>1</v>
      </c>
      <c r="H693" s="47">
        <v>1</v>
      </c>
      <c r="I693" s="47">
        <v>1</v>
      </c>
      <c r="J693" s="47">
        <v>1</v>
      </c>
      <c r="K693" s="47">
        <v>1</v>
      </c>
      <c r="L693" s="47">
        <v>1</v>
      </c>
      <c r="M693" s="893"/>
    </row>
    <row r="694" spans="1:13" hidden="1" outlineLevel="1" x14ac:dyDescent="0.2">
      <c r="A694" s="22" t="s">
        <v>1229</v>
      </c>
      <c r="B694" s="2" t="s">
        <v>252</v>
      </c>
      <c r="C694" s="2" t="s">
        <v>1230</v>
      </c>
      <c r="D694" s="710">
        <f t="shared" si="28"/>
        <v>0</v>
      </c>
      <c r="E694" s="4" t="s">
        <v>11</v>
      </c>
      <c r="F694" s="47">
        <v>1</v>
      </c>
      <c r="G694" s="47">
        <v>1</v>
      </c>
      <c r="H694" s="47">
        <v>1</v>
      </c>
      <c r="I694" s="47">
        <v>1</v>
      </c>
      <c r="J694" s="47">
        <v>1</v>
      </c>
      <c r="K694" s="47">
        <v>1</v>
      </c>
      <c r="L694" s="47">
        <v>1</v>
      </c>
      <c r="M694" s="893"/>
    </row>
    <row r="695" spans="1:13" hidden="1" outlineLevel="1" x14ac:dyDescent="0.2">
      <c r="A695" s="22" t="s">
        <v>1229</v>
      </c>
      <c r="B695" s="2" t="s">
        <v>252</v>
      </c>
      <c r="C695" s="2" t="s">
        <v>1230</v>
      </c>
      <c r="D695" s="710">
        <f t="shared" si="28"/>
        <v>0</v>
      </c>
      <c r="E695" s="4" t="s">
        <v>12</v>
      </c>
      <c r="F695" s="47">
        <v>0</v>
      </c>
      <c r="G695" s="47">
        <v>0</v>
      </c>
      <c r="H695" s="47">
        <v>0</v>
      </c>
      <c r="I695" s="47">
        <v>0</v>
      </c>
      <c r="J695" s="47">
        <v>0</v>
      </c>
      <c r="K695" s="47">
        <v>0</v>
      </c>
      <c r="L695" s="47">
        <v>0</v>
      </c>
      <c r="M695" s="893"/>
    </row>
    <row r="696" spans="1:13" hidden="1" outlineLevel="1" x14ac:dyDescent="0.2">
      <c r="A696" s="22" t="s">
        <v>1229</v>
      </c>
      <c r="B696" s="2" t="s">
        <v>252</v>
      </c>
      <c r="C696" s="2" t="s">
        <v>1230</v>
      </c>
      <c r="D696" s="710">
        <f t="shared" si="28"/>
        <v>0</v>
      </c>
      <c r="E696" s="4" t="s">
        <v>1</v>
      </c>
      <c r="F696" s="47">
        <v>1</v>
      </c>
      <c r="G696" s="47">
        <v>1</v>
      </c>
      <c r="H696" s="47">
        <v>1</v>
      </c>
      <c r="I696" s="47">
        <v>1</v>
      </c>
      <c r="J696" s="47">
        <v>1</v>
      </c>
      <c r="K696" s="47">
        <v>1</v>
      </c>
      <c r="L696" s="47">
        <v>1</v>
      </c>
      <c r="M696" s="893"/>
    </row>
    <row r="697" spans="1:13" hidden="1" outlineLevel="1" x14ac:dyDescent="0.2">
      <c r="A697" s="22" t="s">
        <v>1229</v>
      </c>
      <c r="B697" s="2" t="s">
        <v>252</v>
      </c>
      <c r="C697" s="2" t="s">
        <v>1230</v>
      </c>
      <c r="D697" s="710">
        <f t="shared" si="28"/>
        <v>0</v>
      </c>
      <c r="E697" s="4" t="s">
        <v>13</v>
      </c>
      <c r="F697" s="47">
        <v>1</v>
      </c>
      <c r="G697" s="47">
        <v>1</v>
      </c>
      <c r="H697" s="47">
        <v>1</v>
      </c>
      <c r="I697" s="47">
        <v>1</v>
      </c>
      <c r="J697" s="47">
        <v>1</v>
      </c>
      <c r="K697" s="47">
        <v>1</v>
      </c>
      <c r="L697" s="47">
        <v>1</v>
      </c>
      <c r="M697" s="893"/>
    </row>
    <row r="698" spans="1:13" hidden="1" outlineLevel="1" x14ac:dyDescent="0.2">
      <c r="A698" s="22" t="s">
        <v>1229</v>
      </c>
      <c r="B698" s="2" t="s">
        <v>252</v>
      </c>
      <c r="C698" s="2" t="s">
        <v>1230</v>
      </c>
      <c r="D698" s="710">
        <f t="shared" si="28"/>
        <v>0</v>
      </c>
      <c r="E698" s="4" t="s">
        <v>14</v>
      </c>
      <c r="F698" s="47">
        <v>0</v>
      </c>
      <c r="G698" s="47">
        <v>0</v>
      </c>
      <c r="H698" s="47">
        <v>0</v>
      </c>
      <c r="I698" s="47">
        <v>0</v>
      </c>
      <c r="J698" s="47">
        <v>0</v>
      </c>
      <c r="K698" s="47">
        <v>0</v>
      </c>
      <c r="L698" s="47">
        <v>0</v>
      </c>
      <c r="M698" s="893"/>
    </row>
    <row r="699" spans="1:13" hidden="1" outlineLevel="1" x14ac:dyDescent="0.2">
      <c r="A699" s="22" t="s">
        <v>1229</v>
      </c>
      <c r="B699" s="2" t="s">
        <v>252</v>
      </c>
      <c r="C699" s="2" t="s">
        <v>1230</v>
      </c>
      <c r="D699" s="710">
        <f t="shared" si="28"/>
        <v>0</v>
      </c>
      <c r="E699" s="4" t="s">
        <v>15</v>
      </c>
      <c r="F699" s="47">
        <v>0</v>
      </c>
      <c r="G699" s="47">
        <v>0</v>
      </c>
      <c r="H699" s="47">
        <v>0</v>
      </c>
      <c r="I699" s="47">
        <v>0</v>
      </c>
      <c r="J699" s="47">
        <v>0</v>
      </c>
      <c r="K699" s="47">
        <v>0</v>
      </c>
      <c r="L699" s="47">
        <v>0</v>
      </c>
      <c r="M699" s="893"/>
    </row>
    <row r="700" spans="1:13" hidden="1" outlineLevel="1" x14ac:dyDescent="0.2">
      <c r="A700" s="22" t="s">
        <v>1229</v>
      </c>
      <c r="B700" s="2" t="s">
        <v>252</v>
      </c>
      <c r="C700" s="2" t="s">
        <v>1230</v>
      </c>
      <c r="D700" s="710">
        <f t="shared" si="28"/>
        <v>0</v>
      </c>
      <c r="E700" s="4" t="s">
        <v>16</v>
      </c>
      <c r="F700" s="47">
        <v>1</v>
      </c>
      <c r="G700" s="47">
        <v>1</v>
      </c>
      <c r="H700" s="47">
        <v>1</v>
      </c>
      <c r="I700" s="47">
        <v>1</v>
      </c>
      <c r="J700" s="47">
        <v>1</v>
      </c>
      <c r="K700" s="47">
        <v>1</v>
      </c>
      <c r="L700" s="47">
        <v>1</v>
      </c>
      <c r="M700" s="893"/>
    </row>
    <row r="701" spans="1:13" hidden="1" outlineLevel="1" x14ac:dyDescent="0.2">
      <c r="A701" s="22" t="s">
        <v>1229</v>
      </c>
      <c r="B701" s="2" t="s">
        <v>252</v>
      </c>
      <c r="C701" s="2" t="s">
        <v>1230</v>
      </c>
      <c r="D701" s="710">
        <f t="shared" si="28"/>
        <v>0</v>
      </c>
      <c r="E701" s="4" t="s">
        <v>17</v>
      </c>
      <c r="F701" s="47">
        <v>1</v>
      </c>
      <c r="G701" s="47">
        <v>1</v>
      </c>
      <c r="H701" s="47">
        <v>1</v>
      </c>
      <c r="I701" s="47">
        <v>1</v>
      </c>
      <c r="J701" s="47">
        <v>1</v>
      </c>
      <c r="K701" s="47">
        <v>1</v>
      </c>
      <c r="L701" s="47">
        <v>1</v>
      </c>
      <c r="M701" s="893"/>
    </row>
    <row r="702" spans="1:13" hidden="1" outlineLevel="1" x14ac:dyDescent="0.2">
      <c r="A702" s="22" t="s">
        <v>1229</v>
      </c>
      <c r="B702" s="2" t="s">
        <v>252</v>
      </c>
      <c r="C702" s="2" t="s">
        <v>1230</v>
      </c>
      <c r="D702" s="710">
        <f t="shared" si="28"/>
        <v>0</v>
      </c>
      <c r="E702" s="4" t="s">
        <v>18</v>
      </c>
      <c r="F702" s="47">
        <v>1</v>
      </c>
      <c r="G702" s="47">
        <v>1</v>
      </c>
      <c r="H702" s="47">
        <v>1</v>
      </c>
      <c r="I702" s="47">
        <v>1</v>
      </c>
      <c r="J702" s="47">
        <v>1</v>
      </c>
      <c r="K702" s="47">
        <v>1</v>
      </c>
      <c r="L702" s="47">
        <v>1</v>
      </c>
      <c r="M702" s="893"/>
    </row>
    <row r="703" spans="1:13" hidden="1" outlineLevel="1" x14ac:dyDescent="0.2">
      <c r="A703" s="22" t="s">
        <v>1229</v>
      </c>
      <c r="B703" s="2" t="s">
        <v>252</v>
      </c>
      <c r="C703" s="2" t="s">
        <v>1230</v>
      </c>
      <c r="D703" s="710">
        <f t="shared" si="28"/>
        <v>0</v>
      </c>
      <c r="E703" s="4" t="s">
        <v>2</v>
      </c>
      <c r="F703" s="47">
        <v>1</v>
      </c>
      <c r="G703" s="47">
        <v>1</v>
      </c>
      <c r="H703" s="47">
        <v>1</v>
      </c>
      <c r="I703" s="47">
        <v>1</v>
      </c>
      <c r="J703" s="47">
        <v>1</v>
      </c>
      <c r="K703" s="47">
        <v>1</v>
      </c>
      <c r="L703" s="47">
        <v>1</v>
      </c>
      <c r="M703" s="893"/>
    </row>
    <row r="704" spans="1:13" hidden="1" outlineLevel="1" x14ac:dyDescent="0.2">
      <c r="A704" s="22" t="s">
        <v>1229</v>
      </c>
      <c r="B704" s="2" t="s">
        <v>252</v>
      </c>
      <c r="C704" s="2" t="s">
        <v>1230</v>
      </c>
      <c r="D704" s="710">
        <f t="shared" si="28"/>
        <v>0</v>
      </c>
      <c r="E704" s="4" t="s">
        <v>19</v>
      </c>
      <c r="F704" s="47">
        <v>1</v>
      </c>
      <c r="G704" s="47">
        <v>1</v>
      </c>
      <c r="H704" s="47">
        <v>1</v>
      </c>
      <c r="I704" s="47">
        <v>1</v>
      </c>
      <c r="J704" s="47">
        <v>1</v>
      </c>
      <c r="K704" s="47">
        <v>1</v>
      </c>
      <c r="L704" s="47">
        <v>1</v>
      </c>
      <c r="M704" s="893"/>
    </row>
    <row r="705" spans="1:13" hidden="1" outlineLevel="1" x14ac:dyDescent="0.2">
      <c r="A705" s="22" t="s">
        <v>1229</v>
      </c>
      <c r="B705" s="2" t="s">
        <v>252</v>
      </c>
      <c r="C705" s="2" t="s">
        <v>1230</v>
      </c>
      <c r="D705" s="710">
        <f t="shared" ref="D705:D768" si="36">IF(C705="","",IF(OR(C705="Wind",C705="Solar",C705="Geothermal",C705="Small Hydro",C705="Biofuels",C705="Biomass &amp; Waste"), 1, 0))</f>
        <v>0</v>
      </c>
      <c r="E705" s="4" t="s">
        <v>3</v>
      </c>
      <c r="F705" s="47">
        <v>0</v>
      </c>
      <c r="G705" s="47">
        <v>0</v>
      </c>
      <c r="H705" s="47">
        <v>0</v>
      </c>
      <c r="I705" s="47">
        <v>0</v>
      </c>
      <c r="J705" s="47">
        <v>0</v>
      </c>
      <c r="K705" s="47">
        <v>1</v>
      </c>
      <c r="L705" s="47">
        <v>0</v>
      </c>
      <c r="M705" s="893"/>
    </row>
    <row r="706" spans="1:13" hidden="1" outlineLevel="1" x14ac:dyDescent="0.2">
      <c r="A706" s="22" t="s">
        <v>1229</v>
      </c>
      <c r="B706" s="2" t="s">
        <v>252</v>
      </c>
      <c r="C706" s="2" t="s">
        <v>1230</v>
      </c>
      <c r="D706" s="710">
        <f t="shared" si="36"/>
        <v>0</v>
      </c>
      <c r="E706" s="4" t="s">
        <v>20</v>
      </c>
      <c r="F706" s="47">
        <v>1</v>
      </c>
      <c r="G706" s="47">
        <v>1</v>
      </c>
      <c r="H706" s="47">
        <v>1</v>
      </c>
      <c r="I706" s="47">
        <v>1</v>
      </c>
      <c r="J706" s="47">
        <v>1</v>
      </c>
      <c r="K706" s="47">
        <v>1</v>
      </c>
      <c r="L706" s="47">
        <v>1</v>
      </c>
      <c r="M706" s="893"/>
    </row>
    <row r="707" spans="1:13" hidden="1" outlineLevel="1" x14ac:dyDescent="0.2">
      <c r="A707" s="22" t="s">
        <v>1229</v>
      </c>
      <c r="B707" s="2" t="s">
        <v>252</v>
      </c>
      <c r="C707" s="2" t="s">
        <v>1230</v>
      </c>
      <c r="D707" s="710">
        <f t="shared" si="36"/>
        <v>0</v>
      </c>
      <c r="E707" s="4" t="s">
        <v>21</v>
      </c>
      <c r="F707" s="47">
        <v>0</v>
      </c>
      <c r="G707" s="47">
        <v>0</v>
      </c>
      <c r="H707" s="47">
        <v>0</v>
      </c>
      <c r="I707" s="47">
        <v>0</v>
      </c>
      <c r="J707" s="47">
        <v>0</v>
      </c>
      <c r="K707" s="47">
        <v>0</v>
      </c>
      <c r="L707" s="47">
        <v>0</v>
      </c>
      <c r="M707" s="893"/>
    </row>
    <row r="708" spans="1:13" hidden="1" outlineLevel="1" x14ac:dyDescent="0.2">
      <c r="A708" s="22" t="s">
        <v>1229</v>
      </c>
      <c r="B708" s="2" t="s">
        <v>252</v>
      </c>
      <c r="C708" s="2" t="s">
        <v>1230</v>
      </c>
      <c r="D708" s="710">
        <f t="shared" si="36"/>
        <v>0</v>
      </c>
      <c r="E708" s="4" t="s">
        <v>1096</v>
      </c>
      <c r="F708" s="47">
        <v>1</v>
      </c>
      <c r="G708" s="47">
        <v>1</v>
      </c>
      <c r="H708" s="47">
        <v>1</v>
      </c>
      <c r="I708" s="47">
        <v>1</v>
      </c>
      <c r="J708" s="47">
        <v>1</v>
      </c>
      <c r="K708" s="47">
        <v>1</v>
      </c>
      <c r="L708" s="47">
        <v>1</v>
      </c>
      <c r="M708" s="893"/>
    </row>
    <row r="709" spans="1:13" hidden="1" outlineLevel="1" x14ac:dyDescent="0.2">
      <c r="A709" s="22" t="s">
        <v>1229</v>
      </c>
      <c r="B709" s="2" t="s">
        <v>252</v>
      </c>
      <c r="C709" s="2" t="s">
        <v>1230</v>
      </c>
      <c r="D709" s="710">
        <f t="shared" si="36"/>
        <v>0</v>
      </c>
      <c r="E709" s="4" t="s">
        <v>22</v>
      </c>
      <c r="F709" s="47">
        <v>1</v>
      </c>
      <c r="G709" s="47">
        <v>1</v>
      </c>
      <c r="H709" s="47">
        <v>1</v>
      </c>
      <c r="I709" s="47">
        <v>1</v>
      </c>
      <c r="J709" s="47">
        <v>1</v>
      </c>
      <c r="K709" s="47">
        <v>1</v>
      </c>
      <c r="L709" s="47">
        <v>1</v>
      </c>
      <c r="M709" s="893"/>
    </row>
    <row r="710" spans="1:13" hidden="1" outlineLevel="1" x14ac:dyDescent="0.2">
      <c r="A710" s="91" t="s">
        <v>1229</v>
      </c>
      <c r="B710" s="3" t="s">
        <v>252</v>
      </c>
      <c r="C710" s="3" t="s">
        <v>1230</v>
      </c>
      <c r="D710" s="711">
        <f t="shared" si="36"/>
        <v>0</v>
      </c>
      <c r="E710" s="469" t="s">
        <v>23</v>
      </c>
      <c r="F710" s="48">
        <v>1</v>
      </c>
      <c r="G710" s="48">
        <v>1</v>
      </c>
      <c r="H710" s="48">
        <v>1</v>
      </c>
      <c r="I710" s="48">
        <v>1</v>
      </c>
      <c r="J710" s="48">
        <v>1</v>
      </c>
      <c r="K710" s="363">
        <v>1</v>
      </c>
      <c r="L710" s="363">
        <v>1</v>
      </c>
      <c r="M710" s="920"/>
    </row>
    <row r="711" spans="1:13" hidden="1" outlineLevel="1" x14ac:dyDescent="0.2">
      <c r="A711" s="92" t="s">
        <v>1229</v>
      </c>
      <c r="B711" s="81" t="s">
        <v>252</v>
      </c>
      <c r="C711" s="81" t="s">
        <v>1231</v>
      </c>
      <c r="D711" s="709">
        <f t="shared" si="36"/>
        <v>0</v>
      </c>
      <c r="E711" s="468" t="s">
        <v>4</v>
      </c>
      <c r="F711" s="380">
        <v>1</v>
      </c>
      <c r="G711" s="89">
        <v>1</v>
      </c>
      <c r="H711" s="89">
        <v>1</v>
      </c>
      <c r="I711" s="89">
        <v>1</v>
      </c>
      <c r="J711" s="89">
        <v>1</v>
      </c>
      <c r="K711" s="380">
        <v>0</v>
      </c>
      <c r="L711" s="380">
        <v>1</v>
      </c>
      <c r="M711" s="892"/>
    </row>
    <row r="712" spans="1:13" hidden="1" outlineLevel="1" x14ac:dyDescent="0.2">
      <c r="A712" s="22" t="s">
        <v>1229</v>
      </c>
      <c r="B712" s="2" t="s">
        <v>252</v>
      </c>
      <c r="C712" s="2" t="s">
        <v>1231</v>
      </c>
      <c r="D712" s="710">
        <f t="shared" si="36"/>
        <v>0</v>
      </c>
      <c r="E712" s="4" t="s">
        <v>5</v>
      </c>
      <c r="F712" s="47">
        <v>0</v>
      </c>
      <c r="G712" s="47">
        <v>0</v>
      </c>
      <c r="H712" s="47">
        <v>0</v>
      </c>
      <c r="I712" s="47">
        <v>0</v>
      </c>
      <c r="J712" s="47">
        <v>0</v>
      </c>
      <c r="K712" s="47">
        <v>0</v>
      </c>
      <c r="L712" s="47">
        <v>0</v>
      </c>
      <c r="M712" s="893"/>
    </row>
    <row r="713" spans="1:13" hidden="1" outlineLevel="1" x14ac:dyDescent="0.2">
      <c r="A713" s="22" t="s">
        <v>1229</v>
      </c>
      <c r="B713" s="2" t="s">
        <v>252</v>
      </c>
      <c r="C713" s="2" t="s">
        <v>1231</v>
      </c>
      <c r="D713" s="710">
        <f t="shared" si="36"/>
        <v>0</v>
      </c>
      <c r="E713" s="4" t="s">
        <v>6</v>
      </c>
      <c r="F713" s="47">
        <v>0</v>
      </c>
      <c r="G713" s="47">
        <v>0</v>
      </c>
      <c r="H713" s="47">
        <v>0</v>
      </c>
      <c r="I713" s="47">
        <v>0</v>
      </c>
      <c r="J713" s="47">
        <v>0</v>
      </c>
      <c r="K713" s="47">
        <v>0</v>
      </c>
      <c r="L713" s="47">
        <v>0</v>
      </c>
      <c r="M713" s="893"/>
    </row>
    <row r="714" spans="1:13" hidden="1" outlineLevel="1" x14ac:dyDescent="0.2">
      <c r="A714" s="22" t="s">
        <v>1229</v>
      </c>
      <c r="B714" s="2" t="s">
        <v>252</v>
      </c>
      <c r="C714" s="2" t="s">
        <v>1231</v>
      </c>
      <c r="D714" s="710">
        <f t="shared" si="36"/>
        <v>0</v>
      </c>
      <c r="E714" s="4" t="s">
        <v>143</v>
      </c>
      <c r="F714" s="47">
        <v>0</v>
      </c>
      <c r="G714" s="47">
        <v>0</v>
      </c>
      <c r="H714" s="47">
        <v>0</v>
      </c>
      <c r="I714" s="47">
        <v>0</v>
      </c>
      <c r="J714" s="47">
        <v>0</v>
      </c>
      <c r="K714" s="47"/>
      <c r="L714" s="47">
        <v>0</v>
      </c>
      <c r="M714" s="893"/>
    </row>
    <row r="715" spans="1:13" hidden="1" outlineLevel="1" x14ac:dyDescent="0.2">
      <c r="A715" s="22" t="s">
        <v>1229</v>
      </c>
      <c r="B715" s="2" t="s">
        <v>252</v>
      </c>
      <c r="C715" s="2" t="s">
        <v>1231</v>
      </c>
      <c r="D715" s="710">
        <f t="shared" si="36"/>
        <v>0</v>
      </c>
      <c r="E715" s="4" t="s">
        <v>7</v>
      </c>
      <c r="F715" s="47">
        <v>0</v>
      </c>
      <c r="G715" s="47">
        <v>0</v>
      </c>
      <c r="H715" s="47">
        <v>0</v>
      </c>
      <c r="I715" s="47">
        <v>0</v>
      </c>
      <c r="J715" s="47">
        <v>0</v>
      </c>
      <c r="K715" s="47">
        <v>0</v>
      </c>
      <c r="L715" s="47">
        <v>0</v>
      </c>
      <c r="M715" s="893"/>
    </row>
    <row r="716" spans="1:13" hidden="1" outlineLevel="1" x14ac:dyDescent="0.2">
      <c r="A716" s="22" t="s">
        <v>1229</v>
      </c>
      <c r="B716" s="2" t="s">
        <v>252</v>
      </c>
      <c r="C716" s="2" t="s">
        <v>1231</v>
      </c>
      <c r="D716" s="710">
        <f t="shared" si="36"/>
        <v>0</v>
      </c>
      <c r="E716" s="4" t="s">
        <v>31</v>
      </c>
      <c r="F716" s="47">
        <v>1</v>
      </c>
      <c r="G716" s="47">
        <v>1</v>
      </c>
      <c r="H716" s="47">
        <v>1</v>
      </c>
      <c r="I716" s="47">
        <v>1</v>
      </c>
      <c r="J716" s="47">
        <v>1</v>
      </c>
      <c r="K716" s="47">
        <v>1</v>
      </c>
      <c r="L716" s="47">
        <v>1</v>
      </c>
      <c r="M716" s="893"/>
    </row>
    <row r="717" spans="1:13" hidden="1" outlineLevel="1" x14ac:dyDescent="0.2">
      <c r="A717" s="22" t="s">
        <v>1229</v>
      </c>
      <c r="B717" s="2" t="s">
        <v>252</v>
      </c>
      <c r="C717" s="2" t="s">
        <v>1231</v>
      </c>
      <c r="D717" s="710">
        <f t="shared" si="36"/>
        <v>0</v>
      </c>
      <c r="E717" s="4" t="s">
        <v>8</v>
      </c>
      <c r="F717" s="47">
        <v>1</v>
      </c>
      <c r="G717" s="47">
        <v>1</v>
      </c>
      <c r="H717" s="47">
        <v>1</v>
      </c>
      <c r="I717" s="47">
        <v>1</v>
      </c>
      <c r="J717" s="47">
        <v>1</v>
      </c>
      <c r="K717" s="47">
        <v>1</v>
      </c>
      <c r="L717" s="47">
        <v>1</v>
      </c>
      <c r="M717" s="893"/>
    </row>
    <row r="718" spans="1:13" hidden="1" outlineLevel="1" x14ac:dyDescent="0.2">
      <c r="A718" s="22" t="s">
        <v>1229</v>
      </c>
      <c r="B718" s="2" t="s">
        <v>252</v>
      </c>
      <c r="C718" s="2" t="s">
        <v>1231</v>
      </c>
      <c r="D718" s="710">
        <f t="shared" si="36"/>
        <v>0</v>
      </c>
      <c r="E718" s="4" t="s">
        <v>9</v>
      </c>
      <c r="F718" s="47">
        <v>0</v>
      </c>
      <c r="G718" s="47">
        <v>0</v>
      </c>
      <c r="H718" s="47">
        <v>0</v>
      </c>
      <c r="I718" s="47">
        <v>0</v>
      </c>
      <c r="J718" s="47">
        <v>0</v>
      </c>
      <c r="K718" s="47">
        <v>0</v>
      </c>
      <c r="L718" s="47">
        <v>0</v>
      </c>
      <c r="M718" s="893"/>
    </row>
    <row r="719" spans="1:13" hidden="1" outlineLevel="1" x14ac:dyDescent="0.2">
      <c r="A719" s="22" t="s">
        <v>1229</v>
      </c>
      <c r="B719" s="2" t="s">
        <v>252</v>
      </c>
      <c r="C719" s="2" t="s">
        <v>1231</v>
      </c>
      <c r="D719" s="710">
        <f t="shared" si="36"/>
        <v>0</v>
      </c>
      <c r="E719" s="4" t="s">
        <v>10</v>
      </c>
      <c r="F719" s="47">
        <v>0</v>
      </c>
      <c r="G719" s="47">
        <v>0</v>
      </c>
      <c r="H719" s="47">
        <v>0</v>
      </c>
      <c r="I719" s="47">
        <v>0</v>
      </c>
      <c r="J719" s="47">
        <v>0</v>
      </c>
      <c r="K719" s="47">
        <v>1</v>
      </c>
      <c r="L719" s="47">
        <v>0</v>
      </c>
      <c r="M719" s="893"/>
    </row>
    <row r="720" spans="1:13" hidden="1" outlineLevel="1" x14ac:dyDescent="0.2">
      <c r="A720" s="22" t="s">
        <v>1229</v>
      </c>
      <c r="B720" s="2" t="s">
        <v>252</v>
      </c>
      <c r="C720" s="2" t="s">
        <v>1231</v>
      </c>
      <c r="D720" s="710">
        <f t="shared" si="36"/>
        <v>0</v>
      </c>
      <c r="E720" s="4" t="s">
        <v>11</v>
      </c>
      <c r="F720" s="47">
        <v>0</v>
      </c>
      <c r="G720" s="47">
        <v>0</v>
      </c>
      <c r="H720" s="47">
        <v>0</v>
      </c>
      <c r="I720" s="47">
        <v>0</v>
      </c>
      <c r="J720" s="47">
        <v>0</v>
      </c>
      <c r="K720" s="47">
        <v>0</v>
      </c>
      <c r="L720" s="47">
        <v>0</v>
      </c>
      <c r="M720" s="893"/>
    </row>
    <row r="721" spans="1:13" hidden="1" outlineLevel="1" x14ac:dyDescent="0.2">
      <c r="A721" s="22" t="s">
        <v>1229</v>
      </c>
      <c r="B721" s="2" t="s">
        <v>252</v>
      </c>
      <c r="C721" s="2" t="s">
        <v>1231</v>
      </c>
      <c r="D721" s="710">
        <f t="shared" si="36"/>
        <v>0</v>
      </c>
      <c r="E721" s="4" t="s">
        <v>12</v>
      </c>
      <c r="F721" s="47">
        <v>0</v>
      </c>
      <c r="G721" s="47">
        <v>0</v>
      </c>
      <c r="H721" s="47">
        <v>0</v>
      </c>
      <c r="I721" s="47">
        <v>0</v>
      </c>
      <c r="J721" s="47">
        <v>0</v>
      </c>
      <c r="K721" s="47">
        <v>0</v>
      </c>
      <c r="L721" s="47">
        <v>0</v>
      </c>
      <c r="M721" s="893"/>
    </row>
    <row r="722" spans="1:13" hidden="1" outlineLevel="1" x14ac:dyDescent="0.2">
      <c r="A722" s="22" t="s">
        <v>1229</v>
      </c>
      <c r="B722" s="2" t="s">
        <v>252</v>
      </c>
      <c r="C722" s="2" t="s">
        <v>1231</v>
      </c>
      <c r="D722" s="710">
        <f t="shared" si="36"/>
        <v>0</v>
      </c>
      <c r="E722" s="4" t="s">
        <v>1</v>
      </c>
      <c r="F722" s="47">
        <v>0</v>
      </c>
      <c r="G722" s="47">
        <v>0</v>
      </c>
      <c r="H722" s="47">
        <v>0</v>
      </c>
      <c r="I722" s="47">
        <v>0</v>
      </c>
      <c r="J722" s="47">
        <v>0</v>
      </c>
      <c r="K722" s="47">
        <v>0</v>
      </c>
      <c r="L722" s="47">
        <v>0</v>
      </c>
      <c r="M722" s="893"/>
    </row>
    <row r="723" spans="1:13" hidden="1" outlineLevel="1" x14ac:dyDescent="0.2">
      <c r="A723" s="22" t="s">
        <v>1229</v>
      </c>
      <c r="B723" s="2" t="s">
        <v>252</v>
      </c>
      <c r="C723" s="2" t="s">
        <v>1231</v>
      </c>
      <c r="D723" s="710">
        <f t="shared" si="36"/>
        <v>0</v>
      </c>
      <c r="E723" s="4" t="s">
        <v>13</v>
      </c>
      <c r="F723" s="47">
        <v>0</v>
      </c>
      <c r="G723" s="47">
        <v>0</v>
      </c>
      <c r="H723" s="47">
        <v>0</v>
      </c>
      <c r="I723" s="47">
        <v>0</v>
      </c>
      <c r="J723" s="47">
        <v>0</v>
      </c>
      <c r="K723" s="47">
        <v>0</v>
      </c>
      <c r="L723" s="47">
        <v>0</v>
      </c>
      <c r="M723" s="893"/>
    </row>
    <row r="724" spans="1:13" hidden="1" outlineLevel="1" x14ac:dyDescent="0.2">
      <c r="A724" s="22" t="s">
        <v>1229</v>
      </c>
      <c r="B724" s="2" t="s">
        <v>252</v>
      </c>
      <c r="C724" s="2" t="s">
        <v>1231</v>
      </c>
      <c r="D724" s="710">
        <f t="shared" si="36"/>
        <v>0</v>
      </c>
      <c r="E724" s="4" t="s">
        <v>14</v>
      </c>
      <c r="F724" s="47">
        <v>0</v>
      </c>
      <c r="G724" s="47">
        <v>0</v>
      </c>
      <c r="H724" s="47">
        <v>0</v>
      </c>
      <c r="I724" s="47">
        <v>0</v>
      </c>
      <c r="J724" s="47">
        <v>0</v>
      </c>
      <c r="K724" s="47">
        <v>0</v>
      </c>
      <c r="L724" s="47">
        <v>0</v>
      </c>
      <c r="M724" s="893"/>
    </row>
    <row r="725" spans="1:13" hidden="1" outlineLevel="1" x14ac:dyDescent="0.2">
      <c r="A725" s="22" t="s">
        <v>1229</v>
      </c>
      <c r="B725" s="2" t="s">
        <v>252</v>
      </c>
      <c r="C725" s="2" t="s">
        <v>1231</v>
      </c>
      <c r="D725" s="710">
        <f t="shared" si="36"/>
        <v>0</v>
      </c>
      <c r="E725" s="4" t="s">
        <v>15</v>
      </c>
      <c r="F725" s="47">
        <v>0</v>
      </c>
      <c r="G725" s="47">
        <v>0</v>
      </c>
      <c r="H725" s="47">
        <v>0</v>
      </c>
      <c r="I725" s="47">
        <v>0</v>
      </c>
      <c r="J725" s="47">
        <v>0</v>
      </c>
      <c r="K725" s="47">
        <v>0</v>
      </c>
      <c r="L725" s="47">
        <v>0</v>
      </c>
      <c r="M725" s="893"/>
    </row>
    <row r="726" spans="1:13" hidden="1" outlineLevel="1" x14ac:dyDescent="0.2">
      <c r="A726" s="22" t="s">
        <v>1229</v>
      </c>
      <c r="B726" s="2" t="s">
        <v>252</v>
      </c>
      <c r="C726" s="2" t="s">
        <v>1231</v>
      </c>
      <c r="D726" s="710">
        <f t="shared" si="36"/>
        <v>0</v>
      </c>
      <c r="E726" s="4" t="s">
        <v>16</v>
      </c>
      <c r="F726" s="47">
        <v>0</v>
      </c>
      <c r="G726" s="47">
        <v>0</v>
      </c>
      <c r="H726" s="47">
        <v>0</v>
      </c>
      <c r="I726" s="47">
        <v>0</v>
      </c>
      <c r="J726" s="47">
        <v>0</v>
      </c>
      <c r="K726" s="47">
        <v>0</v>
      </c>
      <c r="L726" s="47">
        <v>0</v>
      </c>
      <c r="M726" s="893"/>
    </row>
    <row r="727" spans="1:13" hidden="1" outlineLevel="1" x14ac:dyDescent="0.2">
      <c r="A727" s="22" t="s">
        <v>1229</v>
      </c>
      <c r="B727" s="2" t="s">
        <v>252</v>
      </c>
      <c r="C727" s="2" t="s">
        <v>1231</v>
      </c>
      <c r="D727" s="710">
        <f t="shared" si="36"/>
        <v>0</v>
      </c>
      <c r="E727" s="4" t="s">
        <v>17</v>
      </c>
      <c r="F727" s="47">
        <v>0</v>
      </c>
      <c r="G727" s="47">
        <v>0</v>
      </c>
      <c r="H727" s="47">
        <v>0</v>
      </c>
      <c r="I727" s="47">
        <v>0</v>
      </c>
      <c r="J727" s="47">
        <v>0</v>
      </c>
      <c r="K727" s="47">
        <v>0</v>
      </c>
      <c r="L727" s="47">
        <v>0</v>
      </c>
      <c r="M727" s="893"/>
    </row>
    <row r="728" spans="1:13" hidden="1" outlineLevel="1" x14ac:dyDescent="0.2">
      <c r="A728" s="22" t="s">
        <v>1229</v>
      </c>
      <c r="B728" s="2" t="s">
        <v>252</v>
      </c>
      <c r="C728" s="2" t="s">
        <v>1231</v>
      </c>
      <c r="D728" s="710">
        <f t="shared" si="36"/>
        <v>0</v>
      </c>
      <c r="E728" s="4" t="s">
        <v>18</v>
      </c>
      <c r="F728" s="47">
        <v>0</v>
      </c>
      <c r="G728" s="47">
        <v>0</v>
      </c>
      <c r="H728" s="47">
        <v>0</v>
      </c>
      <c r="I728" s="47">
        <v>0</v>
      </c>
      <c r="J728" s="47">
        <v>0</v>
      </c>
      <c r="K728" s="47">
        <v>0</v>
      </c>
      <c r="L728" s="47">
        <v>0</v>
      </c>
      <c r="M728" s="893"/>
    </row>
    <row r="729" spans="1:13" hidden="1" outlineLevel="1" x14ac:dyDescent="0.2">
      <c r="A729" s="22" t="s">
        <v>1229</v>
      </c>
      <c r="B729" s="2" t="s">
        <v>252</v>
      </c>
      <c r="C729" s="2" t="s">
        <v>1231</v>
      </c>
      <c r="D729" s="710">
        <f t="shared" si="36"/>
        <v>0</v>
      </c>
      <c r="E729" s="4" t="s">
        <v>2</v>
      </c>
      <c r="F729" s="47">
        <v>0</v>
      </c>
      <c r="G729" s="47">
        <v>0</v>
      </c>
      <c r="H729" s="47">
        <v>0</v>
      </c>
      <c r="I729" s="47">
        <v>0</v>
      </c>
      <c r="J729" s="47">
        <v>0</v>
      </c>
      <c r="K729" s="47">
        <v>0</v>
      </c>
      <c r="L729" s="47">
        <v>0</v>
      </c>
      <c r="M729" s="893"/>
    </row>
    <row r="730" spans="1:13" hidden="1" outlineLevel="1" x14ac:dyDescent="0.2">
      <c r="A730" s="22" t="s">
        <v>1229</v>
      </c>
      <c r="B730" s="2" t="s">
        <v>252</v>
      </c>
      <c r="C730" s="2" t="s">
        <v>1231</v>
      </c>
      <c r="D730" s="710">
        <f t="shared" si="36"/>
        <v>0</v>
      </c>
      <c r="E730" s="4" t="s">
        <v>19</v>
      </c>
      <c r="F730" s="47">
        <v>1</v>
      </c>
      <c r="G730" s="47">
        <v>1</v>
      </c>
      <c r="H730" s="47">
        <v>1</v>
      </c>
      <c r="I730" s="47">
        <v>1</v>
      </c>
      <c r="J730" s="47">
        <v>1</v>
      </c>
      <c r="K730" s="47">
        <v>1</v>
      </c>
      <c r="L730" s="47">
        <v>1</v>
      </c>
      <c r="M730" s="893"/>
    </row>
    <row r="731" spans="1:13" hidden="1" outlineLevel="1" x14ac:dyDescent="0.2">
      <c r="A731" s="22" t="s">
        <v>1229</v>
      </c>
      <c r="B731" s="2" t="s">
        <v>252</v>
      </c>
      <c r="C731" s="2" t="s">
        <v>1231</v>
      </c>
      <c r="D731" s="710">
        <f t="shared" si="36"/>
        <v>0</v>
      </c>
      <c r="E731" s="4" t="s">
        <v>3</v>
      </c>
      <c r="F731" s="47">
        <v>0</v>
      </c>
      <c r="G731" s="47">
        <v>0</v>
      </c>
      <c r="H731" s="47">
        <v>0</v>
      </c>
      <c r="I731" s="47">
        <v>0</v>
      </c>
      <c r="J731" s="47">
        <v>0</v>
      </c>
      <c r="K731" s="47">
        <v>0</v>
      </c>
      <c r="L731" s="47">
        <v>0</v>
      </c>
      <c r="M731" s="893"/>
    </row>
    <row r="732" spans="1:13" hidden="1" outlineLevel="1" x14ac:dyDescent="0.2">
      <c r="A732" s="22" t="s">
        <v>1229</v>
      </c>
      <c r="B732" s="2" t="s">
        <v>252</v>
      </c>
      <c r="C732" s="2" t="s">
        <v>1231</v>
      </c>
      <c r="D732" s="710">
        <f t="shared" si="36"/>
        <v>0</v>
      </c>
      <c r="E732" s="4" t="s">
        <v>20</v>
      </c>
      <c r="F732" s="47">
        <v>0</v>
      </c>
      <c r="G732" s="47">
        <v>0</v>
      </c>
      <c r="H732" s="47">
        <v>0</v>
      </c>
      <c r="I732" s="47">
        <v>0</v>
      </c>
      <c r="J732" s="47">
        <v>0</v>
      </c>
      <c r="K732" s="47">
        <v>0</v>
      </c>
      <c r="L732" s="47">
        <v>0</v>
      </c>
      <c r="M732" s="893"/>
    </row>
    <row r="733" spans="1:13" hidden="1" outlineLevel="1" x14ac:dyDescent="0.2">
      <c r="A733" s="22" t="s">
        <v>1229</v>
      </c>
      <c r="B733" s="2" t="s">
        <v>252</v>
      </c>
      <c r="C733" s="2" t="s">
        <v>1231</v>
      </c>
      <c r="D733" s="710">
        <f t="shared" si="36"/>
        <v>0</v>
      </c>
      <c r="E733" s="4" t="s">
        <v>21</v>
      </c>
      <c r="F733" s="47">
        <v>0</v>
      </c>
      <c r="G733" s="47">
        <v>0</v>
      </c>
      <c r="H733" s="47">
        <v>0</v>
      </c>
      <c r="I733" s="47">
        <v>0</v>
      </c>
      <c r="J733" s="47">
        <v>0</v>
      </c>
      <c r="K733" s="47">
        <v>0</v>
      </c>
      <c r="L733" s="47">
        <v>0</v>
      </c>
      <c r="M733" s="893"/>
    </row>
    <row r="734" spans="1:13" hidden="1" outlineLevel="1" x14ac:dyDescent="0.2">
      <c r="A734" s="22" t="s">
        <v>1229</v>
      </c>
      <c r="B734" s="2" t="s">
        <v>252</v>
      </c>
      <c r="C734" s="2" t="s">
        <v>1231</v>
      </c>
      <c r="D734" s="710">
        <f t="shared" si="36"/>
        <v>0</v>
      </c>
      <c r="E734" s="4" t="s">
        <v>1096</v>
      </c>
      <c r="F734" s="47">
        <v>0</v>
      </c>
      <c r="G734" s="47">
        <v>0</v>
      </c>
      <c r="H734" s="47">
        <v>0</v>
      </c>
      <c r="I734" s="47">
        <v>0</v>
      </c>
      <c r="J734" s="47">
        <v>0</v>
      </c>
      <c r="K734" s="47">
        <v>0</v>
      </c>
      <c r="L734" s="47">
        <v>0</v>
      </c>
      <c r="M734" s="893"/>
    </row>
    <row r="735" spans="1:13" hidden="1" outlineLevel="1" x14ac:dyDescent="0.2">
      <c r="A735" s="22" t="s">
        <v>1229</v>
      </c>
      <c r="B735" s="2" t="s">
        <v>252</v>
      </c>
      <c r="C735" s="2" t="s">
        <v>1231</v>
      </c>
      <c r="D735" s="710">
        <f t="shared" si="36"/>
        <v>0</v>
      </c>
      <c r="E735" s="4" t="s">
        <v>22</v>
      </c>
      <c r="F735" s="47">
        <v>0</v>
      </c>
      <c r="G735" s="47">
        <v>0</v>
      </c>
      <c r="H735" s="47">
        <v>0</v>
      </c>
      <c r="I735" s="47">
        <v>0</v>
      </c>
      <c r="J735" s="47">
        <v>0</v>
      </c>
      <c r="K735" s="47">
        <v>1</v>
      </c>
      <c r="L735" s="47">
        <v>0</v>
      </c>
      <c r="M735" s="893"/>
    </row>
    <row r="736" spans="1:13" hidden="1" outlineLevel="1" x14ac:dyDescent="0.2">
      <c r="A736" s="91" t="s">
        <v>1229</v>
      </c>
      <c r="B736" s="3" t="s">
        <v>252</v>
      </c>
      <c r="C736" s="3" t="s">
        <v>1231</v>
      </c>
      <c r="D736" s="711">
        <f t="shared" si="36"/>
        <v>0</v>
      </c>
      <c r="E736" s="469" t="s">
        <v>23</v>
      </c>
      <c r="F736" s="48">
        <v>0</v>
      </c>
      <c r="G736" s="48">
        <v>0</v>
      </c>
      <c r="H736" s="48">
        <v>0</v>
      </c>
      <c r="I736" s="48">
        <v>0</v>
      </c>
      <c r="J736" s="48">
        <v>0</v>
      </c>
      <c r="K736" s="363">
        <v>0</v>
      </c>
      <c r="L736" s="363">
        <v>0</v>
      </c>
      <c r="M736" s="920"/>
    </row>
    <row r="737" spans="1:13" hidden="1" outlineLevel="1" x14ac:dyDescent="0.2">
      <c r="A737" s="92" t="s">
        <v>1229</v>
      </c>
      <c r="B737" s="81" t="s">
        <v>252</v>
      </c>
      <c r="C737" s="81" t="s">
        <v>1555</v>
      </c>
      <c r="D737" s="709">
        <f t="shared" si="36"/>
        <v>0</v>
      </c>
      <c r="E737" s="468" t="s">
        <v>4</v>
      </c>
      <c r="F737" s="380">
        <v>0</v>
      </c>
      <c r="G737" s="89">
        <v>0</v>
      </c>
      <c r="H737" s="89">
        <v>0</v>
      </c>
      <c r="I737" s="89">
        <v>0</v>
      </c>
      <c r="J737" s="89">
        <v>0</v>
      </c>
      <c r="K737" s="380">
        <v>0</v>
      </c>
      <c r="L737" s="380">
        <v>0</v>
      </c>
      <c r="M737" s="892"/>
    </row>
    <row r="738" spans="1:13" hidden="1" outlineLevel="1" x14ac:dyDescent="0.2">
      <c r="A738" s="22" t="s">
        <v>1229</v>
      </c>
      <c r="B738" s="2" t="s">
        <v>252</v>
      </c>
      <c r="C738" s="2" t="s">
        <v>1555</v>
      </c>
      <c r="D738" s="710">
        <f t="shared" si="36"/>
        <v>0</v>
      </c>
      <c r="E738" s="4" t="s">
        <v>5</v>
      </c>
      <c r="F738" s="47">
        <v>0</v>
      </c>
      <c r="G738" s="47">
        <v>0</v>
      </c>
      <c r="H738" s="47">
        <v>0</v>
      </c>
      <c r="I738" s="47">
        <v>0</v>
      </c>
      <c r="J738" s="47">
        <v>0</v>
      </c>
      <c r="K738" s="47">
        <v>0</v>
      </c>
      <c r="L738" s="47">
        <v>0</v>
      </c>
      <c r="M738" s="893"/>
    </row>
    <row r="739" spans="1:13" hidden="1" outlineLevel="1" x14ac:dyDescent="0.2">
      <c r="A739" s="22" t="s">
        <v>1229</v>
      </c>
      <c r="B739" s="2" t="s">
        <v>252</v>
      </c>
      <c r="C739" s="2" t="s">
        <v>1555</v>
      </c>
      <c r="D739" s="710">
        <f t="shared" si="36"/>
        <v>0</v>
      </c>
      <c r="E739" s="4" t="s">
        <v>6</v>
      </c>
      <c r="F739" s="47">
        <v>0</v>
      </c>
      <c r="G739" s="47">
        <v>0</v>
      </c>
      <c r="H739" s="47">
        <v>0</v>
      </c>
      <c r="I739" s="47">
        <v>0</v>
      </c>
      <c r="J739" s="47">
        <v>0</v>
      </c>
      <c r="K739" s="47">
        <v>0</v>
      </c>
      <c r="L739" s="47">
        <v>0</v>
      </c>
      <c r="M739" s="893"/>
    </row>
    <row r="740" spans="1:13" hidden="1" outlineLevel="1" x14ac:dyDescent="0.2">
      <c r="A740" s="22" t="s">
        <v>1229</v>
      </c>
      <c r="B740" s="2" t="s">
        <v>252</v>
      </c>
      <c r="C740" s="2" t="s">
        <v>1555</v>
      </c>
      <c r="D740" s="710">
        <f t="shared" si="36"/>
        <v>0</v>
      </c>
      <c r="E740" s="4" t="s">
        <v>143</v>
      </c>
      <c r="F740" s="47">
        <v>0</v>
      </c>
      <c r="G740" s="47">
        <v>0</v>
      </c>
      <c r="H740" s="47">
        <v>0</v>
      </c>
      <c r="I740" s="47">
        <v>0</v>
      </c>
      <c r="J740" s="47">
        <v>0</v>
      </c>
      <c r="K740" s="47"/>
      <c r="L740" s="47">
        <v>0</v>
      </c>
      <c r="M740" s="893"/>
    </row>
    <row r="741" spans="1:13" hidden="1" outlineLevel="1" x14ac:dyDescent="0.2">
      <c r="A741" s="22" t="s">
        <v>1229</v>
      </c>
      <c r="B741" s="2" t="s">
        <v>252</v>
      </c>
      <c r="C741" s="2" t="s">
        <v>1555</v>
      </c>
      <c r="D741" s="710">
        <f t="shared" si="36"/>
        <v>0</v>
      </c>
      <c r="E741" s="4" t="s">
        <v>7</v>
      </c>
      <c r="F741" s="47">
        <v>0</v>
      </c>
      <c r="G741" s="47">
        <v>0</v>
      </c>
      <c r="H741" s="47">
        <v>0</v>
      </c>
      <c r="I741" s="47">
        <v>0</v>
      </c>
      <c r="J741" s="47">
        <v>0</v>
      </c>
      <c r="K741" s="47">
        <v>0</v>
      </c>
      <c r="L741" s="47">
        <v>0</v>
      </c>
      <c r="M741" s="893"/>
    </row>
    <row r="742" spans="1:13" hidden="1" outlineLevel="1" x14ac:dyDescent="0.2">
      <c r="A742" s="22" t="s">
        <v>1229</v>
      </c>
      <c r="B742" s="2" t="s">
        <v>252</v>
      </c>
      <c r="C742" s="2" t="s">
        <v>1555</v>
      </c>
      <c r="D742" s="710">
        <f t="shared" si="36"/>
        <v>0</v>
      </c>
      <c r="E742" s="4" t="s">
        <v>31</v>
      </c>
      <c r="F742" s="47">
        <v>1</v>
      </c>
      <c r="G742" s="47">
        <v>1</v>
      </c>
      <c r="H742" s="47">
        <v>1</v>
      </c>
      <c r="I742" s="47">
        <v>1</v>
      </c>
      <c r="J742" s="47">
        <v>1</v>
      </c>
      <c r="K742" s="47">
        <v>1</v>
      </c>
      <c r="L742" s="47">
        <v>1</v>
      </c>
      <c r="M742" s="893"/>
    </row>
    <row r="743" spans="1:13" hidden="1" outlineLevel="1" x14ac:dyDescent="0.2">
      <c r="A743" s="22" t="s">
        <v>1229</v>
      </c>
      <c r="B743" s="2" t="s">
        <v>252</v>
      </c>
      <c r="C743" s="2" t="s">
        <v>1555</v>
      </c>
      <c r="D743" s="710">
        <f t="shared" si="36"/>
        <v>0</v>
      </c>
      <c r="E743" s="4" t="s">
        <v>8</v>
      </c>
      <c r="F743" s="47">
        <v>0</v>
      </c>
      <c r="G743" s="47">
        <v>0</v>
      </c>
      <c r="H743" s="47">
        <v>0</v>
      </c>
      <c r="I743" s="47">
        <v>0</v>
      </c>
      <c r="J743" s="47">
        <v>0</v>
      </c>
      <c r="K743" s="47">
        <v>0</v>
      </c>
      <c r="L743" s="47">
        <v>0</v>
      </c>
      <c r="M743" s="893"/>
    </row>
    <row r="744" spans="1:13" hidden="1" outlineLevel="1" x14ac:dyDescent="0.2">
      <c r="A744" s="22" t="s">
        <v>1229</v>
      </c>
      <c r="B744" s="2" t="s">
        <v>252</v>
      </c>
      <c r="C744" s="2" t="s">
        <v>1555</v>
      </c>
      <c r="D744" s="710">
        <f t="shared" si="36"/>
        <v>0</v>
      </c>
      <c r="E744" s="4" t="s">
        <v>9</v>
      </c>
      <c r="F744" s="47">
        <v>0</v>
      </c>
      <c r="G744" s="47">
        <v>0</v>
      </c>
      <c r="H744" s="47">
        <v>0</v>
      </c>
      <c r="I744" s="47">
        <v>0</v>
      </c>
      <c r="J744" s="47">
        <v>0</v>
      </c>
      <c r="K744" s="47">
        <v>1</v>
      </c>
      <c r="L744" s="47">
        <v>0</v>
      </c>
      <c r="M744" s="893"/>
    </row>
    <row r="745" spans="1:13" hidden="1" outlineLevel="1" x14ac:dyDescent="0.2">
      <c r="A745" s="22" t="s">
        <v>1229</v>
      </c>
      <c r="B745" s="2" t="s">
        <v>252</v>
      </c>
      <c r="C745" s="2" t="s">
        <v>1555</v>
      </c>
      <c r="D745" s="710">
        <f t="shared" si="36"/>
        <v>0</v>
      </c>
      <c r="E745" s="4" t="s">
        <v>10</v>
      </c>
      <c r="F745" s="47">
        <v>0</v>
      </c>
      <c r="G745" s="47">
        <v>0</v>
      </c>
      <c r="H745" s="47">
        <v>0</v>
      </c>
      <c r="I745" s="47">
        <v>0</v>
      </c>
      <c r="J745" s="47">
        <v>0</v>
      </c>
      <c r="K745" s="47">
        <v>0</v>
      </c>
      <c r="L745" s="47">
        <v>0</v>
      </c>
      <c r="M745" s="893"/>
    </row>
    <row r="746" spans="1:13" hidden="1" outlineLevel="1" x14ac:dyDescent="0.2">
      <c r="A746" s="22" t="s">
        <v>1229</v>
      </c>
      <c r="B746" s="2" t="s">
        <v>252</v>
      </c>
      <c r="C746" s="2" t="s">
        <v>1555</v>
      </c>
      <c r="D746" s="710">
        <f t="shared" si="36"/>
        <v>0</v>
      </c>
      <c r="E746" s="4" t="s">
        <v>11</v>
      </c>
      <c r="F746" s="47">
        <v>0</v>
      </c>
      <c r="G746" s="47">
        <v>0</v>
      </c>
      <c r="H746" s="47">
        <v>0</v>
      </c>
      <c r="I746" s="47">
        <v>0</v>
      </c>
      <c r="J746" s="47">
        <v>0</v>
      </c>
      <c r="K746" s="47">
        <v>0</v>
      </c>
      <c r="L746" s="47">
        <v>0</v>
      </c>
      <c r="M746" s="893"/>
    </row>
    <row r="747" spans="1:13" hidden="1" outlineLevel="1" x14ac:dyDescent="0.2">
      <c r="A747" s="22" t="s">
        <v>1229</v>
      </c>
      <c r="B747" s="2" t="s">
        <v>252</v>
      </c>
      <c r="C747" s="2" t="s">
        <v>1555</v>
      </c>
      <c r="D747" s="710">
        <f t="shared" si="36"/>
        <v>0</v>
      </c>
      <c r="E747" s="4" t="s">
        <v>12</v>
      </c>
      <c r="F747" s="47">
        <v>0</v>
      </c>
      <c r="G747" s="47">
        <v>0</v>
      </c>
      <c r="H747" s="47">
        <v>0</v>
      </c>
      <c r="I747" s="47">
        <v>0</v>
      </c>
      <c r="J747" s="47">
        <v>0</v>
      </c>
      <c r="K747" s="47">
        <v>0</v>
      </c>
      <c r="L747" s="47">
        <v>0</v>
      </c>
      <c r="M747" s="893"/>
    </row>
    <row r="748" spans="1:13" hidden="1" outlineLevel="1" x14ac:dyDescent="0.2">
      <c r="A748" s="22" t="s">
        <v>1229</v>
      </c>
      <c r="B748" s="2" t="s">
        <v>252</v>
      </c>
      <c r="C748" s="2" t="s">
        <v>1555</v>
      </c>
      <c r="D748" s="710">
        <f t="shared" si="36"/>
        <v>0</v>
      </c>
      <c r="E748" s="4" t="s">
        <v>1</v>
      </c>
      <c r="F748" s="47">
        <v>0</v>
      </c>
      <c r="G748" s="47">
        <v>0</v>
      </c>
      <c r="H748" s="47">
        <v>0</v>
      </c>
      <c r="I748" s="47">
        <v>0</v>
      </c>
      <c r="J748" s="47">
        <v>0</v>
      </c>
      <c r="K748" s="47">
        <v>0</v>
      </c>
      <c r="L748" s="47">
        <v>0</v>
      </c>
      <c r="M748" s="893"/>
    </row>
    <row r="749" spans="1:13" hidden="1" outlineLevel="1" x14ac:dyDescent="0.2">
      <c r="A749" s="22" t="s">
        <v>1229</v>
      </c>
      <c r="B749" s="2" t="s">
        <v>252</v>
      </c>
      <c r="C749" s="2" t="s">
        <v>1555</v>
      </c>
      <c r="D749" s="710">
        <f t="shared" si="36"/>
        <v>0</v>
      </c>
      <c r="E749" s="4" t="s">
        <v>13</v>
      </c>
      <c r="F749" s="47">
        <v>0</v>
      </c>
      <c r="G749" s="47">
        <v>0</v>
      </c>
      <c r="H749" s="47">
        <v>0</v>
      </c>
      <c r="I749" s="47">
        <v>0</v>
      </c>
      <c r="J749" s="47">
        <v>0</v>
      </c>
      <c r="K749" s="47">
        <v>0</v>
      </c>
      <c r="L749" s="47">
        <v>0</v>
      </c>
      <c r="M749" s="893"/>
    </row>
    <row r="750" spans="1:13" hidden="1" outlineLevel="1" x14ac:dyDescent="0.2">
      <c r="A750" s="22" t="s">
        <v>1229</v>
      </c>
      <c r="B750" s="2" t="s">
        <v>252</v>
      </c>
      <c r="C750" s="2" t="s">
        <v>1555</v>
      </c>
      <c r="D750" s="710">
        <f t="shared" si="36"/>
        <v>0</v>
      </c>
      <c r="E750" s="4" t="s">
        <v>14</v>
      </c>
      <c r="F750" s="47">
        <v>0</v>
      </c>
      <c r="G750" s="47">
        <v>0</v>
      </c>
      <c r="H750" s="47">
        <v>0</v>
      </c>
      <c r="I750" s="47">
        <v>0</v>
      </c>
      <c r="J750" s="47">
        <v>0</v>
      </c>
      <c r="K750" s="47">
        <v>0</v>
      </c>
      <c r="L750" s="47">
        <v>0</v>
      </c>
      <c r="M750" s="893"/>
    </row>
    <row r="751" spans="1:13" hidden="1" outlineLevel="1" x14ac:dyDescent="0.2">
      <c r="A751" s="22" t="s">
        <v>1229</v>
      </c>
      <c r="B751" s="2" t="s">
        <v>252</v>
      </c>
      <c r="C751" s="2" t="s">
        <v>1555</v>
      </c>
      <c r="D751" s="710">
        <f t="shared" si="36"/>
        <v>0</v>
      </c>
      <c r="E751" s="4" t="s">
        <v>15</v>
      </c>
      <c r="F751" s="47">
        <v>0</v>
      </c>
      <c r="G751" s="47">
        <v>0</v>
      </c>
      <c r="H751" s="47">
        <v>0</v>
      </c>
      <c r="I751" s="47">
        <v>0</v>
      </c>
      <c r="J751" s="47">
        <v>0</v>
      </c>
      <c r="K751" s="47">
        <v>0</v>
      </c>
      <c r="L751" s="47">
        <v>0</v>
      </c>
      <c r="M751" s="893"/>
    </row>
    <row r="752" spans="1:13" hidden="1" outlineLevel="1" x14ac:dyDescent="0.2">
      <c r="A752" s="22" t="s">
        <v>1229</v>
      </c>
      <c r="B752" s="2" t="s">
        <v>252</v>
      </c>
      <c r="C752" s="2" t="s">
        <v>1555</v>
      </c>
      <c r="D752" s="710">
        <f t="shared" si="36"/>
        <v>0</v>
      </c>
      <c r="E752" s="4" t="s">
        <v>16</v>
      </c>
      <c r="F752" s="47">
        <v>0</v>
      </c>
      <c r="G752" s="47">
        <v>0</v>
      </c>
      <c r="H752" s="47">
        <v>0</v>
      </c>
      <c r="I752" s="47">
        <v>0</v>
      </c>
      <c r="J752" s="47">
        <v>0</v>
      </c>
      <c r="K752" s="47">
        <v>0</v>
      </c>
      <c r="L752" s="47">
        <v>0</v>
      </c>
      <c r="M752" s="893"/>
    </row>
    <row r="753" spans="1:13" hidden="1" outlineLevel="1" x14ac:dyDescent="0.2">
      <c r="A753" s="22" t="s">
        <v>1229</v>
      </c>
      <c r="B753" s="2" t="s">
        <v>252</v>
      </c>
      <c r="C753" s="2" t="s">
        <v>1555</v>
      </c>
      <c r="D753" s="710">
        <f t="shared" si="36"/>
        <v>0</v>
      </c>
      <c r="E753" s="4" t="s">
        <v>17</v>
      </c>
      <c r="F753" s="47">
        <v>0</v>
      </c>
      <c r="G753" s="47">
        <v>0</v>
      </c>
      <c r="H753" s="47">
        <v>0</v>
      </c>
      <c r="I753" s="47">
        <v>0</v>
      </c>
      <c r="J753" s="47">
        <v>0</v>
      </c>
      <c r="K753" s="47">
        <v>0</v>
      </c>
      <c r="L753" s="47">
        <v>0</v>
      </c>
      <c r="M753" s="893"/>
    </row>
    <row r="754" spans="1:13" hidden="1" outlineLevel="1" x14ac:dyDescent="0.2">
      <c r="A754" s="22" t="s">
        <v>1229</v>
      </c>
      <c r="B754" s="2" t="s">
        <v>252</v>
      </c>
      <c r="C754" s="2" t="s">
        <v>1555</v>
      </c>
      <c r="D754" s="710">
        <f t="shared" si="36"/>
        <v>0</v>
      </c>
      <c r="E754" s="4" t="s">
        <v>18</v>
      </c>
      <c r="F754" s="47">
        <v>0</v>
      </c>
      <c r="G754" s="47">
        <v>0</v>
      </c>
      <c r="H754" s="47">
        <v>0</v>
      </c>
      <c r="I754" s="47">
        <v>0</v>
      </c>
      <c r="J754" s="47">
        <v>0</v>
      </c>
      <c r="K754" s="47">
        <v>0</v>
      </c>
      <c r="L754" s="47">
        <v>0</v>
      </c>
      <c r="M754" s="893"/>
    </row>
    <row r="755" spans="1:13" hidden="1" outlineLevel="1" x14ac:dyDescent="0.2">
      <c r="A755" s="22" t="s">
        <v>1229</v>
      </c>
      <c r="B755" s="2" t="s">
        <v>252</v>
      </c>
      <c r="C755" s="2" t="s">
        <v>1555</v>
      </c>
      <c r="D755" s="710">
        <f t="shared" si="36"/>
        <v>0</v>
      </c>
      <c r="E755" s="4" t="s">
        <v>2</v>
      </c>
      <c r="F755" s="47">
        <v>0</v>
      </c>
      <c r="G755" s="47">
        <v>0</v>
      </c>
      <c r="H755" s="47">
        <v>0</v>
      </c>
      <c r="I755" s="47">
        <v>0</v>
      </c>
      <c r="J755" s="47">
        <v>0</v>
      </c>
      <c r="K755" s="47">
        <v>0</v>
      </c>
      <c r="L755" s="47">
        <v>0</v>
      </c>
      <c r="M755" s="893"/>
    </row>
    <row r="756" spans="1:13" hidden="1" outlineLevel="1" x14ac:dyDescent="0.2">
      <c r="A756" s="22" t="s">
        <v>1229</v>
      </c>
      <c r="B756" s="2" t="s">
        <v>252</v>
      </c>
      <c r="C756" s="2" t="s">
        <v>1555</v>
      </c>
      <c r="D756" s="710">
        <f t="shared" si="36"/>
        <v>0</v>
      </c>
      <c r="E756" s="4" t="s">
        <v>19</v>
      </c>
      <c r="F756" s="47">
        <v>0</v>
      </c>
      <c r="G756" s="47">
        <v>0</v>
      </c>
      <c r="H756" s="47">
        <v>0</v>
      </c>
      <c r="I756" s="47">
        <v>0</v>
      </c>
      <c r="J756" s="47">
        <v>0</v>
      </c>
      <c r="K756" s="47">
        <v>0</v>
      </c>
      <c r="L756" s="47">
        <v>0</v>
      </c>
      <c r="M756" s="893"/>
    </row>
    <row r="757" spans="1:13" hidden="1" outlineLevel="1" x14ac:dyDescent="0.2">
      <c r="A757" s="22" t="s">
        <v>1229</v>
      </c>
      <c r="B757" s="2" t="s">
        <v>252</v>
      </c>
      <c r="C757" s="2" t="s">
        <v>1555</v>
      </c>
      <c r="D757" s="710">
        <f t="shared" si="36"/>
        <v>0</v>
      </c>
      <c r="E757" s="4" t="s">
        <v>3</v>
      </c>
      <c r="F757" s="47">
        <v>0</v>
      </c>
      <c r="G757" s="47">
        <v>0</v>
      </c>
      <c r="H757" s="47">
        <v>0</v>
      </c>
      <c r="I757" s="47">
        <v>0</v>
      </c>
      <c r="J757" s="47">
        <v>0</v>
      </c>
      <c r="K757" s="47">
        <v>0</v>
      </c>
      <c r="L757" s="47">
        <v>0</v>
      </c>
      <c r="M757" s="893"/>
    </row>
    <row r="758" spans="1:13" hidden="1" outlineLevel="1" x14ac:dyDescent="0.2">
      <c r="A758" s="22" t="s">
        <v>1229</v>
      </c>
      <c r="B758" s="2" t="s">
        <v>252</v>
      </c>
      <c r="C758" s="2" t="s">
        <v>1555</v>
      </c>
      <c r="D758" s="710">
        <f t="shared" si="36"/>
        <v>0</v>
      </c>
      <c r="E758" s="4" t="s">
        <v>20</v>
      </c>
      <c r="F758" s="47">
        <v>0</v>
      </c>
      <c r="G758" s="47">
        <v>0</v>
      </c>
      <c r="H758" s="47">
        <v>0</v>
      </c>
      <c r="I758" s="47">
        <v>0</v>
      </c>
      <c r="J758" s="47">
        <v>0</v>
      </c>
      <c r="K758" s="47">
        <v>1</v>
      </c>
      <c r="L758" s="47">
        <v>0</v>
      </c>
      <c r="M758" s="893"/>
    </row>
    <row r="759" spans="1:13" hidden="1" outlineLevel="1" x14ac:dyDescent="0.2">
      <c r="A759" s="22" t="s">
        <v>1229</v>
      </c>
      <c r="B759" s="2" t="s">
        <v>252</v>
      </c>
      <c r="C759" s="2" t="s">
        <v>1555</v>
      </c>
      <c r="D759" s="710">
        <f t="shared" si="36"/>
        <v>0</v>
      </c>
      <c r="E759" s="4" t="s">
        <v>21</v>
      </c>
      <c r="F759" s="47">
        <v>0</v>
      </c>
      <c r="G759" s="47">
        <v>0</v>
      </c>
      <c r="H759" s="47">
        <v>0</v>
      </c>
      <c r="I759" s="47">
        <v>0</v>
      </c>
      <c r="J759" s="47">
        <v>0</v>
      </c>
      <c r="K759" s="47">
        <v>0</v>
      </c>
      <c r="L759" s="47">
        <v>0</v>
      </c>
      <c r="M759" s="893"/>
    </row>
    <row r="760" spans="1:13" hidden="1" outlineLevel="1" x14ac:dyDescent="0.2">
      <c r="A760" s="22" t="s">
        <v>1229</v>
      </c>
      <c r="B760" s="2" t="s">
        <v>252</v>
      </c>
      <c r="C760" s="2" t="s">
        <v>1555</v>
      </c>
      <c r="D760" s="710">
        <f t="shared" si="36"/>
        <v>0</v>
      </c>
      <c r="E760" s="4" t="s">
        <v>1096</v>
      </c>
      <c r="F760" s="47">
        <v>0</v>
      </c>
      <c r="G760" s="47">
        <v>0</v>
      </c>
      <c r="H760" s="47">
        <v>0</v>
      </c>
      <c r="I760" s="47">
        <v>0</v>
      </c>
      <c r="J760" s="47">
        <v>0</v>
      </c>
      <c r="K760" s="47">
        <v>0</v>
      </c>
      <c r="L760" s="47">
        <v>0</v>
      </c>
      <c r="M760" s="893"/>
    </row>
    <row r="761" spans="1:13" hidden="1" outlineLevel="1" x14ac:dyDescent="0.2">
      <c r="A761" s="22" t="s">
        <v>1229</v>
      </c>
      <c r="B761" s="2" t="s">
        <v>252</v>
      </c>
      <c r="C761" s="2" t="s">
        <v>1555</v>
      </c>
      <c r="D761" s="710">
        <f t="shared" si="36"/>
        <v>0</v>
      </c>
      <c r="E761" s="4" t="s">
        <v>22</v>
      </c>
      <c r="F761" s="47">
        <v>0</v>
      </c>
      <c r="G761" s="47">
        <v>0</v>
      </c>
      <c r="H761" s="47">
        <v>0</v>
      </c>
      <c r="I761" s="47">
        <v>0</v>
      </c>
      <c r="J761" s="47">
        <v>0</v>
      </c>
      <c r="K761" s="47">
        <v>0</v>
      </c>
      <c r="L761" s="47">
        <v>0</v>
      </c>
      <c r="M761" s="893"/>
    </row>
    <row r="762" spans="1:13" hidden="1" outlineLevel="1" x14ac:dyDescent="0.2">
      <c r="A762" s="91" t="s">
        <v>1229</v>
      </c>
      <c r="B762" s="3" t="s">
        <v>252</v>
      </c>
      <c r="C762" s="2" t="s">
        <v>1555</v>
      </c>
      <c r="D762" s="711">
        <f t="shared" si="36"/>
        <v>0</v>
      </c>
      <c r="E762" s="469" t="s">
        <v>23</v>
      </c>
      <c r="F762" s="48">
        <v>1</v>
      </c>
      <c r="G762" s="48">
        <v>1</v>
      </c>
      <c r="H762" s="48">
        <v>1</v>
      </c>
      <c r="I762" s="48">
        <v>1</v>
      </c>
      <c r="J762" s="48">
        <v>1</v>
      </c>
      <c r="K762" s="363">
        <v>0</v>
      </c>
      <c r="L762" s="363">
        <v>1</v>
      </c>
      <c r="M762" s="920"/>
    </row>
    <row r="763" spans="1:13" hidden="1" outlineLevel="1" x14ac:dyDescent="0.2">
      <c r="A763" s="92" t="s">
        <v>1229</v>
      </c>
      <c r="B763" s="81" t="s">
        <v>252</v>
      </c>
      <c r="C763" s="81" t="s">
        <v>1232</v>
      </c>
      <c r="D763" s="709">
        <f t="shared" si="36"/>
        <v>0</v>
      </c>
      <c r="E763" s="468" t="s">
        <v>4</v>
      </c>
      <c r="F763" s="380">
        <v>1</v>
      </c>
      <c r="G763" s="89">
        <v>1</v>
      </c>
      <c r="H763" s="89">
        <v>1</v>
      </c>
      <c r="I763" s="89">
        <v>1</v>
      </c>
      <c r="J763" s="89">
        <v>1</v>
      </c>
      <c r="K763" s="380">
        <v>0</v>
      </c>
      <c r="L763" s="380">
        <v>1</v>
      </c>
      <c r="M763" s="892"/>
    </row>
    <row r="764" spans="1:13" hidden="1" outlineLevel="1" x14ac:dyDescent="0.2">
      <c r="A764" s="22" t="s">
        <v>1229</v>
      </c>
      <c r="B764" s="2" t="s">
        <v>252</v>
      </c>
      <c r="C764" s="2" t="s">
        <v>1232</v>
      </c>
      <c r="D764" s="710">
        <f t="shared" si="36"/>
        <v>0</v>
      </c>
      <c r="E764" s="4" t="s">
        <v>5</v>
      </c>
      <c r="F764" s="47">
        <v>0</v>
      </c>
      <c r="G764" s="47">
        <v>0</v>
      </c>
      <c r="H764" s="47">
        <v>0</v>
      </c>
      <c r="I764" s="47">
        <v>0</v>
      </c>
      <c r="J764" s="47">
        <v>0</v>
      </c>
      <c r="K764" s="47">
        <v>0</v>
      </c>
      <c r="L764" s="47">
        <v>0</v>
      </c>
      <c r="M764" s="893"/>
    </row>
    <row r="765" spans="1:13" hidden="1" outlineLevel="1" x14ac:dyDescent="0.2">
      <c r="A765" s="22" t="s">
        <v>1229</v>
      </c>
      <c r="B765" s="2" t="s">
        <v>252</v>
      </c>
      <c r="C765" s="2" t="s">
        <v>1232</v>
      </c>
      <c r="D765" s="710">
        <f t="shared" si="36"/>
        <v>0</v>
      </c>
      <c r="E765" s="4" t="s">
        <v>6</v>
      </c>
      <c r="F765" s="47">
        <v>0</v>
      </c>
      <c r="G765" s="47">
        <v>0</v>
      </c>
      <c r="H765" s="47">
        <v>0</v>
      </c>
      <c r="I765" s="47">
        <v>0</v>
      </c>
      <c r="J765" s="47">
        <v>0</v>
      </c>
      <c r="K765" s="47">
        <v>0</v>
      </c>
      <c r="L765" s="47">
        <v>0</v>
      </c>
      <c r="M765" s="893"/>
    </row>
    <row r="766" spans="1:13" hidden="1" outlineLevel="1" x14ac:dyDescent="0.2">
      <c r="A766" s="22" t="s">
        <v>1229</v>
      </c>
      <c r="B766" s="2" t="s">
        <v>252</v>
      </c>
      <c r="C766" s="2" t="s">
        <v>1232</v>
      </c>
      <c r="D766" s="710">
        <f t="shared" si="36"/>
        <v>0</v>
      </c>
      <c r="E766" s="4" t="s">
        <v>143</v>
      </c>
      <c r="F766" s="47">
        <v>0</v>
      </c>
      <c r="G766" s="47">
        <v>0</v>
      </c>
      <c r="H766" s="47">
        <v>0</v>
      </c>
      <c r="I766" s="47">
        <v>0</v>
      </c>
      <c r="J766" s="47">
        <v>0</v>
      </c>
      <c r="K766" s="47"/>
      <c r="L766" s="47">
        <v>0</v>
      </c>
      <c r="M766" s="893"/>
    </row>
    <row r="767" spans="1:13" hidden="1" outlineLevel="1" x14ac:dyDescent="0.2">
      <c r="A767" s="22" t="s">
        <v>1229</v>
      </c>
      <c r="B767" s="2" t="s">
        <v>252</v>
      </c>
      <c r="C767" s="2" t="s">
        <v>1232</v>
      </c>
      <c r="D767" s="710">
        <f t="shared" si="36"/>
        <v>0</v>
      </c>
      <c r="E767" s="4" t="s">
        <v>7</v>
      </c>
      <c r="F767" s="47">
        <v>0</v>
      </c>
      <c r="G767" s="47">
        <v>0</v>
      </c>
      <c r="H767" s="47">
        <v>0</v>
      </c>
      <c r="I767" s="47">
        <v>0</v>
      </c>
      <c r="J767" s="47">
        <v>0</v>
      </c>
      <c r="K767" s="47">
        <v>0</v>
      </c>
      <c r="L767" s="47">
        <v>0</v>
      </c>
      <c r="M767" s="893"/>
    </row>
    <row r="768" spans="1:13" hidden="1" outlineLevel="1" x14ac:dyDescent="0.2">
      <c r="A768" s="22" t="s">
        <v>1229</v>
      </c>
      <c r="B768" s="2" t="s">
        <v>252</v>
      </c>
      <c r="C768" s="2" t="s">
        <v>1232</v>
      </c>
      <c r="D768" s="710">
        <f t="shared" si="36"/>
        <v>0</v>
      </c>
      <c r="E768" s="4" t="s">
        <v>31</v>
      </c>
      <c r="F768" s="47">
        <v>1</v>
      </c>
      <c r="G768" s="47">
        <v>1</v>
      </c>
      <c r="H768" s="47">
        <v>1</v>
      </c>
      <c r="I768" s="47">
        <v>1</v>
      </c>
      <c r="J768" s="47">
        <v>1</v>
      </c>
      <c r="K768" s="47">
        <v>1</v>
      </c>
      <c r="L768" s="47">
        <v>1</v>
      </c>
      <c r="M768" s="893"/>
    </row>
    <row r="769" spans="1:13" hidden="1" outlineLevel="1" x14ac:dyDescent="0.2">
      <c r="A769" s="22" t="s">
        <v>1229</v>
      </c>
      <c r="B769" s="2" t="s">
        <v>252</v>
      </c>
      <c r="C769" s="2" t="s">
        <v>1232</v>
      </c>
      <c r="D769" s="710">
        <f t="shared" ref="D769:D814" si="37">IF(C769="","",IF(OR(C769="Wind",C769="Solar",C769="Geothermal",C769="Small Hydro",C769="Biofuels",C769="Biomass &amp; Waste"), 1, 0))</f>
        <v>0</v>
      </c>
      <c r="E769" s="4" t="s">
        <v>8</v>
      </c>
      <c r="F769" s="47">
        <v>1</v>
      </c>
      <c r="G769" s="47">
        <v>1</v>
      </c>
      <c r="H769" s="47">
        <v>1</v>
      </c>
      <c r="I769" s="47">
        <v>1</v>
      </c>
      <c r="J769" s="47">
        <v>1</v>
      </c>
      <c r="K769" s="47">
        <v>1</v>
      </c>
      <c r="L769" s="47">
        <v>1</v>
      </c>
      <c r="M769" s="893"/>
    </row>
    <row r="770" spans="1:13" hidden="1" outlineLevel="1" x14ac:dyDescent="0.2">
      <c r="A770" s="22" t="s">
        <v>1229</v>
      </c>
      <c r="B770" s="2" t="s">
        <v>252</v>
      </c>
      <c r="C770" s="2" t="s">
        <v>1232</v>
      </c>
      <c r="D770" s="710">
        <f t="shared" si="37"/>
        <v>0</v>
      </c>
      <c r="E770" s="4" t="s">
        <v>9</v>
      </c>
      <c r="F770" s="47">
        <v>0</v>
      </c>
      <c r="G770" s="47">
        <v>0</v>
      </c>
      <c r="H770" s="47">
        <v>0</v>
      </c>
      <c r="I770" s="47">
        <v>0</v>
      </c>
      <c r="J770" s="47">
        <v>0</v>
      </c>
      <c r="K770" s="47">
        <v>0</v>
      </c>
      <c r="L770" s="47">
        <v>0</v>
      </c>
      <c r="M770" s="893"/>
    </row>
    <row r="771" spans="1:13" hidden="1" outlineLevel="1" x14ac:dyDescent="0.2">
      <c r="A771" s="22" t="s">
        <v>1229</v>
      </c>
      <c r="B771" s="2" t="s">
        <v>252</v>
      </c>
      <c r="C771" s="2" t="s">
        <v>1232</v>
      </c>
      <c r="D771" s="710">
        <f t="shared" si="37"/>
        <v>0</v>
      </c>
      <c r="E771" s="4" t="s">
        <v>10</v>
      </c>
      <c r="F771" s="47">
        <v>0</v>
      </c>
      <c r="G771" s="47">
        <v>0</v>
      </c>
      <c r="H771" s="47">
        <v>0</v>
      </c>
      <c r="I771" s="47">
        <v>0</v>
      </c>
      <c r="J771" s="47">
        <v>0</v>
      </c>
      <c r="K771" s="47">
        <v>0</v>
      </c>
      <c r="L771" s="47">
        <v>0</v>
      </c>
      <c r="M771" s="893"/>
    </row>
    <row r="772" spans="1:13" hidden="1" outlineLevel="1" x14ac:dyDescent="0.2">
      <c r="A772" s="22" t="s">
        <v>1229</v>
      </c>
      <c r="B772" s="2" t="s">
        <v>252</v>
      </c>
      <c r="C772" s="2" t="s">
        <v>1232</v>
      </c>
      <c r="D772" s="710">
        <f t="shared" si="37"/>
        <v>0</v>
      </c>
      <c r="E772" s="4" t="s">
        <v>11</v>
      </c>
      <c r="F772" s="47">
        <v>0</v>
      </c>
      <c r="G772" s="47">
        <v>0</v>
      </c>
      <c r="H772" s="47">
        <v>0</v>
      </c>
      <c r="I772" s="47">
        <v>0</v>
      </c>
      <c r="J772" s="47">
        <v>0</v>
      </c>
      <c r="K772" s="47">
        <v>0</v>
      </c>
      <c r="L772" s="47">
        <v>0</v>
      </c>
      <c r="M772" s="893"/>
    </row>
    <row r="773" spans="1:13" hidden="1" outlineLevel="1" x14ac:dyDescent="0.2">
      <c r="A773" s="22" t="s">
        <v>1229</v>
      </c>
      <c r="B773" s="2" t="s">
        <v>252</v>
      </c>
      <c r="C773" s="2" t="s">
        <v>1232</v>
      </c>
      <c r="D773" s="710">
        <f t="shared" si="37"/>
        <v>0</v>
      </c>
      <c r="E773" s="4" t="s">
        <v>12</v>
      </c>
      <c r="F773" s="47">
        <v>0</v>
      </c>
      <c r="G773" s="47">
        <v>0</v>
      </c>
      <c r="H773" s="47">
        <v>0</v>
      </c>
      <c r="I773" s="47">
        <v>0</v>
      </c>
      <c r="J773" s="47">
        <v>0</v>
      </c>
      <c r="K773" s="47">
        <v>0</v>
      </c>
      <c r="L773" s="47">
        <v>0</v>
      </c>
      <c r="M773" s="893"/>
    </row>
    <row r="774" spans="1:13" hidden="1" outlineLevel="1" x14ac:dyDescent="0.2">
      <c r="A774" s="22" t="s">
        <v>1229</v>
      </c>
      <c r="B774" s="2" t="s">
        <v>252</v>
      </c>
      <c r="C774" s="2" t="s">
        <v>1232</v>
      </c>
      <c r="D774" s="710">
        <f t="shared" si="37"/>
        <v>0</v>
      </c>
      <c r="E774" s="4" t="s">
        <v>1</v>
      </c>
      <c r="F774" s="47">
        <v>0</v>
      </c>
      <c r="G774" s="47">
        <v>0</v>
      </c>
      <c r="H774" s="47">
        <v>0</v>
      </c>
      <c r="I774" s="47">
        <v>0</v>
      </c>
      <c r="J774" s="47">
        <v>0</v>
      </c>
      <c r="K774" s="47">
        <v>0</v>
      </c>
      <c r="L774" s="47">
        <v>0</v>
      </c>
      <c r="M774" s="893"/>
    </row>
    <row r="775" spans="1:13" hidden="1" outlineLevel="1" x14ac:dyDescent="0.2">
      <c r="A775" s="22" t="s">
        <v>1229</v>
      </c>
      <c r="B775" s="2" t="s">
        <v>252</v>
      </c>
      <c r="C775" s="2" t="s">
        <v>1232</v>
      </c>
      <c r="D775" s="710">
        <f t="shared" si="37"/>
        <v>0</v>
      </c>
      <c r="E775" s="4" t="s">
        <v>13</v>
      </c>
      <c r="F775" s="47">
        <v>0</v>
      </c>
      <c r="G775" s="47">
        <v>0</v>
      </c>
      <c r="H775" s="47">
        <v>0</v>
      </c>
      <c r="I775" s="47">
        <v>0</v>
      </c>
      <c r="J775" s="47">
        <v>0</v>
      </c>
      <c r="K775" s="47">
        <v>0</v>
      </c>
      <c r="L775" s="47">
        <v>0</v>
      </c>
      <c r="M775" s="893"/>
    </row>
    <row r="776" spans="1:13" hidden="1" outlineLevel="1" x14ac:dyDescent="0.2">
      <c r="A776" s="22" t="s">
        <v>1229</v>
      </c>
      <c r="B776" s="2" t="s">
        <v>252</v>
      </c>
      <c r="C776" s="2" t="s">
        <v>1232</v>
      </c>
      <c r="D776" s="710">
        <f t="shared" si="37"/>
        <v>0</v>
      </c>
      <c r="E776" s="4" t="s">
        <v>14</v>
      </c>
      <c r="F776" s="47">
        <v>0</v>
      </c>
      <c r="G776" s="47">
        <v>0</v>
      </c>
      <c r="H776" s="47">
        <v>0</v>
      </c>
      <c r="I776" s="47">
        <v>0</v>
      </c>
      <c r="J776" s="47">
        <v>0</v>
      </c>
      <c r="K776" s="47">
        <v>0</v>
      </c>
      <c r="L776" s="47">
        <v>0</v>
      </c>
      <c r="M776" s="893"/>
    </row>
    <row r="777" spans="1:13" hidden="1" outlineLevel="1" x14ac:dyDescent="0.2">
      <c r="A777" s="22" t="s">
        <v>1229</v>
      </c>
      <c r="B777" s="2" t="s">
        <v>252</v>
      </c>
      <c r="C777" s="2" t="s">
        <v>1232</v>
      </c>
      <c r="D777" s="710">
        <f t="shared" si="37"/>
        <v>0</v>
      </c>
      <c r="E777" s="4" t="s">
        <v>15</v>
      </c>
      <c r="F777" s="47">
        <v>0</v>
      </c>
      <c r="G777" s="47">
        <v>0</v>
      </c>
      <c r="H777" s="47">
        <v>0</v>
      </c>
      <c r="I777" s="47">
        <v>0</v>
      </c>
      <c r="J777" s="47">
        <v>0</v>
      </c>
      <c r="K777" s="47">
        <v>0</v>
      </c>
      <c r="L777" s="47">
        <v>0</v>
      </c>
      <c r="M777" s="893"/>
    </row>
    <row r="778" spans="1:13" hidden="1" outlineLevel="1" x14ac:dyDescent="0.2">
      <c r="A778" s="22" t="s">
        <v>1229</v>
      </c>
      <c r="B778" s="2" t="s">
        <v>252</v>
      </c>
      <c r="C778" s="2" t="s">
        <v>1232</v>
      </c>
      <c r="D778" s="710">
        <f t="shared" si="37"/>
        <v>0</v>
      </c>
      <c r="E778" s="4" t="s">
        <v>16</v>
      </c>
      <c r="F778" s="47">
        <v>0</v>
      </c>
      <c r="G778" s="47">
        <v>0</v>
      </c>
      <c r="H778" s="47">
        <v>0</v>
      </c>
      <c r="I778" s="47">
        <v>0</v>
      </c>
      <c r="J778" s="47">
        <v>0</v>
      </c>
      <c r="K778" s="47">
        <v>0</v>
      </c>
      <c r="L778" s="47">
        <v>0</v>
      </c>
      <c r="M778" s="893"/>
    </row>
    <row r="779" spans="1:13" hidden="1" outlineLevel="1" x14ac:dyDescent="0.2">
      <c r="A779" s="22" t="s">
        <v>1229</v>
      </c>
      <c r="B779" s="2" t="s">
        <v>252</v>
      </c>
      <c r="C779" s="2" t="s">
        <v>1232</v>
      </c>
      <c r="D779" s="710">
        <f t="shared" si="37"/>
        <v>0</v>
      </c>
      <c r="E779" s="4" t="s">
        <v>17</v>
      </c>
      <c r="F779" s="47">
        <v>0</v>
      </c>
      <c r="G779" s="47">
        <v>0</v>
      </c>
      <c r="H779" s="47">
        <v>0</v>
      </c>
      <c r="I779" s="47">
        <v>0</v>
      </c>
      <c r="J779" s="47">
        <v>0</v>
      </c>
      <c r="K779" s="47">
        <v>0</v>
      </c>
      <c r="L779" s="47">
        <v>0</v>
      </c>
      <c r="M779" s="893"/>
    </row>
    <row r="780" spans="1:13" hidden="1" outlineLevel="1" x14ac:dyDescent="0.2">
      <c r="A780" s="22" t="s">
        <v>1229</v>
      </c>
      <c r="B780" s="2" t="s">
        <v>252</v>
      </c>
      <c r="C780" s="2" t="s">
        <v>1232</v>
      </c>
      <c r="D780" s="710">
        <f t="shared" si="37"/>
        <v>0</v>
      </c>
      <c r="E780" s="4" t="s">
        <v>18</v>
      </c>
      <c r="F780" s="47">
        <v>0</v>
      </c>
      <c r="G780" s="47">
        <v>0</v>
      </c>
      <c r="H780" s="47">
        <v>0</v>
      </c>
      <c r="I780" s="47">
        <v>0</v>
      </c>
      <c r="J780" s="47">
        <v>0</v>
      </c>
      <c r="K780" s="47">
        <v>1</v>
      </c>
      <c r="L780" s="47">
        <v>0</v>
      </c>
      <c r="M780" s="893"/>
    </row>
    <row r="781" spans="1:13" hidden="1" outlineLevel="1" x14ac:dyDescent="0.2">
      <c r="A781" s="22" t="s">
        <v>1229</v>
      </c>
      <c r="B781" s="2" t="s">
        <v>252</v>
      </c>
      <c r="C781" s="2" t="s">
        <v>1232</v>
      </c>
      <c r="D781" s="710">
        <f t="shared" si="37"/>
        <v>0</v>
      </c>
      <c r="E781" s="4" t="s">
        <v>2</v>
      </c>
      <c r="F781" s="47">
        <v>0</v>
      </c>
      <c r="G781" s="47">
        <v>0</v>
      </c>
      <c r="H781" s="47">
        <v>0</v>
      </c>
      <c r="I781" s="47">
        <v>0</v>
      </c>
      <c r="J781" s="47">
        <v>0</v>
      </c>
      <c r="K781" s="47">
        <v>0</v>
      </c>
      <c r="L781" s="47">
        <v>0</v>
      </c>
      <c r="M781" s="893"/>
    </row>
    <row r="782" spans="1:13" hidden="1" outlineLevel="1" x14ac:dyDescent="0.2">
      <c r="A782" s="22" t="s">
        <v>1229</v>
      </c>
      <c r="B782" s="2" t="s">
        <v>252</v>
      </c>
      <c r="C782" s="2" t="s">
        <v>1232</v>
      </c>
      <c r="D782" s="710">
        <f t="shared" si="37"/>
        <v>0</v>
      </c>
      <c r="E782" s="4" t="s">
        <v>19</v>
      </c>
      <c r="F782" s="47">
        <v>0</v>
      </c>
      <c r="G782" s="47">
        <v>0</v>
      </c>
      <c r="H782" s="47">
        <v>0</v>
      </c>
      <c r="I782" s="47">
        <v>0</v>
      </c>
      <c r="J782" s="47">
        <v>0</v>
      </c>
      <c r="K782" s="47">
        <v>0</v>
      </c>
      <c r="L782" s="47">
        <v>0</v>
      </c>
      <c r="M782" s="893"/>
    </row>
    <row r="783" spans="1:13" hidden="1" outlineLevel="1" x14ac:dyDescent="0.2">
      <c r="A783" s="22" t="s">
        <v>1229</v>
      </c>
      <c r="B783" s="2" t="s">
        <v>252</v>
      </c>
      <c r="C783" s="2" t="s">
        <v>1232</v>
      </c>
      <c r="D783" s="710">
        <f t="shared" si="37"/>
        <v>0</v>
      </c>
      <c r="E783" s="4" t="s">
        <v>3</v>
      </c>
      <c r="F783" s="47">
        <v>0</v>
      </c>
      <c r="G783" s="47">
        <v>0</v>
      </c>
      <c r="H783" s="47">
        <v>0</v>
      </c>
      <c r="I783" s="47">
        <v>0</v>
      </c>
      <c r="J783" s="47">
        <v>0</v>
      </c>
      <c r="K783" s="47">
        <v>0</v>
      </c>
      <c r="L783" s="47">
        <v>0</v>
      </c>
      <c r="M783" s="893"/>
    </row>
    <row r="784" spans="1:13" hidden="1" outlineLevel="1" x14ac:dyDescent="0.2">
      <c r="A784" s="22" t="s">
        <v>1229</v>
      </c>
      <c r="B784" s="2" t="s">
        <v>252</v>
      </c>
      <c r="C784" s="2" t="s">
        <v>1232</v>
      </c>
      <c r="D784" s="710">
        <f t="shared" si="37"/>
        <v>0</v>
      </c>
      <c r="E784" s="4" t="s">
        <v>20</v>
      </c>
      <c r="F784" s="47">
        <v>0</v>
      </c>
      <c r="G784" s="47">
        <v>0</v>
      </c>
      <c r="H784" s="47">
        <v>0</v>
      </c>
      <c r="I784" s="47">
        <v>0</v>
      </c>
      <c r="J784" s="47">
        <v>0</v>
      </c>
      <c r="K784" s="47">
        <v>0</v>
      </c>
      <c r="L784" s="47">
        <v>0</v>
      </c>
      <c r="M784" s="893"/>
    </row>
    <row r="785" spans="1:13" hidden="1" outlineLevel="1" x14ac:dyDescent="0.2">
      <c r="A785" s="22" t="s">
        <v>1229</v>
      </c>
      <c r="B785" s="2" t="s">
        <v>252</v>
      </c>
      <c r="C785" s="2" t="s">
        <v>1232</v>
      </c>
      <c r="D785" s="710">
        <f t="shared" si="37"/>
        <v>0</v>
      </c>
      <c r="E785" s="4" t="s">
        <v>21</v>
      </c>
      <c r="F785" s="47">
        <v>0</v>
      </c>
      <c r="G785" s="47">
        <v>0</v>
      </c>
      <c r="H785" s="47">
        <v>0</v>
      </c>
      <c r="I785" s="47">
        <v>0</v>
      </c>
      <c r="J785" s="47">
        <v>0</v>
      </c>
      <c r="K785" s="47">
        <v>0</v>
      </c>
      <c r="L785" s="47">
        <v>0</v>
      </c>
      <c r="M785" s="893"/>
    </row>
    <row r="786" spans="1:13" hidden="1" outlineLevel="1" x14ac:dyDescent="0.2">
      <c r="A786" s="22" t="s">
        <v>1229</v>
      </c>
      <c r="B786" s="2" t="s">
        <v>252</v>
      </c>
      <c r="C786" s="2" t="s">
        <v>1232</v>
      </c>
      <c r="D786" s="710">
        <f t="shared" si="37"/>
        <v>0</v>
      </c>
      <c r="E786" s="4" t="s">
        <v>1096</v>
      </c>
      <c r="F786" s="47">
        <v>0</v>
      </c>
      <c r="G786" s="47">
        <v>0</v>
      </c>
      <c r="H786" s="47">
        <v>0</v>
      </c>
      <c r="I786" s="47">
        <v>0</v>
      </c>
      <c r="J786" s="47">
        <v>0</v>
      </c>
      <c r="K786" s="47">
        <v>0</v>
      </c>
      <c r="L786" s="47">
        <v>0</v>
      </c>
      <c r="M786" s="893"/>
    </row>
    <row r="787" spans="1:13" hidden="1" outlineLevel="1" x14ac:dyDescent="0.2">
      <c r="A787" s="22" t="s">
        <v>1229</v>
      </c>
      <c r="B787" s="2" t="s">
        <v>252</v>
      </c>
      <c r="C787" s="2" t="s">
        <v>1232</v>
      </c>
      <c r="D787" s="710">
        <f t="shared" si="37"/>
        <v>0</v>
      </c>
      <c r="E787" s="4" t="s">
        <v>22</v>
      </c>
      <c r="F787" s="47">
        <v>0</v>
      </c>
      <c r="G787" s="47">
        <v>0</v>
      </c>
      <c r="H787" s="47">
        <v>0</v>
      </c>
      <c r="I787" s="47">
        <v>0</v>
      </c>
      <c r="J787" s="47">
        <v>0</v>
      </c>
      <c r="K787" s="47">
        <v>0</v>
      </c>
      <c r="L787" s="47">
        <v>0</v>
      </c>
      <c r="M787" s="893"/>
    </row>
    <row r="788" spans="1:13" hidden="1" outlineLevel="1" x14ac:dyDescent="0.2">
      <c r="A788" s="91" t="s">
        <v>1229</v>
      </c>
      <c r="B788" s="3" t="s">
        <v>252</v>
      </c>
      <c r="C788" s="3" t="s">
        <v>1232</v>
      </c>
      <c r="D788" s="711">
        <f t="shared" si="37"/>
        <v>0</v>
      </c>
      <c r="E788" s="469" t="s">
        <v>23</v>
      </c>
      <c r="F788" s="48">
        <v>1</v>
      </c>
      <c r="G788" s="48">
        <v>1</v>
      </c>
      <c r="H788" s="48">
        <v>1</v>
      </c>
      <c r="I788" s="48">
        <v>1</v>
      </c>
      <c r="J788" s="48">
        <v>1</v>
      </c>
      <c r="K788" s="363">
        <v>0</v>
      </c>
      <c r="L788" s="363">
        <v>1</v>
      </c>
      <c r="M788" s="920"/>
    </row>
    <row r="789" spans="1:13" hidden="1" outlineLevel="1" x14ac:dyDescent="0.2">
      <c r="A789" s="92" t="s">
        <v>1229</v>
      </c>
      <c r="B789" s="81" t="s">
        <v>58</v>
      </c>
      <c r="C789" s="81" t="s">
        <v>1225</v>
      </c>
      <c r="D789" s="709">
        <f t="shared" si="37"/>
        <v>0</v>
      </c>
      <c r="E789" s="468" t="s">
        <v>4</v>
      </c>
      <c r="F789" s="381">
        <f t="shared" ref="F789:L791" si="38">F685+F711+F737+F763</f>
        <v>3</v>
      </c>
      <c r="G789" s="94">
        <f t="shared" si="38"/>
        <v>3</v>
      </c>
      <c r="H789" s="94">
        <f t="shared" si="38"/>
        <v>3</v>
      </c>
      <c r="I789" s="94">
        <f t="shared" si="38"/>
        <v>3</v>
      </c>
      <c r="J789" s="94">
        <f t="shared" si="38"/>
        <v>3</v>
      </c>
      <c r="K789" s="381">
        <f t="shared" ref="K789" si="39">K685+K711+K737+K763</f>
        <v>1</v>
      </c>
      <c r="L789" s="381">
        <f t="shared" si="38"/>
        <v>3</v>
      </c>
      <c r="M789" s="894"/>
    </row>
    <row r="790" spans="1:13" hidden="1" outlineLevel="1" x14ac:dyDescent="0.2">
      <c r="A790" s="22" t="s">
        <v>1229</v>
      </c>
      <c r="B790" s="2" t="s">
        <v>58</v>
      </c>
      <c r="C790" s="2" t="s">
        <v>1225</v>
      </c>
      <c r="D790" s="710">
        <f t="shared" si="37"/>
        <v>0</v>
      </c>
      <c r="E790" s="4" t="s">
        <v>5</v>
      </c>
      <c r="F790" s="74">
        <f t="shared" si="38"/>
        <v>0</v>
      </c>
      <c r="G790" s="74">
        <f t="shared" si="38"/>
        <v>0</v>
      </c>
      <c r="H790" s="74">
        <f t="shared" si="38"/>
        <v>0</v>
      </c>
      <c r="I790" s="74">
        <f t="shared" si="38"/>
        <v>0</v>
      </c>
      <c r="J790" s="74">
        <f t="shared" si="38"/>
        <v>0</v>
      </c>
      <c r="K790" s="74">
        <f t="shared" ref="K790" si="40">K686+K712+K738+K764</f>
        <v>0</v>
      </c>
      <c r="L790" s="74">
        <f t="shared" si="38"/>
        <v>0</v>
      </c>
      <c r="M790" s="895"/>
    </row>
    <row r="791" spans="1:13" hidden="1" outlineLevel="1" x14ac:dyDescent="0.2">
      <c r="A791" s="22" t="s">
        <v>1229</v>
      </c>
      <c r="B791" s="2" t="s">
        <v>58</v>
      </c>
      <c r="C791" s="2" t="s">
        <v>1225</v>
      </c>
      <c r="D791" s="710">
        <f t="shared" si="37"/>
        <v>0</v>
      </c>
      <c r="E791" s="4" t="s">
        <v>6</v>
      </c>
      <c r="F791" s="74">
        <f t="shared" si="38"/>
        <v>0</v>
      </c>
      <c r="G791" s="74">
        <f t="shared" si="38"/>
        <v>0</v>
      </c>
      <c r="H791" s="74">
        <f t="shared" si="38"/>
        <v>0</v>
      </c>
      <c r="I791" s="74">
        <f t="shared" si="38"/>
        <v>0</v>
      </c>
      <c r="J791" s="74">
        <f t="shared" si="38"/>
        <v>0</v>
      </c>
      <c r="K791" s="74">
        <f t="shared" ref="K791" si="41">K687+K713+K739+K765</f>
        <v>0</v>
      </c>
      <c r="L791" s="74">
        <f t="shared" si="38"/>
        <v>0</v>
      </c>
      <c r="M791" s="895"/>
    </row>
    <row r="792" spans="1:13" hidden="1" outlineLevel="1" x14ac:dyDescent="0.2">
      <c r="A792" s="22" t="s">
        <v>1229</v>
      </c>
      <c r="B792" s="2" t="s">
        <v>58</v>
      </c>
      <c r="C792" s="2" t="s">
        <v>1225</v>
      </c>
      <c r="D792" s="710">
        <f t="shared" si="37"/>
        <v>0</v>
      </c>
      <c r="E792" s="4" t="s">
        <v>143</v>
      </c>
      <c r="F792" s="74">
        <f t="shared" ref="F792:L792" si="42">F688+F714+F740+F766</f>
        <v>1</v>
      </c>
      <c r="G792" s="74">
        <f t="shared" si="42"/>
        <v>1</v>
      </c>
      <c r="H792" s="74">
        <f t="shared" si="42"/>
        <v>1</v>
      </c>
      <c r="I792" s="74">
        <f t="shared" si="42"/>
        <v>1</v>
      </c>
      <c r="J792" s="74">
        <f t="shared" si="42"/>
        <v>1</v>
      </c>
      <c r="K792" s="74">
        <f t="shared" ref="K792" si="43">K688+K714+K740+K766</f>
        <v>0</v>
      </c>
      <c r="L792" s="74">
        <f t="shared" si="42"/>
        <v>1</v>
      </c>
      <c r="M792" s="895"/>
    </row>
    <row r="793" spans="1:13" hidden="1" outlineLevel="1" x14ac:dyDescent="0.2">
      <c r="A793" s="22" t="s">
        <v>1229</v>
      </c>
      <c r="B793" s="2" t="s">
        <v>58</v>
      </c>
      <c r="C793" s="2" t="s">
        <v>1225</v>
      </c>
      <c r="D793" s="710">
        <f t="shared" si="37"/>
        <v>0</v>
      </c>
      <c r="E793" s="4" t="s">
        <v>7</v>
      </c>
      <c r="F793" s="74">
        <f t="shared" ref="F793:L793" si="44">F689+F715+F741+F767</f>
        <v>0</v>
      </c>
      <c r="G793" s="74">
        <f t="shared" si="44"/>
        <v>0</v>
      </c>
      <c r="H793" s="74">
        <f t="shared" si="44"/>
        <v>0</v>
      </c>
      <c r="I793" s="74">
        <f t="shared" si="44"/>
        <v>0</v>
      </c>
      <c r="J793" s="74">
        <f t="shared" si="44"/>
        <v>0</v>
      </c>
      <c r="K793" s="74">
        <f t="shared" ref="K793" si="45">K689+K715+K741+K767</f>
        <v>0</v>
      </c>
      <c r="L793" s="74">
        <f t="shared" si="44"/>
        <v>0</v>
      </c>
      <c r="M793" s="895"/>
    </row>
    <row r="794" spans="1:13" hidden="1" outlineLevel="1" x14ac:dyDescent="0.2">
      <c r="A794" s="22" t="s">
        <v>1229</v>
      </c>
      <c r="B794" s="2" t="s">
        <v>58</v>
      </c>
      <c r="C794" s="2" t="s">
        <v>1225</v>
      </c>
      <c r="D794" s="710">
        <f t="shared" si="37"/>
        <v>0</v>
      </c>
      <c r="E794" s="4" t="s">
        <v>31</v>
      </c>
      <c r="F794" s="74">
        <f t="shared" ref="F794:L794" si="46">F690+F716+F742+F768</f>
        <v>4</v>
      </c>
      <c r="G794" s="74">
        <f t="shared" si="46"/>
        <v>4</v>
      </c>
      <c r="H794" s="74">
        <f t="shared" si="46"/>
        <v>4</v>
      </c>
      <c r="I794" s="74">
        <f t="shared" si="46"/>
        <v>4</v>
      </c>
      <c r="J794" s="74">
        <f t="shared" si="46"/>
        <v>4</v>
      </c>
      <c r="K794" s="74">
        <f t="shared" ref="K794" si="47">K690+K716+K742+K768</f>
        <v>4</v>
      </c>
      <c r="L794" s="74">
        <f t="shared" si="46"/>
        <v>4</v>
      </c>
      <c r="M794" s="895"/>
    </row>
    <row r="795" spans="1:13" hidden="1" outlineLevel="1" x14ac:dyDescent="0.2">
      <c r="A795" s="22" t="s">
        <v>1229</v>
      </c>
      <c r="B795" s="2" t="s">
        <v>58</v>
      </c>
      <c r="C795" s="2" t="s">
        <v>1225</v>
      </c>
      <c r="D795" s="710">
        <f t="shared" si="37"/>
        <v>0</v>
      </c>
      <c r="E795" s="4" t="s">
        <v>8</v>
      </c>
      <c r="F795" s="74">
        <f t="shared" ref="F795:L795" si="48">F691+F717+F743+F769</f>
        <v>3</v>
      </c>
      <c r="G795" s="74">
        <f t="shared" si="48"/>
        <v>3</v>
      </c>
      <c r="H795" s="74">
        <f t="shared" si="48"/>
        <v>3</v>
      </c>
      <c r="I795" s="74">
        <f t="shared" si="48"/>
        <v>3</v>
      </c>
      <c r="J795" s="74">
        <f t="shared" si="48"/>
        <v>3</v>
      </c>
      <c r="K795" s="74">
        <f t="shared" ref="K795" si="49">K691+K717+K743+K769</f>
        <v>3</v>
      </c>
      <c r="L795" s="74">
        <f t="shared" si="48"/>
        <v>3</v>
      </c>
      <c r="M795" s="895"/>
    </row>
    <row r="796" spans="1:13" hidden="1" outlineLevel="1" x14ac:dyDescent="0.2">
      <c r="A796" s="22" t="s">
        <v>1229</v>
      </c>
      <c r="B796" s="2" t="s">
        <v>58</v>
      </c>
      <c r="C796" s="2" t="s">
        <v>1225</v>
      </c>
      <c r="D796" s="710">
        <f t="shared" si="37"/>
        <v>0</v>
      </c>
      <c r="E796" s="4" t="s">
        <v>9</v>
      </c>
      <c r="F796" s="74">
        <f t="shared" ref="F796:L796" si="50">F692+F718+F744+F770</f>
        <v>1</v>
      </c>
      <c r="G796" s="74">
        <f t="shared" si="50"/>
        <v>1</v>
      </c>
      <c r="H796" s="74">
        <f t="shared" si="50"/>
        <v>1</v>
      </c>
      <c r="I796" s="74">
        <f t="shared" si="50"/>
        <v>1</v>
      </c>
      <c r="J796" s="74">
        <f t="shared" si="50"/>
        <v>1</v>
      </c>
      <c r="K796" s="74">
        <f t="shared" ref="K796" si="51">K692+K718+K744+K770</f>
        <v>2</v>
      </c>
      <c r="L796" s="74">
        <f t="shared" si="50"/>
        <v>1</v>
      </c>
      <c r="M796" s="895"/>
    </row>
    <row r="797" spans="1:13" hidden="1" outlineLevel="1" x14ac:dyDescent="0.2">
      <c r="A797" s="22" t="s">
        <v>1229</v>
      </c>
      <c r="B797" s="2" t="s">
        <v>58</v>
      </c>
      <c r="C797" s="2" t="s">
        <v>1225</v>
      </c>
      <c r="D797" s="710">
        <f t="shared" si="37"/>
        <v>0</v>
      </c>
      <c r="E797" s="4" t="s">
        <v>10</v>
      </c>
      <c r="F797" s="74">
        <f t="shared" ref="F797:L797" si="52">F693+F719+F745+F771</f>
        <v>1</v>
      </c>
      <c r="G797" s="74">
        <f t="shared" si="52"/>
        <v>1</v>
      </c>
      <c r="H797" s="74">
        <f t="shared" si="52"/>
        <v>1</v>
      </c>
      <c r="I797" s="74">
        <f t="shared" si="52"/>
        <v>1</v>
      </c>
      <c r="J797" s="74">
        <f t="shared" si="52"/>
        <v>1</v>
      </c>
      <c r="K797" s="74">
        <f t="shared" ref="K797" si="53">K693+K719+K745+K771</f>
        <v>2</v>
      </c>
      <c r="L797" s="74">
        <f t="shared" si="52"/>
        <v>1</v>
      </c>
      <c r="M797" s="895"/>
    </row>
    <row r="798" spans="1:13" hidden="1" outlineLevel="1" x14ac:dyDescent="0.2">
      <c r="A798" s="22" t="s">
        <v>1229</v>
      </c>
      <c r="B798" s="2" t="s">
        <v>58</v>
      </c>
      <c r="C798" s="2" t="s">
        <v>1225</v>
      </c>
      <c r="D798" s="710">
        <f t="shared" si="37"/>
        <v>0</v>
      </c>
      <c r="E798" s="4" t="s">
        <v>11</v>
      </c>
      <c r="F798" s="74">
        <f t="shared" ref="F798:L798" si="54">F694+F720+F746+F772</f>
        <v>1</v>
      </c>
      <c r="G798" s="74">
        <f t="shared" si="54"/>
        <v>1</v>
      </c>
      <c r="H798" s="74">
        <f t="shared" si="54"/>
        <v>1</v>
      </c>
      <c r="I798" s="74">
        <f t="shared" si="54"/>
        <v>1</v>
      </c>
      <c r="J798" s="74">
        <f t="shared" si="54"/>
        <v>1</v>
      </c>
      <c r="K798" s="74">
        <f t="shared" ref="K798" si="55">K694+K720+K746+K772</f>
        <v>1</v>
      </c>
      <c r="L798" s="74">
        <f t="shared" si="54"/>
        <v>1</v>
      </c>
      <c r="M798" s="895"/>
    </row>
    <row r="799" spans="1:13" hidden="1" outlineLevel="1" x14ac:dyDescent="0.2">
      <c r="A799" s="22" t="s">
        <v>1229</v>
      </c>
      <c r="B799" s="2" t="s">
        <v>58</v>
      </c>
      <c r="C799" s="2" t="s">
        <v>1225</v>
      </c>
      <c r="D799" s="710">
        <f t="shared" si="37"/>
        <v>0</v>
      </c>
      <c r="E799" s="4" t="s">
        <v>12</v>
      </c>
      <c r="F799" s="74">
        <f t="shared" ref="F799:L799" si="56">F695+F721+F747+F773</f>
        <v>0</v>
      </c>
      <c r="G799" s="74">
        <f t="shared" si="56"/>
        <v>0</v>
      </c>
      <c r="H799" s="74">
        <f t="shared" si="56"/>
        <v>0</v>
      </c>
      <c r="I799" s="74">
        <f t="shared" si="56"/>
        <v>0</v>
      </c>
      <c r="J799" s="74">
        <f t="shared" si="56"/>
        <v>0</v>
      </c>
      <c r="K799" s="74">
        <f t="shared" ref="K799" si="57">K695+K721+K747+K773</f>
        <v>0</v>
      </c>
      <c r="L799" s="74">
        <f t="shared" si="56"/>
        <v>0</v>
      </c>
      <c r="M799" s="895"/>
    </row>
    <row r="800" spans="1:13" hidden="1" outlineLevel="1" x14ac:dyDescent="0.2">
      <c r="A800" s="22" t="s">
        <v>1229</v>
      </c>
      <c r="B800" s="2" t="s">
        <v>58</v>
      </c>
      <c r="C800" s="2" t="s">
        <v>1225</v>
      </c>
      <c r="D800" s="710">
        <f t="shared" si="37"/>
        <v>0</v>
      </c>
      <c r="E800" s="4" t="s">
        <v>1</v>
      </c>
      <c r="F800" s="74">
        <f t="shared" ref="F800:L800" si="58">F696+F722+F748+F774</f>
        <v>1</v>
      </c>
      <c r="G800" s="74">
        <f t="shared" si="58"/>
        <v>1</v>
      </c>
      <c r="H800" s="74">
        <f t="shared" si="58"/>
        <v>1</v>
      </c>
      <c r="I800" s="74">
        <f t="shared" si="58"/>
        <v>1</v>
      </c>
      <c r="J800" s="74">
        <f t="shared" si="58"/>
        <v>1</v>
      </c>
      <c r="K800" s="74">
        <f t="shared" ref="K800" si="59">K696+K722+K748+K774</f>
        <v>1</v>
      </c>
      <c r="L800" s="74">
        <f t="shared" si="58"/>
        <v>1</v>
      </c>
      <c r="M800" s="895"/>
    </row>
    <row r="801" spans="1:13" hidden="1" outlineLevel="1" x14ac:dyDescent="0.2">
      <c r="A801" s="22" t="s">
        <v>1229</v>
      </c>
      <c r="B801" s="2" t="s">
        <v>58</v>
      </c>
      <c r="C801" s="2" t="s">
        <v>1225</v>
      </c>
      <c r="D801" s="710">
        <f t="shared" si="37"/>
        <v>0</v>
      </c>
      <c r="E801" s="4" t="s">
        <v>13</v>
      </c>
      <c r="F801" s="74">
        <f t="shared" ref="F801:L801" si="60">F697+F723+F749+F775</f>
        <v>1</v>
      </c>
      <c r="G801" s="74">
        <f t="shared" si="60"/>
        <v>1</v>
      </c>
      <c r="H801" s="74">
        <f t="shared" si="60"/>
        <v>1</v>
      </c>
      <c r="I801" s="74">
        <f t="shared" si="60"/>
        <v>1</v>
      </c>
      <c r="J801" s="74">
        <f t="shared" si="60"/>
        <v>1</v>
      </c>
      <c r="K801" s="74">
        <f t="shared" ref="K801" si="61">K697+K723+K749+K775</f>
        <v>1</v>
      </c>
      <c r="L801" s="74">
        <f t="shared" si="60"/>
        <v>1</v>
      </c>
      <c r="M801" s="895"/>
    </row>
    <row r="802" spans="1:13" hidden="1" outlineLevel="1" x14ac:dyDescent="0.2">
      <c r="A802" s="22" t="s">
        <v>1229</v>
      </c>
      <c r="B802" s="2" t="s">
        <v>58</v>
      </c>
      <c r="C802" s="2" t="s">
        <v>1225</v>
      </c>
      <c r="D802" s="710">
        <f t="shared" si="37"/>
        <v>0</v>
      </c>
      <c r="E802" s="4" t="s">
        <v>14</v>
      </c>
      <c r="F802" s="74">
        <f t="shared" ref="F802:L802" si="62">F698+F724+F750+F776</f>
        <v>0</v>
      </c>
      <c r="G802" s="74">
        <f t="shared" si="62"/>
        <v>0</v>
      </c>
      <c r="H802" s="74">
        <f t="shared" si="62"/>
        <v>0</v>
      </c>
      <c r="I802" s="74">
        <f t="shared" si="62"/>
        <v>0</v>
      </c>
      <c r="J802" s="74">
        <f t="shared" si="62"/>
        <v>0</v>
      </c>
      <c r="K802" s="74">
        <f t="shared" ref="K802" si="63">K698+K724+K750+K776</f>
        <v>0</v>
      </c>
      <c r="L802" s="74">
        <f t="shared" si="62"/>
        <v>0</v>
      </c>
      <c r="M802" s="895"/>
    </row>
    <row r="803" spans="1:13" hidden="1" outlineLevel="1" x14ac:dyDescent="0.2">
      <c r="A803" s="22" t="s">
        <v>1229</v>
      </c>
      <c r="B803" s="2" t="s">
        <v>58</v>
      </c>
      <c r="C803" s="2" t="s">
        <v>1225</v>
      </c>
      <c r="D803" s="710">
        <f t="shared" si="37"/>
        <v>0</v>
      </c>
      <c r="E803" s="4" t="s">
        <v>15</v>
      </c>
      <c r="F803" s="74">
        <f t="shared" ref="F803:L803" si="64">F699+F725+F751+F777</f>
        <v>0</v>
      </c>
      <c r="G803" s="74">
        <f t="shared" si="64"/>
        <v>0</v>
      </c>
      <c r="H803" s="74">
        <f t="shared" si="64"/>
        <v>0</v>
      </c>
      <c r="I803" s="74">
        <f t="shared" si="64"/>
        <v>0</v>
      </c>
      <c r="J803" s="74">
        <f t="shared" si="64"/>
        <v>0</v>
      </c>
      <c r="K803" s="74">
        <f t="shared" ref="K803" si="65">K699+K725+K751+K777</f>
        <v>0</v>
      </c>
      <c r="L803" s="74">
        <f t="shared" si="64"/>
        <v>0</v>
      </c>
      <c r="M803" s="895"/>
    </row>
    <row r="804" spans="1:13" hidden="1" outlineLevel="1" x14ac:dyDescent="0.2">
      <c r="A804" s="22" t="s">
        <v>1229</v>
      </c>
      <c r="B804" s="2" t="s">
        <v>58</v>
      </c>
      <c r="C804" s="2" t="s">
        <v>1225</v>
      </c>
      <c r="D804" s="710">
        <f t="shared" si="37"/>
        <v>0</v>
      </c>
      <c r="E804" s="4" t="s">
        <v>16</v>
      </c>
      <c r="F804" s="74">
        <f t="shared" ref="F804:L804" si="66">F700+F726+F752+F778</f>
        <v>1</v>
      </c>
      <c r="G804" s="74">
        <f t="shared" si="66"/>
        <v>1</v>
      </c>
      <c r="H804" s="74">
        <f t="shared" si="66"/>
        <v>1</v>
      </c>
      <c r="I804" s="74">
        <f t="shared" si="66"/>
        <v>1</v>
      </c>
      <c r="J804" s="74">
        <f t="shared" si="66"/>
        <v>1</v>
      </c>
      <c r="K804" s="74">
        <f t="shared" ref="K804" si="67">K700+K726+K752+K778</f>
        <v>1</v>
      </c>
      <c r="L804" s="74">
        <f t="shared" si="66"/>
        <v>1</v>
      </c>
      <c r="M804" s="895"/>
    </row>
    <row r="805" spans="1:13" hidden="1" outlineLevel="1" x14ac:dyDescent="0.2">
      <c r="A805" s="22" t="s">
        <v>1229</v>
      </c>
      <c r="B805" s="2" t="s">
        <v>58</v>
      </c>
      <c r="C805" s="2" t="s">
        <v>1225</v>
      </c>
      <c r="D805" s="710">
        <f t="shared" si="37"/>
        <v>0</v>
      </c>
      <c r="E805" s="4" t="s">
        <v>17</v>
      </c>
      <c r="F805" s="74">
        <f t="shared" ref="F805:L805" si="68">F701+F727+F753+F779</f>
        <v>1</v>
      </c>
      <c r="G805" s="74">
        <f t="shared" si="68"/>
        <v>1</v>
      </c>
      <c r="H805" s="74">
        <f t="shared" si="68"/>
        <v>1</v>
      </c>
      <c r="I805" s="74">
        <f t="shared" si="68"/>
        <v>1</v>
      </c>
      <c r="J805" s="74">
        <f t="shared" si="68"/>
        <v>1</v>
      </c>
      <c r="K805" s="74">
        <f t="shared" ref="K805" si="69">K701+K727+K753+K779</f>
        <v>1</v>
      </c>
      <c r="L805" s="74">
        <f t="shared" si="68"/>
        <v>1</v>
      </c>
      <c r="M805" s="895"/>
    </row>
    <row r="806" spans="1:13" hidden="1" outlineLevel="1" x14ac:dyDescent="0.2">
      <c r="A806" s="22" t="s">
        <v>1229</v>
      </c>
      <c r="B806" s="2" t="s">
        <v>58</v>
      </c>
      <c r="C806" s="2" t="s">
        <v>1225</v>
      </c>
      <c r="D806" s="710">
        <f t="shared" si="37"/>
        <v>0</v>
      </c>
      <c r="E806" s="4" t="s">
        <v>18</v>
      </c>
      <c r="F806" s="74">
        <f t="shared" ref="F806:L806" si="70">F702+F728+F754+F780</f>
        <v>1</v>
      </c>
      <c r="G806" s="74">
        <f t="shared" si="70"/>
        <v>1</v>
      </c>
      <c r="H806" s="74">
        <f t="shared" si="70"/>
        <v>1</v>
      </c>
      <c r="I806" s="74">
        <f t="shared" si="70"/>
        <v>1</v>
      </c>
      <c r="J806" s="74">
        <f t="shared" si="70"/>
        <v>1</v>
      </c>
      <c r="K806" s="74">
        <f t="shared" ref="K806" si="71">K702+K728+K754+K780</f>
        <v>2</v>
      </c>
      <c r="L806" s="74">
        <f t="shared" si="70"/>
        <v>1</v>
      </c>
      <c r="M806" s="895"/>
    </row>
    <row r="807" spans="1:13" hidden="1" outlineLevel="1" x14ac:dyDescent="0.2">
      <c r="A807" s="22" t="s">
        <v>1229</v>
      </c>
      <c r="B807" s="2" t="s">
        <v>58</v>
      </c>
      <c r="C807" s="2" t="s">
        <v>1225</v>
      </c>
      <c r="D807" s="710">
        <f t="shared" si="37"/>
        <v>0</v>
      </c>
      <c r="E807" s="4" t="s">
        <v>2</v>
      </c>
      <c r="F807" s="74">
        <f t="shared" ref="F807:L807" si="72">F703+F729+F755+F781</f>
        <v>1</v>
      </c>
      <c r="G807" s="74">
        <f t="shared" si="72"/>
        <v>1</v>
      </c>
      <c r="H807" s="74">
        <f t="shared" si="72"/>
        <v>1</v>
      </c>
      <c r="I807" s="74">
        <f t="shared" si="72"/>
        <v>1</v>
      </c>
      <c r="J807" s="74">
        <f t="shared" si="72"/>
        <v>1</v>
      </c>
      <c r="K807" s="74">
        <f t="shared" ref="K807" si="73">K703+K729+K755+K781</f>
        <v>1</v>
      </c>
      <c r="L807" s="74">
        <f t="shared" si="72"/>
        <v>1</v>
      </c>
      <c r="M807" s="895"/>
    </row>
    <row r="808" spans="1:13" hidden="1" outlineLevel="1" x14ac:dyDescent="0.2">
      <c r="A808" s="22" t="s">
        <v>1229</v>
      </c>
      <c r="B808" s="2" t="s">
        <v>58</v>
      </c>
      <c r="C808" s="2" t="s">
        <v>1225</v>
      </c>
      <c r="D808" s="710">
        <f t="shared" si="37"/>
        <v>0</v>
      </c>
      <c r="E808" s="4" t="s">
        <v>19</v>
      </c>
      <c r="F808" s="74">
        <f t="shared" ref="F808:L808" si="74">F704+F730+F756+F782</f>
        <v>2</v>
      </c>
      <c r="G808" s="74">
        <f t="shared" si="74"/>
        <v>2</v>
      </c>
      <c r="H808" s="74">
        <f t="shared" si="74"/>
        <v>2</v>
      </c>
      <c r="I808" s="74">
        <f t="shared" si="74"/>
        <v>2</v>
      </c>
      <c r="J808" s="74">
        <f t="shared" si="74"/>
        <v>2</v>
      </c>
      <c r="K808" s="74">
        <f t="shared" ref="K808" si="75">K704+K730+K756+K782</f>
        <v>2</v>
      </c>
      <c r="L808" s="74">
        <f t="shared" si="74"/>
        <v>2</v>
      </c>
      <c r="M808" s="895"/>
    </row>
    <row r="809" spans="1:13" hidden="1" outlineLevel="1" x14ac:dyDescent="0.2">
      <c r="A809" s="22" t="s">
        <v>1229</v>
      </c>
      <c r="B809" s="2" t="s">
        <v>58</v>
      </c>
      <c r="C809" s="2" t="s">
        <v>1225</v>
      </c>
      <c r="D809" s="710">
        <f t="shared" si="37"/>
        <v>0</v>
      </c>
      <c r="E809" s="4" t="s">
        <v>3</v>
      </c>
      <c r="F809" s="74">
        <f t="shared" ref="F809:L809" si="76">F705+F731+F757+F783</f>
        <v>0</v>
      </c>
      <c r="G809" s="74">
        <f t="shared" si="76"/>
        <v>0</v>
      </c>
      <c r="H809" s="74">
        <f t="shared" si="76"/>
        <v>0</v>
      </c>
      <c r="I809" s="74">
        <f t="shared" si="76"/>
        <v>0</v>
      </c>
      <c r="J809" s="74">
        <f t="shared" si="76"/>
        <v>0</v>
      </c>
      <c r="K809" s="74">
        <f t="shared" ref="K809" si="77">K705+K731+K757+K783</f>
        <v>1</v>
      </c>
      <c r="L809" s="74">
        <f t="shared" si="76"/>
        <v>0</v>
      </c>
      <c r="M809" s="895"/>
    </row>
    <row r="810" spans="1:13" hidden="1" outlineLevel="1" x14ac:dyDescent="0.2">
      <c r="A810" s="22" t="s">
        <v>1229</v>
      </c>
      <c r="B810" s="2" t="s">
        <v>58</v>
      </c>
      <c r="C810" s="2" t="s">
        <v>1225</v>
      </c>
      <c r="D810" s="710">
        <f t="shared" si="37"/>
        <v>0</v>
      </c>
      <c r="E810" s="4" t="s">
        <v>20</v>
      </c>
      <c r="F810" s="74">
        <f t="shared" ref="F810:L810" si="78">F706+F732+F758+F784</f>
        <v>1</v>
      </c>
      <c r="G810" s="74">
        <f t="shared" si="78"/>
        <v>1</v>
      </c>
      <c r="H810" s="74">
        <f t="shared" si="78"/>
        <v>1</v>
      </c>
      <c r="I810" s="74">
        <f t="shared" si="78"/>
        <v>1</v>
      </c>
      <c r="J810" s="74">
        <f t="shared" si="78"/>
        <v>1</v>
      </c>
      <c r="K810" s="74">
        <f t="shared" ref="K810" si="79">K706+K732+K758+K784</f>
        <v>2</v>
      </c>
      <c r="L810" s="74">
        <f t="shared" si="78"/>
        <v>1</v>
      </c>
      <c r="M810" s="895"/>
    </row>
    <row r="811" spans="1:13" hidden="1" outlineLevel="1" x14ac:dyDescent="0.2">
      <c r="A811" s="22" t="s">
        <v>1229</v>
      </c>
      <c r="B811" s="2" t="s">
        <v>58</v>
      </c>
      <c r="C811" s="2" t="s">
        <v>1225</v>
      </c>
      <c r="D811" s="710">
        <f t="shared" si="37"/>
        <v>0</v>
      </c>
      <c r="E811" s="4" t="s">
        <v>21</v>
      </c>
      <c r="F811" s="74">
        <f t="shared" ref="F811:L811" si="80">F707+F733+F759+F785</f>
        <v>0</v>
      </c>
      <c r="G811" s="74">
        <f t="shared" si="80"/>
        <v>0</v>
      </c>
      <c r="H811" s="74">
        <f t="shared" si="80"/>
        <v>0</v>
      </c>
      <c r="I811" s="74">
        <f t="shared" si="80"/>
        <v>0</v>
      </c>
      <c r="J811" s="74">
        <f t="shared" si="80"/>
        <v>0</v>
      </c>
      <c r="K811" s="74">
        <f t="shared" ref="K811" si="81">K707+K733+K759+K785</f>
        <v>0</v>
      </c>
      <c r="L811" s="74">
        <f t="shared" si="80"/>
        <v>0</v>
      </c>
      <c r="M811" s="895"/>
    </row>
    <row r="812" spans="1:13" hidden="1" outlineLevel="1" x14ac:dyDescent="0.2">
      <c r="A812" s="22" t="s">
        <v>1229</v>
      </c>
      <c r="B812" s="2" t="s">
        <v>58</v>
      </c>
      <c r="C812" s="2" t="s">
        <v>1225</v>
      </c>
      <c r="D812" s="710">
        <f t="shared" si="37"/>
        <v>0</v>
      </c>
      <c r="E812" s="4" t="s">
        <v>1096</v>
      </c>
      <c r="F812" s="74">
        <f t="shared" ref="F812:L812" si="82">F708+F734+F760+F786</f>
        <v>1</v>
      </c>
      <c r="G812" s="74">
        <f t="shared" si="82"/>
        <v>1</v>
      </c>
      <c r="H812" s="74">
        <f t="shared" si="82"/>
        <v>1</v>
      </c>
      <c r="I812" s="74">
        <f t="shared" si="82"/>
        <v>1</v>
      </c>
      <c r="J812" s="74">
        <f t="shared" si="82"/>
        <v>1</v>
      </c>
      <c r="K812" s="74">
        <f t="shared" ref="K812" si="83">K708+K734+K760+K786</f>
        <v>1</v>
      </c>
      <c r="L812" s="74">
        <f t="shared" si="82"/>
        <v>1</v>
      </c>
      <c r="M812" s="895"/>
    </row>
    <row r="813" spans="1:13" hidden="1" outlineLevel="1" x14ac:dyDescent="0.2">
      <c r="A813" s="22" t="s">
        <v>1229</v>
      </c>
      <c r="B813" s="2" t="s">
        <v>58</v>
      </c>
      <c r="C813" s="2" t="s">
        <v>1225</v>
      </c>
      <c r="D813" s="710">
        <f t="shared" si="37"/>
        <v>0</v>
      </c>
      <c r="E813" s="4" t="s">
        <v>22</v>
      </c>
      <c r="F813" s="74">
        <f t="shared" ref="F813:L813" si="84">F709+F735+F761+F787</f>
        <v>1</v>
      </c>
      <c r="G813" s="74">
        <f t="shared" si="84"/>
        <v>1</v>
      </c>
      <c r="H813" s="74">
        <f t="shared" si="84"/>
        <v>1</v>
      </c>
      <c r="I813" s="74">
        <f t="shared" si="84"/>
        <v>1</v>
      </c>
      <c r="J813" s="74">
        <f t="shared" si="84"/>
        <v>1</v>
      </c>
      <c r="K813" s="74">
        <f t="shared" ref="K813" si="85">K709+K735+K761+K787</f>
        <v>2</v>
      </c>
      <c r="L813" s="74">
        <f t="shared" si="84"/>
        <v>1</v>
      </c>
      <c r="M813" s="895"/>
    </row>
    <row r="814" spans="1:13" hidden="1" outlineLevel="1" x14ac:dyDescent="0.2">
      <c r="A814" s="22" t="s">
        <v>1229</v>
      </c>
      <c r="B814" s="2" t="s">
        <v>58</v>
      </c>
      <c r="C814" s="2" t="s">
        <v>1225</v>
      </c>
      <c r="D814" s="916">
        <f t="shared" si="37"/>
        <v>0</v>
      </c>
      <c r="E814" s="4" t="s">
        <v>23</v>
      </c>
      <c r="F814" s="74">
        <f t="shared" ref="F814:L814" si="86">F710+F736+F762+F788</f>
        <v>3</v>
      </c>
      <c r="G814" s="74">
        <f t="shared" si="86"/>
        <v>3</v>
      </c>
      <c r="H814" s="74">
        <f t="shared" si="86"/>
        <v>3</v>
      </c>
      <c r="I814" s="74">
        <f t="shared" si="86"/>
        <v>3</v>
      </c>
      <c r="J814" s="74">
        <f t="shared" si="86"/>
        <v>3</v>
      </c>
      <c r="K814" s="74">
        <f t="shared" ref="K814" si="87">K710+K736+K762+K788</f>
        <v>1</v>
      </c>
      <c r="L814" s="74">
        <f t="shared" si="86"/>
        <v>3</v>
      </c>
      <c r="M814" s="895"/>
    </row>
    <row r="815" spans="1:13" collapsed="1" x14ac:dyDescent="0.2">
      <c r="A815" s="909" t="s">
        <v>1502</v>
      </c>
      <c r="B815" s="910"/>
      <c r="C815" s="910"/>
      <c r="D815" s="911"/>
      <c r="E815" s="910"/>
      <c r="F815" s="912"/>
      <c r="G815" s="912"/>
      <c r="H815" s="912"/>
      <c r="I815" s="912"/>
      <c r="J815" s="912"/>
      <c r="K815" s="912"/>
      <c r="L815" s="912"/>
      <c r="M815" s="891"/>
    </row>
    <row r="816" spans="1:13" hidden="1" outlineLevel="1" x14ac:dyDescent="0.2">
      <c r="A816" s="22" t="s">
        <v>1502</v>
      </c>
      <c r="B816" s="2" t="s">
        <v>252</v>
      </c>
      <c r="C816" s="2" t="s">
        <v>1503</v>
      </c>
      <c r="D816" s="718">
        <v>1</v>
      </c>
      <c r="E816" s="4" t="s">
        <v>4</v>
      </c>
      <c r="F816" s="47">
        <f>G816</f>
        <v>0</v>
      </c>
      <c r="G816" s="47">
        <f>H816</f>
        <v>0</v>
      </c>
      <c r="H816" s="47">
        <f>I816</f>
        <v>0</v>
      </c>
      <c r="I816" s="47">
        <f>J816</f>
        <v>0</v>
      </c>
      <c r="J816" s="47">
        <f>K816</f>
        <v>0</v>
      </c>
      <c r="K816" s="47">
        <v>0</v>
      </c>
      <c r="L816" s="47">
        <v>0</v>
      </c>
      <c r="M816" s="893"/>
    </row>
    <row r="817" spans="1:13" hidden="1" outlineLevel="1" x14ac:dyDescent="0.2">
      <c r="A817" s="22" t="s">
        <v>1502</v>
      </c>
      <c r="B817" s="2" t="s">
        <v>252</v>
      </c>
      <c r="C817" s="2" t="s">
        <v>1503</v>
      </c>
      <c r="D817" s="716">
        <v>1</v>
      </c>
      <c r="E817" s="4" t="s">
        <v>5</v>
      </c>
      <c r="F817" s="47">
        <f t="shared" ref="F817:J880" si="88">G817</f>
        <v>0</v>
      </c>
      <c r="G817" s="47">
        <f t="shared" si="88"/>
        <v>0</v>
      </c>
      <c r="H817" s="47">
        <f t="shared" si="88"/>
        <v>0</v>
      </c>
      <c r="I817" s="47">
        <f t="shared" si="88"/>
        <v>0</v>
      </c>
      <c r="J817" s="47">
        <f t="shared" si="88"/>
        <v>0</v>
      </c>
      <c r="K817" s="47">
        <v>0</v>
      </c>
      <c r="L817" s="47">
        <v>0</v>
      </c>
      <c r="M817" s="893"/>
    </row>
    <row r="818" spans="1:13" hidden="1" outlineLevel="1" x14ac:dyDescent="0.2">
      <c r="A818" s="22" t="s">
        <v>1502</v>
      </c>
      <c r="B818" s="2" t="s">
        <v>252</v>
      </c>
      <c r="C818" s="2" t="s">
        <v>1503</v>
      </c>
      <c r="D818" s="716">
        <v>1</v>
      </c>
      <c r="E818" s="4" t="s">
        <v>6</v>
      </c>
      <c r="F818" s="47">
        <f t="shared" si="88"/>
        <v>0</v>
      </c>
      <c r="G818" s="47">
        <f t="shared" si="88"/>
        <v>0</v>
      </c>
      <c r="H818" s="47">
        <f t="shared" si="88"/>
        <v>0</v>
      </c>
      <c r="I818" s="47">
        <f t="shared" si="88"/>
        <v>0</v>
      </c>
      <c r="J818" s="47">
        <f t="shared" si="88"/>
        <v>0</v>
      </c>
      <c r="K818" s="47">
        <v>0</v>
      </c>
      <c r="L818" s="47">
        <v>0</v>
      </c>
      <c r="M818" s="893"/>
    </row>
    <row r="819" spans="1:13" hidden="1" outlineLevel="1" x14ac:dyDescent="0.2">
      <c r="A819" s="22" t="s">
        <v>1502</v>
      </c>
      <c r="B819" s="2" t="s">
        <v>252</v>
      </c>
      <c r="C819" s="2" t="s">
        <v>1503</v>
      </c>
      <c r="D819" s="716">
        <v>1</v>
      </c>
      <c r="E819" s="4" t="s">
        <v>143</v>
      </c>
      <c r="F819" s="47">
        <f t="shared" si="88"/>
        <v>0</v>
      </c>
      <c r="G819" s="47">
        <f t="shared" si="88"/>
        <v>0</v>
      </c>
      <c r="H819" s="47">
        <f t="shared" si="88"/>
        <v>0</v>
      </c>
      <c r="I819" s="47">
        <f t="shared" si="88"/>
        <v>0</v>
      </c>
      <c r="J819" s="47">
        <f t="shared" si="88"/>
        <v>0</v>
      </c>
      <c r="K819" s="47">
        <v>0</v>
      </c>
      <c r="L819" s="47">
        <v>0</v>
      </c>
      <c r="M819" s="893"/>
    </row>
    <row r="820" spans="1:13" hidden="1" outlineLevel="1" x14ac:dyDescent="0.2">
      <c r="A820" s="22" t="s">
        <v>1502</v>
      </c>
      <c r="B820" s="2" t="s">
        <v>252</v>
      </c>
      <c r="C820" s="2" t="s">
        <v>1503</v>
      </c>
      <c r="D820" s="716">
        <v>1</v>
      </c>
      <c r="E820" s="4" t="s">
        <v>7</v>
      </c>
      <c r="F820" s="47">
        <f t="shared" si="88"/>
        <v>0</v>
      </c>
      <c r="G820" s="47">
        <f t="shared" si="88"/>
        <v>0</v>
      </c>
      <c r="H820" s="47">
        <f t="shared" si="88"/>
        <v>0</v>
      </c>
      <c r="I820" s="47">
        <f t="shared" si="88"/>
        <v>0</v>
      </c>
      <c r="J820" s="47">
        <f t="shared" si="88"/>
        <v>0</v>
      </c>
      <c r="K820" s="47">
        <v>0</v>
      </c>
      <c r="L820" s="47">
        <v>0</v>
      </c>
      <c r="M820" s="893"/>
    </row>
    <row r="821" spans="1:13" hidden="1" outlineLevel="1" x14ac:dyDescent="0.2">
      <c r="A821" s="22" t="s">
        <v>1502</v>
      </c>
      <c r="B821" s="2" t="s">
        <v>252</v>
      </c>
      <c r="C821" s="2" t="s">
        <v>1503</v>
      </c>
      <c r="D821" s="716">
        <v>1</v>
      </c>
      <c r="E821" s="4" t="s">
        <v>31</v>
      </c>
      <c r="F821" s="47">
        <f t="shared" si="88"/>
        <v>0</v>
      </c>
      <c r="G821" s="47">
        <f t="shared" si="88"/>
        <v>0</v>
      </c>
      <c r="H821" s="47">
        <f t="shared" si="88"/>
        <v>0</v>
      </c>
      <c r="I821" s="47">
        <f t="shared" si="88"/>
        <v>0</v>
      </c>
      <c r="J821" s="47">
        <f t="shared" si="88"/>
        <v>0</v>
      </c>
      <c r="K821" s="47">
        <v>0</v>
      </c>
      <c r="L821" s="47">
        <v>1</v>
      </c>
      <c r="M821" s="893"/>
    </row>
    <row r="822" spans="1:13" hidden="1" outlineLevel="1" x14ac:dyDescent="0.2">
      <c r="A822" s="22" t="s">
        <v>1502</v>
      </c>
      <c r="B822" s="2" t="s">
        <v>252</v>
      </c>
      <c r="C822" s="2" t="s">
        <v>1503</v>
      </c>
      <c r="D822" s="716">
        <v>1</v>
      </c>
      <c r="E822" s="4" t="s">
        <v>8</v>
      </c>
      <c r="F822" s="47">
        <f t="shared" si="88"/>
        <v>0</v>
      </c>
      <c r="G822" s="47">
        <f t="shared" si="88"/>
        <v>0</v>
      </c>
      <c r="H822" s="47">
        <f t="shared" si="88"/>
        <v>0</v>
      </c>
      <c r="I822" s="47">
        <f t="shared" si="88"/>
        <v>0</v>
      </c>
      <c r="J822" s="47">
        <f t="shared" si="88"/>
        <v>0</v>
      </c>
      <c r="K822" s="47">
        <v>0</v>
      </c>
      <c r="L822" s="47">
        <v>1</v>
      </c>
      <c r="M822" s="893"/>
    </row>
    <row r="823" spans="1:13" hidden="1" outlineLevel="1" x14ac:dyDescent="0.2">
      <c r="A823" s="22" t="s">
        <v>1502</v>
      </c>
      <c r="B823" s="2" t="s">
        <v>252</v>
      </c>
      <c r="C823" s="2" t="s">
        <v>1503</v>
      </c>
      <c r="D823" s="716">
        <v>1</v>
      </c>
      <c r="E823" s="4" t="s">
        <v>9</v>
      </c>
      <c r="F823" s="47">
        <f t="shared" si="88"/>
        <v>0</v>
      </c>
      <c r="G823" s="47">
        <f t="shared" si="88"/>
        <v>0</v>
      </c>
      <c r="H823" s="47">
        <f t="shared" si="88"/>
        <v>0</v>
      </c>
      <c r="I823" s="47">
        <f t="shared" si="88"/>
        <v>0</v>
      </c>
      <c r="J823" s="47">
        <f t="shared" si="88"/>
        <v>0</v>
      </c>
      <c r="K823" s="47">
        <v>0</v>
      </c>
      <c r="L823" s="47">
        <v>0</v>
      </c>
      <c r="M823" s="893"/>
    </row>
    <row r="824" spans="1:13" hidden="1" outlineLevel="1" x14ac:dyDescent="0.2">
      <c r="A824" s="22" t="s">
        <v>1502</v>
      </c>
      <c r="B824" s="2" t="s">
        <v>252</v>
      </c>
      <c r="C824" s="2" t="s">
        <v>1503</v>
      </c>
      <c r="D824" s="716">
        <v>1</v>
      </c>
      <c r="E824" s="4" t="s">
        <v>10</v>
      </c>
      <c r="F824" s="47">
        <f t="shared" si="88"/>
        <v>0</v>
      </c>
      <c r="G824" s="47">
        <f t="shared" si="88"/>
        <v>0</v>
      </c>
      <c r="H824" s="47">
        <f t="shared" si="88"/>
        <v>0</v>
      </c>
      <c r="I824" s="47">
        <f t="shared" si="88"/>
        <v>0</v>
      </c>
      <c r="J824" s="47">
        <f t="shared" si="88"/>
        <v>0</v>
      </c>
      <c r="K824" s="47">
        <v>0</v>
      </c>
      <c r="L824" s="47">
        <v>0</v>
      </c>
      <c r="M824" s="893"/>
    </row>
    <row r="825" spans="1:13" hidden="1" outlineLevel="1" x14ac:dyDescent="0.2">
      <c r="A825" s="22" t="s">
        <v>1502</v>
      </c>
      <c r="B825" s="2" t="s">
        <v>252</v>
      </c>
      <c r="C825" s="2" t="s">
        <v>1503</v>
      </c>
      <c r="D825" s="716">
        <v>1</v>
      </c>
      <c r="E825" s="4" t="s">
        <v>11</v>
      </c>
      <c r="F825" s="47">
        <f t="shared" si="88"/>
        <v>0</v>
      </c>
      <c r="G825" s="47">
        <f t="shared" si="88"/>
        <v>0</v>
      </c>
      <c r="H825" s="47">
        <f t="shared" si="88"/>
        <v>0</v>
      </c>
      <c r="I825" s="47">
        <f t="shared" si="88"/>
        <v>0</v>
      </c>
      <c r="J825" s="47">
        <f t="shared" si="88"/>
        <v>0</v>
      </c>
      <c r="K825" s="47">
        <v>0</v>
      </c>
      <c r="L825" s="47">
        <v>0</v>
      </c>
      <c r="M825" s="893"/>
    </row>
    <row r="826" spans="1:13" hidden="1" outlineLevel="1" x14ac:dyDescent="0.2">
      <c r="A826" s="22" t="s">
        <v>1502</v>
      </c>
      <c r="B826" s="2" t="s">
        <v>252</v>
      </c>
      <c r="C826" s="2" t="s">
        <v>1503</v>
      </c>
      <c r="D826" s="716">
        <v>1</v>
      </c>
      <c r="E826" s="4" t="s">
        <v>12</v>
      </c>
      <c r="F826" s="47">
        <f t="shared" si="88"/>
        <v>0</v>
      </c>
      <c r="G826" s="47">
        <f t="shared" si="88"/>
        <v>0</v>
      </c>
      <c r="H826" s="47">
        <f t="shared" si="88"/>
        <v>0</v>
      </c>
      <c r="I826" s="47">
        <f t="shared" si="88"/>
        <v>0</v>
      </c>
      <c r="J826" s="47">
        <f t="shared" si="88"/>
        <v>0</v>
      </c>
      <c r="K826" s="47">
        <v>0</v>
      </c>
      <c r="L826" s="47">
        <v>0</v>
      </c>
      <c r="M826" s="893"/>
    </row>
    <row r="827" spans="1:13" hidden="1" outlineLevel="1" x14ac:dyDescent="0.2">
      <c r="A827" s="22" t="s">
        <v>1502</v>
      </c>
      <c r="B827" s="2" t="s">
        <v>252</v>
      </c>
      <c r="C827" s="2" t="s">
        <v>1503</v>
      </c>
      <c r="D827" s="716">
        <v>1</v>
      </c>
      <c r="E827" s="4" t="s">
        <v>1</v>
      </c>
      <c r="F827" s="47">
        <f t="shared" si="88"/>
        <v>0</v>
      </c>
      <c r="G827" s="47">
        <f t="shared" si="88"/>
        <v>0</v>
      </c>
      <c r="H827" s="47">
        <f t="shared" si="88"/>
        <v>0</v>
      </c>
      <c r="I827" s="47">
        <f t="shared" si="88"/>
        <v>0</v>
      </c>
      <c r="J827" s="47">
        <f t="shared" si="88"/>
        <v>0</v>
      </c>
      <c r="K827" s="47">
        <v>0</v>
      </c>
      <c r="L827" s="47">
        <v>0</v>
      </c>
      <c r="M827" s="893"/>
    </row>
    <row r="828" spans="1:13" hidden="1" outlineLevel="1" x14ac:dyDescent="0.2">
      <c r="A828" s="22" t="s">
        <v>1502</v>
      </c>
      <c r="B828" s="2" t="s">
        <v>252</v>
      </c>
      <c r="C828" s="2" t="s">
        <v>1503</v>
      </c>
      <c r="D828" s="716">
        <v>1</v>
      </c>
      <c r="E828" s="4" t="s">
        <v>13</v>
      </c>
      <c r="F828" s="47">
        <f t="shared" si="88"/>
        <v>0</v>
      </c>
      <c r="G828" s="47">
        <f t="shared" si="88"/>
        <v>0</v>
      </c>
      <c r="H828" s="47">
        <f t="shared" si="88"/>
        <v>0</v>
      </c>
      <c r="I828" s="47">
        <f t="shared" si="88"/>
        <v>0</v>
      </c>
      <c r="J828" s="47">
        <f t="shared" si="88"/>
        <v>0</v>
      </c>
      <c r="K828" s="47">
        <v>0</v>
      </c>
      <c r="L828" s="47">
        <v>0</v>
      </c>
      <c r="M828" s="893"/>
    </row>
    <row r="829" spans="1:13" hidden="1" outlineLevel="1" x14ac:dyDescent="0.2">
      <c r="A829" s="22" t="s">
        <v>1502</v>
      </c>
      <c r="B829" s="2" t="s">
        <v>252</v>
      </c>
      <c r="C829" s="2" t="s">
        <v>1503</v>
      </c>
      <c r="D829" s="716">
        <v>1</v>
      </c>
      <c r="E829" s="4" t="s">
        <v>14</v>
      </c>
      <c r="F829" s="47">
        <f t="shared" si="88"/>
        <v>0</v>
      </c>
      <c r="G829" s="47">
        <f t="shared" si="88"/>
        <v>0</v>
      </c>
      <c r="H829" s="47">
        <f t="shared" si="88"/>
        <v>0</v>
      </c>
      <c r="I829" s="47">
        <f t="shared" si="88"/>
        <v>0</v>
      </c>
      <c r="J829" s="47">
        <f t="shared" si="88"/>
        <v>0</v>
      </c>
      <c r="K829" s="47">
        <v>0</v>
      </c>
      <c r="L829" s="47">
        <v>0</v>
      </c>
      <c r="M829" s="893"/>
    </row>
    <row r="830" spans="1:13" hidden="1" outlineLevel="1" x14ac:dyDescent="0.2">
      <c r="A830" s="22" t="s">
        <v>1502</v>
      </c>
      <c r="B830" s="2" t="s">
        <v>252</v>
      </c>
      <c r="C830" s="2" t="s">
        <v>1503</v>
      </c>
      <c r="D830" s="716">
        <v>1</v>
      </c>
      <c r="E830" s="4" t="s">
        <v>15</v>
      </c>
      <c r="F830" s="47">
        <f t="shared" si="88"/>
        <v>0</v>
      </c>
      <c r="G830" s="47">
        <f t="shared" si="88"/>
        <v>0</v>
      </c>
      <c r="H830" s="47">
        <f t="shared" si="88"/>
        <v>0</v>
      </c>
      <c r="I830" s="47">
        <f t="shared" si="88"/>
        <v>0</v>
      </c>
      <c r="J830" s="47">
        <f t="shared" si="88"/>
        <v>0</v>
      </c>
      <c r="K830" s="47">
        <v>0</v>
      </c>
      <c r="L830" s="47">
        <v>0</v>
      </c>
      <c r="M830" s="893"/>
    </row>
    <row r="831" spans="1:13" hidden="1" outlineLevel="1" x14ac:dyDescent="0.2">
      <c r="A831" s="22" t="s">
        <v>1502</v>
      </c>
      <c r="B831" s="2" t="s">
        <v>252</v>
      </c>
      <c r="C831" s="2" t="s">
        <v>1503</v>
      </c>
      <c r="D831" s="716">
        <v>1</v>
      </c>
      <c r="E831" s="4" t="s">
        <v>16</v>
      </c>
      <c r="F831" s="47">
        <f t="shared" si="88"/>
        <v>0</v>
      </c>
      <c r="G831" s="47">
        <f t="shared" si="88"/>
        <v>0</v>
      </c>
      <c r="H831" s="47">
        <f t="shared" si="88"/>
        <v>0</v>
      </c>
      <c r="I831" s="47">
        <f t="shared" si="88"/>
        <v>0</v>
      </c>
      <c r="J831" s="47">
        <f t="shared" si="88"/>
        <v>0</v>
      </c>
      <c r="K831" s="47">
        <v>0</v>
      </c>
      <c r="L831" s="47">
        <v>0</v>
      </c>
      <c r="M831" s="893"/>
    </row>
    <row r="832" spans="1:13" hidden="1" outlineLevel="1" x14ac:dyDescent="0.2">
      <c r="A832" s="22" t="s">
        <v>1502</v>
      </c>
      <c r="B832" s="2" t="s">
        <v>252</v>
      </c>
      <c r="C832" s="2" t="s">
        <v>1503</v>
      </c>
      <c r="D832" s="716">
        <v>1</v>
      </c>
      <c r="E832" s="4" t="s">
        <v>17</v>
      </c>
      <c r="F832" s="47">
        <f t="shared" si="88"/>
        <v>0</v>
      </c>
      <c r="G832" s="47">
        <f t="shared" si="88"/>
        <v>0</v>
      </c>
      <c r="H832" s="47">
        <f t="shared" si="88"/>
        <v>0</v>
      </c>
      <c r="I832" s="47">
        <f t="shared" si="88"/>
        <v>0</v>
      </c>
      <c r="J832" s="47">
        <f t="shared" si="88"/>
        <v>0</v>
      </c>
      <c r="K832" s="47">
        <v>0</v>
      </c>
      <c r="L832" s="47">
        <v>0</v>
      </c>
      <c r="M832" s="893"/>
    </row>
    <row r="833" spans="1:13" hidden="1" outlineLevel="1" x14ac:dyDescent="0.2">
      <c r="A833" s="22" t="s">
        <v>1502</v>
      </c>
      <c r="B833" s="2" t="s">
        <v>252</v>
      </c>
      <c r="C833" s="2" t="s">
        <v>1503</v>
      </c>
      <c r="D833" s="716">
        <v>1</v>
      </c>
      <c r="E833" s="4" t="s">
        <v>18</v>
      </c>
      <c r="F833" s="47">
        <f t="shared" si="88"/>
        <v>0</v>
      </c>
      <c r="G833" s="47">
        <f t="shared" si="88"/>
        <v>0</v>
      </c>
      <c r="H833" s="47">
        <f t="shared" si="88"/>
        <v>0</v>
      </c>
      <c r="I833" s="47">
        <f t="shared" si="88"/>
        <v>0</v>
      </c>
      <c r="J833" s="47">
        <f t="shared" si="88"/>
        <v>0</v>
      </c>
      <c r="K833" s="47">
        <v>0</v>
      </c>
      <c r="L833" s="47">
        <v>1</v>
      </c>
      <c r="M833" s="893"/>
    </row>
    <row r="834" spans="1:13" hidden="1" outlineLevel="1" x14ac:dyDescent="0.2">
      <c r="A834" s="22" t="s">
        <v>1502</v>
      </c>
      <c r="B834" s="2" t="s">
        <v>252</v>
      </c>
      <c r="C834" s="2" t="s">
        <v>1503</v>
      </c>
      <c r="D834" s="716">
        <v>1</v>
      </c>
      <c r="E834" s="4" t="s">
        <v>2</v>
      </c>
      <c r="F834" s="47">
        <f t="shared" si="88"/>
        <v>0</v>
      </c>
      <c r="G834" s="47">
        <f t="shared" si="88"/>
        <v>0</v>
      </c>
      <c r="H834" s="47">
        <f t="shared" si="88"/>
        <v>0</v>
      </c>
      <c r="I834" s="47">
        <f t="shared" si="88"/>
        <v>0</v>
      </c>
      <c r="J834" s="47">
        <f t="shared" si="88"/>
        <v>0</v>
      </c>
      <c r="K834" s="47">
        <v>0</v>
      </c>
      <c r="L834" s="47">
        <v>0</v>
      </c>
      <c r="M834" s="893"/>
    </row>
    <row r="835" spans="1:13" hidden="1" outlineLevel="1" x14ac:dyDescent="0.2">
      <c r="A835" s="22" t="s">
        <v>1502</v>
      </c>
      <c r="B835" s="2" t="s">
        <v>252</v>
      </c>
      <c r="C835" s="2" t="s">
        <v>1503</v>
      </c>
      <c r="D835" s="716">
        <v>1</v>
      </c>
      <c r="E835" s="4" t="s">
        <v>19</v>
      </c>
      <c r="F835" s="47">
        <f t="shared" si="88"/>
        <v>0</v>
      </c>
      <c r="G835" s="47">
        <f t="shared" si="88"/>
        <v>0</v>
      </c>
      <c r="H835" s="47">
        <f t="shared" si="88"/>
        <v>0</v>
      </c>
      <c r="I835" s="47">
        <f t="shared" si="88"/>
        <v>0</v>
      </c>
      <c r="J835" s="47">
        <f t="shared" si="88"/>
        <v>0</v>
      </c>
      <c r="K835" s="47">
        <v>0</v>
      </c>
      <c r="L835" s="47">
        <v>0</v>
      </c>
      <c r="M835" s="893"/>
    </row>
    <row r="836" spans="1:13" hidden="1" outlineLevel="1" x14ac:dyDescent="0.2">
      <c r="A836" s="22" t="s">
        <v>1502</v>
      </c>
      <c r="B836" s="2" t="s">
        <v>252</v>
      </c>
      <c r="C836" s="2" t="s">
        <v>1503</v>
      </c>
      <c r="D836" s="716">
        <v>1</v>
      </c>
      <c r="E836" s="4" t="s">
        <v>3</v>
      </c>
      <c r="F836" s="47">
        <f t="shared" si="88"/>
        <v>0</v>
      </c>
      <c r="G836" s="47">
        <f t="shared" si="88"/>
        <v>0</v>
      </c>
      <c r="H836" s="47">
        <f t="shared" si="88"/>
        <v>0</v>
      </c>
      <c r="I836" s="47">
        <f t="shared" si="88"/>
        <v>0</v>
      </c>
      <c r="J836" s="47">
        <f t="shared" si="88"/>
        <v>0</v>
      </c>
      <c r="K836" s="47">
        <v>0</v>
      </c>
      <c r="L836" s="47">
        <v>0</v>
      </c>
      <c r="M836" s="893"/>
    </row>
    <row r="837" spans="1:13" hidden="1" outlineLevel="1" x14ac:dyDescent="0.2">
      <c r="A837" s="22" t="s">
        <v>1502</v>
      </c>
      <c r="B837" s="2" t="s">
        <v>252</v>
      </c>
      <c r="C837" s="2" t="s">
        <v>1503</v>
      </c>
      <c r="D837" s="716">
        <v>1</v>
      </c>
      <c r="E837" s="4" t="s">
        <v>20</v>
      </c>
      <c r="F837" s="47">
        <f t="shared" si="88"/>
        <v>0</v>
      </c>
      <c r="G837" s="47">
        <f t="shared" si="88"/>
        <v>0</v>
      </c>
      <c r="H837" s="47">
        <f t="shared" si="88"/>
        <v>0</v>
      </c>
      <c r="I837" s="47">
        <f t="shared" si="88"/>
        <v>0</v>
      </c>
      <c r="J837" s="47">
        <f t="shared" si="88"/>
        <v>0</v>
      </c>
      <c r="K837" s="47">
        <v>0</v>
      </c>
      <c r="L837" s="47">
        <v>0</v>
      </c>
      <c r="M837" s="893"/>
    </row>
    <row r="838" spans="1:13" hidden="1" outlineLevel="1" x14ac:dyDescent="0.2">
      <c r="A838" s="22" t="s">
        <v>1502</v>
      </c>
      <c r="B838" s="2" t="s">
        <v>252</v>
      </c>
      <c r="C838" s="2" t="s">
        <v>1503</v>
      </c>
      <c r="D838" s="716">
        <v>1</v>
      </c>
      <c r="E838" s="4" t="s">
        <v>21</v>
      </c>
      <c r="F838" s="47">
        <f t="shared" si="88"/>
        <v>0</v>
      </c>
      <c r="G838" s="47">
        <f t="shared" si="88"/>
        <v>0</v>
      </c>
      <c r="H838" s="47">
        <f t="shared" si="88"/>
        <v>0</v>
      </c>
      <c r="I838" s="47">
        <f t="shared" si="88"/>
        <v>0</v>
      </c>
      <c r="J838" s="47">
        <f t="shared" si="88"/>
        <v>0</v>
      </c>
      <c r="K838" s="47">
        <v>0</v>
      </c>
      <c r="L838" s="47">
        <v>0</v>
      </c>
      <c r="M838" s="893"/>
    </row>
    <row r="839" spans="1:13" hidden="1" outlineLevel="1" x14ac:dyDescent="0.2">
      <c r="A839" s="22" t="s">
        <v>1502</v>
      </c>
      <c r="B839" s="2" t="s">
        <v>252</v>
      </c>
      <c r="C839" s="2" t="s">
        <v>1503</v>
      </c>
      <c r="D839" s="716">
        <v>1</v>
      </c>
      <c r="E839" s="4" t="s">
        <v>1096</v>
      </c>
      <c r="F839" s="47">
        <f t="shared" si="88"/>
        <v>0</v>
      </c>
      <c r="G839" s="47">
        <f t="shared" si="88"/>
        <v>0</v>
      </c>
      <c r="H839" s="47">
        <f t="shared" si="88"/>
        <v>0</v>
      </c>
      <c r="I839" s="47">
        <f t="shared" si="88"/>
        <v>0</v>
      </c>
      <c r="J839" s="47">
        <f t="shared" si="88"/>
        <v>0</v>
      </c>
      <c r="K839" s="47">
        <v>0</v>
      </c>
      <c r="L839" s="47">
        <v>0</v>
      </c>
      <c r="M839" s="893"/>
    </row>
    <row r="840" spans="1:13" hidden="1" outlineLevel="1" x14ac:dyDescent="0.2">
      <c r="A840" s="22" t="s">
        <v>1502</v>
      </c>
      <c r="B840" s="2" t="s">
        <v>252</v>
      </c>
      <c r="C840" s="2" t="s">
        <v>1503</v>
      </c>
      <c r="D840" s="716">
        <v>1</v>
      </c>
      <c r="E840" s="4" t="s">
        <v>22</v>
      </c>
      <c r="F840" s="47">
        <f t="shared" si="88"/>
        <v>0</v>
      </c>
      <c r="G840" s="47">
        <f t="shared" si="88"/>
        <v>0</v>
      </c>
      <c r="H840" s="47">
        <f t="shared" si="88"/>
        <v>0</v>
      </c>
      <c r="I840" s="47">
        <f t="shared" si="88"/>
        <v>0</v>
      </c>
      <c r="J840" s="47">
        <f t="shared" si="88"/>
        <v>0</v>
      </c>
      <c r="K840" s="47">
        <v>0</v>
      </c>
      <c r="L840" s="47">
        <v>0</v>
      </c>
      <c r="M840" s="893"/>
    </row>
    <row r="841" spans="1:13" hidden="1" outlineLevel="1" x14ac:dyDescent="0.2">
      <c r="A841" s="91" t="s">
        <v>1502</v>
      </c>
      <c r="B841" s="3" t="s">
        <v>252</v>
      </c>
      <c r="C841" s="3" t="s">
        <v>1503</v>
      </c>
      <c r="D841" s="717">
        <v>1</v>
      </c>
      <c r="E841" s="469" t="s">
        <v>23</v>
      </c>
      <c r="F841" s="48">
        <f t="shared" si="88"/>
        <v>0</v>
      </c>
      <c r="G841" s="48">
        <f t="shared" si="88"/>
        <v>0</v>
      </c>
      <c r="H841" s="48">
        <f t="shared" si="88"/>
        <v>0</v>
      </c>
      <c r="I841" s="48">
        <f t="shared" si="88"/>
        <v>0</v>
      </c>
      <c r="J841" s="48">
        <f t="shared" si="88"/>
        <v>0</v>
      </c>
      <c r="K841" s="363">
        <v>0</v>
      </c>
      <c r="L841" s="363">
        <v>0</v>
      </c>
      <c r="M841" s="920"/>
    </row>
    <row r="842" spans="1:13" hidden="1" outlineLevel="1" x14ac:dyDescent="0.2">
      <c r="A842" s="92" t="s">
        <v>1502</v>
      </c>
      <c r="B842" s="81" t="s">
        <v>252</v>
      </c>
      <c r="C842" s="81" t="s">
        <v>1504</v>
      </c>
      <c r="D842" s="715">
        <v>1</v>
      </c>
      <c r="E842" s="468" t="s">
        <v>4</v>
      </c>
      <c r="F842" s="380">
        <f t="shared" si="88"/>
        <v>1</v>
      </c>
      <c r="G842" s="89">
        <f t="shared" si="88"/>
        <v>1</v>
      </c>
      <c r="H842" s="89">
        <f t="shared" si="88"/>
        <v>1</v>
      </c>
      <c r="I842" s="89">
        <f t="shared" si="88"/>
        <v>1</v>
      </c>
      <c r="J842" s="89">
        <f t="shared" si="88"/>
        <v>1</v>
      </c>
      <c r="K842" s="380">
        <v>1</v>
      </c>
      <c r="L842" s="380">
        <v>1</v>
      </c>
      <c r="M842" s="892"/>
    </row>
    <row r="843" spans="1:13" hidden="1" outlineLevel="1" x14ac:dyDescent="0.2">
      <c r="A843" s="22" t="s">
        <v>1502</v>
      </c>
      <c r="B843" s="2" t="s">
        <v>252</v>
      </c>
      <c r="C843" s="2" t="s">
        <v>1504</v>
      </c>
      <c r="D843" s="716">
        <v>1</v>
      </c>
      <c r="E843" s="4" t="s">
        <v>5</v>
      </c>
      <c r="F843" s="47">
        <f t="shared" si="88"/>
        <v>1</v>
      </c>
      <c r="G843" s="47">
        <f t="shared" si="88"/>
        <v>1</v>
      </c>
      <c r="H843" s="47">
        <f t="shared" si="88"/>
        <v>1</v>
      </c>
      <c r="I843" s="47">
        <f t="shared" si="88"/>
        <v>1</v>
      </c>
      <c r="J843" s="47">
        <f t="shared" si="88"/>
        <v>1</v>
      </c>
      <c r="K843" s="47">
        <v>1</v>
      </c>
      <c r="L843" s="47">
        <v>1</v>
      </c>
      <c r="M843" s="893"/>
    </row>
    <row r="844" spans="1:13" hidden="1" outlineLevel="1" x14ac:dyDescent="0.2">
      <c r="A844" s="22" t="s">
        <v>1502</v>
      </c>
      <c r="B844" s="2" t="s">
        <v>252</v>
      </c>
      <c r="C844" s="2" t="s">
        <v>1504</v>
      </c>
      <c r="D844" s="716">
        <v>1</v>
      </c>
      <c r="E844" s="4" t="s">
        <v>6</v>
      </c>
      <c r="F844" s="47">
        <f t="shared" si="88"/>
        <v>1</v>
      </c>
      <c r="G844" s="47">
        <f t="shared" si="88"/>
        <v>1</v>
      </c>
      <c r="H844" s="47">
        <f t="shared" si="88"/>
        <v>1</v>
      </c>
      <c r="I844" s="47">
        <f t="shared" si="88"/>
        <v>1</v>
      </c>
      <c r="J844" s="47">
        <f t="shared" si="88"/>
        <v>1</v>
      </c>
      <c r="K844" s="47">
        <v>1</v>
      </c>
      <c r="L844" s="47">
        <v>1</v>
      </c>
      <c r="M844" s="893"/>
    </row>
    <row r="845" spans="1:13" hidden="1" outlineLevel="1" x14ac:dyDescent="0.2">
      <c r="A845" s="22" t="s">
        <v>1502</v>
      </c>
      <c r="B845" s="2" t="s">
        <v>252</v>
      </c>
      <c r="C845" s="2" t="s">
        <v>1504</v>
      </c>
      <c r="D845" s="716">
        <v>1</v>
      </c>
      <c r="E845" s="4" t="s">
        <v>143</v>
      </c>
      <c r="F845" s="47">
        <f t="shared" si="88"/>
        <v>0</v>
      </c>
      <c r="G845" s="47">
        <f t="shared" si="88"/>
        <v>0</v>
      </c>
      <c r="H845" s="47">
        <f t="shared" si="88"/>
        <v>0</v>
      </c>
      <c r="I845" s="47">
        <f t="shared" si="88"/>
        <v>0</v>
      </c>
      <c r="J845" s="47">
        <f t="shared" si="88"/>
        <v>0</v>
      </c>
      <c r="K845" s="47">
        <v>0</v>
      </c>
      <c r="L845" s="47">
        <v>1</v>
      </c>
      <c r="M845" s="893"/>
    </row>
    <row r="846" spans="1:13" hidden="1" outlineLevel="1" x14ac:dyDescent="0.2">
      <c r="A846" s="22" t="s">
        <v>1502</v>
      </c>
      <c r="B846" s="2" t="s">
        <v>252</v>
      </c>
      <c r="C846" s="2" t="s">
        <v>1504</v>
      </c>
      <c r="D846" s="716">
        <v>1</v>
      </c>
      <c r="E846" s="4" t="s">
        <v>7</v>
      </c>
      <c r="F846" s="47">
        <f t="shared" si="88"/>
        <v>0</v>
      </c>
      <c r="G846" s="47">
        <f t="shared" si="88"/>
        <v>0</v>
      </c>
      <c r="H846" s="47">
        <f t="shared" si="88"/>
        <v>0</v>
      </c>
      <c r="I846" s="47">
        <f t="shared" si="88"/>
        <v>0</v>
      </c>
      <c r="J846" s="47">
        <f t="shared" si="88"/>
        <v>0</v>
      </c>
      <c r="K846" s="47">
        <v>0</v>
      </c>
      <c r="L846" s="47">
        <v>0</v>
      </c>
      <c r="M846" s="893"/>
    </row>
    <row r="847" spans="1:13" hidden="1" outlineLevel="1" x14ac:dyDescent="0.2">
      <c r="A847" s="22" t="s">
        <v>1502</v>
      </c>
      <c r="B847" s="2" t="s">
        <v>252</v>
      </c>
      <c r="C847" s="2" t="s">
        <v>1504</v>
      </c>
      <c r="D847" s="716">
        <v>1</v>
      </c>
      <c r="E847" s="4" t="s">
        <v>31</v>
      </c>
      <c r="F847" s="47">
        <f t="shared" si="88"/>
        <v>1</v>
      </c>
      <c r="G847" s="47">
        <f t="shared" si="88"/>
        <v>1</v>
      </c>
      <c r="H847" s="47">
        <f t="shared" si="88"/>
        <v>1</v>
      </c>
      <c r="I847" s="47">
        <f t="shared" si="88"/>
        <v>1</v>
      </c>
      <c r="J847" s="47">
        <f t="shared" si="88"/>
        <v>1</v>
      </c>
      <c r="K847" s="47">
        <v>1</v>
      </c>
      <c r="L847" s="47">
        <v>1</v>
      </c>
      <c r="M847" s="893"/>
    </row>
    <row r="848" spans="1:13" hidden="1" outlineLevel="1" x14ac:dyDescent="0.2">
      <c r="A848" s="22" t="s">
        <v>1502</v>
      </c>
      <c r="B848" s="2" t="s">
        <v>252</v>
      </c>
      <c r="C848" s="2" t="s">
        <v>1504</v>
      </c>
      <c r="D848" s="716">
        <v>1</v>
      </c>
      <c r="E848" s="4" t="s">
        <v>8</v>
      </c>
      <c r="F848" s="47">
        <f t="shared" si="88"/>
        <v>1</v>
      </c>
      <c r="G848" s="47">
        <f t="shared" si="88"/>
        <v>1</v>
      </c>
      <c r="H848" s="47">
        <f t="shared" si="88"/>
        <v>1</v>
      </c>
      <c r="I848" s="47">
        <f t="shared" si="88"/>
        <v>1</v>
      </c>
      <c r="J848" s="47">
        <f t="shared" si="88"/>
        <v>1</v>
      </c>
      <c r="K848" s="47">
        <v>1</v>
      </c>
      <c r="L848" s="47">
        <v>1</v>
      </c>
      <c r="M848" s="893"/>
    </row>
    <row r="849" spans="1:13" hidden="1" outlineLevel="1" x14ac:dyDescent="0.2">
      <c r="A849" s="22" t="s">
        <v>1502</v>
      </c>
      <c r="B849" s="2" t="s">
        <v>252</v>
      </c>
      <c r="C849" s="2" t="s">
        <v>1504</v>
      </c>
      <c r="D849" s="716">
        <v>1</v>
      </c>
      <c r="E849" s="4" t="s">
        <v>9</v>
      </c>
      <c r="F849" s="47">
        <f t="shared" si="88"/>
        <v>1</v>
      </c>
      <c r="G849" s="47">
        <f t="shared" si="88"/>
        <v>1</v>
      </c>
      <c r="H849" s="47">
        <f t="shared" si="88"/>
        <v>1</v>
      </c>
      <c r="I849" s="47">
        <f t="shared" si="88"/>
        <v>1</v>
      </c>
      <c r="J849" s="47">
        <f t="shared" si="88"/>
        <v>1</v>
      </c>
      <c r="K849" s="47">
        <v>1</v>
      </c>
      <c r="L849" s="47">
        <v>1</v>
      </c>
      <c r="M849" s="893"/>
    </row>
    <row r="850" spans="1:13" hidden="1" outlineLevel="1" x14ac:dyDescent="0.2">
      <c r="A850" s="22" t="s">
        <v>1502</v>
      </c>
      <c r="B850" s="2" t="s">
        <v>252</v>
      </c>
      <c r="C850" s="2" t="s">
        <v>1504</v>
      </c>
      <c r="D850" s="716">
        <v>1</v>
      </c>
      <c r="E850" s="4" t="s">
        <v>10</v>
      </c>
      <c r="F850" s="47">
        <f t="shared" si="88"/>
        <v>1</v>
      </c>
      <c r="G850" s="47">
        <f t="shared" si="88"/>
        <v>1</v>
      </c>
      <c r="H850" s="47">
        <f t="shared" si="88"/>
        <v>1</v>
      </c>
      <c r="I850" s="47">
        <f t="shared" si="88"/>
        <v>1</v>
      </c>
      <c r="J850" s="47">
        <f t="shared" si="88"/>
        <v>1</v>
      </c>
      <c r="K850" s="47">
        <v>1</v>
      </c>
      <c r="L850" s="47">
        <v>1</v>
      </c>
      <c r="M850" s="893"/>
    </row>
    <row r="851" spans="1:13" hidden="1" outlineLevel="1" x14ac:dyDescent="0.2">
      <c r="A851" s="22" t="s">
        <v>1502</v>
      </c>
      <c r="B851" s="2" t="s">
        <v>252</v>
      </c>
      <c r="C851" s="2" t="s">
        <v>1504</v>
      </c>
      <c r="D851" s="716">
        <v>1</v>
      </c>
      <c r="E851" s="4" t="s">
        <v>11</v>
      </c>
      <c r="F851" s="47">
        <f t="shared" si="88"/>
        <v>0</v>
      </c>
      <c r="G851" s="47">
        <f t="shared" si="88"/>
        <v>0</v>
      </c>
      <c r="H851" s="47">
        <f t="shared" si="88"/>
        <v>0</v>
      </c>
      <c r="I851" s="47">
        <f t="shared" si="88"/>
        <v>0</v>
      </c>
      <c r="J851" s="47">
        <f t="shared" si="88"/>
        <v>0</v>
      </c>
      <c r="K851" s="47">
        <v>0</v>
      </c>
      <c r="L851" s="47">
        <v>1</v>
      </c>
      <c r="M851" s="893"/>
    </row>
    <row r="852" spans="1:13" hidden="1" outlineLevel="1" x14ac:dyDescent="0.2">
      <c r="A852" s="22" t="s">
        <v>1502</v>
      </c>
      <c r="B852" s="2" t="s">
        <v>252</v>
      </c>
      <c r="C852" s="2" t="s">
        <v>1504</v>
      </c>
      <c r="D852" s="716">
        <v>1</v>
      </c>
      <c r="E852" s="4" t="s">
        <v>12</v>
      </c>
      <c r="F852" s="47">
        <f t="shared" si="88"/>
        <v>0</v>
      </c>
      <c r="G852" s="47">
        <f t="shared" si="88"/>
        <v>0</v>
      </c>
      <c r="H852" s="47">
        <f t="shared" si="88"/>
        <v>0</v>
      </c>
      <c r="I852" s="47">
        <f t="shared" si="88"/>
        <v>0</v>
      </c>
      <c r="J852" s="47">
        <f t="shared" si="88"/>
        <v>0</v>
      </c>
      <c r="K852" s="47">
        <v>0</v>
      </c>
      <c r="L852" s="47">
        <v>1</v>
      </c>
      <c r="M852" s="893"/>
    </row>
    <row r="853" spans="1:13" hidden="1" outlineLevel="1" x14ac:dyDescent="0.2">
      <c r="A853" s="22" t="s">
        <v>1502</v>
      </c>
      <c r="B853" s="2" t="s">
        <v>252</v>
      </c>
      <c r="C853" s="2" t="s">
        <v>1504</v>
      </c>
      <c r="D853" s="716">
        <v>1</v>
      </c>
      <c r="E853" s="4" t="s">
        <v>1</v>
      </c>
      <c r="F853" s="47">
        <f t="shared" si="88"/>
        <v>0</v>
      </c>
      <c r="G853" s="47">
        <f t="shared" si="88"/>
        <v>0</v>
      </c>
      <c r="H853" s="47">
        <f t="shared" si="88"/>
        <v>0</v>
      </c>
      <c r="I853" s="47">
        <f t="shared" si="88"/>
        <v>0</v>
      </c>
      <c r="J853" s="47">
        <f t="shared" si="88"/>
        <v>0</v>
      </c>
      <c r="K853" s="47">
        <v>0</v>
      </c>
      <c r="L853" s="47">
        <v>0</v>
      </c>
      <c r="M853" s="893"/>
    </row>
    <row r="854" spans="1:13" hidden="1" outlineLevel="1" x14ac:dyDescent="0.2">
      <c r="A854" s="22" t="s">
        <v>1502</v>
      </c>
      <c r="B854" s="2" t="s">
        <v>252</v>
      </c>
      <c r="C854" s="2" t="s">
        <v>1504</v>
      </c>
      <c r="D854" s="716">
        <v>1</v>
      </c>
      <c r="E854" s="4" t="s">
        <v>13</v>
      </c>
      <c r="F854" s="47">
        <f t="shared" si="88"/>
        <v>0</v>
      </c>
      <c r="G854" s="47">
        <f t="shared" si="88"/>
        <v>0</v>
      </c>
      <c r="H854" s="47">
        <f t="shared" si="88"/>
        <v>0</v>
      </c>
      <c r="I854" s="47">
        <f t="shared" si="88"/>
        <v>0</v>
      </c>
      <c r="J854" s="47">
        <f t="shared" si="88"/>
        <v>0</v>
      </c>
      <c r="K854" s="47">
        <v>0</v>
      </c>
      <c r="L854" s="47">
        <v>1</v>
      </c>
      <c r="M854" s="893"/>
    </row>
    <row r="855" spans="1:13" hidden="1" outlineLevel="1" x14ac:dyDescent="0.2">
      <c r="A855" s="22" t="s">
        <v>1502</v>
      </c>
      <c r="B855" s="2" t="s">
        <v>252</v>
      </c>
      <c r="C855" s="2" t="s">
        <v>1504</v>
      </c>
      <c r="D855" s="716">
        <v>1</v>
      </c>
      <c r="E855" s="4" t="s">
        <v>14</v>
      </c>
      <c r="F855" s="47">
        <f t="shared" si="88"/>
        <v>0</v>
      </c>
      <c r="G855" s="47">
        <f t="shared" si="88"/>
        <v>0</v>
      </c>
      <c r="H855" s="47">
        <f t="shared" si="88"/>
        <v>0</v>
      </c>
      <c r="I855" s="47">
        <f t="shared" si="88"/>
        <v>0</v>
      </c>
      <c r="J855" s="47">
        <f t="shared" si="88"/>
        <v>0</v>
      </c>
      <c r="K855" s="47">
        <v>0</v>
      </c>
      <c r="L855" s="47">
        <v>0</v>
      </c>
      <c r="M855" s="893"/>
    </row>
    <row r="856" spans="1:13" hidden="1" outlineLevel="1" x14ac:dyDescent="0.2">
      <c r="A856" s="22" t="s">
        <v>1502</v>
      </c>
      <c r="B856" s="2" t="s">
        <v>252</v>
      </c>
      <c r="C856" s="2" t="s">
        <v>1504</v>
      </c>
      <c r="D856" s="716">
        <v>1</v>
      </c>
      <c r="E856" s="4" t="s">
        <v>15</v>
      </c>
      <c r="F856" s="47">
        <f t="shared" si="88"/>
        <v>0</v>
      </c>
      <c r="G856" s="47">
        <f t="shared" si="88"/>
        <v>0</v>
      </c>
      <c r="H856" s="47">
        <f t="shared" si="88"/>
        <v>0</v>
      </c>
      <c r="I856" s="47">
        <f t="shared" si="88"/>
        <v>0</v>
      </c>
      <c r="J856" s="47">
        <f t="shared" si="88"/>
        <v>0</v>
      </c>
      <c r="K856" s="47">
        <v>0</v>
      </c>
      <c r="L856" s="47">
        <v>0</v>
      </c>
      <c r="M856" s="893"/>
    </row>
    <row r="857" spans="1:13" hidden="1" outlineLevel="1" x14ac:dyDescent="0.2">
      <c r="A857" s="22" t="s">
        <v>1502</v>
      </c>
      <c r="B857" s="2" t="s">
        <v>252</v>
      </c>
      <c r="C857" s="2" t="s">
        <v>1504</v>
      </c>
      <c r="D857" s="716">
        <v>1</v>
      </c>
      <c r="E857" s="4" t="s">
        <v>16</v>
      </c>
      <c r="F857" s="47">
        <f t="shared" si="88"/>
        <v>0</v>
      </c>
      <c r="G857" s="47">
        <f t="shared" si="88"/>
        <v>0</v>
      </c>
      <c r="H857" s="47">
        <f t="shared" si="88"/>
        <v>0</v>
      </c>
      <c r="I857" s="47">
        <f t="shared" si="88"/>
        <v>0</v>
      </c>
      <c r="J857" s="47">
        <f t="shared" si="88"/>
        <v>0</v>
      </c>
      <c r="K857" s="47">
        <v>0</v>
      </c>
      <c r="L857" s="47">
        <v>1</v>
      </c>
      <c r="M857" s="893"/>
    </row>
    <row r="858" spans="1:13" hidden="1" outlineLevel="1" x14ac:dyDescent="0.2">
      <c r="A858" s="22" t="s">
        <v>1502</v>
      </c>
      <c r="B858" s="2" t="s">
        <v>252</v>
      </c>
      <c r="C858" s="2" t="s">
        <v>1504</v>
      </c>
      <c r="D858" s="716">
        <v>1</v>
      </c>
      <c r="E858" s="4" t="s">
        <v>17</v>
      </c>
      <c r="F858" s="47">
        <f t="shared" si="88"/>
        <v>1</v>
      </c>
      <c r="G858" s="47">
        <f t="shared" si="88"/>
        <v>1</v>
      </c>
      <c r="H858" s="47">
        <f t="shared" si="88"/>
        <v>1</v>
      </c>
      <c r="I858" s="47">
        <f t="shared" si="88"/>
        <v>1</v>
      </c>
      <c r="J858" s="47">
        <f t="shared" si="88"/>
        <v>1</v>
      </c>
      <c r="K858" s="47">
        <v>1</v>
      </c>
      <c r="L858" s="47">
        <v>1</v>
      </c>
      <c r="M858" s="893"/>
    </row>
    <row r="859" spans="1:13" hidden="1" outlineLevel="1" x14ac:dyDescent="0.2">
      <c r="A859" s="22" t="s">
        <v>1502</v>
      </c>
      <c r="B859" s="2" t="s">
        <v>252</v>
      </c>
      <c r="C859" s="2" t="s">
        <v>1504</v>
      </c>
      <c r="D859" s="716">
        <v>1</v>
      </c>
      <c r="E859" s="4" t="s">
        <v>18</v>
      </c>
      <c r="F859" s="47">
        <f t="shared" si="88"/>
        <v>1</v>
      </c>
      <c r="G859" s="47">
        <f t="shared" si="88"/>
        <v>1</v>
      </c>
      <c r="H859" s="47">
        <f t="shared" si="88"/>
        <v>1</v>
      </c>
      <c r="I859" s="47">
        <f t="shared" si="88"/>
        <v>1</v>
      </c>
      <c r="J859" s="47">
        <f t="shared" si="88"/>
        <v>1</v>
      </c>
      <c r="K859" s="47">
        <v>1</v>
      </c>
      <c r="L859" s="47">
        <v>1</v>
      </c>
      <c r="M859" s="893"/>
    </row>
    <row r="860" spans="1:13" hidden="1" outlineLevel="1" x14ac:dyDescent="0.2">
      <c r="A860" s="22" t="s">
        <v>1502</v>
      </c>
      <c r="B860" s="2" t="s">
        <v>252</v>
      </c>
      <c r="C860" s="2" t="s">
        <v>1504</v>
      </c>
      <c r="D860" s="716">
        <v>1</v>
      </c>
      <c r="E860" s="4" t="s">
        <v>2</v>
      </c>
      <c r="F860" s="47">
        <f t="shared" si="88"/>
        <v>0</v>
      </c>
      <c r="G860" s="47">
        <f t="shared" si="88"/>
        <v>0</v>
      </c>
      <c r="H860" s="47">
        <f t="shared" si="88"/>
        <v>0</v>
      </c>
      <c r="I860" s="47">
        <f t="shared" si="88"/>
        <v>0</v>
      </c>
      <c r="J860" s="47">
        <f t="shared" si="88"/>
        <v>0</v>
      </c>
      <c r="K860" s="47">
        <v>0</v>
      </c>
      <c r="L860" s="47">
        <v>0</v>
      </c>
      <c r="M860" s="893"/>
    </row>
    <row r="861" spans="1:13" hidden="1" outlineLevel="1" x14ac:dyDescent="0.2">
      <c r="A861" s="22" t="s">
        <v>1502</v>
      </c>
      <c r="B861" s="2" t="s">
        <v>252</v>
      </c>
      <c r="C861" s="2" t="s">
        <v>1504</v>
      </c>
      <c r="D861" s="716">
        <v>1</v>
      </c>
      <c r="E861" s="4" t="s">
        <v>19</v>
      </c>
      <c r="F861" s="47">
        <f t="shared" si="88"/>
        <v>1</v>
      </c>
      <c r="G861" s="47">
        <f t="shared" si="88"/>
        <v>1</v>
      </c>
      <c r="H861" s="47">
        <f t="shared" si="88"/>
        <v>1</v>
      </c>
      <c r="I861" s="47">
        <f t="shared" si="88"/>
        <v>1</v>
      </c>
      <c r="J861" s="47">
        <f t="shared" si="88"/>
        <v>1</v>
      </c>
      <c r="K861" s="47">
        <v>1</v>
      </c>
      <c r="L861" s="47">
        <v>1</v>
      </c>
      <c r="M861" s="893"/>
    </row>
    <row r="862" spans="1:13" hidden="1" outlineLevel="1" x14ac:dyDescent="0.2">
      <c r="A862" s="22" t="s">
        <v>1502</v>
      </c>
      <c r="B862" s="2" t="s">
        <v>252</v>
      </c>
      <c r="C862" s="2" t="s">
        <v>1504</v>
      </c>
      <c r="D862" s="716">
        <v>1</v>
      </c>
      <c r="E862" s="4" t="s">
        <v>3</v>
      </c>
      <c r="F862" s="47">
        <f t="shared" si="88"/>
        <v>0</v>
      </c>
      <c r="G862" s="47">
        <f t="shared" si="88"/>
        <v>0</v>
      </c>
      <c r="H862" s="47">
        <f t="shared" si="88"/>
        <v>0</v>
      </c>
      <c r="I862" s="47">
        <f t="shared" si="88"/>
        <v>0</v>
      </c>
      <c r="J862" s="47">
        <f t="shared" si="88"/>
        <v>0</v>
      </c>
      <c r="K862" s="47">
        <v>0</v>
      </c>
      <c r="L862" s="47">
        <v>0</v>
      </c>
      <c r="M862" s="893"/>
    </row>
    <row r="863" spans="1:13" hidden="1" outlineLevel="1" x14ac:dyDescent="0.2">
      <c r="A863" s="22" t="s">
        <v>1502</v>
      </c>
      <c r="B863" s="2" t="s">
        <v>252</v>
      </c>
      <c r="C863" s="2" t="s">
        <v>1504</v>
      </c>
      <c r="D863" s="716">
        <v>1</v>
      </c>
      <c r="E863" s="4" t="s">
        <v>20</v>
      </c>
      <c r="F863" s="47">
        <f t="shared" si="88"/>
        <v>1</v>
      </c>
      <c r="G863" s="47">
        <f t="shared" si="88"/>
        <v>1</v>
      </c>
      <c r="H863" s="47">
        <f t="shared" si="88"/>
        <v>1</v>
      </c>
      <c r="I863" s="47">
        <f t="shared" si="88"/>
        <v>1</v>
      </c>
      <c r="J863" s="47">
        <f t="shared" si="88"/>
        <v>1</v>
      </c>
      <c r="K863" s="47">
        <v>1</v>
      </c>
      <c r="L863" s="47">
        <v>1</v>
      </c>
      <c r="M863" s="893"/>
    </row>
    <row r="864" spans="1:13" hidden="1" outlineLevel="1" x14ac:dyDescent="0.2">
      <c r="A864" s="22" t="s">
        <v>1502</v>
      </c>
      <c r="B864" s="2" t="s">
        <v>252</v>
      </c>
      <c r="C864" s="2" t="s">
        <v>1504</v>
      </c>
      <c r="D864" s="716">
        <v>1</v>
      </c>
      <c r="E864" s="4" t="s">
        <v>21</v>
      </c>
      <c r="F864" s="47">
        <f t="shared" si="88"/>
        <v>0</v>
      </c>
      <c r="G864" s="47">
        <f t="shared" si="88"/>
        <v>0</v>
      </c>
      <c r="H864" s="47">
        <f t="shared" si="88"/>
        <v>0</v>
      </c>
      <c r="I864" s="47">
        <f t="shared" si="88"/>
        <v>0</v>
      </c>
      <c r="J864" s="47">
        <f t="shared" ref="J864:J927" si="89">K864</f>
        <v>0</v>
      </c>
      <c r="K864" s="47">
        <v>0</v>
      </c>
      <c r="L864" s="47">
        <v>0</v>
      </c>
      <c r="M864" s="893"/>
    </row>
    <row r="865" spans="1:13" hidden="1" outlineLevel="1" x14ac:dyDescent="0.2">
      <c r="A865" s="22" t="s">
        <v>1502</v>
      </c>
      <c r="B865" s="2" t="s">
        <v>252</v>
      </c>
      <c r="C865" s="2" t="s">
        <v>1504</v>
      </c>
      <c r="D865" s="716">
        <v>1</v>
      </c>
      <c r="E865" s="4" t="s">
        <v>1096</v>
      </c>
      <c r="F865" s="47">
        <f t="shared" si="88"/>
        <v>0</v>
      </c>
      <c r="G865" s="47">
        <f t="shared" ref="G865:I865" si="90">H865</f>
        <v>0</v>
      </c>
      <c r="H865" s="47">
        <f t="shared" si="90"/>
        <v>0</v>
      </c>
      <c r="I865" s="47">
        <f t="shared" si="90"/>
        <v>0</v>
      </c>
      <c r="J865" s="47">
        <f t="shared" si="89"/>
        <v>0</v>
      </c>
      <c r="K865" s="47">
        <v>0</v>
      </c>
      <c r="L865" s="47">
        <v>1</v>
      </c>
      <c r="M865" s="893"/>
    </row>
    <row r="866" spans="1:13" hidden="1" outlineLevel="1" x14ac:dyDescent="0.2">
      <c r="A866" s="22" t="s">
        <v>1502</v>
      </c>
      <c r="B866" s="2" t="s">
        <v>252</v>
      </c>
      <c r="C866" s="2" t="s">
        <v>1504</v>
      </c>
      <c r="D866" s="716">
        <v>1</v>
      </c>
      <c r="E866" s="4" t="s">
        <v>22</v>
      </c>
      <c r="F866" s="47">
        <f t="shared" si="88"/>
        <v>1</v>
      </c>
      <c r="G866" s="47">
        <f t="shared" ref="G866:I866" si="91">H866</f>
        <v>1</v>
      </c>
      <c r="H866" s="47">
        <f t="shared" si="91"/>
        <v>1</v>
      </c>
      <c r="I866" s="47">
        <f t="shared" si="91"/>
        <v>1</v>
      </c>
      <c r="J866" s="47">
        <f t="shared" si="89"/>
        <v>1</v>
      </c>
      <c r="K866" s="47">
        <v>1</v>
      </c>
      <c r="L866" s="47">
        <v>1</v>
      </c>
      <c r="M866" s="893"/>
    </row>
    <row r="867" spans="1:13" hidden="1" outlineLevel="1" x14ac:dyDescent="0.2">
      <c r="A867" s="91" t="s">
        <v>1502</v>
      </c>
      <c r="B867" s="3" t="s">
        <v>252</v>
      </c>
      <c r="C867" s="3" t="s">
        <v>1504</v>
      </c>
      <c r="D867" s="717">
        <v>1</v>
      </c>
      <c r="E867" s="469" t="s">
        <v>23</v>
      </c>
      <c r="F867" s="48">
        <f t="shared" si="88"/>
        <v>0</v>
      </c>
      <c r="G867" s="48">
        <f t="shared" ref="G867:I867" si="92">H867</f>
        <v>0</v>
      </c>
      <c r="H867" s="48">
        <f t="shared" si="92"/>
        <v>0</v>
      </c>
      <c r="I867" s="48">
        <f t="shared" si="92"/>
        <v>0</v>
      </c>
      <c r="J867" s="48">
        <f t="shared" si="89"/>
        <v>0</v>
      </c>
      <c r="K867" s="363">
        <v>0</v>
      </c>
      <c r="L867" s="363">
        <v>0</v>
      </c>
      <c r="M867" s="920"/>
    </row>
    <row r="868" spans="1:13" hidden="1" outlineLevel="1" x14ac:dyDescent="0.2">
      <c r="A868" s="92" t="s">
        <v>1502</v>
      </c>
      <c r="B868" s="81" t="s">
        <v>252</v>
      </c>
      <c r="C868" s="81" t="s">
        <v>1505</v>
      </c>
      <c r="D868" s="715">
        <v>1</v>
      </c>
      <c r="E868" s="468" t="s">
        <v>4</v>
      </c>
      <c r="F868" s="380">
        <f t="shared" si="88"/>
        <v>0</v>
      </c>
      <c r="G868" s="89">
        <f t="shared" ref="G868:I868" si="93">H868</f>
        <v>0</v>
      </c>
      <c r="H868" s="89">
        <f t="shared" si="93"/>
        <v>0</v>
      </c>
      <c r="I868" s="89">
        <f t="shared" si="93"/>
        <v>0</v>
      </c>
      <c r="J868" s="89">
        <f t="shared" si="89"/>
        <v>0</v>
      </c>
      <c r="K868" s="380">
        <v>0</v>
      </c>
      <c r="L868" s="380">
        <v>0</v>
      </c>
      <c r="M868" s="892"/>
    </row>
    <row r="869" spans="1:13" hidden="1" outlineLevel="1" x14ac:dyDescent="0.2">
      <c r="A869" s="22" t="s">
        <v>1502</v>
      </c>
      <c r="B869" s="2" t="s">
        <v>252</v>
      </c>
      <c r="C869" s="2" t="s">
        <v>1505</v>
      </c>
      <c r="D869" s="716">
        <v>1</v>
      </c>
      <c r="E869" s="4" t="s">
        <v>5</v>
      </c>
      <c r="F869" s="47">
        <f t="shared" si="88"/>
        <v>0</v>
      </c>
      <c r="G869" s="47">
        <f t="shared" ref="G869:I869" si="94">H869</f>
        <v>0</v>
      </c>
      <c r="H869" s="47">
        <f t="shared" si="94"/>
        <v>0</v>
      </c>
      <c r="I869" s="47">
        <f t="shared" si="94"/>
        <v>0</v>
      </c>
      <c r="J869" s="47">
        <f t="shared" si="89"/>
        <v>0</v>
      </c>
      <c r="K869" s="47">
        <v>0</v>
      </c>
      <c r="L869" s="47">
        <v>0</v>
      </c>
      <c r="M869" s="893"/>
    </row>
    <row r="870" spans="1:13" hidden="1" outlineLevel="1" x14ac:dyDescent="0.2">
      <c r="A870" s="22" t="s">
        <v>1502</v>
      </c>
      <c r="B870" s="2" t="s">
        <v>252</v>
      </c>
      <c r="C870" s="2" t="s">
        <v>1505</v>
      </c>
      <c r="D870" s="716">
        <v>1</v>
      </c>
      <c r="E870" s="4" t="s">
        <v>6</v>
      </c>
      <c r="F870" s="47">
        <f t="shared" si="88"/>
        <v>0</v>
      </c>
      <c r="G870" s="47">
        <f t="shared" ref="G870:I870" si="95">H870</f>
        <v>0</v>
      </c>
      <c r="H870" s="47">
        <f t="shared" si="95"/>
        <v>0</v>
      </c>
      <c r="I870" s="47">
        <f t="shared" si="95"/>
        <v>0</v>
      </c>
      <c r="J870" s="47">
        <f t="shared" si="89"/>
        <v>0</v>
      </c>
      <c r="K870" s="47">
        <v>0</v>
      </c>
      <c r="L870" s="47">
        <v>0</v>
      </c>
      <c r="M870" s="893"/>
    </row>
    <row r="871" spans="1:13" hidden="1" outlineLevel="1" x14ac:dyDescent="0.2">
      <c r="A871" s="22" t="s">
        <v>1502</v>
      </c>
      <c r="B871" s="2" t="s">
        <v>252</v>
      </c>
      <c r="C871" s="2" t="s">
        <v>1505</v>
      </c>
      <c r="D871" s="716">
        <v>1</v>
      </c>
      <c r="E871" s="4" t="s">
        <v>143</v>
      </c>
      <c r="F871" s="47">
        <f t="shared" si="88"/>
        <v>0</v>
      </c>
      <c r="G871" s="47">
        <f t="shared" ref="G871:I871" si="96">H871</f>
        <v>0</v>
      </c>
      <c r="H871" s="47">
        <f t="shared" si="96"/>
        <v>0</v>
      </c>
      <c r="I871" s="47">
        <f t="shared" si="96"/>
        <v>0</v>
      </c>
      <c r="J871" s="47">
        <f t="shared" si="89"/>
        <v>0</v>
      </c>
      <c r="K871" s="47">
        <v>0</v>
      </c>
      <c r="L871" s="47">
        <v>0</v>
      </c>
      <c r="M871" s="893"/>
    </row>
    <row r="872" spans="1:13" hidden="1" outlineLevel="1" x14ac:dyDescent="0.2">
      <c r="A872" s="22" t="s">
        <v>1502</v>
      </c>
      <c r="B872" s="2" t="s">
        <v>252</v>
      </c>
      <c r="C872" s="2" t="s">
        <v>1505</v>
      </c>
      <c r="D872" s="716">
        <v>1</v>
      </c>
      <c r="E872" s="4" t="s">
        <v>7</v>
      </c>
      <c r="F872" s="47">
        <f t="shared" si="88"/>
        <v>0</v>
      </c>
      <c r="G872" s="47">
        <f t="shared" ref="G872:I872" si="97">H872</f>
        <v>0</v>
      </c>
      <c r="H872" s="47">
        <f t="shared" si="97"/>
        <v>0</v>
      </c>
      <c r="I872" s="47">
        <f t="shared" si="97"/>
        <v>0</v>
      </c>
      <c r="J872" s="47">
        <f t="shared" si="89"/>
        <v>0</v>
      </c>
      <c r="K872" s="47">
        <v>0</v>
      </c>
      <c r="L872" s="47">
        <v>0</v>
      </c>
      <c r="M872" s="893"/>
    </row>
    <row r="873" spans="1:13" hidden="1" outlineLevel="1" x14ac:dyDescent="0.2">
      <c r="A873" s="22" t="s">
        <v>1502</v>
      </c>
      <c r="B873" s="2" t="s">
        <v>252</v>
      </c>
      <c r="C873" s="2" t="s">
        <v>1505</v>
      </c>
      <c r="D873" s="716">
        <v>1</v>
      </c>
      <c r="E873" s="4" t="s">
        <v>31</v>
      </c>
      <c r="F873" s="47">
        <f t="shared" si="88"/>
        <v>1</v>
      </c>
      <c r="G873" s="47">
        <f t="shared" ref="G873:I873" si="98">H873</f>
        <v>1</v>
      </c>
      <c r="H873" s="47">
        <f t="shared" si="98"/>
        <v>1</v>
      </c>
      <c r="I873" s="47">
        <f t="shared" si="98"/>
        <v>1</v>
      </c>
      <c r="J873" s="47">
        <f t="shared" si="89"/>
        <v>1</v>
      </c>
      <c r="K873" s="47">
        <v>1</v>
      </c>
      <c r="L873" s="47">
        <v>1</v>
      </c>
      <c r="M873" s="893"/>
    </row>
    <row r="874" spans="1:13" hidden="1" outlineLevel="1" x14ac:dyDescent="0.2">
      <c r="A874" s="22" t="s">
        <v>1502</v>
      </c>
      <c r="B874" s="2" t="s">
        <v>252</v>
      </c>
      <c r="C874" s="2" t="s">
        <v>1505</v>
      </c>
      <c r="D874" s="716">
        <v>1</v>
      </c>
      <c r="E874" s="4" t="s">
        <v>8</v>
      </c>
      <c r="F874" s="47">
        <f t="shared" si="88"/>
        <v>1</v>
      </c>
      <c r="G874" s="47">
        <f t="shared" ref="G874:I874" si="99">H874</f>
        <v>1</v>
      </c>
      <c r="H874" s="47">
        <f t="shared" si="99"/>
        <v>1</v>
      </c>
      <c r="I874" s="47">
        <f t="shared" si="99"/>
        <v>1</v>
      </c>
      <c r="J874" s="47">
        <f t="shared" si="89"/>
        <v>1</v>
      </c>
      <c r="K874" s="47">
        <v>1</v>
      </c>
      <c r="L874" s="47">
        <v>1</v>
      </c>
      <c r="M874" s="893"/>
    </row>
    <row r="875" spans="1:13" hidden="1" outlineLevel="1" x14ac:dyDescent="0.2">
      <c r="A875" s="22" t="s">
        <v>1502</v>
      </c>
      <c r="B875" s="2" t="s">
        <v>252</v>
      </c>
      <c r="C875" s="2" t="s">
        <v>1505</v>
      </c>
      <c r="D875" s="716">
        <v>1</v>
      </c>
      <c r="E875" s="4" t="s">
        <v>9</v>
      </c>
      <c r="F875" s="47">
        <f t="shared" si="88"/>
        <v>0</v>
      </c>
      <c r="G875" s="47">
        <f t="shared" ref="G875:I875" si="100">H875</f>
        <v>0</v>
      </c>
      <c r="H875" s="47">
        <f t="shared" si="100"/>
        <v>0</v>
      </c>
      <c r="I875" s="47">
        <f t="shared" si="100"/>
        <v>0</v>
      </c>
      <c r="J875" s="47">
        <f t="shared" si="89"/>
        <v>0</v>
      </c>
      <c r="K875" s="47">
        <v>0</v>
      </c>
      <c r="L875" s="47">
        <v>0</v>
      </c>
      <c r="M875" s="893"/>
    </row>
    <row r="876" spans="1:13" hidden="1" outlineLevel="1" x14ac:dyDescent="0.2">
      <c r="A876" s="22" t="s">
        <v>1502</v>
      </c>
      <c r="B876" s="2" t="s">
        <v>252</v>
      </c>
      <c r="C876" s="2" t="s">
        <v>1505</v>
      </c>
      <c r="D876" s="716">
        <v>1</v>
      </c>
      <c r="E876" s="4" t="s">
        <v>10</v>
      </c>
      <c r="F876" s="47">
        <f t="shared" si="88"/>
        <v>0</v>
      </c>
      <c r="G876" s="47">
        <f t="shared" ref="G876:I876" si="101">H876</f>
        <v>0</v>
      </c>
      <c r="H876" s="47">
        <f t="shared" si="101"/>
        <v>0</v>
      </c>
      <c r="I876" s="47">
        <f t="shared" si="101"/>
        <v>0</v>
      </c>
      <c r="J876" s="47">
        <f t="shared" si="89"/>
        <v>0</v>
      </c>
      <c r="K876" s="47">
        <v>0</v>
      </c>
      <c r="L876" s="47">
        <v>0</v>
      </c>
      <c r="M876" s="893"/>
    </row>
    <row r="877" spans="1:13" hidden="1" outlineLevel="1" x14ac:dyDescent="0.2">
      <c r="A877" s="22" t="s">
        <v>1502</v>
      </c>
      <c r="B877" s="2" t="s">
        <v>252</v>
      </c>
      <c r="C877" s="2" t="s">
        <v>1505</v>
      </c>
      <c r="D877" s="716">
        <v>1</v>
      </c>
      <c r="E877" s="4" t="s">
        <v>11</v>
      </c>
      <c r="F877" s="47">
        <f t="shared" si="88"/>
        <v>0</v>
      </c>
      <c r="G877" s="47">
        <f t="shared" ref="G877:I877" si="102">H877</f>
        <v>0</v>
      </c>
      <c r="H877" s="47">
        <f t="shared" si="102"/>
        <v>0</v>
      </c>
      <c r="I877" s="47">
        <f t="shared" si="102"/>
        <v>0</v>
      </c>
      <c r="J877" s="47">
        <f t="shared" si="89"/>
        <v>0</v>
      </c>
      <c r="K877" s="47">
        <v>0</v>
      </c>
      <c r="L877" s="47">
        <v>0</v>
      </c>
      <c r="M877" s="893"/>
    </row>
    <row r="878" spans="1:13" hidden="1" outlineLevel="1" x14ac:dyDescent="0.2">
      <c r="A878" s="22" t="s">
        <v>1502</v>
      </c>
      <c r="B878" s="2" t="s">
        <v>252</v>
      </c>
      <c r="C878" s="2" t="s">
        <v>1505</v>
      </c>
      <c r="D878" s="716">
        <v>1</v>
      </c>
      <c r="E878" s="4" t="s">
        <v>12</v>
      </c>
      <c r="F878" s="47">
        <f t="shared" si="88"/>
        <v>0</v>
      </c>
      <c r="G878" s="47">
        <f t="shared" ref="G878:I878" si="103">H878</f>
        <v>0</v>
      </c>
      <c r="H878" s="47">
        <f t="shared" si="103"/>
        <v>0</v>
      </c>
      <c r="I878" s="47">
        <f t="shared" si="103"/>
        <v>0</v>
      </c>
      <c r="J878" s="47">
        <f t="shared" si="89"/>
        <v>0</v>
      </c>
      <c r="K878" s="47">
        <v>0</v>
      </c>
      <c r="L878" s="47">
        <v>0</v>
      </c>
      <c r="M878" s="893"/>
    </row>
    <row r="879" spans="1:13" hidden="1" outlineLevel="1" x14ac:dyDescent="0.2">
      <c r="A879" s="22" t="s">
        <v>1502</v>
      </c>
      <c r="B879" s="2" t="s">
        <v>252</v>
      </c>
      <c r="C879" s="2" t="s">
        <v>1505</v>
      </c>
      <c r="D879" s="716">
        <v>1</v>
      </c>
      <c r="E879" s="4" t="s">
        <v>1</v>
      </c>
      <c r="F879" s="47">
        <f t="shared" si="88"/>
        <v>0</v>
      </c>
      <c r="G879" s="47">
        <f t="shared" ref="G879:I879" si="104">H879</f>
        <v>0</v>
      </c>
      <c r="H879" s="47">
        <f t="shared" si="104"/>
        <v>0</v>
      </c>
      <c r="I879" s="47">
        <f t="shared" si="104"/>
        <v>0</v>
      </c>
      <c r="J879" s="47">
        <f t="shared" si="89"/>
        <v>0</v>
      </c>
      <c r="K879" s="47">
        <v>0</v>
      </c>
      <c r="L879" s="47">
        <v>0</v>
      </c>
      <c r="M879" s="893"/>
    </row>
    <row r="880" spans="1:13" hidden="1" outlineLevel="1" x14ac:dyDescent="0.2">
      <c r="A880" s="22" t="s">
        <v>1502</v>
      </c>
      <c r="B880" s="2" t="s">
        <v>252</v>
      </c>
      <c r="C880" s="2" t="s">
        <v>1505</v>
      </c>
      <c r="D880" s="716">
        <v>1</v>
      </c>
      <c r="E880" s="4" t="s">
        <v>13</v>
      </c>
      <c r="F880" s="47">
        <f t="shared" si="88"/>
        <v>0</v>
      </c>
      <c r="G880" s="47">
        <f t="shared" ref="G880:I880" si="105">H880</f>
        <v>0</v>
      </c>
      <c r="H880" s="47">
        <f t="shared" si="105"/>
        <v>0</v>
      </c>
      <c r="I880" s="47">
        <f t="shared" si="105"/>
        <v>0</v>
      </c>
      <c r="J880" s="47">
        <f t="shared" si="89"/>
        <v>0</v>
      </c>
      <c r="K880" s="47">
        <v>0</v>
      </c>
      <c r="L880" s="47">
        <v>0</v>
      </c>
      <c r="M880" s="893"/>
    </row>
    <row r="881" spans="1:13" hidden="1" outlineLevel="1" x14ac:dyDescent="0.2">
      <c r="A881" s="22" t="s">
        <v>1502</v>
      </c>
      <c r="B881" s="2" t="s">
        <v>252</v>
      </c>
      <c r="C881" s="2" t="s">
        <v>1505</v>
      </c>
      <c r="D881" s="716">
        <v>1</v>
      </c>
      <c r="E881" s="4" t="s">
        <v>14</v>
      </c>
      <c r="F881" s="47">
        <f t="shared" ref="F881:J944" si="106">G881</f>
        <v>0</v>
      </c>
      <c r="G881" s="47">
        <f t="shared" si="106"/>
        <v>0</v>
      </c>
      <c r="H881" s="47">
        <f t="shared" si="106"/>
        <v>0</v>
      </c>
      <c r="I881" s="47">
        <f t="shared" si="106"/>
        <v>0</v>
      </c>
      <c r="J881" s="47">
        <f t="shared" si="89"/>
        <v>0</v>
      </c>
      <c r="K881" s="47">
        <v>0</v>
      </c>
      <c r="L881" s="47">
        <v>0</v>
      </c>
      <c r="M881" s="893"/>
    </row>
    <row r="882" spans="1:13" hidden="1" outlineLevel="1" x14ac:dyDescent="0.2">
      <c r="A882" s="22" t="s">
        <v>1502</v>
      </c>
      <c r="B882" s="2" t="s">
        <v>252</v>
      </c>
      <c r="C882" s="2" t="s">
        <v>1505</v>
      </c>
      <c r="D882" s="716">
        <v>1</v>
      </c>
      <c r="E882" s="4" t="s">
        <v>15</v>
      </c>
      <c r="F882" s="47">
        <f t="shared" si="106"/>
        <v>0</v>
      </c>
      <c r="G882" s="47">
        <f t="shared" si="106"/>
        <v>0</v>
      </c>
      <c r="H882" s="47">
        <f t="shared" si="106"/>
        <v>0</v>
      </c>
      <c r="I882" s="47">
        <f t="shared" si="106"/>
        <v>0</v>
      </c>
      <c r="J882" s="47">
        <f t="shared" si="89"/>
        <v>0</v>
      </c>
      <c r="K882" s="47">
        <v>0</v>
      </c>
      <c r="L882" s="47">
        <v>0</v>
      </c>
      <c r="M882" s="893"/>
    </row>
    <row r="883" spans="1:13" hidden="1" outlineLevel="1" x14ac:dyDescent="0.2">
      <c r="A883" s="22" t="s">
        <v>1502</v>
      </c>
      <c r="B883" s="2" t="s">
        <v>252</v>
      </c>
      <c r="C883" s="2" t="s">
        <v>1505</v>
      </c>
      <c r="D883" s="716">
        <v>1</v>
      </c>
      <c r="E883" s="4" t="s">
        <v>16</v>
      </c>
      <c r="F883" s="47">
        <f t="shared" si="106"/>
        <v>0</v>
      </c>
      <c r="G883" s="47">
        <f t="shared" si="106"/>
        <v>0</v>
      </c>
      <c r="H883" s="47">
        <f t="shared" si="106"/>
        <v>0</v>
      </c>
      <c r="I883" s="47">
        <f t="shared" si="106"/>
        <v>0</v>
      </c>
      <c r="J883" s="47">
        <f t="shared" si="89"/>
        <v>0</v>
      </c>
      <c r="K883" s="47">
        <v>0</v>
      </c>
      <c r="L883" s="47">
        <v>0</v>
      </c>
      <c r="M883" s="893"/>
    </row>
    <row r="884" spans="1:13" hidden="1" outlineLevel="1" x14ac:dyDescent="0.2">
      <c r="A884" s="22" t="s">
        <v>1502</v>
      </c>
      <c r="B884" s="2" t="s">
        <v>252</v>
      </c>
      <c r="C884" s="2" t="s">
        <v>1505</v>
      </c>
      <c r="D884" s="716">
        <v>1</v>
      </c>
      <c r="E884" s="4" t="s">
        <v>17</v>
      </c>
      <c r="F884" s="47">
        <f t="shared" si="106"/>
        <v>0</v>
      </c>
      <c r="G884" s="47">
        <f t="shared" si="106"/>
        <v>0</v>
      </c>
      <c r="H884" s="47">
        <f t="shared" si="106"/>
        <v>0</v>
      </c>
      <c r="I884" s="47">
        <f t="shared" si="106"/>
        <v>0</v>
      </c>
      <c r="J884" s="47">
        <f t="shared" si="89"/>
        <v>0</v>
      </c>
      <c r="K884" s="47">
        <v>0</v>
      </c>
      <c r="L884" s="47">
        <v>0</v>
      </c>
      <c r="M884" s="893"/>
    </row>
    <row r="885" spans="1:13" hidden="1" outlineLevel="1" x14ac:dyDescent="0.2">
      <c r="A885" s="22" t="s">
        <v>1502</v>
      </c>
      <c r="B885" s="2" t="s">
        <v>252</v>
      </c>
      <c r="C885" s="2" t="s">
        <v>1505</v>
      </c>
      <c r="D885" s="716">
        <v>1</v>
      </c>
      <c r="E885" s="4" t="s">
        <v>18</v>
      </c>
      <c r="F885" s="47">
        <f t="shared" si="106"/>
        <v>1</v>
      </c>
      <c r="G885" s="47">
        <f t="shared" si="106"/>
        <v>1</v>
      </c>
      <c r="H885" s="47">
        <f t="shared" si="106"/>
        <v>1</v>
      </c>
      <c r="I885" s="47">
        <f t="shared" si="106"/>
        <v>1</v>
      </c>
      <c r="J885" s="47">
        <f t="shared" si="89"/>
        <v>1</v>
      </c>
      <c r="K885" s="47">
        <v>1</v>
      </c>
      <c r="L885" s="47">
        <v>1</v>
      </c>
      <c r="M885" s="893"/>
    </row>
    <row r="886" spans="1:13" hidden="1" outlineLevel="1" x14ac:dyDescent="0.2">
      <c r="A886" s="22" t="s">
        <v>1502</v>
      </c>
      <c r="B886" s="2" t="s">
        <v>252</v>
      </c>
      <c r="C886" s="2" t="s">
        <v>1505</v>
      </c>
      <c r="D886" s="716">
        <v>1</v>
      </c>
      <c r="E886" s="4" t="s">
        <v>2</v>
      </c>
      <c r="F886" s="47">
        <f t="shared" si="106"/>
        <v>0</v>
      </c>
      <c r="G886" s="47">
        <f t="shared" si="106"/>
        <v>0</v>
      </c>
      <c r="H886" s="47">
        <f t="shared" si="106"/>
        <v>0</v>
      </c>
      <c r="I886" s="47">
        <f t="shared" si="106"/>
        <v>0</v>
      </c>
      <c r="J886" s="47">
        <f t="shared" si="89"/>
        <v>0</v>
      </c>
      <c r="K886" s="47">
        <v>0</v>
      </c>
      <c r="L886" s="47">
        <v>0</v>
      </c>
      <c r="M886" s="893"/>
    </row>
    <row r="887" spans="1:13" hidden="1" outlineLevel="1" x14ac:dyDescent="0.2">
      <c r="A887" s="22" t="s">
        <v>1502</v>
      </c>
      <c r="B887" s="2" t="s">
        <v>252</v>
      </c>
      <c r="C887" s="2" t="s">
        <v>1505</v>
      </c>
      <c r="D887" s="716">
        <v>1</v>
      </c>
      <c r="E887" s="4" t="s">
        <v>19</v>
      </c>
      <c r="F887" s="47">
        <f t="shared" si="106"/>
        <v>0</v>
      </c>
      <c r="G887" s="47">
        <f t="shared" si="106"/>
        <v>0</v>
      </c>
      <c r="H887" s="47">
        <f t="shared" si="106"/>
        <v>0</v>
      </c>
      <c r="I887" s="47">
        <f t="shared" si="106"/>
        <v>0</v>
      </c>
      <c r="J887" s="47">
        <f t="shared" si="89"/>
        <v>0</v>
      </c>
      <c r="K887" s="47">
        <v>0</v>
      </c>
      <c r="L887" s="47">
        <v>0</v>
      </c>
      <c r="M887" s="893"/>
    </row>
    <row r="888" spans="1:13" hidden="1" outlineLevel="1" x14ac:dyDescent="0.2">
      <c r="A888" s="22" t="s">
        <v>1502</v>
      </c>
      <c r="B888" s="2" t="s">
        <v>252</v>
      </c>
      <c r="C888" s="2" t="s">
        <v>1505</v>
      </c>
      <c r="D888" s="716">
        <v>1</v>
      </c>
      <c r="E888" s="4" t="s">
        <v>3</v>
      </c>
      <c r="F888" s="47">
        <f t="shared" si="106"/>
        <v>0</v>
      </c>
      <c r="G888" s="47">
        <f t="shared" si="106"/>
        <v>0</v>
      </c>
      <c r="H888" s="47">
        <f t="shared" si="106"/>
        <v>0</v>
      </c>
      <c r="I888" s="47">
        <f t="shared" si="106"/>
        <v>0</v>
      </c>
      <c r="J888" s="47">
        <f t="shared" si="89"/>
        <v>0</v>
      </c>
      <c r="K888" s="47">
        <v>0</v>
      </c>
      <c r="L888" s="47">
        <v>0</v>
      </c>
      <c r="M888" s="893"/>
    </row>
    <row r="889" spans="1:13" hidden="1" outlineLevel="1" x14ac:dyDescent="0.2">
      <c r="A889" s="22" t="s">
        <v>1502</v>
      </c>
      <c r="B889" s="2" t="s">
        <v>252</v>
      </c>
      <c r="C889" s="2" t="s">
        <v>1505</v>
      </c>
      <c r="D889" s="716">
        <v>1</v>
      </c>
      <c r="E889" s="4" t="s">
        <v>20</v>
      </c>
      <c r="F889" s="47">
        <f t="shared" si="106"/>
        <v>0</v>
      </c>
      <c r="G889" s="47">
        <f t="shared" si="106"/>
        <v>0</v>
      </c>
      <c r="H889" s="47">
        <f t="shared" si="106"/>
        <v>0</v>
      </c>
      <c r="I889" s="47">
        <f t="shared" si="106"/>
        <v>0</v>
      </c>
      <c r="J889" s="47">
        <f t="shared" si="89"/>
        <v>0</v>
      </c>
      <c r="K889" s="47">
        <v>0</v>
      </c>
      <c r="L889" s="47">
        <v>0</v>
      </c>
      <c r="M889" s="893"/>
    </row>
    <row r="890" spans="1:13" hidden="1" outlineLevel="1" x14ac:dyDescent="0.2">
      <c r="A890" s="22" t="s">
        <v>1502</v>
      </c>
      <c r="B890" s="2" t="s">
        <v>252</v>
      </c>
      <c r="C890" s="2" t="s">
        <v>1505</v>
      </c>
      <c r="D890" s="716">
        <v>1</v>
      </c>
      <c r="E890" s="4" t="s">
        <v>21</v>
      </c>
      <c r="F890" s="47">
        <f t="shared" si="106"/>
        <v>0</v>
      </c>
      <c r="G890" s="47">
        <f t="shared" si="106"/>
        <v>0</v>
      </c>
      <c r="H890" s="47">
        <f t="shared" si="106"/>
        <v>0</v>
      </c>
      <c r="I890" s="47">
        <f t="shared" si="106"/>
        <v>0</v>
      </c>
      <c r="J890" s="47">
        <f t="shared" si="89"/>
        <v>0</v>
      </c>
      <c r="K890" s="47">
        <v>0</v>
      </c>
      <c r="L890" s="47">
        <v>0</v>
      </c>
      <c r="M890" s="893"/>
    </row>
    <row r="891" spans="1:13" hidden="1" outlineLevel="1" x14ac:dyDescent="0.2">
      <c r="A891" s="22" t="s">
        <v>1502</v>
      </c>
      <c r="B891" s="2" t="s">
        <v>252</v>
      </c>
      <c r="C891" s="2" t="s">
        <v>1505</v>
      </c>
      <c r="D891" s="716">
        <v>1</v>
      </c>
      <c r="E891" s="4" t="s">
        <v>1096</v>
      </c>
      <c r="F891" s="47">
        <f t="shared" si="106"/>
        <v>0</v>
      </c>
      <c r="G891" s="47">
        <f t="shared" si="106"/>
        <v>0</v>
      </c>
      <c r="H891" s="47">
        <f t="shared" si="106"/>
        <v>0</v>
      </c>
      <c r="I891" s="47">
        <f t="shared" si="106"/>
        <v>0</v>
      </c>
      <c r="J891" s="47">
        <f t="shared" si="89"/>
        <v>0</v>
      </c>
      <c r="K891" s="47">
        <v>0</v>
      </c>
      <c r="L891" s="47">
        <v>1</v>
      </c>
      <c r="M891" s="893"/>
    </row>
    <row r="892" spans="1:13" hidden="1" outlineLevel="1" x14ac:dyDescent="0.2">
      <c r="A892" s="22" t="s">
        <v>1502</v>
      </c>
      <c r="B892" s="2" t="s">
        <v>252</v>
      </c>
      <c r="C892" s="2" t="s">
        <v>1505</v>
      </c>
      <c r="D892" s="716">
        <v>1</v>
      </c>
      <c r="E892" s="4" t="s">
        <v>22</v>
      </c>
      <c r="F892" s="47">
        <f t="shared" si="106"/>
        <v>0</v>
      </c>
      <c r="G892" s="47">
        <f t="shared" si="106"/>
        <v>0</v>
      </c>
      <c r="H892" s="47">
        <f t="shared" si="106"/>
        <v>0</v>
      </c>
      <c r="I892" s="47">
        <f t="shared" si="106"/>
        <v>0</v>
      </c>
      <c r="J892" s="47">
        <f t="shared" si="89"/>
        <v>0</v>
      </c>
      <c r="K892" s="47">
        <v>0</v>
      </c>
      <c r="L892" s="47">
        <v>0</v>
      </c>
      <c r="M892" s="893"/>
    </row>
    <row r="893" spans="1:13" hidden="1" outlineLevel="1" x14ac:dyDescent="0.2">
      <c r="A893" s="91" t="s">
        <v>1502</v>
      </c>
      <c r="B893" s="3" t="s">
        <v>252</v>
      </c>
      <c r="C893" s="3" t="s">
        <v>1505</v>
      </c>
      <c r="D893" s="717">
        <v>1</v>
      </c>
      <c r="E893" s="469" t="s">
        <v>23</v>
      </c>
      <c r="F893" s="48">
        <f t="shared" si="106"/>
        <v>0</v>
      </c>
      <c r="G893" s="48">
        <f t="shared" si="106"/>
        <v>0</v>
      </c>
      <c r="H893" s="48">
        <f t="shared" si="106"/>
        <v>0</v>
      </c>
      <c r="I893" s="48">
        <f t="shared" si="106"/>
        <v>0</v>
      </c>
      <c r="J893" s="48">
        <f t="shared" si="89"/>
        <v>0</v>
      </c>
      <c r="K893" s="363">
        <v>0</v>
      </c>
      <c r="L893" s="363">
        <v>0</v>
      </c>
      <c r="M893" s="920"/>
    </row>
    <row r="894" spans="1:13" hidden="1" outlineLevel="1" x14ac:dyDescent="0.2">
      <c r="A894" s="92" t="s">
        <v>1502</v>
      </c>
      <c r="B894" s="81" t="s">
        <v>252</v>
      </c>
      <c r="C894" s="81" t="s">
        <v>1506</v>
      </c>
      <c r="D894" s="715">
        <v>1</v>
      </c>
      <c r="E894" s="468" t="s">
        <v>4</v>
      </c>
      <c r="F894" s="380">
        <f t="shared" si="106"/>
        <v>0</v>
      </c>
      <c r="G894" s="89">
        <f t="shared" si="106"/>
        <v>0</v>
      </c>
      <c r="H894" s="89">
        <f t="shared" si="106"/>
        <v>0</v>
      </c>
      <c r="I894" s="89">
        <f t="shared" si="106"/>
        <v>0</v>
      </c>
      <c r="J894" s="89">
        <f t="shared" si="89"/>
        <v>0</v>
      </c>
      <c r="K894" s="380">
        <v>0</v>
      </c>
      <c r="L894" s="380">
        <v>0</v>
      </c>
      <c r="M894" s="892"/>
    </row>
    <row r="895" spans="1:13" hidden="1" outlineLevel="1" x14ac:dyDescent="0.2">
      <c r="A895" s="22" t="s">
        <v>1502</v>
      </c>
      <c r="B895" s="2" t="s">
        <v>252</v>
      </c>
      <c r="C895" s="2" t="s">
        <v>1506</v>
      </c>
      <c r="D895" s="716">
        <v>1</v>
      </c>
      <c r="E895" s="4" t="s">
        <v>5</v>
      </c>
      <c r="F895" s="47">
        <f t="shared" si="106"/>
        <v>0</v>
      </c>
      <c r="G895" s="47">
        <f t="shared" si="106"/>
        <v>0</v>
      </c>
      <c r="H895" s="47">
        <f t="shared" si="106"/>
        <v>0</v>
      </c>
      <c r="I895" s="47">
        <f t="shared" si="106"/>
        <v>0</v>
      </c>
      <c r="J895" s="47">
        <f t="shared" si="89"/>
        <v>0</v>
      </c>
      <c r="K895" s="47">
        <v>0</v>
      </c>
      <c r="L895" s="47">
        <v>0</v>
      </c>
      <c r="M895" s="893"/>
    </row>
    <row r="896" spans="1:13" hidden="1" outlineLevel="1" x14ac:dyDescent="0.2">
      <c r="A896" s="22" t="s">
        <v>1502</v>
      </c>
      <c r="B896" s="2" t="s">
        <v>252</v>
      </c>
      <c r="C896" s="2" t="s">
        <v>1506</v>
      </c>
      <c r="D896" s="716">
        <v>1</v>
      </c>
      <c r="E896" s="4" t="s">
        <v>6</v>
      </c>
      <c r="F896" s="47">
        <f t="shared" si="106"/>
        <v>0</v>
      </c>
      <c r="G896" s="47">
        <f t="shared" si="106"/>
        <v>0</v>
      </c>
      <c r="H896" s="47">
        <f t="shared" si="106"/>
        <v>0</v>
      </c>
      <c r="I896" s="47">
        <f t="shared" si="106"/>
        <v>0</v>
      </c>
      <c r="J896" s="47">
        <f t="shared" si="89"/>
        <v>0</v>
      </c>
      <c r="K896" s="47">
        <v>0</v>
      </c>
      <c r="L896" s="47">
        <v>0</v>
      </c>
      <c r="M896" s="893"/>
    </row>
    <row r="897" spans="1:13" hidden="1" outlineLevel="1" x14ac:dyDescent="0.2">
      <c r="A897" s="22" t="s">
        <v>1502</v>
      </c>
      <c r="B897" s="2" t="s">
        <v>252</v>
      </c>
      <c r="C897" s="2" t="s">
        <v>1506</v>
      </c>
      <c r="D897" s="716">
        <v>1</v>
      </c>
      <c r="E897" s="4" t="s">
        <v>143</v>
      </c>
      <c r="F897" s="47">
        <f t="shared" si="106"/>
        <v>0</v>
      </c>
      <c r="G897" s="47">
        <f t="shared" si="106"/>
        <v>0</v>
      </c>
      <c r="H897" s="47">
        <f t="shared" si="106"/>
        <v>0</v>
      </c>
      <c r="I897" s="47">
        <f t="shared" si="106"/>
        <v>0</v>
      </c>
      <c r="J897" s="47">
        <f t="shared" si="89"/>
        <v>0</v>
      </c>
      <c r="K897" s="47">
        <v>0</v>
      </c>
      <c r="L897" s="47">
        <v>0</v>
      </c>
      <c r="M897" s="893"/>
    </row>
    <row r="898" spans="1:13" hidden="1" outlineLevel="1" x14ac:dyDescent="0.2">
      <c r="A898" s="22" t="s">
        <v>1502</v>
      </c>
      <c r="B898" s="2" t="s">
        <v>252</v>
      </c>
      <c r="C898" s="2" t="s">
        <v>1506</v>
      </c>
      <c r="D898" s="716">
        <v>1</v>
      </c>
      <c r="E898" s="4" t="s">
        <v>7</v>
      </c>
      <c r="F898" s="47">
        <f t="shared" si="106"/>
        <v>0</v>
      </c>
      <c r="G898" s="47">
        <f t="shared" si="106"/>
        <v>0</v>
      </c>
      <c r="H898" s="47">
        <f t="shared" si="106"/>
        <v>0</v>
      </c>
      <c r="I898" s="47">
        <f t="shared" si="106"/>
        <v>0</v>
      </c>
      <c r="J898" s="47">
        <f t="shared" si="89"/>
        <v>0</v>
      </c>
      <c r="K898" s="47">
        <v>0</v>
      </c>
      <c r="L898" s="47">
        <v>0</v>
      </c>
      <c r="M898" s="893"/>
    </row>
    <row r="899" spans="1:13" hidden="1" outlineLevel="1" x14ac:dyDescent="0.2">
      <c r="A899" s="22" t="s">
        <v>1502</v>
      </c>
      <c r="B899" s="2" t="s">
        <v>252</v>
      </c>
      <c r="C899" s="2" t="s">
        <v>1506</v>
      </c>
      <c r="D899" s="716">
        <v>1</v>
      </c>
      <c r="E899" s="4" t="s">
        <v>31</v>
      </c>
      <c r="F899" s="47">
        <f t="shared" si="106"/>
        <v>1</v>
      </c>
      <c r="G899" s="47">
        <f t="shared" si="106"/>
        <v>1</v>
      </c>
      <c r="H899" s="47">
        <f t="shared" si="106"/>
        <v>1</v>
      </c>
      <c r="I899" s="47">
        <f t="shared" si="106"/>
        <v>1</v>
      </c>
      <c r="J899" s="47">
        <f t="shared" si="89"/>
        <v>1</v>
      </c>
      <c r="K899" s="47">
        <v>1</v>
      </c>
      <c r="L899" s="47">
        <v>1</v>
      </c>
      <c r="M899" s="893"/>
    </row>
    <row r="900" spans="1:13" hidden="1" outlineLevel="1" x14ac:dyDescent="0.2">
      <c r="A900" s="22" t="s">
        <v>1502</v>
      </c>
      <c r="B900" s="2" t="s">
        <v>252</v>
      </c>
      <c r="C900" s="2" t="s">
        <v>1506</v>
      </c>
      <c r="D900" s="716">
        <v>1</v>
      </c>
      <c r="E900" s="4" t="s">
        <v>8</v>
      </c>
      <c r="F900" s="47">
        <f t="shared" si="106"/>
        <v>0</v>
      </c>
      <c r="G900" s="47">
        <f t="shared" si="106"/>
        <v>0</v>
      </c>
      <c r="H900" s="47">
        <f t="shared" si="106"/>
        <v>0</v>
      </c>
      <c r="I900" s="47">
        <f t="shared" si="106"/>
        <v>0</v>
      </c>
      <c r="J900" s="47">
        <f t="shared" si="89"/>
        <v>0</v>
      </c>
      <c r="K900" s="47">
        <v>0</v>
      </c>
      <c r="L900" s="47">
        <v>0</v>
      </c>
      <c r="M900" s="893"/>
    </row>
    <row r="901" spans="1:13" hidden="1" outlineLevel="1" x14ac:dyDescent="0.2">
      <c r="A901" s="22" t="s">
        <v>1502</v>
      </c>
      <c r="B901" s="2" t="s">
        <v>252</v>
      </c>
      <c r="C901" s="2" t="s">
        <v>1506</v>
      </c>
      <c r="D901" s="716">
        <v>1</v>
      </c>
      <c r="E901" s="4" t="s">
        <v>9</v>
      </c>
      <c r="F901" s="47">
        <f t="shared" si="106"/>
        <v>0</v>
      </c>
      <c r="G901" s="47">
        <f t="shared" si="106"/>
        <v>0</v>
      </c>
      <c r="H901" s="47">
        <f t="shared" si="106"/>
        <v>0</v>
      </c>
      <c r="I901" s="47">
        <f t="shared" si="106"/>
        <v>0</v>
      </c>
      <c r="J901" s="47">
        <f t="shared" si="89"/>
        <v>0</v>
      </c>
      <c r="K901" s="47">
        <v>0</v>
      </c>
      <c r="L901" s="47">
        <v>0</v>
      </c>
      <c r="M901" s="893"/>
    </row>
    <row r="902" spans="1:13" hidden="1" outlineLevel="1" x14ac:dyDescent="0.2">
      <c r="A902" s="22" t="s">
        <v>1502</v>
      </c>
      <c r="B902" s="2" t="s">
        <v>252</v>
      </c>
      <c r="C902" s="2" t="s">
        <v>1506</v>
      </c>
      <c r="D902" s="716">
        <v>1</v>
      </c>
      <c r="E902" s="4" t="s">
        <v>10</v>
      </c>
      <c r="F902" s="47">
        <f t="shared" si="106"/>
        <v>0</v>
      </c>
      <c r="G902" s="47">
        <f t="shared" si="106"/>
        <v>0</v>
      </c>
      <c r="H902" s="47">
        <f t="shared" si="106"/>
        <v>0</v>
      </c>
      <c r="I902" s="47">
        <f t="shared" si="106"/>
        <v>0</v>
      </c>
      <c r="J902" s="47">
        <f t="shared" si="89"/>
        <v>0</v>
      </c>
      <c r="K902" s="47">
        <v>0</v>
      </c>
      <c r="L902" s="47">
        <v>0</v>
      </c>
      <c r="M902" s="893"/>
    </row>
    <row r="903" spans="1:13" hidden="1" outlineLevel="1" x14ac:dyDescent="0.2">
      <c r="A903" s="22" t="s">
        <v>1502</v>
      </c>
      <c r="B903" s="2" t="s">
        <v>252</v>
      </c>
      <c r="C903" s="2" t="s">
        <v>1506</v>
      </c>
      <c r="D903" s="716">
        <v>1</v>
      </c>
      <c r="E903" s="4" t="s">
        <v>11</v>
      </c>
      <c r="F903" s="47">
        <f t="shared" si="106"/>
        <v>0</v>
      </c>
      <c r="G903" s="47">
        <f t="shared" si="106"/>
        <v>0</v>
      </c>
      <c r="H903" s="47">
        <f t="shared" si="106"/>
        <v>0</v>
      </c>
      <c r="I903" s="47">
        <f t="shared" si="106"/>
        <v>0</v>
      </c>
      <c r="J903" s="47">
        <f t="shared" si="89"/>
        <v>0</v>
      </c>
      <c r="K903" s="47">
        <v>0</v>
      </c>
      <c r="L903" s="47">
        <v>0</v>
      </c>
      <c r="M903" s="893"/>
    </row>
    <row r="904" spans="1:13" hidden="1" outlineLevel="1" x14ac:dyDescent="0.2">
      <c r="A904" s="22" t="s">
        <v>1502</v>
      </c>
      <c r="B904" s="2" t="s">
        <v>252</v>
      </c>
      <c r="C904" s="2" t="s">
        <v>1506</v>
      </c>
      <c r="D904" s="716">
        <v>1</v>
      </c>
      <c r="E904" s="4" t="s">
        <v>12</v>
      </c>
      <c r="F904" s="47">
        <f t="shared" si="106"/>
        <v>0</v>
      </c>
      <c r="G904" s="47">
        <f t="shared" si="106"/>
        <v>0</v>
      </c>
      <c r="H904" s="47">
        <f t="shared" si="106"/>
        <v>0</v>
      </c>
      <c r="I904" s="47">
        <f t="shared" si="106"/>
        <v>0</v>
      </c>
      <c r="J904" s="47">
        <f t="shared" si="89"/>
        <v>0</v>
      </c>
      <c r="K904" s="47">
        <v>0</v>
      </c>
      <c r="L904" s="47">
        <v>0</v>
      </c>
      <c r="M904" s="893"/>
    </row>
    <row r="905" spans="1:13" hidden="1" outlineLevel="1" x14ac:dyDescent="0.2">
      <c r="A905" s="22" t="s">
        <v>1502</v>
      </c>
      <c r="B905" s="2" t="s">
        <v>252</v>
      </c>
      <c r="C905" s="2" t="s">
        <v>1506</v>
      </c>
      <c r="D905" s="716">
        <v>1</v>
      </c>
      <c r="E905" s="4" t="s">
        <v>1</v>
      </c>
      <c r="F905" s="47">
        <f t="shared" si="106"/>
        <v>0</v>
      </c>
      <c r="G905" s="47">
        <f t="shared" si="106"/>
        <v>0</v>
      </c>
      <c r="H905" s="47">
        <f t="shared" si="106"/>
        <v>0</v>
      </c>
      <c r="I905" s="47">
        <f t="shared" si="106"/>
        <v>0</v>
      </c>
      <c r="J905" s="47">
        <f t="shared" si="89"/>
        <v>0</v>
      </c>
      <c r="K905" s="47">
        <v>0</v>
      </c>
      <c r="L905" s="47">
        <v>0</v>
      </c>
      <c r="M905" s="893"/>
    </row>
    <row r="906" spans="1:13" hidden="1" outlineLevel="1" x14ac:dyDescent="0.2">
      <c r="A906" s="22" t="s">
        <v>1502</v>
      </c>
      <c r="B906" s="2" t="s">
        <v>252</v>
      </c>
      <c r="C906" s="2" t="s">
        <v>1506</v>
      </c>
      <c r="D906" s="716">
        <v>1</v>
      </c>
      <c r="E906" s="4" t="s">
        <v>13</v>
      </c>
      <c r="F906" s="47">
        <f t="shared" si="106"/>
        <v>0</v>
      </c>
      <c r="G906" s="47">
        <f t="shared" si="106"/>
        <v>0</v>
      </c>
      <c r="H906" s="47">
        <f t="shared" si="106"/>
        <v>0</v>
      </c>
      <c r="I906" s="47">
        <f t="shared" si="106"/>
        <v>0</v>
      </c>
      <c r="J906" s="47">
        <f t="shared" si="89"/>
        <v>0</v>
      </c>
      <c r="K906" s="47">
        <v>0</v>
      </c>
      <c r="L906" s="47">
        <v>0</v>
      </c>
      <c r="M906" s="893"/>
    </row>
    <row r="907" spans="1:13" hidden="1" outlineLevel="1" x14ac:dyDescent="0.2">
      <c r="A907" s="22" t="s">
        <v>1502</v>
      </c>
      <c r="B907" s="2" t="s">
        <v>252</v>
      </c>
      <c r="C907" s="2" t="s">
        <v>1506</v>
      </c>
      <c r="D907" s="716">
        <v>1</v>
      </c>
      <c r="E907" s="4" t="s">
        <v>14</v>
      </c>
      <c r="F907" s="47">
        <f t="shared" si="106"/>
        <v>0</v>
      </c>
      <c r="G907" s="47">
        <f t="shared" si="106"/>
        <v>0</v>
      </c>
      <c r="H907" s="47">
        <f t="shared" si="106"/>
        <v>0</v>
      </c>
      <c r="I907" s="47">
        <f t="shared" si="106"/>
        <v>0</v>
      </c>
      <c r="J907" s="47">
        <f t="shared" si="89"/>
        <v>0</v>
      </c>
      <c r="K907" s="47">
        <v>0</v>
      </c>
      <c r="L907" s="47">
        <v>0</v>
      </c>
      <c r="M907" s="893"/>
    </row>
    <row r="908" spans="1:13" hidden="1" outlineLevel="1" x14ac:dyDescent="0.2">
      <c r="A908" s="22" t="s">
        <v>1502</v>
      </c>
      <c r="B908" s="2" t="s">
        <v>252</v>
      </c>
      <c r="C908" s="2" t="s">
        <v>1506</v>
      </c>
      <c r="D908" s="716">
        <v>1</v>
      </c>
      <c r="E908" s="4" t="s">
        <v>15</v>
      </c>
      <c r="F908" s="47">
        <f t="shared" si="106"/>
        <v>0</v>
      </c>
      <c r="G908" s="47">
        <f t="shared" si="106"/>
        <v>0</v>
      </c>
      <c r="H908" s="47">
        <f t="shared" si="106"/>
        <v>0</v>
      </c>
      <c r="I908" s="47">
        <f t="shared" si="106"/>
        <v>0</v>
      </c>
      <c r="J908" s="47">
        <f t="shared" si="89"/>
        <v>0</v>
      </c>
      <c r="K908" s="47">
        <v>0</v>
      </c>
      <c r="L908" s="47">
        <v>0</v>
      </c>
      <c r="M908" s="893"/>
    </row>
    <row r="909" spans="1:13" hidden="1" outlineLevel="1" x14ac:dyDescent="0.2">
      <c r="A909" s="22" t="s">
        <v>1502</v>
      </c>
      <c r="B909" s="2" t="s">
        <v>252</v>
      </c>
      <c r="C909" s="2" t="s">
        <v>1506</v>
      </c>
      <c r="D909" s="716">
        <v>1</v>
      </c>
      <c r="E909" s="4" t="s">
        <v>16</v>
      </c>
      <c r="F909" s="47">
        <f t="shared" si="106"/>
        <v>0</v>
      </c>
      <c r="G909" s="47">
        <f t="shared" si="106"/>
        <v>0</v>
      </c>
      <c r="H909" s="47">
        <f t="shared" si="106"/>
        <v>0</v>
      </c>
      <c r="I909" s="47">
        <f t="shared" si="106"/>
        <v>0</v>
      </c>
      <c r="J909" s="47">
        <f t="shared" si="89"/>
        <v>0</v>
      </c>
      <c r="K909" s="47">
        <v>0</v>
      </c>
      <c r="L909" s="47">
        <v>0</v>
      </c>
      <c r="M909" s="893"/>
    </row>
    <row r="910" spans="1:13" hidden="1" outlineLevel="1" x14ac:dyDescent="0.2">
      <c r="A910" s="22" t="s">
        <v>1502</v>
      </c>
      <c r="B910" s="2" t="s">
        <v>252</v>
      </c>
      <c r="C910" s="2" t="s">
        <v>1506</v>
      </c>
      <c r="D910" s="716">
        <v>1</v>
      </c>
      <c r="E910" s="4" t="s">
        <v>17</v>
      </c>
      <c r="F910" s="47">
        <f t="shared" si="106"/>
        <v>0</v>
      </c>
      <c r="G910" s="47">
        <f t="shared" si="106"/>
        <v>0</v>
      </c>
      <c r="H910" s="47">
        <f t="shared" si="106"/>
        <v>0</v>
      </c>
      <c r="I910" s="47">
        <f t="shared" si="106"/>
        <v>0</v>
      </c>
      <c r="J910" s="47">
        <f t="shared" si="89"/>
        <v>0</v>
      </c>
      <c r="K910" s="47">
        <v>0</v>
      </c>
      <c r="L910" s="47">
        <v>0</v>
      </c>
      <c r="M910" s="893"/>
    </row>
    <row r="911" spans="1:13" hidden="1" outlineLevel="1" x14ac:dyDescent="0.2">
      <c r="A911" s="22" t="s">
        <v>1502</v>
      </c>
      <c r="B911" s="2" t="s">
        <v>252</v>
      </c>
      <c r="C911" s="2" t="s">
        <v>1506</v>
      </c>
      <c r="D911" s="716">
        <v>1</v>
      </c>
      <c r="E911" s="4" t="s">
        <v>18</v>
      </c>
      <c r="F911" s="47">
        <f t="shared" si="106"/>
        <v>1</v>
      </c>
      <c r="G911" s="47">
        <f t="shared" si="106"/>
        <v>1</v>
      </c>
      <c r="H911" s="47">
        <f t="shared" si="106"/>
        <v>1</v>
      </c>
      <c r="I911" s="47">
        <f t="shared" si="106"/>
        <v>1</v>
      </c>
      <c r="J911" s="47">
        <f t="shared" si="89"/>
        <v>1</v>
      </c>
      <c r="K911" s="47">
        <v>1</v>
      </c>
      <c r="L911" s="47">
        <v>1</v>
      </c>
      <c r="M911" s="893"/>
    </row>
    <row r="912" spans="1:13" hidden="1" outlineLevel="1" x14ac:dyDescent="0.2">
      <c r="A912" s="22" t="s">
        <v>1502</v>
      </c>
      <c r="B912" s="2" t="s">
        <v>252</v>
      </c>
      <c r="C912" s="2" t="s">
        <v>1506</v>
      </c>
      <c r="D912" s="716">
        <v>1</v>
      </c>
      <c r="E912" s="4" t="s">
        <v>2</v>
      </c>
      <c r="F912" s="47">
        <f t="shared" si="106"/>
        <v>0</v>
      </c>
      <c r="G912" s="47">
        <f t="shared" si="106"/>
        <v>0</v>
      </c>
      <c r="H912" s="47">
        <f t="shared" si="106"/>
        <v>0</v>
      </c>
      <c r="I912" s="47">
        <f t="shared" si="106"/>
        <v>0</v>
      </c>
      <c r="J912" s="47">
        <f t="shared" si="89"/>
        <v>0</v>
      </c>
      <c r="K912" s="47">
        <v>0</v>
      </c>
      <c r="L912" s="47">
        <v>0</v>
      </c>
      <c r="M912" s="893"/>
    </row>
    <row r="913" spans="1:13" hidden="1" outlineLevel="1" x14ac:dyDescent="0.2">
      <c r="A913" s="22" t="s">
        <v>1502</v>
      </c>
      <c r="B913" s="2" t="s">
        <v>252</v>
      </c>
      <c r="C913" s="2" t="s">
        <v>1506</v>
      </c>
      <c r="D913" s="716">
        <v>1</v>
      </c>
      <c r="E913" s="4" t="s">
        <v>19</v>
      </c>
      <c r="F913" s="47">
        <f t="shared" si="106"/>
        <v>0</v>
      </c>
      <c r="G913" s="47">
        <f t="shared" si="106"/>
        <v>0</v>
      </c>
      <c r="H913" s="47">
        <f t="shared" si="106"/>
        <v>0</v>
      </c>
      <c r="I913" s="47">
        <f t="shared" si="106"/>
        <v>0</v>
      </c>
      <c r="J913" s="47">
        <f t="shared" si="89"/>
        <v>0</v>
      </c>
      <c r="K913" s="47">
        <v>0</v>
      </c>
      <c r="L913" s="47">
        <v>0</v>
      </c>
      <c r="M913" s="893"/>
    </row>
    <row r="914" spans="1:13" hidden="1" outlineLevel="1" x14ac:dyDescent="0.2">
      <c r="A914" s="22" t="s">
        <v>1502</v>
      </c>
      <c r="B914" s="2" t="s">
        <v>252</v>
      </c>
      <c r="C914" s="2" t="s">
        <v>1506</v>
      </c>
      <c r="D914" s="716">
        <v>1</v>
      </c>
      <c r="E914" s="4" t="s">
        <v>3</v>
      </c>
      <c r="F914" s="47">
        <f t="shared" si="106"/>
        <v>0</v>
      </c>
      <c r="G914" s="47">
        <f t="shared" si="106"/>
        <v>0</v>
      </c>
      <c r="H914" s="47">
        <f t="shared" si="106"/>
        <v>0</v>
      </c>
      <c r="I914" s="47">
        <f t="shared" si="106"/>
        <v>0</v>
      </c>
      <c r="J914" s="47">
        <f t="shared" si="89"/>
        <v>0</v>
      </c>
      <c r="K914" s="47">
        <v>0</v>
      </c>
      <c r="L914" s="47">
        <v>0</v>
      </c>
      <c r="M914" s="893"/>
    </row>
    <row r="915" spans="1:13" hidden="1" outlineLevel="1" x14ac:dyDescent="0.2">
      <c r="A915" s="22" t="s">
        <v>1502</v>
      </c>
      <c r="B915" s="2" t="s">
        <v>252</v>
      </c>
      <c r="C915" s="2" t="s">
        <v>1506</v>
      </c>
      <c r="D915" s="716">
        <v>1</v>
      </c>
      <c r="E915" s="4" t="s">
        <v>20</v>
      </c>
      <c r="F915" s="47">
        <f t="shared" si="106"/>
        <v>0</v>
      </c>
      <c r="G915" s="47">
        <f t="shared" si="106"/>
        <v>0</v>
      </c>
      <c r="H915" s="47">
        <f t="shared" si="106"/>
        <v>0</v>
      </c>
      <c r="I915" s="47">
        <f t="shared" si="106"/>
        <v>0</v>
      </c>
      <c r="J915" s="47">
        <f t="shared" si="89"/>
        <v>0</v>
      </c>
      <c r="K915" s="47">
        <v>0</v>
      </c>
      <c r="L915" s="47">
        <v>0</v>
      </c>
      <c r="M915" s="893"/>
    </row>
    <row r="916" spans="1:13" hidden="1" outlineLevel="1" x14ac:dyDescent="0.2">
      <c r="A916" s="22" t="s">
        <v>1502</v>
      </c>
      <c r="B916" s="2" t="s">
        <v>252</v>
      </c>
      <c r="C916" s="2" t="s">
        <v>1506</v>
      </c>
      <c r="D916" s="716">
        <v>1</v>
      </c>
      <c r="E916" s="4" t="s">
        <v>21</v>
      </c>
      <c r="F916" s="47">
        <f t="shared" si="106"/>
        <v>0</v>
      </c>
      <c r="G916" s="47">
        <f t="shared" si="106"/>
        <v>0</v>
      </c>
      <c r="H916" s="47">
        <f t="shared" si="106"/>
        <v>0</v>
      </c>
      <c r="I916" s="47">
        <f t="shared" si="106"/>
        <v>0</v>
      </c>
      <c r="J916" s="47">
        <f t="shared" si="89"/>
        <v>0</v>
      </c>
      <c r="K916" s="47">
        <v>0</v>
      </c>
      <c r="L916" s="47">
        <v>0</v>
      </c>
      <c r="M916" s="893"/>
    </row>
    <row r="917" spans="1:13" hidden="1" outlineLevel="1" x14ac:dyDescent="0.2">
      <c r="A917" s="22" t="s">
        <v>1502</v>
      </c>
      <c r="B917" s="2" t="s">
        <v>252</v>
      </c>
      <c r="C917" s="2" t="s">
        <v>1506</v>
      </c>
      <c r="D917" s="716">
        <v>1</v>
      </c>
      <c r="E917" s="4" t="s">
        <v>1096</v>
      </c>
      <c r="F917" s="47">
        <f t="shared" si="106"/>
        <v>0</v>
      </c>
      <c r="G917" s="47">
        <f t="shared" si="106"/>
        <v>0</v>
      </c>
      <c r="H917" s="47">
        <f t="shared" si="106"/>
        <v>0</v>
      </c>
      <c r="I917" s="47">
        <f t="shared" si="106"/>
        <v>0</v>
      </c>
      <c r="J917" s="47">
        <f t="shared" si="89"/>
        <v>0</v>
      </c>
      <c r="K917" s="47">
        <v>0</v>
      </c>
      <c r="L917" s="47">
        <v>0</v>
      </c>
      <c r="M917" s="893"/>
    </row>
    <row r="918" spans="1:13" hidden="1" outlineLevel="1" x14ac:dyDescent="0.2">
      <c r="A918" s="22" t="s">
        <v>1502</v>
      </c>
      <c r="B918" s="2" t="s">
        <v>252</v>
      </c>
      <c r="C918" s="2" t="s">
        <v>1506</v>
      </c>
      <c r="D918" s="716">
        <v>1</v>
      </c>
      <c r="E918" s="4" t="s">
        <v>22</v>
      </c>
      <c r="F918" s="47">
        <f t="shared" si="106"/>
        <v>0</v>
      </c>
      <c r="G918" s="47">
        <f t="shared" si="106"/>
        <v>0</v>
      </c>
      <c r="H918" s="47">
        <f t="shared" si="106"/>
        <v>0</v>
      </c>
      <c r="I918" s="47">
        <f t="shared" si="106"/>
        <v>0</v>
      </c>
      <c r="J918" s="47">
        <f t="shared" si="89"/>
        <v>0</v>
      </c>
      <c r="K918" s="47">
        <v>0</v>
      </c>
      <c r="L918" s="47">
        <v>0</v>
      </c>
      <c r="M918" s="893"/>
    </row>
    <row r="919" spans="1:13" hidden="1" outlineLevel="1" x14ac:dyDescent="0.2">
      <c r="A919" s="91" t="s">
        <v>1502</v>
      </c>
      <c r="B919" s="3" t="s">
        <v>252</v>
      </c>
      <c r="C919" s="3" t="s">
        <v>1506</v>
      </c>
      <c r="D919" s="717">
        <v>1</v>
      </c>
      <c r="E919" s="469" t="s">
        <v>23</v>
      </c>
      <c r="F919" s="48">
        <f t="shared" si="106"/>
        <v>0</v>
      </c>
      <c r="G919" s="48">
        <f t="shared" si="106"/>
        <v>0</v>
      </c>
      <c r="H919" s="48">
        <f t="shared" si="106"/>
        <v>0</v>
      </c>
      <c r="I919" s="48">
        <f t="shared" si="106"/>
        <v>0</v>
      </c>
      <c r="J919" s="48">
        <f t="shared" si="89"/>
        <v>0</v>
      </c>
      <c r="K919" s="363">
        <v>0</v>
      </c>
      <c r="L919" s="363">
        <v>0</v>
      </c>
      <c r="M919" s="920"/>
    </row>
    <row r="920" spans="1:13" hidden="1" outlineLevel="1" x14ac:dyDescent="0.2">
      <c r="A920" s="92" t="s">
        <v>1502</v>
      </c>
      <c r="B920" s="81" t="s">
        <v>252</v>
      </c>
      <c r="C920" s="81" t="s">
        <v>1507</v>
      </c>
      <c r="D920" s="715">
        <v>1</v>
      </c>
      <c r="E920" s="468" t="s">
        <v>4</v>
      </c>
      <c r="F920" s="380">
        <f t="shared" si="106"/>
        <v>0</v>
      </c>
      <c r="G920" s="89">
        <f t="shared" si="106"/>
        <v>0</v>
      </c>
      <c r="H920" s="89">
        <f t="shared" si="106"/>
        <v>0</v>
      </c>
      <c r="I920" s="89">
        <f t="shared" si="106"/>
        <v>0</v>
      </c>
      <c r="J920" s="89">
        <f t="shared" si="89"/>
        <v>0</v>
      </c>
      <c r="K920" s="380">
        <v>0</v>
      </c>
      <c r="L920" s="380">
        <v>0</v>
      </c>
      <c r="M920" s="892"/>
    </row>
    <row r="921" spans="1:13" hidden="1" outlineLevel="1" x14ac:dyDescent="0.2">
      <c r="A921" s="22" t="s">
        <v>1502</v>
      </c>
      <c r="B921" s="2" t="s">
        <v>252</v>
      </c>
      <c r="C921" s="2" t="s">
        <v>1507</v>
      </c>
      <c r="D921" s="716">
        <v>1</v>
      </c>
      <c r="E921" s="4" t="s">
        <v>5</v>
      </c>
      <c r="F921" s="47">
        <f t="shared" si="106"/>
        <v>0</v>
      </c>
      <c r="G921" s="47">
        <f t="shared" si="106"/>
        <v>0</v>
      </c>
      <c r="H921" s="47">
        <f t="shared" si="106"/>
        <v>0</v>
      </c>
      <c r="I921" s="47">
        <f t="shared" si="106"/>
        <v>0</v>
      </c>
      <c r="J921" s="47">
        <f t="shared" si="89"/>
        <v>0</v>
      </c>
      <c r="K921" s="47">
        <v>0</v>
      </c>
      <c r="L921" s="47">
        <v>0</v>
      </c>
      <c r="M921" s="893"/>
    </row>
    <row r="922" spans="1:13" hidden="1" outlineLevel="1" x14ac:dyDescent="0.2">
      <c r="A922" s="22" t="s">
        <v>1502</v>
      </c>
      <c r="B922" s="2" t="s">
        <v>252</v>
      </c>
      <c r="C922" s="2" t="s">
        <v>1507</v>
      </c>
      <c r="D922" s="716">
        <v>1</v>
      </c>
      <c r="E922" s="4" t="s">
        <v>6</v>
      </c>
      <c r="F922" s="47">
        <f t="shared" si="106"/>
        <v>0</v>
      </c>
      <c r="G922" s="47">
        <f t="shared" si="106"/>
        <v>0</v>
      </c>
      <c r="H922" s="47">
        <f t="shared" si="106"/>
        <v>0</v>
      </c>
      <c r="I922" s="47">
        <f t="shared" si="106"/>
        <v>0</v>
      </c>
      <c r="J922" s="47">
        <f t="shared" si="89"/>
        <v>0</v>
      </c>
      <c r="K922" s="47">
        <v>0</v>
      </c>
      <c r="L922" s="47">
        <v>0</v>
      </c>
      <c r="M922" s="893"/>
    </row>
    <row r="923" spans="1:13" hidden="1" outlineLevel="1" x14ac:dyDescent="0.2">
      <c r="A923" s="22" t="s">
        <v>1502</v>
      </c>
      <c r="B923" s="2" t="s">
        <v>252</v>
      </c>
      <c r="C923" s="2" t="s">
        <v>1507</v>
      </c>
      <c r="D923" s="716">
        <v>1</v>
      </c>
      <c r="E923" s="4" t="s">
        <v>143</v>
      </c>
      <c r="F923" s="47">
        <f t="shared" si="106"/>
        <v>0</v>
      </c>
      <c r="G923" s="47">
        <f t="shared" si="106"/>
        <v>0</v>
      </c>
      <c r="H923" s="47">
        <f t="shared" si="106"/>
        <v>0</v>
      </c>
      <c r="I923" s="47">
        <f t="shared" si="106"/>
        <v>0</v>
      </c>
      <c r="J923" s="47">
        <f t="shared" si="89"/>
        <v>0</v>
      </c>
      <c r="K923" s="47">
        <v>0</v>
      </c>
      <c r="L923" s="47">
        <v>0</v>
      </c>
      <c r="M923" s="893"/>
    </row>
    <row r="924" spans="1:13" hidden="1" outlineLevel="1" x14ac:dyDescent="0.2">
      <c r="A924" s="22" t="s">
        <v>1502</v>
      </c>
      <c r="B924" s="2" t="s">
        <v>252</v>
      </c>
      <c r="C924" s="2" t="s">
        <v>1507</v>
      </c>
      <c r="D924" s="716">
        <v>1</v>
      </c>
      <c r="E924" s="4" t="s">
        <v>7</v>
      </c>
      <c r="F924" s="47">
        <f t="shared" si="106"/>
        <v>0</v>
      </c>
      <c r="G924" s="47">
        <f t="shared" si="106"/>
        <v>0</v>
      </c>
      <c r="H924" s="47">
        <f t="shared" si="106"/>
        <v>0</v>
      </c>
      <c r="I924" s="47">
        <f t="shared" si="106"/>
        <v>0</v>
      </c>
      <c r="J924" s="47">
        <f t="shared" si="89"/>
        <v>0</v>
      </c>
      <c r="K924" s="47">
        <v>0</v>
      </c>
      <c r="L924" s="47">
        <v>0</v>
      </c>
      <c r="M924" s="893"/>
    </row>
    <row r="925" spans="1:13" hidden="1" outlineLevel="1" x14ac:dyDescent="0.2">
      <c r="A925" s="22" t="s">
        <v>1502</v>
      </c>
      <c r="B925" s="2" t="s">
        <v>252</v>
      </c>
      <c r="C925" s="2" t="s">
        <v>1507</v>
      </c>
      <c r="D925" s="716">
        <v>1</v>
      </c>
      <c r="E925" s="4" t="s">
        <v>31</v>
      </c>
      <c r="F925" s="47">
        <f t="shared" si="106"/>
        <v>0</v>
      </c>
      <c r="G925" s="47">
        <f t="shared" si="106"/>
        <v>0</v>
      </c>
      <c r="H925" s="47">
        <f t="shared" si="106"/>
        <v>0</v>
      </c>
      <c r="I925" s="47">
        <f t="shared" si="106"/>
        <v>0</v>
      </c>
      <c r="J925" s="47">
        <f t="shared" si="89"/>
        <v>0</v>
      </c>
      <c r="K925" s="47">
        <v>0</v>
      </c>
      <c r="L925" s="47">
        <v>1</v>
      </c>
      <c r="M925" s="893"/>
    </row>
    <row r="926" spans="1:13" hidden="1" outlineLevel="1" x14ac:dyDescent="0.2">
      <c r="A926" s="22" t="s">
        <v>1502</v>
      </c>
      <c r="B926" s="2" t="s">
        <v>252</v>
      </c>
      <c r="C926" s="2" t="s">
        <v>1507</v>
      </c>
      <c r="D926" s="716">
        <v>1</v>
      </c>
      <c r="E926" s="4" t="s">
        <v>8</v>
      </c>
      <c r="F926" s="47">
        <f t="shared" si="106"/>
        <v>0</v>
      </c>
      <c r="G926" s="47">
        <f t="shared" si="106"/>
        <v>0</v>
      </c>
      <c r="H926" s="47">
        <f t="shared" si="106"/>
        <v>0</v>
      </c>
      <c r="I926" s="47">
        <f t="shared" si="106"/>
        <v>0</v>
      </c>
      <c r="J926" s="47">
        <f t="shared" si="89"/>
        <v>0</v>
      </c>
      <c r="K926" s="47">
        <v>0</v>
      </c>
      <c r="L926" s="47">
        <v>1</v>
      </c>
      <c r="M926" s="893"/>
    </row>
    <row r="927" spans="1:13" hidden="1" outlineLevel="1" x14ac:dyDescent="0.2">
      <c r="A927" s="22" t="s">
        <v>1502</v>
      </c>
      <c r="B927" s="2" t="s">
        <v>252</v>
      </c>
      <c r="C927" s="2" t="s">
        <v>1507</v>
      </c>
      <c r="D927" s="716">
        <v>1</v>
      </c>
      <c r="E927" s="4" t="s">
        <v>9</v>
      </c>
      <c r="F927" s="47">
        <f t="shared" si="106"/>
        <v>0</v>
      </c>
      <c r="G927" s="47">
        <f t="shared" si="106"/>
        <v>0</v>
      </c>
      <c r="H927" s="47">
        <f t="shared" si="106"/>
        <v>0</v>
      </c>
      <c r="I927" s="47">
        <f t="shared" si="106"/>
        <v>0</v>
      </c>
      <c r="J927" s="47">
        <f t="shared" si="89"/>
        <v>0</v>
      </c>
      <c r="K927" s="47">
        <v>0</v>
      </c>
      <c r="L927" s="47">
        <v>0</v>
      </c>
      <c r="M927" s="893"/>
    </row>
    <row r="928" spans="1:13" hidden="1" outlineLevel="1" x14ac:dyDescent="0.2">
      <c r="A928" s="22" t="s">
        <v>1502</v>
      </c>
      <c r="B928" s="2" t="s">
        <v>252</v>
      </c>
      <c r="C928" s="2" t="s">
        <v>1507</v>
      </c>
      <c r="D928" s="716">
        <v>1</v>
      </c>
      <c r="E928" s="4" t="s">
        <v>10</v>
      </c>
      <c r="F928" s="47">
        <f t="shared" si="106"/>
        <v>0</v>
      </c>
      <c r="G928" s="47">
        <f t="shared" si="106"/>
        <v>0</v>
      </c>
      <c r="H928" s="47">
        <f t="shared" si="106"/>
        <v>0</v>
      </c>
      <c r="I928" s="47">
        <f t="shared" si="106"/>
        <v>0</v>
      </c>
      <c r="J928" s="47">
        <f t="shared" si="106"/>
        <v>0</v>
      </c>
      <c r="K928" s="47">
        <v>0</v>
      </c>
      <c r="L928" s="47">
        <v>0</v>
      </c>
      <c r="M928" s="893"/>
    </row>
    <row r="929" spans="1:13" hidden="1" outlineLevel="1" x14ac:dyDescent="0.2">
      <c r="A929" s="22" t="s">
        <v>1502</v>
      </c>
      <c r="B929" s="2" t="s">
        <v>252</v>
      </c>
      <c r="C929" s="2" t="s">
        <v>1507</v>
      </c>
      <c r="D929" s="716">
        <v>1</v>
      </c>
      <c r="E929" s="4" t="s">
        <v>11</v>
      </c>
      <c r="F929" s="47">
        <f t="shared" si="106"/>
        <v>0</v>
      </c>
      <c r="G929" s="47">
        <f t="shared" si="106"/>
        <v>0</v>
      </c>
      <c r="H929" s="47">
        <f t="shared" si="106"/>
        <v>0</v>
      </c>
      <c r="I929" s="47">
        <f t="shared" si="106"/>
        <v>0</v>
      </c>
      <c r="J929" s="47">
        <f t="shared" si="106"/>
        <v>0</v>
      </c>
      <c r="K929" s="47">
        <v>0</v>
      </c>
      <c r="L929" s="47">
        <v>0</v>
      </c>
      <c r="M929" s="893"/>
    </row>
    <row r="930" spans="1:13" hidden="1" outlineLevel="1" x14ac:dyDescent="0.2">
      <c r="A930" s="22" t="s">
        <v>1502</v>
      </c>
      <c r="B930" s="2" t="s">
        <v>252</v>
      </c>
      <c r="C930" s="2" t="s">
        <v>1507</v>
      </c>
      <c r="D930" s="716">
        <v>1</v>
      </c>
      <c r="E930" s="4" t="s">
        <v>12</v>
      </c>
      <c r="F930" s="47">
        <f t="shared" si="106"/>
        <v>0</v>
      </c>
      <c r="G930" s="47">
        <f t="shared" si="106"/>
        <v>0</v>
      </c>
      <c r="H930" s="47">
        <f t="shared" si="106"/>
        <v>0</v>
      </c>
      <c r="I930" s="47">
        <f t="shared" si="106"/>
        <v>0</v>
      </c>
      <c r="J930" s="47">
        <f t="shared" si="106"/>
        <v>0</v>
      </c>
      <c r="K930" s="47">
        <v>0</v>
      </c>
      <c r="L930" s="47">
        <v>0</v>
      </c>
      <c r="M930" s="893"/>
    </row>
    <row r="931" spans="1:13" hidden="1" outlineLevel="1" x14ac:dyDescent="0.2">
      <c r="A931" s="22" t="s">
        <v>1502</v>
      </c>
      <c r="B931" s="2" t="s">
        <v>252</v>
      </c>
      <c r="C931" s="2" t="s">
        <v>1507</v>
      </c>
      <c r="D931" s="716">
        <v>1</v>
      </c>
      <c r="E931" s="4" t="s">
        <v>1</v>
      </c>
      <c r="F931" s="47">
        <f t="shared" si="106"/>
        <v>0</v>
      </c>
      <c r="G931" s="47">
        <f t="shared" si="106"/>
        <v>0</v>
      </c>
      <c r="H931" s="47">
        <f t="shared" si="106"/>
        <v>0</v>
      </c>
      <c r="I931" s="47">
        <f t="shared" si="106"/>
        <v>0</v>
      </c>
      <c r="J931" s="47">
        <f t="shared" si="106"/>
        <v>0</v>
      </c>
      <c r="K931" s="47">
        <v>0</v>
      </c>
      <c r="L931" s="47">
        <v>0</v>
      </c>
      <c r="M931" s="893"/>
    </row>
    <row r="932" spans="1:13" hidden="1" outlineLevel="1" x14ac:dyDescent="0.2">
      <c r="A932" s="22" t="s">
        <v>1502</v>
      </c>
      <c r="B932" s="2" t="s">
        <v>252</v>
      </c>
      <c r="C932" s="2" t="s">
        <v>1507</v>
      </c>
      <c r="D932" s="716">
        <v>1</v>
      </c>
      <c r="E932" s="4" t="s">
        <v>13</v>
      </c>
      <c r="F932" s="47">
        <f t="shared" si="106"/>
        <v>0</v>
      </c>
      <c r="G932" s="47">
        <f t="shared" si="106"/>
        <v>0</v>
      </c>
      <c r="H932" s="47">
        <f t="shared" si="106"/>
        <v>0</v>
      </c>
      <c r="I932" s="47">
        <f t="shared" si="106"/>
        <v>0</v>
      </c>
      <c r="J932" s="47">
        <f t="shared" si="106"/>
        <v>0</v>
      </c>
      <c r="K932" s="47">
        <v>0</v>
      </c>
      <c r="L932" s="47">
        <v>0</v>
      </c>
      <c r="M932" s="893"/>
    </row>
    <row r="933" spans="1:13" hidden="1" outlineLevel="1" x14ac:dyDescent="0.2">
      <c r="A933" s="22" t="s">
        <v>1502</v>
      </c>
      <c r="B933" s="2" t="s">
        <v>252</v>
      </c>
      <c r="C933" s="2" t="s">
        <v>1507</v>
      </c>
      <c r="D933" s="716">
        <v>1</v>
      </c>
      <c r="E933" s="4" t="s">
        <v>14</v>
      </c>
      <c r="F933" s="47">
        <f t="shared" si="106"/>
        <v>0</v>
      </c>
      <c r="G933" s="47">
        <f t="shared" si="106"/>
        <v>0</v>
      </c>
      <c r="H933" s="47">
        <f t="shared" si="106"/>
        <v>0</v>
      </c>
      <c r="I933" s="47">
        <f t="shared" si="106"/>
        <v>0</v>
      </c>
      <c r="J933" s="47">
        <f t="shared" si="106"/>
        <v>0</v>
      </c>
      <c r="K933" s="47">
        <v>0</v>
      </c>
      <c r="L933" s="47">
        <v>0</v>
      </c>
      <c r="M933" s="893"/>
    </row>
    <row r="934" spans="1:13" hidden="1" outlineLevel="1" x14ac:dyDescent="0.2">
      <c r="A934" s="22" t="s">
        <v>1502</v>
      </c>
      <c r="B934" s="2" t="s">
        <v>252</v>
      </c>
      <c r="C934" s="2" t="s">
        <v>1507</v>
      </c>
      <c r="D934" s="716">
        <v>1</v>
      </c>
      <c r="E934" s="4" t="s">
        <v>15</v>
      </c>
      <c r="F934" s="47">
        <f t="shared" si="106"/>
        <v>0</v>
      </c>
      <c r="G934" s="47">
        <f t="shared" si="106"/>
        <v>0</v>
      </c>
      <c r="H934" s="47">
        <f t="shared" si="106"/>
        <v>0</v>
      </c>
      <c r="I934" s="47">
        <f t="shared" si="106"/>
        <v>0</v>
      </c>
      <c r="J934" s="47">
        <f t="shared" si="106"/>
        <v>0</v>
      </c>
      <c r="K934" s="47">
        <v>0</v>
      </c>
      <c r="L934" s="47">
        <v>0</v>
      </c>
      <c r="M934" s="893"/>
    </row>
    <row r="935" spans="1:13" hidden="1" outlineLevel="1" x14ac:dyDescent="0.2">
      <c r="A935" s="22" t="s">
        <v>1502</v>
      </c>
      <c r="B935" s="2" t="s">
        <v>252</v>
      </c>
      <c r="C935" s="2" t="s">
        <v>1507</v>
      </c>
      <c r="D935" s="716">
        <v>1</v>
      </c>
      <c r="E935" s="4" t="s">
        <v>16</v>
      </c>
      <c r="F935" s="47">
        <f t="shared" si="106"/>
        <v>0</v>
      </c>
      <c r="G935" s="47">
        <f t="shared" si="106"/>
        <v>0</v>
      </c>
      <c r="H935" s="47">
        <f t="shared" si="106"/>
        <v>0</v>
      </c>
      <c r="I935" s="47">
        <f t="shared" si="106"/>
        <v>0</v>
      </c>
      <c r="J935" s="47">
        <f t="shared" si="106"/>
        <v>0</v>
      </c>
      <c r="K935" s="47">
        <v>0</v>
      </c>
      <c r="L935" s="47">
        <v>0</v>
      </c>
      <c r="M935" s="893"/>
    </row>
    <row r="936" spans="1:13" hidden="1" outlineLevel="1" x14ac:dyDescent="0.2">
      <c r="A936" s="22" t="s">
        <v>1502</v>
      </c>
      <c r="B936" s="2" t="s">
        <v>252</v>
      </c>
      <c r="C936" s="2" t="s">
        <v>1507</v>
      </c>
      <c r="D936" s="716">
        <v>1</v>
      </c>
      <c r="E936" s="4" t="s">
        <v>17</v>
      </c>
      <c r="F936" s="47">
        <f t="shared" si="106"/>
        <v>0</v>
      </c>
      <c r="G936" s="47">
        <f t="shared" si="106"/>
        <v>0</v>
      </c>
      <c r="H936" s="47">
        <f t="shared" si="106"/>
        <v>0</v>
      </c>
      <c r="I936" s="47">
        <f t="shared" si="106"/>
        <v>0</v>
      </c>
      <c r="J936" s="47">
        <f t="shared" si="106"/>
        <v>0</v>
      </c>
      <c r="K936" s="47">
        <v>0</v>
      </c>
      <c r="L936" s="47">
        <v>0</v>
      </c>
      <c r="M936" s="893"/>
    </row>
    <row r="937" spans="1:13" hidden="1" outlineLevel="1" x14ac:dyDescent="0.2">
      <c r="A937" s="22" t="s">
        <v>1502</v>
      </c>
      <c r="B937" s="2" t="s">
        <v>252</v>
      </c>
      <c r="C937" s="2" t="s">
        <v>1507</v>
      </c>
      <c r="D937" s="716">
        <v>1</v>
      </c>
      <c r="E937" s="4" t="s">
        <v>18</v>
      </c>
      <c r="F937" s="47">
        <f t="shared" si="106"/>
        <v>0</v>
      </c>
      <c r="G937" s="47">
        <f t="shared" si="106"/>
        <v>0</v>
      </c>
      <c r="H937" s="47">
        <f t="shared" si="106"/>
        <v>0</v>
      </c>
      <c r="I937" s="47">
        <f t="shared" si="106"/>
        <v>0</v>
      </c>
      <c r="J937" s="47">
        <f t="shared" si="106"/>
        <v>0</v>
      </c>
      <c r="K937" s="47">
        <v>0</v>
      </c>
      <c r="L937" s="47">
        <v>0</v>
      </c>
      <c r="M937" s="893"/>
    </row>
    <row r="938" spans="1:13" hidden="1" outlineLevel="1" x14ac:dyDescent="0.2">
      <c r="A938" s="22" t="s">
        <v>1502</v>
      </c>
      <c r="B938" s="2" t="s">
        <v>252</v>
      </c>
      <c r="C938" s="2" t="s">
        <v>1507</v>
      </c>
      <c r="D938" s="716">
        <v>1</v>
      </c>
      <c r="E938" s="4" t="s">
        <v>2</v>
      </c>
      <c r="F938" s="47">
        <f t="shared" si="106"/>
        <v>0</v>
      </c>
      <c r="G938" s="47">
        <f t="shared" si="106"/>
        <v>0</v>
      </c>
      <c r="H938" s="47">
        <f t="shared" si="106"/>
        <v>0</v>
      </c>
      <c r="I938" s="47">
        <f t="shared" si="106"/>
        <v>0</v>
      </c>
      <c r="J938" s="47">
        <f t="shared" si="106"/>
        <v>0</v>
      </c>
      <c r="K938" s="47">
        <v>0</v>
      </c>
      <c r="L938" s="47">
        <v>0</v>
      </c>
      <c r="M938" s="893"/>
    </row>
    <row r="939" spans="1:13" hidden="1" outlineLevel="1" x14ac:dyDescent="0.2">
      <c r="A939" s="22" t="s">
        <v>1502</v>
      </c>
      <c r="B939" s="2" t="s">
        <v>252</v>
      </c>
      <c r="C939" s="2" t="s">
        <v>1507</v>
      </c>
      <c r="D939" s="716">
        <v>1</v>
      </c>
      <c r="E939" s="4" t="s">
        <v>19</v>
      </c>
      <c r="F939" s="47">
        <f t="shared" si="106"/>
        <v>0</v>
      </c>
      <c r="G939" s="47">
        <f t="shared" si="106"/>
        <v>0</v>
      </c>
      <c r="H939" s="47">
        <f t="shared" si="106"/>
        <v>0</v>
      </c>
      <c r="I939" s="47">
        <f t="shared" si="106"/>
        <v>0</v>
      </c>
      <c r="J939" s="47">
        <f t="shared" si="106"/>
        <v>0</v>
      </c>
      <c r="K939" s="47">
        <v>0</v>
      </c>
      <c r="L939" s="47">
        <v>0</v>
      </c>
      <c r="M939" s="893"/>
    </row>
    <row r="940" spans="1:13" hidden="1" outlineLevel="1" x14ac:dyDescent="0.2">
      <c r="A940" s="22" t="s">
        <v>1502</v>
      </c>
      <c r="B940" s="2" t="s">
        <v>252</v>
      </c>
      <c r="C940" s="2" t="s">
        <v>1507</v>
      </c>
      <c r="D940" s="716">
        <v>1</v>
      </c>
      <c r="E940" s="4" t="s">
        <v>3</v>
      </c>
      <c r="F940" s="47">
        <f t="shared" si="106"/>
        <v>0</v>
      </c>
      <c r="G940" s="47">
        <f t="shared" si="106"/>
        <v>0</v>
      </c>
      <c r="H940" s="47">
        <f t="shared" si="106"/>
        <v>0</v>
      </c>
      <c r="I940" s="47">
        <f t="shared" ref="I940:J940" si="107">J940</f>
        <v>0</v>
      </c>
      <c r="J940" s="47">
        <f t="shared" si="107"/>
        <v>0</v>
      </c>
      <c r="K940" s="47">
        <v>0</v>
      </c>
      <c r="L940" s="47">
        <v>0</v>
      </c>
      <c r="M940" s="893"/>
    </row>
    <row r="941" spans="1:13" hidden="1" outlineLevel="1" x14ac:dyDescent="0.2">
      <c r="A941" s="22" t="s">
        <v>1502</v>
      </c>
      <c r="B941" s="2" t="s">
        <v>252</v>
      </c>
      <c r="C941" s="2" t="s">
        <v>1507</v>
      </c>
      <c r="D941" s="716">
        <v>1</v>
      </c>
      <c r="E941" s="4" t="s">
        <v>20</v>
      </c>
      <c r="F941" s="47">
        <f t="shared" si="106"/>
        <v>0</v>
      </c>
      <c r="G941" s="47">
        <f t="shared" ref="G941:J941" si="108">H941</f>
        <v>0</v>
      </c>
      <c r="H941" s="47">
        <f t="shared" si="108"/>
        <v>0</v>
      </c>
      <c r="I941" s="47">
        <f t="shared" si="108"/>
        <v>0</v>
      </c>
      <c r="J941" s="47">
        <f t="shared" si="108"/>
        <v>0</v>
      </c>
      <c r="K941" s="47">
        <v>0</v>
      </c>
      <c r="L941" s="47">
        <v>0</v>
      </c>
      <c r="M941" s="893"/>
    </row>
    <row r="942" spans="1:13" hidden="1" outlineLevel="1" x14ac:dyDescent="0.2">
      <c r="A942" s="22" t="s">
        <v>1502</v>
      </c>
      <c r="B942" s="2" t="s">
        <v>252</v>
      </c>
      <c r="C942" s="2" t="s">
        <v>1507</v>
      </c>
      <c r="D942" s="716">
        <v>1</v>
      </c>
      <c r="E942" s="4" t="s">
        <v>21</v>
      </c>
      <c r="F942" s="47">
        <f t="shared" si="106"/>
        <v>0</v>
      </c>
      <c r="G942" s="47">
        <f t="shared" ref="G942:J942" si="109">H942</f>
        <v>0</v>
      </c>
      <c r="H942" s="47">
        <f t="shared" si="109"/>
        <v>0</v>
      </c>
      <c r="I942" s="47">
        <f t="shared" si="109"/>
        <v>0</v>
      </c>
      <c r="J942" s="47">
        <f t="shared" si="109"/>
        <v>0</v>
      </c>
      <c r="K942" s="47">
        <v>0</v>
      </c>
      <c r="L942" s="47">
        <v>0</v>
      </c>
      <c r="M942" s="893"/>
    </row>
    <row r="943" spans="1:13" hidden="1" outlineLevel="1" x14ac:dyDescent="0.2">
      <c r="A943" s="22" t="s">
        <v>1502</v>
      </c>
      <c r="B943" s="2" t="s">
        <v>252</v>
      </c>
      <c r="C943" s="2" t="s">
        <v>1507</v>
      </c>
      <c r="D943" s="716">
        <v>1</v>
      </c>
      <c r="E943" s="4" t="s">
        <v>1096</v>
      </c>
      <c r="F943" s="47">
        <f t="shared" si="106"/>
        <v>0</v>
      </c>
      <c r="G943" s="47">
        <f t="shared" ref="G943:J943" si="110">H943</f>
        <v>0</v>
      </c>
      <c r="H943" s="47">
        <f t="shared" si="110"/>
        <v>0</v>
      </c>
      <c r="I943" s="47">
        <f t="shared" si="110"/>
        <v>0</v>
      </c>
      <c r="J943" s="47">
        <f t="shared" si="110"/>
        <v>0</v>
      </c>
      <c r="K943" s="47">
        <v>0</v>
      </c>
      <c r="L943" s="47">
        <v>0</v>
      </c>
      <c r="M943" s="893"/>
    </row>
    <row r="944" spans="1:13" hidden="1" outlineLevel="1" x14ac:dyDescent="0.2">
      <c r="A944" s="22" t="s">
        <v>1502</v>
      </c>
      <c r="B944" s="2" t="s">
        <v>252</v>
      </c>
      <c r="C944" s="2" t="s">
        <v>1507</v>
      </c>
      <c r="D944" s="716">
        <v>1</v>
      </c>
      <c r="E944" s="4" t="s">
        <v>22</v>
      </c>
      <c r="F944" s="47">
        <f t="shared" si="106"/>
        <v>0</v>
      </c>
      <c r="G944" s="47">
        <f t="shared" ref="G944:J944" si="111">H944</f>
        <v>0</v>
      </c>
      <c r="H944" s="47">
        <f t="shared" si="111"/>
        <v>0</v>
      </c>
      <c r="I944" s="47">
        <f t="shared" si="111"/>
        <v>0</v>
      </c>
      <c r="J944" s="47">
        <f t="shared" si="111"/>
        <v>0</v>
      </c>
      <c r="K944" s="47">
        <v>0</v>
      </c>
      <c r="L944" s="47">
        <v>0</v>
      </c>
      <c r="M944" s="893"/>
    </row>
    <row r="945" spans="1:13" hidden="1" outlineLevel="1" x14ac:dyDescent="0.2">
      <c r="A945" s="91" t="s">
        <v>1502</v>
      </c>
      <c r="B945" s="3" t="s">
        <v>252</v>
      </c>
      <c r="C945" s="3" t="s">
        <v>1507</v>
      </c>
      <c r="D945" s="717">
        <v>1</v>
      </c>
      <c r="E945" s="469" t="s">
        <v>23</v>
      </c>
      <c r="F945" s="48">
        <f t="shared" ref="F945:J1008" si="112">G945</f>
        <v>0</v>
      </c>
      <c r="G945" s="48">
        <f t="shared" si="112"/>
        <v>0</v>
      </c>
      <c r="H945" s="48">
        <f t="shared" si="112"/>
        <v>0</v>
      </c>
      <c r="I945" s="48">
        <f t="shared" si="112"/>
        <v>0</v>
      </c>
      <c r="J945" s="48">
        <f t="shared" si="112"/>
        <v>0</v>
      </c>
      <c r="K945" s="363">
        <v>0</v>
      </c>
      <c r="L945" s="363">
        <v>0</v>
      </c>
      <c r="M945" s="920"/>
    </row>
    <row r="946" spans="1:13" hidden="1" outlineLevel="1" x14ac:dyDescent="0.2">
      <c r="A946" s="92" t="s">
        <v>1502</v>
      </c>
      <c r="B946" s="81" t="s">
        <v>252</v>
      </c>
      <c r="C946" s="81" t="s">
        <v>1508</v>
      </c>
      <c r="D946" s="715">
        <v>1</v>
      </c>
      <c r="E946" s="468" t="s">
        <v>4</v>
      </c>
      <c r="F946" s="380">
        <f t="shared" si="112"/>
        <v>0</v>
      </c>
      <c r="G946" s="89">
        <f t="shared" si="112"/>
        <v>0</v>
      </c>
      <c r="H946" s="89">
        <f t="shared" si="112"/>
        <v>0</v>
      </c>
      <c r="I946" s="89">
        <f t="shared" si="112"/>
        <v>0</v>
      </c>
      <c r="J946" s="89">
        <f t="shared" si="112"/>
        <v>0</v>
      </c>
      <c r="K946" s="380">
        <v>0</v>
      </c>
      <c r="L946" s="380">
        <v>1</v>
      </c>
      <c r="M946" s="892"/>
    </row>
    <row r="947" spans="1:13" hidden="1" outlineLevel="1" x14ac:dyDescent="0.2">
      <c r="A947" s="22" t="s">
        <v>1502</v>
      </c>
      <c r="B947" s="2" t="s">
        <v>252</v>
      </c>
      <c r="C947" s="2" t="s">
        <v>1508</v>
      </c>
      <c r="D947" s="716">
        <v>1</v>
      </c>
      <c r="E947" s="4" t="s">
        <v>5</v>
      </c>
      <c r="F947" s="47">
        <f t="shared" si="112"/>
        <v>0</v>
      </c>
      <c r="G947" s="47">
        <f t="shared" si="112"/>
        <v>0</v>
      </c>
      <c r="H947" s="47">
        <f t="shared" si="112"/>
        <v>0</v>
      </c>
      <c r="I947" s="47">
        <f t="shared" si="112"/>
        <v>0</v>
      </c>
      <c r="J947" s="47">
        <f t="shared" si="112"/>
        <v>0</v>
      </c>
      <c r="K947" s="47">
        <v>0</v>
      </c>
      <c r="L947" s="47">
        <v>0</v>
      </c>
      <c r="M947" s="893"/>
    </row>
    <row r="948" spans="1:13" hidden="1" outlineLevel="1" x14ac:dyDescent="0.2">
      <c r="A948" s="22" t="s">
        <v>1502</v>
      </c>
      <c r="B948" s="2" t="s">
        <v>252</v>
      </c>
      <c r="C948" s="2" t="s">
        <v>1508</v>
      </c>
      <c r="D948" s="716">
        <v>1</v>
      </c>
      <c r="E948" s="4" t="s">
        <v>6</v>
      </c>
      <c r="F948" s="47">
        <f t="shared" si="112"/>
        <v>1</v>
      </c>
      <c r="G948" s="47">
        <f t="shared" si="112"/>
        <v>1</v>
      </c>
      <c r="H948" s="47">
        <f t="shared" si="112"/>
        <v>1</v>
      </c>
      <c r="I948" s="47">
        <f t="shared" si="112"/>
        <v>1</v>
      </c>
      <c r="J948" s="47">
        <f t="shared" si="112"/>
        <v>1</v>
      </c>
      <c r="K948" s="47">
        <v>1</v>
      </c>
      <c r="L948" s="47">
        <v>1</v>
      </c>
      <c r="M948" s="893"/>
    </row>
    <row r="949" spans="1:13" hidden="1" outlineLevel="1" x14ac:dyDescent="0.2">
      <c r="A949" s="22" t="s">
        <v>1502</v>
      </c>
      <c r="B949" s="2" t="s">
        <v>252</v>
      </c>
      <c r="C949" s="2" t="s">
        <v>1508</v>
      </c>
      <c r="D949" s="716">
        <v>1</v>
      </c>
      <c r="E949" s="4" t="s">
        <v>143</v>
      </c>
      <c r="F949" s="47">
        <f t="shared" si="112"/>
        <v>0</v>
      </c>
      <c r="G949" s="47">
        <f t="shared" si="112"/>
        <v>0</v>
      </c>
      <c r="H949" s="47">
        <f t="shared" si="112"/>
        <v>0</v>
      </c>
      <c r="I949" s="47">
        <f t="shared" si="112"/>
        <v>0</v>
      </c>
      <c r="J949" s="47">
        <f t="shared" si="112"/>
        <v>0</v>
      </c>
      <c r="K949" s="47">
        <v>0</v>
      </c>
      <c r="L949" s="47">
        <v>0</v>
      </c>
      <c r="M949" s="893"/>
    </row>
    <row r="950" spans="1:13" hidden="1" outlineLevel="1" x14ac:dyDescent="0.2">
      <c r="A950" s="22" t="s">
        <v>1502</v>
      </c>
      <c r="B950" s="2" t="s">
        <v>252</v>
      </c>
      <c r="C950" s="2" t="s">
        <v>1508</v>
      </c>
      <c r="D950" s="716">
        <v>1</v>
      </c>
      <c r="E950" s="4" t="s">
        <v>7</v>
      </c>
      <c r="F950" s="47">
        <f t="shared" si="112"/>
        <v>0</v>
      </c>
      <c r="G950" s="47">
        <f t="shared" si="112"/>
        <v>0</v>
      </c>
      <c r="H950" s="47">
        <f t="shared" si="112"/>
        <v>0</v>
      </c>
      <c r="I950" s="47">
        <f t="shared" si="112"/>
        <v>0</v>
      </c>
      <c r="J950" s="47">
        <f t="shared" si="112"/>
        <v>0</v>
      </c>
      <c r="K950" s="47">
        <v>0</v>
      </c>
      <c r="L950" s="47">
        <v>0</v>
      </c>
      <c r="M950" s="893"/>
    </row>
    <row r="951" spans="1:13" hidden="1" outlineLevel="1" x14ac:dyDescent="0.2">
      <c r="A951" s="22" t="s">
        <v>1502</v>
      </c>
      <c r="B951" s="2" t="s">
        <v>252</v>
      </c>
      <c r="C951" s="2" t="s">
        <v>1508</v>
      </c>
      <c r="D951" s="716">
        <v>1</v>
      </c>
      <c r="E951" s="4" t="s">
        <v>31</v>
      </c>
      <c r="F951" s="47">
        <f t="shared" si="112"/>
        <v>1</v>
      </c>
      <c r="G951" s="47">
        <f t="shared" si="112"/>
        <v>1</v>
      </c>
      <c r="H951" s="47">
        <f t="shared" si="112"/>
        <v>1</v>
      </c>
      <c r="I951" s="47">
        <f t="shared" si="112"/>
        <v>1</v>
      </c>
      <c r="J951" s="47">
        <f t="shared" si="112"/>
        <v>1</v>
      </c>
      <c r="K951" s="47">
        <v>1</v>
      </c>
      <c r="L951" s="47">
        <v>1</v>
      </c>
      <c r="M951" s="893"/>
    </row>
    <row r="952" spans="1:13" hidden="1" outlineLevel="1" x14ac:dyDescent="0.2">
      <c r="A952" s="22" t="s">
        <v>1502</v>
      </c>
      <c r="B952" s="2" t="s">
        <v>252</v>
      </c>
      <c r="C952" s="2" t="s">
        <v>1508</v>
      </c>
      <c r="D952" s="716">
        <v>1</v>
      </c>
      <c r="E952" s="4" t="s">
        <v>8</v>
      </c>
      <c r="F952" s="47">
        <f t="shared" si="112"/>
        <v>0</v>
      </c>
      <c r="G952" s="47">
        <f t="shared" si="112"/>
        <v>0</v>
      </c>
      <c r="H952" s="47">
        <f t="shared" si="112"/>
        <v>0</v>
      </c>
      <c r="I952" s="47">
        <f t="shared" si="112"/>
        <v>0</v>
      </c>
      <c r="J952" s="47">
        <f t="shared" si="112"/>
        <v>0</v>
      </c>
      <c r="K952" s="47">
        <v>0</v>
      </c>
      <c r="L952" s="47">
        <v>0</v>
      </c>
      <c r="M952" s="893"/>
    </row>
    <row r="953" spans="1:13" hidden="1" outlineLevel="1" x14ac:dyDescent="0.2">
      <c r="A953" s="22" t="s">
        <v>1502</v>
      </c>
      <c r="B953" s="2" t="s">
        <v>252</v>
      </c>
      <c r="C953" s="2" t="s">
        <v>1508</v>
      </c>
      <c r="D953" s="716">
        <v>1</v>
      </c>
      <c r="E953" s="4" t="s">
        <v>9</v>
      </c>
      <c r="F953" s="47">
        <f t="shared" si="112"/>
        <v>0</v>
      </c>
      <c r="G953" s="47">
        <f t="shared" si="112"/>
        <v>0</v>
      </c>
      <c r="H953" s="47">
        <f t="shared" si="112"/>
        <v>0</v>
      </c>
      <c r="I953" s="47">
        <f t="shared" si="112"/>
        <v>0</v>
      </c>
      <c r="J953" s="47">
        <f t="shared" si="112"/>
        <v>0</v>
      </c>
      <c r="K953" s="47">
        <v>0</v>
      </c>
      <c r="L953" s="47">
        <v>0</v>
      </c>
      <c r="M953" s="893"/>
    </row>
    <row r="954" spans="1:13" hidden="1" outlineLevel="1" x14ac:dyDescent="0.2">
      <c r="A954" s="22" t="s">
        <v>1502</v>
      </c>
      <c r="B954" s="2" t="s">
        <v>252</v>
      </c>
      <c r="C954" s="2" t="s">
        <v>1508</v>
      </c>
      <c r="D954" s="716">
        <v>1</v>
      </c>
      <c r="E954" s="4" t="s">
        <v>10</v>
      </c>
      <c r="F954" s="47">
        <f t="shared" si="112"/>
        <v>0</v>
      </c>
      <c r="G954" s="47">
        <f t="shared" si="112"/>
        <v>0</v>
      </c>
      <c r="H954" s="47">
        <f t="shared" si="112"/>
        <v>0</v>
      </c>
      <c r="I954" s="47">
        <f t="shared" si="112"/>
        <v>0</v>
      </c>
      <c r="J954" s="47">
        <f t="shared" si="112"/>
        <v>0</v>
      </c>
      <c r="K954" s="47">
        <v>0</v>
      </c>
      <c r="L954" s="47">
        <v>0</v>
      </c>
      <c r="M954" s="893"/>
    </row>
    <row r="955" spans="1:13" hidden="1" outlineLevel="1" x14ac:dyDescent="0.2">
      <c r="A955" s="22" t="s">
        <v>1502</v>
      </c>
      <c r="B955" s="2" t="s">
        <v>252</v>
      </c>
      <c r="C955" s="2" t="s">
        <v>1508</v>
      </c>
      <c r="D955" s="716">
        <v>1</v>
      </c>
      <c r="E955" s="4" t="s">
        <v>11</v>
      </c>
      <c r="F955" s="47">
        <f t="shared" si="112"/>
        <v>0</v>
      </c>
      <c r="G955" s="47">
        <f t="shared" si="112"/>
        <v>0</v>
      </c>
      <c r="H955" s="47">
        <f t="shared" si="112"/>
        <v>0</v>
      </c>
      <c r="I955" s="47">
        <f t="shared" si="112"/>
        <v>0</v>
      </c>
      <c r="J955" s="47">
        <f t="shared" si="112"/>
        <v>0</v>
      </c>
      <c r="K955" s="47">
        <v>0</v>
      </c>
      <c r="L955" s="47">
        <v>0</v>
      </c>
      <c r="M955" s="893"/>
    </row>
    <row r="956" spans="1:13" hidden="1" outlineLevel="1" x14ac:dyDescent="0.2">
      <c r="A956" s="22" t="s">
        <v>1502</v>
      </c>
      <c r="B956" s="2" t="s">
        <v>252</v>
      </c>
      <c r="C956" s="2" t="s">
        <v>1508</v>
      </c>
      <c r="D956" s="716">
        <v>1</v>
      </c>
      <c r="E956" s="4" t="s">
        <v>12</v>
      </c>
      <c r="F956" s="47">
        <f t="shared" si="112"/>
        <v>0</v>
      </c>
      <c r="G956" s="47">
        <f t="shared" si="112"/>
        <v>0</v>
      </c>
      <c r="H956" s="47">
        <f t="shared" si="112"/>
        <v>0</v>
      </c>
      <c r="I956" s="47">
        <f t="shared" si="112"/>
        <v>0</v>
      </c>
      <c r="J956" s="47">
        <f t="shared" si="112"/>
        <v>0</v>
      </c>
      <c r="K956" s="47">
        <v>0</v>
      </c>
      <c r="L956" s="47">
        <v>0</v>
      </c>
      <c r="M956" s="893"/>
    </row>
    <row r="957" spans="1:13" hidden="1" outlineLevel="1" x14ac:dyDescent="0.2">
      <c r="A957" s="22" t="s">
        <v>1502</v>
      </c>
      <c r="B957" s="2" t="s">
        <v>252</v>
      </c>
      <c r="C957" s="2" t="s">
        <v>1508</v>
      </c>
      <c r="D957" s="716">
        <v>1</v>
      </c>
      <c r="E957" s="4" t="s">
        <v>1</v>
      </c>
      <c r="F957" s="47">
        <f t="shared" si="112"/>
        <v>0</v>
      </c>
      <c r="G957" s="47">
        <f t="shared" si="112"/>
        <v>0</v>
      </c>
      <c r="H957" s="47">
        <f t="shared" si="112"/>
        <v>0</v>
      </c>
      <c r="I957" s="47">
        <f t="shared" si="112"/>
        <v>0</v>
      </c>
      <c r="J957" s="47">
        <f t="shared" si="112"/>
        <v>0</v>
      </c>
      <c r="K957" s="47">
        <v>0</v>
      </c>
      <c r="L957" s="47">
        <v>0</v>
      </c>
      <c r="M957" s="893"/>
    </row>
    <row r="958" spans="1:13" hidden="1" outlineLevel="1" x14ac:dyDescent="0.2">
      <c r="A958" s="22" t="s">
        <v>1502</v>
      </c>
      <c r="B958" s="2" t="s">
        <v>252</v>
      </c>
      <c r="C958" s="2" t="s">
        <v>1508</v>
      </c>
      <c r="D958" s="716">
        <v>1</v>
      </c>
      <c r="E958" s="4" t="s">
        <v>13</v>
      </c>
      <c r="F958" s="47">
        <f t="shared" si="112"/>
        <v>0</v>
      </c>
      <c r="G958" s="47">
        <f t="shared" si="112"/>
        <v>0</v>
      </c>
      <c r="H958" s="47">
        <f t="shared" si="112"/>
        <v>0</v>
      </c>
      <c r="I958" s="47">
        <f t="shared" si="112"/>
        <v>0</v>
      </c>
      <c r="J958" s="47">
        <f t="shared" si="112"/>
        <v>0</v>
      </c>
      <c r="K958" s="47">
        <v>0</v>
      </c>
      <c r="L958" s="47">
        <v>0</v>
      </c>
      <c r="M958" s="893"/>
    </row>
    <row r="959" spans="1:13" hidden="1" outlineLevel="1" x14ac:dyDescent="0.2">
      <c r="A959" s="22" t="s">
        <v>1502</v>
      </c>
      <c r="B959" s="2" t="s">
        <v>252</v>
      </c>
      <c r="C959" s="2" t="s">
        <v>1508</v>
      </c>
      <c r="D959" s="716">
        <v>1</v>
      </c>
      <c r="E959" s="4" t="s">
        <v>14</v>
      </c>
      <c r="F959" s="47">
        <f t="shared" si="112"/>
        <v>1</v>
      </c>
      <c r="G959" s="47">
        <f t="shared" si="112"/>
        <v>1</v>
      </c>
      <c r="H959" s="47">
        <f t="shared" si="112"/>
        <v>1</v>
      </c>
      <c r="I959" s="47">
        <f t="shared" si="112"/>
        <v>1</v>
      </c>
      <c r="J959" s="47">
        <f t="shared" si="112"/>
        <v>1</v>
      </c>
      <c r="K959" s="47">
        <v>1</v>
      </c>
      <c r="L959" s="47">
        <v>1</v>
      </c>
      <c r="M959" s="893"/>
    </row>
    <row r="960" spans="1:13" hidden="1" outlineLevel="1" x14ac:dyDescent="0.2">
      <c r="A960" s="22" t="s">
        <v>1502</v>
      </c>
      <c r="B960" s="2" t="s">
        <v>252</v>
      </c>
      <c r="C960" s="2" t="s">
        <v>1508</v>
      </c>
      <c r="D960" s="716">
        <v>1</v>
      </c>
      <c r="E960" s="4" t="s">
        <v>15</v>
      </c>
      <c r="F960" s="47">
        <f t="shared" si="112"/>
        <v>0</v>
      </c>
      <c r="G960" s="47">
        <f t="shared" si="112"/>
        <v>0</v>
      </c>
      <c r="H960" s="47">
        <f t="shared" si="112"/>
        <v>0</v>
      </c>
      <c r="I960" s="47">
        <f t="shared" si="112"/>
        <v>0</v>
      </c>
      <c r="J960" s="47">
        <f t="shared" si="112"/>
        <v>0</v>
      </c>
      <c r="K960" s="47">
        <v>0</v>
      </c>
      <c r="L960" s="47">
        <v>0</v>
      </c>
      <c r="M960" s="893"/>
    </row>
    <row r="961" spans="1:13" hidden="1" outlineLevel="1" x14ac:dyDescent="0.2">
      <c r="A961" s="22" t="s">
        <v>1502</v>
      </c>
      <c r="B961" s="2" t="s">
        <v>252</v>
      </c>
      <c r="C961" s="2" t="s">
        <v>1508</v>
      </c>
      <c r="D961" s="716">
        <v>1</v>
      </c>
      <c r="E961" s="4" t="s">
        <v>16</v>
      </c>
      <c r="F961" s="47">
        <f t="shared" si="112"/>
        <v>0</v>
      </c>
      <c r="G961" s="47">
        <f t="shared" si="112"/>
        <v>0</v>
      </c>
      <c r="H961" s="47">
        <f t="shared" si="112"/>
        <v>0</v>
      </c>
      <c r="I961" s="47">
        <f t="shared" si="112"/>
        <v>0</v>
      </c>
      <c r="J961" s="47">
        <f t="shared" si="112"/>
        <v>0</v>
      </c>
      <c r="K961" s="47">
        <v>0</v>
      </c>
      <c r="L961" s="47">
        <v>0</v>
      </c>
      <c r="M961" s="893"/>
    </row>
    <row r="962" spans="1:13" hidden="1" outlineLevel="1" x14ac:dyDescent="0.2">
      <c r="A962" s="22" t="s">
        <v>1502</v>
      </c>
      <c r="B962" s="2" t="s">
        <v>252</v>
      </c>
      <c r="C962" s="2" t="s">
        <v>1508</v>
      </c>
      <c r="D962" s="716">
        <v>1</v>
      </c>
      <c r="E962" s="4" t="s">
        <v>17</v>
      </c>
      <c r="F962" s="47">
        <f t="shared" si="112"/>
        <v>0</v>
      </c>
      <c r="G962" s="47">
        <f t="shared" si="112"/>
        <v>0</v>
      </c>
      <c r="H962" s="47">
        <f t="shared" si="112"/>
        <v>0</v>
      </c>
      <c r="I962" s="47">
        <f t="shared" si="112"/>
        <v>0</v>
      </c>
      <c r="J962" s="47">
        <f t="shared" si="112"/>
        <v>0</v>
      </c>
      <c r="K962" s="47">
        <v>0</v>
      </c>
      <c r="L962" s="47">
        <v>0</v>
      </c>
      <c r="M962" s="893"/>
    </row>
    <row r="963" spans="1:13" hidden="1" outlineLevel="1" x14ac:dyDescent="0.2">
      <c r="A963" s="22" t="s">
        <v>1502</v>
      </c>
      <c r="B963" s="2" t="s">
        <v>252</v>
      </c>
      <c r="C963" s="2" t="s">
        <v>1508</v>
      </c>
      <c r="D963" s="716">
        <v>1</v>
      </c>
      <c r="E963" s="4" t="s">
        <v>18</v>
      </c>
      <c r="F963" s="47">
        <f t="shared" si="112"/>
        <v>1</v>
      </c>
      <c r="G963" s="47">
        <f t="shared" si="112"/>
        <v>1</v>
      </c>
      <c r="H963" s="47">
        <f t="shared" si="112"/>
        <v>1</v>
      </c>
      <c r="I963" s="47">
        <f t="shared" si="112"/>
        <v>1</v>
      </c>
      <c r="J963" s="47">
        <f t="shared" si="112"/>
        <v>1</v>
      </c>
      <c r="K963" s="47">
        <v>1</v>
      </c>
      <c r="L963" s="47">
        <v>1</v>
      </c>
      <c r="M963" s="893"/>
    </row>
    <row r="964" spans="1:13" hidden="1" outlineLevel="1" x14ac:dyDescent="0.2">
      <c r="A964" s="22" t="s">
        <v>1502</v>
      </c>
      <c r="B964" s="2" t="s">
        <v>252</v>
      </c>
      <c r="C964" s="2" t="s">
        <v>1508</v>
      </c>
      <c r="D964" s="716">
        <v>1</v>
      </c>
      <c r="E964" s="4" t="s">
        <v>2</v>
      </c>
      <c r="F964" s="47">
        <f t="shared" si="112"/>
        <v>0</v>
      </c>
      <c r="G964" s="47">
        <f t="shared" si="112"/>
        <v>0</v>
      </c>
      <c r="H964" s="47">
        <f t="shared" si="112"/>
        <v>0</v>
      </c>
      <c r="I964" s="47">
        <f t="shared" si="112"/>
        <v>0</v>
      </c>
      <c r="J964" s="47">
        <f t="shared" si="112"/>
        <v>0</v>
      </c>
      <c r="K964" s="47">
        <v>0</v>
      </c>
      <c r="L964" s="47">
        <v>0</v>
      </c>
      <c r="M964" s="893"/>
    </row>
    <row r="965" spans="1:13" hidden="1" outlineLevel="1" x14ac:dyDescent="0.2">
      <c r="A965" s="22" t="s">
        <v>1502</v>
      </c>
      <c r="B965" s="2" t="s">
        <v>252</v>
      </c>
      <c r="C965" s="2" t="s">
        <v>1508</v>
      </c>
      <c r="D965" s="716">
        <v>1</v>
      </c>
      <c r="E965" s="4" t="s">
        <v>19</v>
      </c>
      <c r="F965" s="47">
        <f t="shared" si="112"/>
        <v>0</v>
      </c>
      <c r="G965" s="47">
        <f t="shared" si="112"/>
        <v>0</v>
      </c>
      <c r="H965" s="47">
        <f t="shared" si="112"/>
        <v>0</v>
      </c>
      <c r="I965" s="47">
        <f t="shared" si="112"/>
        <v>0</v>
      </c>
      <c r="J965" s="47">
        <f t="shared" si="112"/>
        <v>0</v>
      </c>
      <c r="K965" s="47">
        <v>0</v>
      </c>
      <c r="L965" s="47">
        <v>0</v>
      </c>
      <c r="M965" s="893"/>
    </row>
    <row r="966" spans="1:13" hidden="1" outlineLevel="1" x14ac:dyDescent="0.2">
      <c r="A966" s="22" t="s">
        <v>1502</v>
      </c>
      <c r="B966" s="2" t="s">
        <v>252</v>
      </c>
      <c r="C966" s="2" t="s">
        <v>1508</v>
      </c>
      <c r="D966" s="716">
        <v>1</v>
      </c>
      <c r="E966" s="4" t="s">
        <v>3</v>
      </c>
      <c r="F966" s="47">
        <f t="shared" si="112"/>
        <v>0</v>
      </c>
      <c r="G966" s="47">
        <f t="shared" si="112"/>
        <v>0</v>
      </c>
      <c r="H966" s="47">
        <f t="shared" si="112"/>
        <v>0</v>
      </c>
      <c r="I966" s="47">
        <f t="shared" si="112"/>
        <v>0</v>
      </c>
      <c r="J966" s="47">
        <f t="shared" si="112"/>
        <v>0</v>
      </c>
      <c r="K966" s="47">
        <v>0</v>
      </c>
      <c r="L966" s="47">
        <v>0</v>
      </c>
      <c r="M966" s="893"/>
    </row>
    <row r="967" spans="1:13" hidden="1" outlineLevel="1" x14ac:dyDescent="0.2">
      <c r="A967" s="22" t="s">
        <v>1502</v>
      </c>
      <c r="B967" s="2" t="s">
        <v>252</v>
      </c>
      <c r="C967" s="2" t="s">
        <v>1508</v>
      </c>
      <c r="D967" s="716">
        <v>1</v>
      </c>
      <c r="E967" s="4" t="s">
        <v>20</v>
      </c>
      <c r="F967" s="47">
        <f t="shared" si="112"/>
        <v>0</v>
      </c>
      <c r="G967" s="47">
        <f t="shared" si="112"/>
        <v>0</v>
      </c>
      <c r="H967" s="47">
        <f t="shared" si="112"/>
        <v>0</v>
      </c>
      <c r="I967" s="47">
        <f t="shared" si="112"/>
        <v>0</v>
      </c>
      <c r="J967" s="47">
        <f t="shared" si="112"/>
        <v>0</v>
      </c>
      <c r="K967" s="47">
        <v>0</v>
      </c>
      <c r="L967" s="47">
        <v>0</v>
      </c>
      <c r="M967" s="893"/>
    </row>
    <row r="968" spans="1:13" hidden="1" outlineLevel="1" x14ac:dyDescent="0.2">
      <c r="A968" s="22" t="s">
        <v>1502</v>
      </c>
      <c r="B968" s="2" t="s">
        <v>252</v>
      </c>
      <c r="C968" s="2" t="s">
        <v>1508</v>
      </c>
      <c r="D968" s="716">
        <v>1</v>
      </c>
      <c r="E968" s="4" t="s">
        <v>21</v>
      </c>
      <c r="F968" s="47">
        <f t="shared" si="112"/>
        <v>0</v>
      </c>
      <c r="G968" s="47">
        <f t="shared" si="112"/>
        <v>0</v>
      </c>
      <c r="H968" s="47">
        <f t="shared" si="112"/>
        <v>0</v>
      </c>
      <c r="I968" s="47">
        <f t="shared" si="112"/>
        <v>0</v>
      </c>
      <c r="J968" s="47">
        <f t="shared" si="112"/>
        <v>0</v>
      </c>
      <c r="K968" s="47">
        <v>0</v>
      </c>
      <c r="L968" s="47">
        <v>0</v>
      </c>
      <c r="M968" s="893"/>
    </row>
    <row r="969" spans="1:13" hidden="1" outlineLevel="1" x14ac:dyDescent="0.2">
      <c r="A969" s="22" t="s">
        <v>1502</v>
      </c>
      <c r="B969" s="2" t="s">
        <v>252</v>
      </c>
      <c r="C969" s="2" t="s">
        <v>1508</v>
      </c>
      <c r="D969" s="716">
        <v>1</v>
      </c>
      <c r="E969" s="4" t="s">
        <v>1096</v>
      </c>
      <c r="F969" s="47">
        <f t="shared" si="112"/>
        <v>0</v>
      </c>
      <c r="G969" s="47">
        <f t="shared" si="112"/>
        <v>0</v>
      </c>
      <c r="H969" s="47">
        <f t="shared" si="112"/>
        <v>0</v>
      </c>
      <c r="I969" s="47">
        <f t="shared" si="112"/>
        <v>0</v>
      </c>
      <c r="J969" s="47">
        <f t="shared" si="112"/>
        <v>0</v>
      </c>
      <c r="K969" s="47">
        <v>0</v>
      </c>
      <c r="L969" s="47">
        <v>0</v>
      </c>
      <c r="M969" s="893"/>
    </row>
    <row r="970" spans="1:13" hidden="1" outlineLevel="1" x14ac:dyDescent="0.2">
      <c r="A970" s="22" t="s">
        <v>1502</v>
      </c>
      <c r="B970" s="2" t="s">
        <v>252</v>
      </c>
      <c r="C970" s="2" t="s">
        <v>1508</v>
      </c>
      <c r="D970" s="716">
        <v>1</v>
      </c>
      <c r="E970" s="4" t="s">
        <v>22</v>
      </c>
      <c r="F970" s="47">
        <f t="shared" si="112"/>
        <v>0</v>
      </c>
      <c r="G970" s="47">
        <f t="shared" si="112"/>
        <v>0</v>
      </c>
      <c r="H970" s="47">
        <f t="shared" si="112"/>
        <v>0</v>
      </c>
      <c r="I970" s="47">
        <f t="shared" si="112"/>
        <v>0</v>
      </c>
      <c r="J970" s="47">
        <f t="shared" si="112"/>
        <v>0</v>
      </c>
      <c r="K970" s="47">
        <v>0</v>
      </c>
      <c r="L970" s="47">
        <v>0</v>
      </c>
      <c r="M970" s="893"/>
    </row>
    <row r="971" spans="1:13" hidden="1" outlineLevel="1" x14ac:dyDescent="0.2">
      <c r="A971" s="91" t="s">
        <v>1502</v>
      </c>
      <c r="B971" s="3" t="s">
        <v>252</v>
      </c>
      <c r="C971" s="3" t="s">
        <v>1508</v>
      </c>
      <c r="D971" s="717">
        <v>1</v>
      </c>
      <c r="E971" s="469" t="s">
        <v>23</v>
      </c>
      <c r="F971" s="48">
        <f t="shared" si="112"/>
        <v>0</v>
      </c>
      <c r="G971" s="48">
        <f t="shared" si="112"/>
        <v>0</v>
      </c>
      <c r="H971" s="48">
        <f t="shared" si="112"/>
        <v>0</v>
      </c>
      <c r="I971" s="48">
        <f t="shared" si="112"/>
        <v>0</v>
      </c>
      <c r="J971" s="48">
        <f t="shared" si="112"/>
        <v>0</v>
      </c>
      <c r="K971" s="363">
        <v>0</v>
      </c>
      <c r="L971" s="363">
        <v>0</v>
      </c>
      <c r="M971" s="920"/>
    </row>
    <row r="972" spans="1:13" hidden="1" outlineLevel="1" x14ac:dyDescent="0.2">
      <c r="A972" s="92" t="s">
        <v>1502</v>
      </c>
      <c r="B972" s="81" t="s">
        <v>252</v>
      </c>
      <c r="C972" s="81" t="s">
        <v>1509</v>
      </c>
      <c r="D972" s="715">
        <v>1</v>
      </c>
      <c r="E972" s="468" t="s">
        <v>4</v>
      </c>
      <c r="F972" s="380">
        <f t="shared" si="112"/>
        <v>0</v>
      </c>
      <c r="G972" s="89">
        <f t="shared" si="112"/>
        <v>0</v>
      </c>
      <c r="H972" s="89">
        <f t="shared" si="112"/>
        <v>0</v>
      </c>
      <c r="I972" s="89">
        <f t="shared" si="112"/>
        <v>0</v>
      </c>
      <c r="J972" s="89">
        <f t="shared" si="112"/>
        <v>0</v>
      </c>
      <c r="K972" s="380">
        <v>0</v>
      </c>
      <c r="L972" s="380">
        <v>0</v>
      </c>
      <c r="M972" s="892"/>
    </row>
    <row r="973" spans="1:13" hidden="1" outlineLevel="1" x14ac:dyDescent="0.2">
      <c r="A973" s="22" t="s">
        <v>1502</v>
      </c>
      <c r="B973" s="2" t="s">
        <v>252</v>
      </c>
      <c r="C973" s="2" t="s">
        <v>1509</v>
      </c>
      <c r="D973" s="716">
        <v>1</v>
      </c>
      <c r="E973" s="4" t="s">
        <v>5</v>
      </c>
      <c r="F973" s="47">
        <f t="shared" si="112"/>
        <v>0</v>
      </c>
      <c r="G973" s="47">
        <f t="shared" si="112"/>
        <v>0</v>
      </c>
      <c r="H973" s="47">
        <f t="shared" si="112"/>
        <v>0</v>
      </c>
      <c r="I973" s="47">
        <f t="shared" si="112"/>
        <v>0</v>
      </c>
      <c r="J973" s="47">
        <f t="shared" si="112"/>
        <v>0</v>
      </c>
      <c r="K973" s="47">
        <v>0</v>
      </c>
      <c r="L973" s="47">
        <v>0</v>
      </c>
      <c r="M973" s="893"/>
    </row>
    <row r="974" spans="1:13" hidden="1" outlineLevel="1" x14ac:dyDescent="0.2">
      <c r="A974" s="22" t="s">
        <v>1502</v>
      </c>
      <c r="B974" s="2" t="s">
        <v>252</v>
      </c>
      <c r="C974" s="2" t="s">
        <v>1509</v>
      </c>
      <c r="D974" s="716">
        <v>1</v>
      </c>
      <c r="E974" s="4" t="s">
        <v>6</v>
      </c>
      <c r="F974" s="47">
        <f t="shared" si="112"/>
        <v>0</v>
      </c>
      <c r="G974" s="47">
        <f t="shared" si="112"/>
        <v>0</v>
      </c>
      <c r="H974" s="47">
        <f t="shared" si="112"/>
        <v>0</v>
      </c>
      <c r="I974" s="47">
        <f t="shared" si="112"/>
        <v>0</v>
      </c>
      <c r="J974" s="47">
        <f t="shared" si="112"/>
        <v>0</v>
      </c>
      <c r="K974" s="47">
        <v>0</v>
      </c>
      <c r="L974" s="47">
        <v>0</v>
      </c>
      <c r="M974" s="893"/>
    </row>
    <row r="975" spans="1:13" hidden="1" outlineLevel="1" x14ac:dyDescent="0.2">
      <c r="A975" s="22" t="s">
        <v>1502</v>
      </c>
      <c r="B975" s="2" t="s">
        <v>252</v>
      </c>
      <c r="C975" s="2" t="s">
        <v>1509</v>
      </c>
      <c r="D975" s="716">
        <v>1</v>
      </c>
      <c r="E975" s="4" t="s">
        <v>143</v>
      </c>
      <c r="F975" s="47">
        <f t="shared" si="112"/>
        <v>0</v>
      </c>
      <c r="G975" s="47">
        <f t="shared" si="112"/>
        <v>0</v>
      </c>
      <c r="H975" s="47">
        <f t="shared" si="112"/>
        <v>0</v>
      </c>
      <c r="I975" s="47">
        <f t="shared" si="112"/>
        <v>0</v>
      </c>
      <c r="J975" s="47">
        <f t="shared" si="112"/>
        <v>0</v>
      </c>
      <c r="K975" s="47">
        <v>0</v>
      </c>
      <c r="L975" s="47">
        <v>0</v>
      </c>
      <c r="M975" s="893"/>
    </row>
    <row r="976" spans="1:13" hidden="1" outlineLevel="1" x14ac:dyDescent="0.2">
      <c r="A976" s="22" t="s">
        <v>1502</v>
      </c>
      <c r="B976" s="2" t="s">
        <v>252</v>
      </c>
      <c r="C976" s="2" t="s">
        <v>1509</v>
      </c>
      <c r="D976" s="716">
        <v>1</v>
      </c>
      <c r="E976" s="4" t="s">
        <v>7</v>
      </c>
      <c r="F976" s="47">
        <f t="shared" si="112"/>
        <v>0</v>
      </c>
      <c r="G976" s="47">
        <f t="shared" si="112"/>
        <v>0</v>
      </c>
      <c r="H976" s="47">
        <f t="shared" si="112"/>
        <v>0</v>
      </c>
      <c r="I976" s="47">
        <f t="shared" si="112"/>
        <v>0</v>
      </c>
      <c r="J976" s="47">
        <f t="shared" si="112"/>
        <v>0</v>
      </c>
      <c r="K976" s="47">
        <v>0</v>
      </c>
      <c r="L976" s="47">
        <v>0</v>
      </c>
      <c r="M976" s="893"/>
    </row>
    <row r="977" spans="1:13" hidden="1" outlineLevel="1" x14ac:dyDescent="0.2">
      <c r="A977" s="22" t="s">
        <v>1502</v>
      </c>
      <c r="B977" s="2" t="s">
        <v>252</v>
      </c>
      <c r="C977" s="2" t="s">
        <v>1509</v>
      </c>
      <c r="D977" s="716">
        <v>1</v>
      </c>
      <c r="E977" s="4" t="s">
        <v>31</v>
      </c>
      <c r="F977" s="47">
        <f t="shared" si="112"/>
        <v>1</v>
      </c>
      <c r="G977" s="47">
        <f t="shared" si="112"/>
        <v>1</v>
      </c>
      <c r="H977" s="47">
        <f t="shared" si="112"/>
        <v>1</v>
      </c>
      <c r="I977" s="47">
        <f t="shared" si="112"/>
        <v>1</v>
      </c>
      <c r="J977" s="47">
        <f t="shared" si="112"/>
        <v>1</v>
      </c>
      <c r="K977" s="47">
        <v>1</v>
      </c>
      <c r="L977" s="47">
        <v>1</v>
      </c>
      <c r="M977" s="893"/>
    </row>
    <row r="978" spans="1:13" hidden="1" outlineLevel="1" x14ac:dyDescent="0.2">
      <c r="A978" s="22" t="s">
        <v>1502</v>
      </c>
      <c r="B978" s="2" t="s">
        <v>252</v>
      </c>
      <c r="C978" s="2" t="s">
        <v>1509</v>
      </c>
      <c r="D978" s="716">
        <v>1</v>
      </c>
      <c r="E978" s="4" t="s">
        <v>8</v>
      </c>
      <c r="F978" s="47">
        <f t="shared" si="112"/>
        <v>0</v>
      </c>
      <c r="G978" s="47">
        <f t="shared" si="112"/>
        <v>0</v>
      </c>
      <c r="H978" s="47">
        <f t="shared" si="112"/>
        <v>0</v>
      </c>
      <c r="I978" s="47">
        <f t="shared" si="112"/>
        <v>0</v>
      </c>
      <c r="J978" s="47">
        <f t="shared" si="112"/>
        <v>0</v>
      </c>
      <c r="K978" s="47">
        <v>0</v>
      </c>
      <c r="L978" s="47">
        <v>0</v>
      </c>
      <c r="M978" s="893"/>
    </row>
    <row r="979" spans="1:13" hidden="1" outlineLevel="1" x14ac:dyDescent="0.2">
      <c r="A979" s="22" t="s">
        <v>1502</v>
      </c>
      <c r="B979" s="2" t="s">
        <v>252</v>
      </c>
      <c r="C979" s="2" t="s">
        <v>1509</v>
      </c>
      <c r="D979" s="716">
        <v>1</v>
      </c>
      <c r="E979" s="4" t="s">
        <v>9</v>
      </c>
      <c r="F979" s="47">
        <f t="shared" si="112"/>
        <v>0</v>
      </c>
      <c r="G979" s="47">
        <f t="shared" si="112"/>
        <v>0</v>
      </c>
      <c r="H979" s="47">
        <f t="shared" si="112"/>
        <v>0</v>
      </c>
      <c r="I979" s="47">
        <f t="shared" si="112"/>
        <v>0</v>
      </c>
      <c r="J979" s="47">
        <f t="shared" si="112"/>
        <v>0</v>
      </c>
      <c r="K979" s="47">
        <v>0</v>
      </c>
      <c r="L979" s="47">
        <v>0</v>
      </c>
      <c r="M979" s="893"/>
    </row>
    <row r="980" spans="1:13" hidden="1" outlineLevel="1" x14ac:dyDescent="0.2">
      <c r="A980" s="22" t="s">
        <v>1502</v>
      </c>
      <c r="B980" s="2" t="s">
        <v>252</v>
      </c>
      <c r="C980" s="2" t="s">
        <v>1509</v>
      </c>
      <c r="D980" s="716">
        <v>1</v>
      </c>
      <c r="E980" s="4" t="s">
        <v>10</v>
      </c>
      <c r="F980" s="47">
        <f t="shared" si="112"/>
        <v>0</v>
      </c>
      <c r="G980" s="47">
        <f t="shared" si="112"/>
        <v>0</v>
      </c>
      <c r="H980" s="47">
        <f t="shared" si="112"/>
        <v>0</v>
      </c>
      <c r="I980" s="47">
        <f t="shared" si="112"/>
        <v>0</v>
      </c>
      <c r="J980" s="47">
        <f t="shared" si="112"/>
        <v>0</v>
      </c>
      <c r="K980" s="47">
        <v>0</v>
      </c>
      <c r="L980" s="47">
        <v>0</v>
      </c>
      <c r="M980" s="893"/>
    </row>
    <row r="981" spans="1:13" hidden="1" outlineLevel="1" x14ac:dyDescent="0.2">
      <c r="A981" s="22" t="s">
        <v>1502</v>
      </c>
      <c r="B981" s="2" t="s">
        <v>252</v>
      </c>
      <c r="C981" s="2" t="s">
        <v>1509</v>
      </c>
      <c r="D981" s="716">
        <v>1</v>
      </c>
      <c r="E981" s="4" t="s">
        <v>11</v>
      </c>
      <c r="F981" s="47">
        <f t="shared" si="112"/>
        <v>0</v>
      </c>
      <c r="G981" s="47">
        <f t="shared" si="112"/>
        <v>0</v>
      </c>
      <c r="H981" s="47">
        <f t="shared" si="112"/>
        <v>0</v>
      </c>
      <c r="I981" s="47">
        <f t="shared" si="112"/>
        <v>0</v>
      </c>
      <c r="J981" s="47">
        <f t="shared" si="112"/>
        <v>0</v>
      </c>
      <c r="K981" s="47">
        <v>0</v>
      </c>
      <c r="L981" s="47">
        <v>0</v>
      </c>
      <c r="M981" s="893"/>
    </row>
    <row r="982" spans="1:13" hidden="1" outlineLevel="1" x14ac:dyDescent="0.2">
      <c r="A982" s="22" t="s">
        <v>1502</v>
      </c>
      <c r="B982" s="2" t="s">
        <v>252</v>
      </c>
      <c r="C982" s="2" t="s">
        <v>1509</v>
      </c>
      <c r="D982" s="716">
        <v>1</v>
      </c>
      <c r="E982" s="4" t="s">
        <v>12</v>
      </c>
      <c r="F982" s="47">
        <f t="shared" si="112"/>
        <v>0</v>
      </c>
      <c r="G982" s="47">
        <f t="shared" si="112"/>
        <v>0</v>
      </c>
      <c r="H982" s="47">
        <f t="shared" si="112"/>
        <v>0</v>
      </c>
      <c r="I982" s="47">
        <f t="shared" si="112"/>
        <v>0</v>
      </c>
      <c r="J982" s="47">
        <f t="shared" si="112"/>
        <v>0</v>
      </c>
      <c r="K982" s="47">
        <v>0</v>
      </c>
      <c r="L982" s="47">
        <v>0</v>
      </c>
      <c r="M982" s="893"/>
    </row>
    <row r="983" spans="1:13" hidden="1" outlineLevel="1" x14ac:dyDescent="0.2">
      <c r="A983" s="22" t="s">
        <v>1502</v>
      </c>
      <c r="B983" s="2" t="s">
        <v>252</v>
      </c>
      <c r="C983" s="2" t="s">
        <v>1509</v>
      </c>
      <c r="D983" s="716">
        <v>1</v>
      </c>
      <c r="E983" s="4" t="s">
        <v>1</v>
      </c>
      <c r="F983" s="47">
        <f t="shared" si="112"/>
        <v>0</v>
      </c>
      <c r="G983" s="47">
        <f t="shared" si="112"/>
        <v>0</v>
      </c>
      <c r="H983" s="47">
        <f t="shared" si="112"/>
        <v>0</v>
      </c>
      <c r="I983" s="47">
        <f t="shared" si="112"/>
        <v>0</v>
      </c>
      <c r="J983" s="47">
        <f t="shared" si="112"/>
        <v>0</v>
      </c>
      <c r="K983" s="47">
        <v>0</v>
      </c>
      <c r="L983" s="47">
        <v>0</v>
      </c>
      <c r="M983" s="893"/>
    </row>
    <row r="984" spans="1:13" hidden="1" outlineLevel="1" x14ac:dyDescent="0.2">
      <c r="A984" s="22" t="s">
        <v>1502</v>
      </c>
      <c r="B984" s="2" t="s">
        <v>252</v>
      </c>
      <c r="C984" s="2" t="s">
        <v>1509</v>
      </c>
      <c r="D984" s="716">
        <v>1</v>
      </c>
      <c r="E984" s="4" t="s">
        <v>13</v>
      </c>
      <c r="F984" s="47">
        <f t="shared" si="112"/>
        <v>0</v>
      </c>
      <c r="G984" s="47">
        <f t="shared" si="112"/>
        <v>0</v>
      </c>
      <c r="H984" s="47">
        <f t="shared" si="112"/>
        <v>0</v>
      </c>
      <c r="I984" s="47">
        <f t="shared" si="112"/>
        <v>0</v>
      </c>
      <c r="J984" s="47">
        <f t="shared" si="112"/>
        <v>0</v>
      </c>
      <c r="K984" s="47">
        <v>0</v>
      </c>
      <c r="L984" s="47">
        <v>0</v>
      </c>
      <c r="M984" s="893"/>
    </row>
    <row r="985" spans="1:13" hidden="1" outlineLevel="1" x14ac:dyDescent="0.2">
      <c r="A985" s="22" t="s">
        <v>1502</v>
      </c>
      <c r="B985" s="2" t="s">
        <v>252</v>
      </c>
      <c r="C985" s="2" t="s">
        <v>1509</v>
      </c>
      <c r="D985" s="716">
        <v>1</v>
      </c>
      <c r="E985" s="4" t="s">
        <v>14</v>
      </c>
      <c r="F985" s="47">
        <f t="shared" si="112"/>
        <v>0</v>
      </c>
      <c r="G985" s="47">
        <f t="shared" si="112"/>
        <v>0</v>
      </c>
      <c r="H985" s="47">
        <f t="shared" si="112"/>
        <v>0</v>
      </c>
      <c r="I985" s="47">
        <f t="shared" si="112"/>
        <v>0</v>
      </c>
      <c r="J985" s="47">
        <f t="shared" si="112"/>
        <v>0</v>
      </c>
      <c r="K985" s="47">
        <v>0</v>
      </c>
      <c r="L985" s="47">
        <v>0</v>
      </c>
      <c r="M985" s="893"/>
    </row>
    <row r="986" spans="1:13" hidden="1" outlineLevel="1" x14ac:dyDescent="0.2">
      <c r="A986" s="22" t="s">
        <v>1502</v>
      </c>
      <c r="B986" s="2" t="s">
        <v>252</v>
      </c>
      <c r="C986" s="2" t="s">
        <v>1509</v>
      </c>
      <c r="D986" s="716">
        <v>1</v>
      </c>
      <c r="E986" s="4" t="s">
        <v>15</v>
      </c>
      <c r="F986" s="47">
        <f t="shared" si="112"/>
        <v>0</v>
      </c>
      <c r="G986" s="47">
        <f t="shared" si="112"/>
        <v>0</v>
      </c>
      <c r="H986" s="47">
        <f t="shared" si="112"/>
        <v>0</v>
      </c>
      <c r="I986" s="47">
        <f t="shared" si="112"/>
        <v>0</v>
      </c>
      <c r="J986" s="47">
        <f t="shared" si="112"/>
        <v>0</v>
      </c>
      <c r="K986" s="47">
        <v>0</v>
      </c>
      <c r="L986" s="47">
        <v>0</v>
      </c>
      <c r="M986" s="893"/>
    </row>
    <row r="987" spans="1:13" hidden="1" outlineLevel="1" x14ac:dyDescent="0.2">
      <c r="A987" s="22" t="s">
        <v>1502</v>
      </c>
      <c r="B987" s="2" t="s">
        <v>252</v>
      </c>
      <c r="C987" s="2" t="s">
        <v>1509</v>
      </c>
      <c r="D987" s="716">
        <v>1</v>
      </c>
      <c r="E987" s="4" t="s">
        <v>16</v>
      </c>
      <c r="F987" s="47">
        <f t="shared" si="112"/>
        <v>0</v>
      </c>
      <c r="G987" s="47">
        <f t="shared" si="112"/>
        <v>0</v>
      </c>
      <c r="H987" s="47">
        <f t="shared" si="112"/>
        <v>0</v>
      </c>
      <c r="I987" s="47">
        <f t="shared" si="112"/>
        <v>0</v>
      </c>
      <c r="J987" s="47">
        <f t="shared" si="112"/>
        <v>0</v>
      </c>
      <c r="K987" s="47">
        <v>0</v>
      </c>
      <c r="L987" s="47">
        <v>0</v>
      </c>
      <c r="M987" s="893"/>
    </row>
    <row r="988" spans="1:13" hidden="1" outlineLevel="1" x14ac:dyDescent="0.2">
      <c r="A988" s="22" t="s">
        <v>1502</v>
      </c>
      <c r="B988" s="2" t="s">
        <v>252</v>
      </c>
      <c r="C988" s="2" t="s">
        <v>1509</v>
      </c>
      <c r="D988" s="716">
        <v>1</v>
      </c>
      <c r="E988" s="4" t="s">
        <v>17</v>
      </c>
      <c r="F988" s="47">
        <f t="shared" si="112"/>
        <v>0</v>
      </c>
      <c r="G988" s="47">
        <f t="shared" si="112"/>
        <v>0</v>
      </c>
      <c r="H988" s="47">
        <f t="shared" si="112"/>
        <v>0</v>
      </c>
      <c r="I988" s="47">
        <f t="shared" si="112"/>
        <v>0</v>
      </c>
      <c r="J988" s="47">
        <f t="shared" si="112"/>
        <v>0</v>
      </c>
      <c r="K988" s="47">
        <v>0</v>
      </c>
      <c r="L988" s="47">
        <v>0</v>
      </c>
      <c r="M988" s="893"/>
    </row>
    <row r="989" spans="1:13" hidden="1" outlineLevel="1" x14ac:dyDescent="0.2">
      <c r="A989" s="22" t="s">
        <v>1502</v>
      </c>
      <c r="B989" s="2" t="s">
        <v>252</v>
      </c>
      <c r="C989" s="2" t="s">
        <v>1509</v>
      </c>
      <c r="D989" s="716">
        <v>1</v>
      </c>
      <c r="E989" s="4" t="s">
        <v>18</v>
      </c>
      <c r="F989" s="47">
        <f t="shared" si="112"/>
        <v>0</v>
      </c>
      <c r="G989" s="47">
        <f t="shared" si="112"/>
        <v>0</v>
      </c>
      <c r="H989" s="47">
        <f t="shared" si="112"/>
        <v>0</v>
      </c>
      <c r="I989" s="47">
        <f t="shared" si="112"/>
        <v>0</v>
      </c>
      <c r="J989" s="47">
        <f t="shared" si="112"/>
        <v>0</v>
      </c>
      <c r="K989" s="47">
        <v>0</v>
      </c>
      <c r="L989" s="47">
        <v>0</v>
      </c>
      <c r="M989" s="893"/>
    </row>
    <row r="990" spans="1:13" hidden="1" outlineLevel="1" x14ac:dyDescent="0.2">
      <c r="A990" s="22" t="s">
        <v>1502</v>
      </c>
      <c r="B990" s="2" t="s">
        <v>252</v>
      </c>
      <c r="C990" s="2" t="s">
        <v>1509</v>
      </c>
      <c r="D990" s="716">
        <v>1</v>
      </c>
      <c r="E990" s="4" t="s">
        <v>2</v>
      </c>
      <c r="F990" s="47">
        <f t="shared" si="112"/>
        <v>0</v>
      </c>
      <c r="G990" s="47">
        <f t="shared" si="112"/>
        <v>0</v>
      </c>
      <c r="H990" s="47">
        <f t="shared" si="112"/>
        <v>0</v>
      </c>
      <c r="I990" s="47">
        <f t="shared" si="112"/>
        <v>0</v>
      </c>
      <c r="J990" s="47">
        <f t="shared" si="112"/>
        <v>0</v>
      </c>
      <c r="K990" s="47">
        <v>0</v>
      </c>
      <c r="L990" s="47">
        <v>0</v>
      </c>
      <c r="M990" s="893"/>
    </row>
    <row r="991" spans="1:13" hidden="1" outlineLevel="1" x14ac:dyDescent="0.2">
      <c r="A991" s="22" t="s">
        <v>1502</v>
      </c>
      <c r="B991" s="2" t="s">
        <v>252</v>
      </c>
      <c r="C991" s="2" t="s">
        <v>1509</v>
      </c>
      <c r="D991" s="716">
        <v>1</v>
      </c>
      <c r="E991" s="4" t="s">
        <v>19</v>
      </c>
      <c r="F991" s="47">
        <f t="shared" si="112"/>
        <v>0</v>
      </c>
      <c r="G991" s="47">
        <f t="shared" si="112"/>
        <v>0</v>
      </c>
      <c r="H991" s="47">
        <f t="shared" si="112"/>
        <v>0</v>
      </c>
      <c r="I991" s="47">
        <f t="shared" si="112"/>
        <v>0</v>
      </c>
      <c r="J991" s="47">
        <f t="shared" si="112"/>
        <v>0</v>
      </c>
      <c r="K991" s="47">
        <v>0</v>
      </c>
      <c r="L991" s="47">
        <v>0</v>
      </c>
      <c r="M991" s="893"/>
    </row>
    <row r="992" spans="1:13" hidden="1" outlineLevel="1" x14ac:dyDescent="0.2">
      <c r="A992" s="22" t="s">
        <v>1502</v>
      </c>
      <c r="B992" s="2" t="s">
        <v>252</v>
      </c>
      <c r="C992" s="2" t="s">
        <v>1509</v>
      </c>
      <c r="D992" s="716">
        <v>1</v>
      </c>
      <c r="E992" s="4" t="s">
        <v>3</v>
      </c>
      <c r="F992" s="47">
        <f t="shared" si="112"/>
        <v>0</v>
      </c>
      <c r="G992" s="47">
        <f t="shared" si="112"/>
        <v>0</v>
      </c>
      <c r="H992" s="47">
        <f t="shared" si="112"/>
        <v>0</v>
      </c>
      <c r="I992" s="47">
        <f t="shared" si="112"/>
        <v>0</v>
      </c>
      <c r="J992" s="47">
        <f t="shared" ref="J992:J1055" si="113">K992</f>
        <v>0</v>
      </c>
      <c r="K992" s="47">
        <v>0</v>
      </c>
      <c r="L992" s="47">
        <v>0</v>
      </c>
      <c r="M992" s="893"/>
    </row>
    <row r="993" spans="1:13" hidden="1" outlineLevel="1" x14ac:dyDescent="0.2">
      <c r="A993" s="22" t="s">
        <v>1502</v>
      </c>
      <c r="B993" s="2" t="s">
        <v>252</v>
      </c>
      <c r="C993" s="2" t="s">
        <v>1509</v>
      </c>
      <c r="D993" s="716">
        <v>1</v>
      </c>
      <c r="E993" s="4" t="s">
        <v>20</v>
      </c>
      <c r="F993" s="47">
        <f t="shared" si="112"/>
        <v>0</v>
      </c>
      <c r="G993" s="47">
        <f t="shared" ref="G993:I993" si="114">H993</f>
        <v>0</v>
      </c>
      <c r="H993" s="47">
        <f t="shared" si="114"/>
        <v>0</v>
      </c>
      <c r="I993" s="47">
        <f t="shared" si="114"/>
        <v>0</v>
      </c>
      <c r="J993" s="47">
        <f t="shared" si="113"/>
        <v>0</v>
      </c>
      <c r="K993" s="47">
        <v>0</v>
      </c>
      <c r="L993" s="47">
        <v>1</v>
      </c>
      <c r="M993" s="893"/>
    </row>
    <row r="994" spans="1:13" hidden="1" outlineLevel="1" x14ac:dyDescent="0.2">
      <c r="A994" s="22" t="s">
        <v>1502</v>
      </c>
      <c r="B994" s="2" t="s">
        <v>252</v>
      </c>
      <c r="C994" s="2" t="s">
        <v>1509</v>
      </c>
      <c r="D994" s="716">
        <v>1</v>
      </c>
      <c r="E994" s="4" t="s">
        <v>21</v>
      </c>
      <c r="F994" s="47">
        <f t="shared" si="112"/>
        <v>0</v>
      </c>
      <c r="G994" s="47">
        <f t="shared" ref="G994:I994" si="115">H994</f>
        <v>0</v>
      </c>
      <c r="H994" s="47">
        <f t="shared" si="115"/>
        <v>0</v>
      </c>
      <c r="I994" s="47">
        <f t="shared" si="115"/>
        <v>0</v>
      </c>
      <c r="J994" s="47">
        <f t="shared" si="113"/>
        <v>0</v>
      </c>
      <c r="K994" s="47">
        <v>0</v>
      </c>
      <c r="L994" s="47">
        <v>0</v>
      </c>
      <c r="M994" s="893"/>
    </row>
    <row r="995" spans="1:13" hidden="1" outlineLevel="1" x14ac:dyDescent="0.2">
      <c r="A995" s="22" t="s">
        <v>1502</v>
      </c>
      <c r="B995" s="2" t="s">
        <v>252</v>
      </c>
      <c r="C995" s="2" t="s">
        <v>1509</v>
      </c>
      <c r="D995" s="716">
        <v>1</v>
      </c>
      <c r="E995" s="4" t="s">
        <v>1096</v>
      </c>
      <c r="F995" s="47">
        <f t="shared" si="112"/>
        <v>0</v>
      </c>
      <c r="G995" s="47">
        <f t="shared" ref="G995:I995" si="116">H995</f>
        <v>0</v>
      </c>
      <c r="H995" s="47">
        <f t="shared" si="116"/>
        <v>0</v>
      </c>
      <c r="I995" s="47">
        <f t="shared" si="116"/>
        <v>0</v>
      </c>
      <c r="J995" s="47">
        <f t="shared" si="113"/>
        <v>0</v>
      </c>
      <c r="K995" s="47">
        <v>0</v>
      </c>
      <c r="L995" s="47">
        <v>0</v>
      </c>
      <c r="M995" s="893"/>
    </row>
    <row r="996" spans="1:13" hidden="1" outlineLevel="1" x14ac:dyDescent="0.2">
      <c r="A996" s="22" t="s">
        <v>1502</v>
      </c>
      <c r="B996" s="2" t="s">
        <v>252</v>
      </c>
      <c r="C996" s="2" t="s">
        <v>1509</v>
      </c>
      <c r="D996" s="716">
        <v>1</v>
      </c>
      <c r="E996" s="4" t="s">
        <v>22</v>
      </c>
      <c r="F996" s="47">
        <f t="shared" si="112"/>
        <v>0</v>
      </c>
      <c r="G996" s="47">
        <f t="shared" ref="G996:I996" si="117">H996</f>
        <v>0</v>
      </c>
      <c r="H996" s="47">
        <f t="shared" si="117"/>
        <v>0</v>
      </c>
      <c r="I996" s="47">
        <f t="shared" si="117"/>
        <v>0</v>
      </c>
      <c r="J996" s="47">
        <f t="shared" si="113"/>
        <v>0</v>
      </c>
      <c r="K996" s="47">
        <v>0</v>
      </c>
      <c r="L996" s="47">
        <v>0</v>
      </c>
      <c r="M996" s="893"/>
    </row>
    <row r="997" spans="1:13" hidden="1" outlineLevel="1" x14ac:dyDescent="0.2">
      <c r="A997" s="91" t="s">
        <v>1502</v>
      </c>
      <c r="B997" s="3" t="s">
        <v>252</v>
      </c>
      <c r="C997" s="3" t="s">
        <v>1509</v>
      </c>
      <c r="D997" s="717">
        <v>1</v>
      </c>
      <c r="E997" s="469" t="s">
        <v>23</v>
      </c>
      <c r="F997" s="48">
        <f t="shared" si="112"/>
        <v>0</v>
      </c>
      <c r="G997" s="48">
        <f t="shared" ref="G997:I997" si="118">H997</f>
        <v>0</v>
      </c>
      <c r="H997" s="48">
        <f t="shared" si="118"/>
        <v>0</v>
      </c>
      <c r="I997" s="48">
        <f t="shared" si="118"/>
        <v>0</v>
      </c>
      <c r="J997" s="48">
        <f t="shared" si="113"/>
        <v>0</v>
      </c>
      <c r="K997" s="363">
        <v>0</v>
      </c>
      <c r="L997" s="363">
        <v>0</v>
      </c>
      <c r="M997" s="920"/>
    </row>
    <row r="998" spans="1:13" hidden="1" outlineLevel="1" x14ac:dyDescent="0.2">
      <c r="A998" s="92" t="s">
        <v>1502</v>
      </c>
      <c r="B998" s="81" t="s">
        <v>252</v>
      </c>
      <c r="C998" s="81" t="s">
        <v>1510</v>
      </c>
      <c r="D998" s="715">
        <v>1</v>
      </c>
      <c r="E998" s="468" t="s">
        <v>4</v>
      </c>
      <c r="F998" s="380">
        <f t="shared" si="112"/>
        <v>0</v>
      </c>
      <c r="G998" s="89">
        <f t="shared" ref="G998:I998" si="119">H998</f>
        <v>0</v>
      </c>
      <c r="H998" s="89">
        <f t="shared" si="119"/>
        <v>0</v>
      </c>
      <c r="I998" s="89">
        <f t="shared" si="119"/>
        <v>0</v>
      </c>
      <c r="J998" s="89">
        <f t="shared" si="113"/>
        <v>0</v>
      </c>
      <c r="K998" s="380">
        <v>0</v>
      </c>
      <c r="L998" s="380">
        <v>0</v>
      </c>
      <c r="M998" s="892"/>
    </row>
    <row r="999" spans="1:13" hidden="1" outlineLevel="1" x14ac:dyDescent="0.2">
      <c r="A999" s="22" t="s">
        <v>1502</v>
      </c>
      <c r="B999" s="2" t="s">
        <v>252</v>
      </c>
      <c r="C999" s="2" t="s">
        <v>1510</v>
      </c>
      <c r="D999" s="716">
        <v>1</v>
      </c>
      <c r="E999" s="4" t="s">
        <v>5</v>
      </c>
      <c r="F999" s="47">
        <f t="shared" si="112"/>
        <v>0</v>
      </c>
      <c r="G999" s="47">
        <f t="shared" ref="G999:I999" si="120">H999</f>
        <v>0</v>
      </c>
      <c r="H999" s="47">
        <f t="shared" si="120"/>
        <v>0</v>
      </c>
      <c r="I999" s="47">
        <f t="shared" si="120"/>
        <v>0</v>
      </c>
      <c r="J999" s="47">
        <f t="shared" si="113"/>
        <v>0</v>
      </c>
      <c r="K999" s="47">
        <v>0</v>
      </c>
      <c r="L999" s="47">
        <v>0</v>
      </c>
      <c r="M999" s="893"/>
    </row>
    <row r="1000" spans="1:13" hidden="1" outlineLevel="1" x14ac:dyDescent="0.2">
      <c r="A1000" s="22" t="s">
        <v>1502</v>
      </c>
      <c r="B1000" s="2" t="s">
        <v>252</v>
      </c>
      <c r="C1000" s="2" t="s">
        <v>1510</v>
      </c>
      <c r="D1000" s="716">
        <v>1</v>
      </c>
      <c r="E1000" s="4" t="s">
        <v>6</v>
      </c>
      <c r="F1000" s="47">
        <f t="shared" si="112"/>
        <v>0</v>
      </c>
      <c r="G1000" s="47">
        <f t="shared" ref="G1000:I1000" si="121">H1000</f>
        <v>0</v>
      </c>
      <c r="H1000" s="47">
        <f t="shared" si="121"/>
        <v>0</v>
      </c>
      <c r="I1000" s="47">
        <f t="shared" si="121"/>
        <v>0</v>
      </c>
      <c r="J1000" s="47">
        <f t="shared" si="113"/>
        <v>0</v>
      </c>
      <c r="K1000" s="47">
        <v>0</v>
      </c>
      <c r="L1000" s="47">
        <v>0</v>
      </c>
      <c r="M1000" s="893"/>
    </row>
    <row r="1001" spans="1:13" hidden="1" outlineLevel="1" x14ac:dyDescent="0.2">
      <c r="A1001" s="22" t="s">
        <v>1502</v>
      </c>
      <c r="B1001" s="2" t="s">
        <v>252</v>
      </c>
      <c r="C1001" s="2" t="s">
        <v>1510</v>
      </c>
      <c r="D1001" s="716">
        <v>1</v>
      </c>
      <c r="E1001" s="4" t="s">
        <v>143</v>
      </c>
      <c r="F1001" s="47">
        <f t="shared" si="112"/>
        <v>0</v>
      </c>
      <c r="G1001" s="47">
        <f t="shared" ref="G1001:I1001" si="122">H1001</f>
        <v>0</v>
      </c>
      <c r="H1001" s="47">
        <f t="shared" si="122"/>
        <v>0</v>
      </c>
      <c r="I1001" s="47">
        <f t="shared" si="122"/>
        <v>0</v>
      </c>
      <c r="J1001" s="47">
        <f t="shared" si="113"/>
        <v>0</v>
      </c>
      <c r="K1001" s="47">
        <v>0</v>
      </c>
      <c r="L1001" s="47">
        <v>0</v>
      </c>
      <c r="M1001" s="893"/>
    </row>
    <row r="1002" spans="1:13" hidden="1" outlineLevel="1" x14ac:dyDescent="0.2">
      <c r="A1002" s="22" t="s">
        <v>1502</v>
      </c>
      <c r="B1002" s="2" t="s">
        <v>252</v>
      </c>
      <c r="C1002" s="2" t="s">
        <v>1510</v>
      </c>
      <c r="D1002" s="716">
        <v>1</v>
      </c>
      <c r="E1002" s="4" t="s">
        <v>7</v>
      </c>
      <c r="F1002" s="47">
        <f t="shared" si="112"/>
        <v>0</v>
      </c>
      <c r="G1002" s="47">
        <f t="shared" ref="G1002:I1002" si="123">H1002</f>
        <v>0</v>
      </c>
      <c r="H1002" s="47">
        <f t="shared" si="123"/>
        <v>0</v>
      </c>
      <c r="I1002" s="47">
        <f t="shared" si="123"/>
        <v>0</v>
      </c>
      <c r="J1002" s="47">
        <f t="shared" si="113"/>
        <v>0</v>
      </c>
      <c r="K1002" s="47">
        <v>0</v>
      </c>
      <c r="L1002" s="47">
        <v>0</v>
      </c>
      <c r="M1002" s="893"/>
    </row>
    <row r="1003" spans="1:13" hidden="1" outlineLevel="1" x14ac:dyDescent="0.2">
      <c r="A1003" s="22" t="s">
        <v>1502</v>
      </c>
      <c r="B1003" s="2" t="s">
        <v>252</v>
      </c>
      <c r="C1003" s="2" t="s">
        <v>1510</v>
      </c>
      <c r="D1003" s="716">
        <v>1</v>
      </c>
      <c r="E1003" s="4" t="s">
        <v>31</v>
      </c>
      <c r="F1003" s="47">
        <f t="shared" si="112"/>
        <v>1</v>
      </c>
      <c r="G1003" s="47">
        <f t="shared" ref="G1003:I1003" si="124">H1003</f>
        <v>1</v>
      </c>
      <c r="H1003" s="47">
        <f t="shared" si="124"/>
        <v>1</v>
      </c>
      <c r="I1003" s="47">
        <f t="shared" si="124"/>
        <v>1</v>
      </c>
      <c r="J1003" s="47">
        <f t="shared" si="113"/>
        <v>1</v>
      </c>
      <c r="K1003" s="47">
        <v>1</v>
      </c>
      <c r="L1003" s="47">
        <v>1</v>
      </c>
      <c r="M1003" s="893"/>
    </row>
    <row r="1004" spans="1:13" hidden="1" outlineLevel="1" x14ac:dyDescent="0.2">
      <c r="A1004" s="22" t="s">
        <v>1502</v>
      </c>
      <c r="B1004" s="2" t="s">
        <v>252</v>
      </c>
      <c r="C1004" s="2" t="s">
        <v>1510</v>
      </c>
      <c r="D1004" s="716">
        <v>1</v>
      </c>
      <c r="E1004" s="4" t="s">
        <v>8</v>
      </c>
      <c r="F1004" s="47">
        <f t="shared" si="112"/>
        <v>0</v>
      </c>
      <c r="G1004" s="47">
        <f t="shared" ref="G1004:I1004" si="125">H1004</f>
        <v>0</v>
      </c>
      <c r="H1004" s="47">
        <f t="shared" si="125"/>
        <v>0</v>
      </c>
      <c r="I1004" s="47">
        <f t="shared" si="125"/>
        <v>0</v>
      </c>
      <c r="J1004" s="47">
        <f t="shared" si="113"/>
        <v>0</v>
      </c>
      <c r="K1004" s="47">
        <v>0</v>
      </c>
      <c r="L1004" s="47">
        <v>1</v>
      </c>
      <c r="M1004" s="893"/>
    </row>
    <row r="1005" spans="1:13" hidden="1" outlineLevel="1" x14ac:dyDescent="0.2">
      <c r="A1005" s="22" t="s">
        <v>1502</v>
      </c>
      <c r="B1005" s="2" t="s">
        <v>252</v>
      </c>
      <c r="C1005" s="2" t="s">
        <v>1510</v>
      </c>
      <c r="D1005" s="716">
        <v>1</v>
      </c>
      <c r="E1005" s="4" t="s">
        <v>9</v>
      </c>
      <c r="F1005" s="47">
        <f t="shared" si="112"/>
        <v>0</v>
      </c>
      <c r="G1005" s="47">
        <f t="shared" ref="G1005:I1005" si="126">H1005</f>
        <v>0</v>
      </c>
      <c r="H1005" s="47">
        <f t="shared" si="126"/>
        <v>0</v>
      </c>
      <c r="I1005" s="47">
        <f t="shared" si="126"/>
        <v>0</v>
      </c>
      <c r="J1005" s="47">
        <f t="shared" si="113"/>
        <v>0</v>
      </c>
      <c r="K1005" s="47">
        <v>0</v>
      </c>
      <c r="L1005" s="47">
        <v>1</v>
      </c>
      <c r="M1005" s="893"/>
    </row>
    <row r="1006" spans="1:13" hidden="1" outlineLevel="1" x14ac:dyDescent="0.2">
      <c r="A1006" s="22" t="s">
        <v>1502</v>
      </c>
      <c r="B1006" s="2" t="s">
        <v>252</v>
      </c>
      <c r="C1006" s="2" t="s">
        <v>1510</v>
      </c>
      <c r="D1006" s="716">
        <v>1</v>
      </c>
      <c r="E1006" s="4" t="s">
        <v>10</v>
      </c>
      <c r="F1006" s="47">
        <f t="shared" si="112"/>
        <v>1</v>
      </c>
      <c r="G1006" s="47">
        <f t="shared" ref="G1006:I1006" si="127">H1006</f>
        <v>1</v>
      </c>
      <c r="H1006" s="47">
        <f t="shared" si="127"/>
        <v>1</v>
      </c>
      <c r="I1006" s="47">
        <f t="shared" si="127"/>
        <v>1</v>
      </c>
      <c r="J1006" s="47">
        <f t="shared" si="113"/>
        <v>1</v>
      </c>
      <c r="K1006" s="47">
        <v>1</v>
      </c>
      <c r="L1006" s="47">
        <v>1</v>
      </c>
      <c r="M1006" s="893"/>
    </row>
    <row r="1007" spans="1:13" hidden="1" outlineLevel="1" x14ac:dyDescent="0.2">
      <c r="A1007" s="22" t="s">
        <v>1502</v>
      </c>
      <c r="B1007" s="2" t="s">
        <v>252</v>
      </c>
      <c r="C1007" s="2" t="s">
        <v>1510</v>
      </c>
      <c r="D1007" s="716">
        <v>1</v>
      </c>
      <c r="E1007" s="4" t="s">
        <v>11</v>
      </c>
      <c r="F1007" s="47">
        <f t="shared" si="112"/>
        <v>0</v>
      </c>
      <c r="G1007" s="47">
        <f t="shared" ref="G1007:I1007" si="128">H1007</f>
        <v>0</v>
      </c>
      <c r="H1007" s="47">
        <f t="shared" si="128"/>
        <v>0</v>
      </c>
      <c r="I1007" s="47">
        <f t="shared" si="128"/>
        <v>0</v>
      </c>
      <c r="J1007" s="47">
        <f t="shared" si="113"/>
        <v>0</v>
      </c>
      <c r="K1007" s="47">
        <v>0</v>
      </c>
      <c r="L1007" s="47">
        <v>0</v>
      </c>
      <c r="M1007" s="893"/>
    </row>
    <row r="1008" spans="1:13" hidden="1" outlineLevel="1" x14ac:dyDescent="0.2">
      <c r="A1008" s="22" t="s">
        <v>1502</v>
      </c>
      <c r="B1008" s="2" t="s">
        <v>252</v>
      </c>
      <c r="C1008" s="2" t="s">
        <v>1510</v>
      </c>
      <c r="D1008" s="716">
        <v>1</v>
      </c>
      <c r="E1008" s="4" t="s">
        <v>12</v>
      </c>
      <c r="F1008" s="47">
        <f t="shared" si="112"/>
        <v>0</v>
      </c>
      <c r="G1008" s="47">
        <f t="shared" ref="G1008:I1008" si="129">H1008</f>
        <v>0</v>
      </c>
      <c r="H1008" s="47">
        <f t="shared" si="129"/>
        <v>0</v>
      </c>
      <c r="I1008" s="47">
        <f t="shared" si="129"/>
        <v>0</v>
      </c>
      <c r="J1008" s="47">
        <f t="shared" si="113"/>
        <v>0</v>
      </c>
      <c r="K1008" s="47">
        <v>0</v>
      </c>
      <c r="L1008" s="47">
        <v>0</v>
      </c>
      <c r="M1008" s="893"/>
    </row>
    <row r="1009" spans="1:13" hidden="1" outlineLevel="1" x14ac:dyDescent="0.2">
      <c r="A1009" s="22" t="s">
        <v>1502</v>
      </c>
      <c r="B1009" s="2" t="s">
        <v>252</v>
      </c>
      <c r="C1009" s="2" t="s">
        <v>1510</v>
      </c>
      <c r="D1009" s="716">
        <v>1</v>
      </c>
      <c r="E1009" s="4" t="s">
        <v>1</v>
      </c>
      <c r="F1009" s="47">
        <f t="shared" ref="F1009:J1072" si="130">G1009</f>
        <v>0</v>
      </c>
      <c r="G1009" s="47">
        <f t="shared" si="130"/>
        <v>0</v>
      </c>
      <c r="H1009" s="47">
        <f t="shared" si="130"/>
        <v>0</v>
      </c>
      <c r="I1009" s="47">
        <f t="shared" si="130"/>
        <v>0</v>
      </c>
      <c r="J1009" s="47">
        <f t="shared" si="113"/>
        <v>0</v>
      </c>
      <c r="K1009" s="47">
        <v>0</v>
      </c>
      <c r="L1009" s="47">
        <v>0</v>
      </c>
      <c r="M1009" s="893"/>
    </row>
    <row r="1010" spans="1:13" hidden="1" outlineLevel="1" x14ac:dyDescent="0.2">
      <c r="A1010" s="22" t="s">
        <v>1502</v>
      </c>
      <c r="B1010" s="2" t="s">
        <v>252</v>
      </c>
      <c r="C1010" s="2" t="s">
        <v>1510</v>
      </c>
      <c r="D1010" s="716">
        <v>1</v>
      </c>
      <c r="E1010" s="4" t="s">
        <v>13</v>
      </c>
      <c r="F1010" s="47">
        <f t="shared" si="130"/>
        <v>1</v>
      </c>
      <c r="G1010" s="47">
        <f t="shared" si="130"/>
        <v>1</v>
      </c>
      <c r="H1010" s="47">
        <f t="shared" si="130"/>
        <v>1</v>
      </c>
      <c r="I1010" s="47">
        <f t="shared" si="130"/>
        <v>1</v>
      </c>
      <c r="J1010" s="47">
        <f t="shared" si="113"/>
        <v>1</v>
      </c>
      <c r="K1010" s="47">
        <v>1</v>
      </c>
      <c r="L1010" s="47">
        <v>1</v>
      </c>
      <c r="M1010" s="893"/>
    </row>
    <row r="1011" spans="1:13" hidden="1" outlineLevel="1" x14ac:dyDescent="0.2">
      <c r="A1011" s="22" t="s">
        <v>1502</v>
      </c>
      <c r="B1011" s="2" t="s">
        <v>252</v>
      </c>
      <c r="C1011" s="2" t="s">
        <v>1510</v>
      </c>
      <c r="D1011" s="716">
        <v>1</v>
      </c>
      <c r="E1011" s="4" t="s">
        <v>14</v>
      </c>
      <c r="F1011" s="47">
        <f t="shared" si="130"/>
        <v>0</v>
      </c>
      <c r="G1011" s="47">
        <f t="shared" si="130"/>
        <v>0</v>
      </c>
      <c r="H1011" s="47">
        <f t="shared" si="130"/>
        <v>0</v>
      </c>
      <c r="I1011" s="47">
        <f t="shared" si="130"/>
        <v>0</v>
      </c>
      <c r="J1011" s="47">
        <f t="shared" si="113"/>
        <v>0</v>
      </c>
      <c r="K1011" s="47">
        <v>0</v>
      </c>
      <c r="L1011" s="47">
        <v>0</v>
      </c>
      <c r="M1011" s="893"/>
    </row>
    <row r="1012" spans="1:13" hidden="1" outlineLevel="1" x14ac:dyDescent="0.2">
      <c r="A1012" s="22" t="s">
        <v>1502</v>
      </c>
      <c r="B1012" s="2" t="s">
        <v>252</v>
      </c>
      <c r="C1012" s="2" t="s">
        <v>1510</v>
      </c>
      <c r="D1012" s="716">
        <v>1</v>
      </c>
      <c r="E1012" s="4" t="s">
        <v>15</v>
      </c>
      <c r="F1012" s="47">
        <f t="shared" si="130"/>
        <v>0</v>
      </c>
      <c r="G1012" s="47">
        <f t="shared" si="130"/>
        <v>0</v>
      </c>
      <c r="H1012" s="47">
        <f t="shared" si="130"/>
        <v>0</v>
      </c>
      <c r="I1012" s="47">
        <f t="shared" si="130"/>
        <v>0</v>
      </c>
      <c r="J1012" s="47">
        <f t="shared" si="113"/>
        <v>0</v>
      </c>
      <c r="K1012" s="47">
        <v>0</v>
      </c>
      <c r="L1012" s="47">
        <v>0</v>
      </c>
      <c r="M1012" s="893"/>
    </row>
    <row r="1013" spans="1:13" hidden="1" outlineLevel="1" x14ac:dyDescent="0.2">
      <c r="A1013" s="22" t="s">
        <v>1502</v>
      </c>
      <c r="B1013" s="2" t="s">
        <v>252</v>
      </c>
      <c r="C1013" s="2" t="s">
        <v>1510</v>
      </c>
      <c r="D1013" s="716">
        <v>1</v>
      </c>
      <c r="E1013" s="4" t="s">
        <v>16</v>
      </c>
      <c r="F1013" s="47">
        <f t="shared" si="130"/>
        <v>0</v>
      </c>
      <c r="G1013" s="47">
        <f t="shared" si="130"/>
        <v>0</v>
      </c>
      <c r="H1013" s="47">
        <f t="shared" si="130"/>
        <v>0</v>
      </c>
      <c r="I1013" s="47">
        <f t="shared" si="130"/>
        <v>0</v>
      </c>
      <c r="J1013" s="47">
        <f t="shared" si="113"/>
        <v>0</v>
      </c>
      <c r="K1013" s="47">
        <v>0</v>
      </c>
      <c r="L1013" s="47">
        <v>0</v>
      </c>
      <c r="M1013" s="893"/>
    </row>
    <row r="1014" spans="1:13" hidden="1" outlineLevel="1" x14ac:dyDescent="0.2">
      <c r="A1014" s="22" t="s">
        <v>1502</v>
      </c>
      <c r="B1014" s="2" t="s">
        <v>252</v>
      </c>
      <c r="C1014" s="2" t="s">
        <v>1510</v>
      </c>
      <c r="D1014" s="716">
        <v>1</v>
      </c>
      <c r="E1014" s="4" t="s">
        <v>17</v>
      </c>
      <c r="F1014" s="47">
        <f t="shared" si="130"/>
        <v>0</v>
      </c>
      <c r="G1014" s="47">
        <f t="shared" si="130"/>
        <v>0</v>
      </c>
      <c r="H1014" s="47">
        <f t="shared" si="130"/>
        <v>0</v>
      </c>
      <c r="I1014" s="47">
        <f t="shared" si="130"/>
        <v>0</v>
      </c>
      <c r="J1014" s="47">
        <f t="shared" si="113"/>
        <v>0</v>
      </c>
      <c r="K1014" s="47">
        <v>0</v>
      </c>
      <c r="L1014" s="47">
        <v>0</v>
      </c>
      <c r="M1014" s="893"/>
    </row>
    <row r="1015" spans="1:13" hidden="1" outlineLevel="1" x14ac:dyDescent="0.2">
      <c r="A1015" s="22" t="s">
        <v>1502</v>
      </c>
      <c r="B1015" s="2" t="s">
        <v>252</v>
      </c>
      <c r="C1015" s="2" t="s">
        <v>1510</v>
      </c>
      <c r="D1015" s="716">
        <v>1</v>
      </c>
      <c r="E1015" s="4" t="s">
        <v>18</v>
      </c>
      <c r="F1015" s="47">
        <f t="shared" si="130"/>
        <v>0</v>
      </c>
      <c r="G1015" s="47">
        <f t="shared" si="130"/>
        <v>0</v>
      </c>
      <c r="H1015" s="47">
        <f t="shared" si="130"/>
        <v>0</v>
      </c>
      <c r="I1015" s="47">
        <f t="shared" si="130"/>
        <v>0</v>
      </c>
      <c r="J1015" s="47">
        <f t="shared" si="113"/>
        <v>0</v>
      </c>
      <c r="K1015" s="47">
        <v>0</v>
      </c>
      <c r="L1015" s="47">
        <v>1</v>
      </c>
      <c r="M1015" s="893"/>
    </row>
    <row r="1016" spans="1:13" hidden="1" outlineLevel="1" x14ac:dyDescent="0.2">
      <c r="A1016" s="22" t="s">
        <v>1502</v>
      </c>
      <c r="B1016" s="2" t="s">
        <v>252</v>
      </c>
      <c r="C1016" s="2" t="s">
        <v>1510</v>
      </c>
      <c r="D1016" s="716">
        <v>1</v>
      </c>
      <c r="E1016" s="4" t="s">
        <v>2</v>
      </c>
      <c r="F1016" s="47">
        <f t="shared" si="130"/>
        <v>0</v>
      </c>
      <c r="G1016" s="47">
        <f t="shared" si="130"/>
        <v>0</v>
      </c>
      <c r="H1016" s="47">
        <f t="shared" si="130"/>
        <v>0</v>
      </c>
      <c r="I1016" s="47">
        <f t="shared" si="130"/>
        <v>0</v>
      </c>
      <c r="J1016" s="47">
        <f t="shared" si="113"/>
        <v>0</v>
      </c>
      <c r="K1016" s="47">
        <v>0</v>
      </c>
      <c r="L1016" s="47">
        <v>0</v>
      </c>
      <c r="M1016" s="893"/>
    </row>
    <row r="1017" spans="1:13" hidden="1" outlineLevel="1" x14ac:dyDescent="0.2">
      <c r="A1017" s="22" t="s">
        <v>1502</v>
      </c>
      <c r="B1017" s="2" t="s">
        <v>252</v>
      </c>
      <c r="C1017" s="2" t="s">
        <v>1510</v>
      </c>
      <c r="D1017" s="716">
        <v>1</v>
      </c>
      <c r="E1017" s="4" t="s">
        <v>19</v>
      </c>
      <c r="F1017" s="47">
        <f t="shared" si="130"/>
        <v>0</v>
      </c>
      <c r="G1017" s="47">
        <f t="shared" si="130"/>
        <v>0</v>
      </c>
      <c r="H1017" s="47">
        <f t="shared" si="130"/>
        <v>0</v>
      </c>
      <c r="I1017" s="47">
        <f t="shared" si="130"/>
        <v>0</v>
      </c>
      <c r="J1017" s="47">
        <f t="shared" si="113"/>
        <v>0</v>
      </c>
      <c r="K1017" s="47">
        <v>0</v>
      </c>
      <c r="L1017" s="47">
        <v>0</v>
      </c>
      <c r="M1017" s="893"/>
    </row>
    <row r="1018" spans="1:13" hidden="1" outlineLevel="1" x14ac:dyDescent="0.2">
      <c r="A1018" s="22" t="s">
        <v>1502</v>
      </c>
      <c r="B1018" s="2" t="s">
        <v>252</v>
      </c>
      <c r="C1018" s="2" t="s">
        <v>1510</v>
      </c>
      <c r="D1018" s="716">
        <v>1</v>
      </c>
      <c r="E1018" s="4" t="s">
        <v>3</v>
      </c>
      <c r="F1018" s="47">
        <f t="shared" si="130"/>
        <v>0</v>
      </c>
      <c r="G1018" s="47">
        <f t="shared" si="130"/>
        <v>0</v>
      </c>
      <c r="H1018" s="47">
        <f t="shared" si="130"/>
        <v>0</v>
      </c>
      <c r="I1018" s="47">
        <f t="shared" si="130"/>
        <v>0</v>
      </c>
      <c r="J1018" s="47">
        <f t="shared" si="113"/>
        <v>0</v>
      </c>
      <c r="K1018" s="47">
        <v>0</v>
      </c>
      <c r="L1018" s="47">
        <v>0</v>
      </c>
      <c r="M1018" s="893"/>
    </row>
    <row r="1019" spans="1:13" hidden="1" outlineLevel="1" x14ac:dyDescent="0.2">
      <c r="A1019" s="22" t="s">
        <v>1502</v>
      </c>
      <c r="B1019" s="2" t="s">
        <v>252</v>
      </c>
      <c r="C1019" s="2" t="s">
        <v>1510</v>
      </c>
      <c r="D1019" s="716">
        <v>1</v>
      </c>
      <c r="E1019" s="4" t="s">
        <v>20</v>
      </c>
      <c r="F1019" s="47">
        <f t="shared" si="130"/>
        <v>0</v>
      </c>
      <c r="G1019" s="47">
        <f t="shared" si="130"/>
        <v>0</v>
      </c>
      <c r="H1019" s="47">
        <f t="shared" si="130"/>
        <v>0</v>
      </c>
      <c r="I1019" s="47">
        <f t="shared" si="130"/>
        <v>0</v>
      </c>
      <c r="J1019" s="47">
        <f t="shared" si="113"/>
        <v>0</v>
      </c>
      <c r="K1019" s="47">
        <v>0</v>
      </c>
      <c r="L1019" s="47">
        <v>1</v>
      </c>
      <c r="M1019" s="893"/>
    </row>
    <row r="1020" spans="1:13" hidden="1" outlineLevel="1" x14ac:dyDescent="0.2">
      <c r="A1020" s="22" t="s">
        <v>1502</v>
      </c>
      <c r="B1020" s="2" t="s">
        <v>252</v>
      </c>
      <c r="C1020" s="2" t="s">
        <v>1510</v>
      </c>
      <c r="D1020" s="716">
        <v>1</v>
      </c>
      <c r="E1020" s="4" t="s">
        <v>21</v>
      </c>
      <c r="F1020" s="47">
        <f t="shared" si="130"/>
        <v>0</v>
      </c>
      <c r="G1020" s="47">
        <f t="shared" si="130"/>
        <v>0</v>
      </c>
      <c r="H1020" s="47">
        <f t="shared" si="130"/>
        <v>0</v>
      </c>
      <c r="I1020" s="47">
        <f t="shared" si="130"/>
        <v>0</v>
      </c>
      <c r="J1020" s="47">
        <f t="shared" si="113"/>
        <v>0</v>
      </c>
      <c r="K1020" s="47">
        <v>0</v>
      </c>
      <c r="L1020" s="47">
        <v>0</v>
      </c>
      <c r="M1020" s="893"/>
    </row>
    <row r="1021" spans="1:13" hidden="1" outlineLevel="1" x14ac:dyDescent="0.2">
      <c r="A1021" s="22" t="s">
        <v>1502</v>
      </c>
      <c r="B1021" s="2" t="s">
        <v>252</v>
      </c>
      <c r="C1021" s="2" t="s">
        <v>1510</v>
      </c>
      <c r="D1021" s="716">
        <v>1</v>
      </c>
      <c r="E1021" s="4" t="s">
        <v>1096</v>
      </c>
      <c r="F1021" s="47">
        <f t="shared" si="130"/>
        <v>0</v>
      </c>
      <c r="G1021" s="47">
        <f t="shared" si="130"/>
        <v>0</v>
      </c>
      <c r="H1021" s="47">
        <f t="shared" si="130"/>
        <v>0</v>
      </c>
      <c r="I1021" s="47">
        <f t="shared" si="130"/>
        <v>0</v>
      </c>
      <c r="J1021" s="47">
        <f t="shared" si="113"/>
        <v>0</v>
      </c>
      <c r="K1021" s="47">
        <v>0</v>
      </c>
      <c r="L1021" s="47">
        <v>0</v>
      </c>
      <c r="M1021" s="893"/>
    </row>
    <row r="1022" spans="1:13" hidden="1" outlineLevel="1" x14ac:dyDescent="0.2">
      <c r="A1022" s="22" t="s">
        <v>1502</v>
      </c>
      <c r="B1022" s="2" t="s">
        <v>252</v>
      </c>
      <c r="C1022" s="2" t="s">
        <v>1510</v>
      </c>
      <c r="D1022" s="716">
        <v>1</v>
      </c>
      <c r="E1022" s="4" t="s">
        <v>22</v>
      </c>
      <c r="F1022" s="47">
        <f t="shared" si="130"/>
        <v>0</v>
      </c>
      <c r="G1022" s="47">
        <f t="shared" si="130"/>
        <v>0</v>
      </c>
      <c r="H1022" s="47">
        <f t="shared" si="130"/>
        <v>0</v>
      </c>
      <c r="I1022" s="47">
        <f t="shared" si="130"/>
        <v>0</v>
      </c>
      <c r="J1022" s="47">
        <f t="shared" si="113"/>
        <v>0</v>
      </c>
      <c r="K1022" s="47">
        <v>0</v>
      </c>
      <c r="L1022" s="47">
        <v>0</v>
      </c>
      <c r="M1022" s="893"/>
    </row>
    <row r="1023" spans="1:13" hidden="1" outlineLevel="1" x14ac:dyDescent="0.2">
      <c r="A1023" s="91" t="s">
        <v>1502</v>
      </c>
      <c r="B1023" s="3" t="s">
        <v>252</v>
      </c>
      <c r="C1023" s="3" t="s">
        <v>1510</v>
      </c>
      <c r="D1023" s="717">
        <v>1</v>
      </c>
      <c r="E1023" s="469" t="s">
        <v>23</v>
      </c>
      <c r="F1023" s="48">
        <f t="shared" si="130"/>
        <v>0</v>
      </c>
      <c r="G1023" s="48">
        <f t="shared" si="130"/>
        <v>0</v>
      </c>
      <c r="H1023" s="48">
        <f t="shared" si="130"/>
        <v>0</v>
      </c>
      <c r="I1023" s="48">
        <f t="shared" si="130"/>
        <v>0</v>
      </c>
      <c r="J1023" s="48">
        <f t="shared" si="113"/>
        <v>0</v>
      </c>
      <c r="K1023" s="363">
        <v>0</v>
      </c>
      <c r="L1023" s="363">
        <v>0</v>
      </c>
      <c r="M1023" s="920"/>
    </row>
    <row r="1024" spans="1:13" hidden="1" outlineLevel="1" x14ac:dyDescent="0.2">
      <c r="A1024" s="92" t="s">
        <v>1502</v>
      </c>
      <c r="B1024" s="81" t="s">
        <v>252</v>
      </c>
      <c r="C1024" s="81" t="s">
        <v>1511</v>
      </c>
      <c r="D1024" s="715">
        <v>1</v>
      </c>
      <c r="E1024" s="468" t="s">
        <v>4</v>
      </c>
      <c r="F1024" s="380">
        <f t="shared" si="130"/>
        <v>0</v>
      </c>
      <c r="G1024" s="89">
        <f t="shared" si="130"/>
        <v>0</v>
      </c>
      <c r="H1024" s="89">
        <f t="shared" si="130"/>
        <v>0</v>
      </c>
      <c r="I1024" s="89">
        <f t="shared" si="130"/>
        <v>0</v>
      </c>
      <c r="J1024" s="89">
        <f t="shared" si="113"/>
        <v>0</v>
      </c>
      <c r="K1024" s="380">
        <v>0</v>
      </c>
      <c r="L1024" s="380">
        <v>0</v>
      </c>
      <c r="M1024" s="892"/>
    </row>
    <row r="1025" spans="1:13" hidden="1" outlineLevel="1" x14ac:dyDescent="0.2">
      <c r="A1025" s="22" t="s">
        <v>1502</v>
      </c>
      <c r="B1025" s="2" t="s">
        <v>252</v>
      </c>
      <c r="C1025" s="2" t="s">
        <v>1511</v>
      </c>
      <c r="D1025" s="716">
        <v>1</v>
      </c>
      <c r="E1025" s="4" t="s">
        <v>5</v>
      </c>
      <c r="F1025" s="47">
        <f t="shared" si="130"/>
        <v>0</v>
      </c>
      <c r="G1025" s="47">
        <f t="shared" si="130"/>
        <v>0</v>
      </c>
      <c r="H1025" s="47">
        <f t="shared" si="130"/>
        <v>0</v>
      </c>
      <c r="I1025" s="47">
        <f t="shared" si="130"/>
        <v>0</v>
      </c>
      <c r="J1025" s="47">
        <f t="shared" si="113"/>
        <v>0</v>
      </c>
      <c r="K1025" s="47">
        <v>0</v>
      </c>
      <c r="L1025" s="47">
        <v>0</v>
      </c>
      <c r="M1025" s="893"/>
    </row>
    <row r="1026" spans="1:13" hidden="1" outlineLevel="1" x14ac:dyDescent="0.2">
      <c r="A1026" s="22" t="s">
        <v>1502</v>
      </c>
      <c r="B1026" s="2" t="s">
        <v>252</v>
      </c>
      <c r="C1026" s="2" t="s">
        <v>1511</v>
      </c>
      <c r="D1026" s="716">
        <v>1</v>
      </c>
      <c r="E1026" s="4" t="s">
        <v>6</v>
      </c>
      <c r="F1026" s="47">
        <f t="shared" si="130"/>
        <v>0</v>
      </c>
      <c r="G1026" s="47">
        <f t="shared" si="130"/>
        <v>0</v>
      </c>
      <c r="H1026" s="47">
        <f t="shared" si="130"/>
        <v>0</v>
      </c>
      <c r="I1026" s="47">
        <f t="shared" si="130"/>
        <v>0</v>
      </c>
      <c r="J1026" s="47">
        <f t="shared" si="113"/>
        <v>0</v>
      </c>
      <c r="K1026" s="47">
        <v>0</v>
      </c>
      <c r="L1026" s="47">
        <v>0</v>
      </c>
      <c r="M1026" s="893"/>
    </row>
    <row r="1027" spans="1:13" hidden="1" outlineLevel="1" x14ac:dyDescent="0.2">
      <c r="A1027" s="22" t="s">
        <v>1502</v>
      </c>
      <c r="B1027" s="2" t="s">
        <v>252</v>
      </c>
      <c r="C1027" s="2" t="s">
        <v>1511</v>
      </c>
      <c r="D1027" s="716">
        <v>1</v>
      </c>
      <c r="E1027" s="4" t="s">
        <v>143</v>
      </c>
      <c r="F1027" s="47">
        <f t="shared" si="130"/>
        <v>0</v>
      </c>
      <c r="G1027" s="47">
        <f t="shared" si="130"/>
        <v>0</v>
      </c>
      <c r="H1027" s="47">
        <f t="shared" si="130"/>
        <v>0</v>
      </c>
      <c r="I1027" s="47">
        <f t="shared" si="130"/>
        <v>0</v>
      </c>
      <c r="J1027" s="47">
        <f t="shared" si="113"/>
        <v>0</v>
      </c>
      <c r="K1027" s="47">
        <v>0</v>
      </c>
      <c r="L1027" s="47">
        <v>0</v>
      </c>
      <c r="M1027" s="893"/>
    </row>
    <row r="1028" spans="1:13" hidden="1" outlineLevel="1" x14ac:dyDescent="0.2">
      <c r="A1028" s="22" t="s">
        <v>1502</v>
      </c>
      <c r="B1028" s="2" t="s">
        <v>252</v>
      </c>
      <c r="C1028" s="2" t="s">
        <v>1511</v>
      </c>
      <c r="D1028" s="716">
        <v>1</v>
      </c>
      <c r="E1028" s="4" t="s">
        <v>7</v>
      </c>
      <c r="F1028" s="47">
        <f t="shared" si="130"/>
        <v>0</v>
      </c>
      <c r="G1028" s="47">
        <f t="shared" si="130"/>
        <v>0</v>
      </c>
      <c r="H1028" s="47">
        <f t="shared" si="130"/>
        <v>0</v>
      </c>
      <c r="I1028" s="47">
        <f t="shared" si="130"/>
        <v>0</v>
      </c>
      <c r="J1028" s="47">
        <f t="shared" si="113"/>
        <v>0</v>
      </c>
      <c r="K1028" s="47">
        <v>0</v>
      </c>
      <c r="L1028" s="47">
        <v>0</v>
      </c>
      <c r="M1028" s="893"/>
    </row>
    <row r="1029" spans="1:13" hidden="1" outlineLevel="1" x14ac:dyDescent="0.2">
      <c r="A1029" s="22" t="s">
        <v>1502</v>
      </c>
      <c r="B1029" s="2" t="s">
        <v>252</v>
      </c>
      <c r="C1029" s="2" t="s">
        <v>1511</v>
      </c>
      <c r="D1029" s="716">
        <v>1</v>
      </c>
      <c r="E1029" s="4" t="s">
        <v>31</v>
      </c>
      <c r="F1029" s="47">
        <f t="shared" si="130"/>
        <v>1</v>
      </c>
      <c r="G1029" s="47">
        <f t="shared" si="130"/>
        <v>1</v>
      </c>
      <c r="H1029" s="47">
        <f t="shared" si="130"/>
        <v>1</v>
      </c>
      <c r="I1029" s="47">
        <f t="shared" si="130"/>
        <v>1</v>
      </c>
      <c r="J1029" s="47">
        <f t="shared" si="113"/>
        <v>1</v>
      </c>
      <c r="K1029" s="47">
        <v>1</v>
      </c>
      <c r="L1029" s="47">
        <v>1</v>
      </c>
      <c r="M1029" s="893"/>
    </row>
    <row r="1030" spans="1:13" hidden="1" outlineLevel="1" x14ac:dyDescent="0.2">
      <c r="A1030" s="22" t="s">
        <v>1502</v>
      </c>
      <c r="B1030" s="2" t="s">
        <v>252</v>
      </c>
      <c r="C1030" s="2" t="s">
        <v>1511</v>
      </c>
      <c r="D1030" s="716">
        <v>1</v>
      </c>
      <c r="E1030" s="4" t="s">
        <v>8</v>
      </c>
      <c r="F1030" s="47">
        <f t="shared" si="130"/>
        <v>0</v>
      </c>
      <c r="G1030" s="47">
        <f t="shared" si="130"/>
        <v>0</v>
      </c>
      <c r="H1030" s="47">
        <f t="shared" si="130"/>
        <v>0</v>
      </c>
      <c r="I1030" s="47">
        <f t="shared" si="130"/>
        <v>0</v>
      </c>
      <c r="J1030" s="47">
        <f t="shared" si="113"/>
        <v>0</v>
      </c>
      <c r="K1030" s="47">
        <v>0</v>
      </c>
      <c r="L1030" s="47">
        <v>0</v>
      </c>
      <c r="M1030" s="893"/>
    </row>
    <row r="1031" spans="1:13" hidden="1" outlineLevel="1" x14ac:dyDescent="0.2">
      <c r="A1031" s="22" t="s">
        <v>1502</v>
      </c>
      <c r="B1031" s="2" t="s">
        <v>252</v>
      </c>
      <c r="C1031" s="2" t="s">
        <v>1511</v>
      </c>
      <c r="D1031" s="716">
        <v>1</v>
      </c>
      <c r="E1031" s="4" t="s">
        <v>9</v>
      </c>
      <c r="F1031" s="47">
        <f t="shared" si="130"/>
        <v>0</v>
      </c>
      <c r="G1031" s="47">
        <f t="shared" si="130"/>
        <v>0</v>
      </c>
      <c r="H1031" s="47">
        <f t="shared" si="130"/>
        <v>0</v>
      </c>
      <c r="I1031" s="47">
        <f t="shared" si="130"/>
        <v>0</v>
      </c>
      <c r="J1031" s="47">
        <f t="shared" si="113"/>
        <v>0</v>
      </c>
      <c r="K1031" s="47">
        <v>0</v>
      </c>
      <c r="L1031" s="47">
        <v>0</v>
      </c>
      <c r="M1031" s="893"/>
    </row>
    <row r="1032" spans="1:13" hidden="1" outlineLevel="1" x14ac:dyDescent="0.2">
      <c r="A1032" s="22" t="s">
        <v>1502</v>
      </c>
      <c r="B1032" s="2" t="s">
        <v>252</v>
      </c>
      <c r="C1032" s="2" t="s">
        <v>1511</v>
      </c>
      <c r="D1032" s="716">
        <v>1</v>
      </c>
      <c r="E1032" s="4" t="s">
        <v>10</v>
      </c>
      <c r="F1032" s="47">
        <f t="shared" si="130"/>
        <v>0</v>
      </c>
      <c r="G1032" s="47">
        <f t="shared" si="130"/>
        <v>0</v>
      </c>
      <c r="H1032" s="47">
        <f t="shared" si="130"/>
        <v>0</v>
      </c>
      <c r="I1032" s="47">
        <f t="shared" si="130"/>
        <v>0</v>
      </c>
      <c r="J1032" s="47">
        <f t="shared" si="113"/>
        <v>0</v>
      </c>
      <c r="K1032" s="47">
        <v>0</v>
      </c>
      <c r="L1032" s="47">
        <v>0</v>
      </c>
      <c r="M1032" s="893"/>
    </row>
    <row r="1033" spans="1:13" hidden="1" outlineLevel="1" x14ac:dyDescent="0.2">
      <c r="A1033" s="22" t="s">
        <v>1502</v>
      </c>
      <c r="B1033" s="2" t="s">
        <v>252</v>
      </c>
      <c r="C1033" s="2" t="s">
        <v>1511</v>
      </c>
      <c r="D1033" s="716">
        <v>1</v>
      </c>
      <c r="E1033" s="4" t="s">
        <v>11</v>
      </c>
      <c r="F1033" s="47">
        <f t="shared" si="130"/>
        <v>0</v>
      </c>
      <c r="G1033" s="47">
        <f t="shared" si="130"/>
        <v>0</v>
      </c>
      <c r="H1033" s="47">
        <f t="shared" si="130"/>
        <v>0</v>
      </c>
      <c r="I1033" s="47">
        <f t="shared" si="130"/>
        <v>0</v>
      </c>
      <c r="J1033" s="47">
        <f t="shared" si="113"/>
        <v>0</v>
      </c>
      <c r="K1033" s="47">
        <v>0</v>
      </c>
      <c r="L1033" s="47">
        <v>0</v>
      </c>
      <c r="M1033" s="893"/>
    </row>
    <row r="1034" spans="1:13" hidden="1" outlineLevel="1" x14ac:dyDescent="0.2">
      <c r="A1034" s="22" t="s">
        <v>1502</v>
      </c>
      <c r="B1034" s="2" t="s">
        <v>252</v>
      </c>
      <c r="C1034" s="2" t="s">
        <v>1511</v>
      </c>
      <c r="D1034" s="716">
        <v>1</v>
      </c>
      <c r="E1034" s="4" t="s">
        <v>12</v>
      </c>
      <c r="F1034" s="47">
        <f t="shared" si="130"/>
        <v>0</v>
      </c>
      <c r="G1034" s="47">
        <f t="shared" si="130"/>
        <v>0</v>
      </c>
      <c r="H1034" s="47">
        <f t="shared" si="130"/>
        <v>0</v>
      </c>
      <c r="I1034" s="47">
        <f t="shared" si="130"/>
        <v>0</v>
      </c>
      <c r="J1034" s="47">
        <f t="shared" si="113"/>
        <v>0</v>
      </c>
      <c r="K1034" s="47">
        <v>0</v>
      </c>
      <c r="L1034" s="47">
        <v>0</v>
      </c>
      <c r="M1034" s="893"/>
    </row>
    <row r="1035" spans="1:13" hidden="1" outlineLevel="1" x14ac:dyDescent="0.2">
      <c r="A1035" s="22" t="s">
        <v>1502</v>
      </c>
      <c r="B1035" s="2" t="s">
        <v>252</v>
      </c>
      <c r="C1035" s="2" t="s">
        <v>1511</v>
      </c>
      <c r="D1035" s="716">
        <v>1</v>
      </c>
      <c r="E1035" s="4" t="s">
        <v>1</v>
      </c>
      <c r="F1035" s="47">
        <f t="shared" si="130"/>
        <v>0</v>
      </c>
      <c r="G1035" s="47">
        <f t="shared" si="130"/>
        <v>0</v>
      </c>
      <c r="H1035" s="47">
        <f t="shared" si="130"/>
        <v>0</v>
      </c>
      <c r="I1035" s="47">
        <f t="shared" si="130"/>
        <v>0</v>
      </c>
      <c r="J1035" s="47">
        <f t="shared" si="113"/>
        <v>0</v>
      </c>
      <c r="K1035" s="47">
        <v>0</v>
      </c>
      <c r="L1035" s="47">
        <v>0</v>
      </c>
      <c r="M1035" s="893"/>
    </row>
    <row r="1036" spans="1:13" hidden="1" outlineLevel="1" x14ac:dyDescent="0.2">
      <c r="A1036" s="22" t="s">
        <v>1502</v>
      </c>
      <c r="B1036" s="2" t="s">
        <v>252</v>
      </c>
      <c r="C1036" s="2" t="s">
        <v>1511</v>
      </c>
      <c r="D1036" s="716">
        <v>1</v>
      </c>
      <c r="E1036" s="4" t="s">
        <v>13</v>
      </c>
      <c r="F1036" s="47">
        <f t="shared" si="130"/>
        <v>0</v>
      </c>
      <c r="G1036" s="47">
        <f t="shared" si="130"/>
        <v>0</v>
      </c>
      <c r="H1036" s="47">
        <f t="shared" si="130"/>
        <v>0</v>
      </c>
      <c r="I1036" s="47">
        <f t="shared" si="130"/>
        <v>0</v>
      </c>
      <c r="J1036" s="47">
        <f t="shared" si="113"/>
        <v>0</v>
      </c>
      <c r="K1036" s="47">
        <v>0</v>
      </c>
      <c r="L1036" s="47">
        <v>0</v>
      </c>
      <c r="M1036" s="893"/>
    </row>
    <row r="1037" spans="1:13" hidden="1" outlineLevel="1" x14ac:dyDescent="0.2">
      <c r="A1037" s="22" t="s">
        <v>1502</v>
      </c>
      <c r="B1037" s="2" t="s">
        <v>252</v>
      </c>
      <c r="C1037" s="2" t="s">
        <v>1511</v>
      </c>
      <c r="D1037" s="716">
        <v>1</v>
      </c>
      <c r="E1037" s="4" t="s">
        <v>14</v>
      </c>
      <c r="F1037" s="47">
        <f t="shared" si="130"/>
        <v>0</v>
      </c>
      <c r="G1037" s="47">
        <f t="shared" si="130"/>
        <v>0</v>
      </c>
      <c r="H1037" s="47">
        <f t="shared" si="130"/>
        <v>0</v>
      </c>
      <c r="I1037" s="47">
        <f t="shared" si="130"/>
        <v>0</v>
      </c>
      <c r="J1037" s="47">
        <f t="shared" si="113"/>
        <v>0</v>
      </c>
      <c r="K1037" s="47">
        <v>0</v>
      </c>
      <c r="L1037" s="47">
        <v>0</v>
      </c>
      <c r="M1037" s="893"/>
    </row>
    <row r="1038" spans="1:13" hidden="1" outlineLevel="1" x14ac:dyDescent="0.2">
      <c r="A1038" s="22" t="s">
        <v>1502</v>
      </c>
      <c r="B1038" s="2" t="s">
        <v>252</v>
      </c>
      <c r="C1038" s="2" t="s">
        <v>1511</v>
      </c>
      <c r="D1038" s="716">
        <v>1</v>
      </c>
      <c r="E1038" s="4" t="s">
        <v>15</v>
      </c>
      <c r="F1038" s="47">
        <f t="shared" si="130"/>
        <v>0</v>
      </c>
      <c r="G1038" s="47">
        <f t="shared" si="130"/>
        <v>0</v>
      </c>
      <c r="H1038" s="47">
        <f t="shared" si="130"/>
        <v>0</v>
      </c>
      <c r="I1038" s="47">
        <f t="shared" si="130"/>
        <v>0</v>
      </c>
      <c r="J1038" s="47">
        <f t="shared" si="113"/>
        <v>0</v>
      </c>
      <c r="K1038" s="47">
        <v>0</v>
      </c>
      <c r="L1038" s="47">
        <v>0</v>
      </c>
      <c r="M1038" s="893"/>
    </row>
    <row r="1039" spans="1:13" hidden="1" outlineLevel="1" x14ac:dyDescent="0.2">
      <c r="A1039" s="22" t="s">
        <v>1502</v>
      </c>
      <c r="B1039" s="2" t="s">
        <v>252</v>
      </c>
      <c r="C1039" s="2" t="s">
        <v>1511</v>
      </c>
      <c r="D1039" s="716">
        <v>1</v>
      </c>
      <c r="E1039" s="4" t="s">
        <v>16</v>
      </c>
      <c r="F1039" s="47">
        <f t="shared" si="130"/>
        <v>0</v>
      </c>
      <c r="G1039" s="47">
        <f t="shared" si="130"/>
        <v>0</v>
      </c>
      <c r="H1039" s="47">
        <f t="shared" si="130"/>
        <v>0</v>
      </c>
      <c r="I1039" s="47">
        <f t="shared" si="130"/>
        <v>0</v>
      </c>
      <c r="J1039" s="47">
        <f t="shared" si="113"/>
        <v>0</v>
      </c>
      <c r="K1039" s="47">
        <v>0</v>
      </c>
      <c r="L1039" s="47">
        <v>0</v>
      </c>
      <c r="M1039" s="893"/>
    </row>
    <row r="1040" spans="1:13" hidden="1" outlineLevel="1" x14ac:dyDescent="0.2">
      <c r="A1040" s="22" t="s">
        <v>1502</v>
      </c>
      <c r="B1040" s="2" t="s">
        <v>252</v>
      </c>
      <c r="C1040" s="2" t="s">
        <v>1511</v>
      </c>
      <c r="D1040" s="716">
        <v>1</v>
      </c>
      <c r="E1040" s="4" t="s">
        <v>17</v>
      </c>
      <c r="F1040" s="47">
        <f t="shared" si="130"/>
        <v>0</v>
      </c>
      <c r="G1040" s="47">
        <f t="shared" si="130"/>
        <v>0</v>
      </c>
      <c r="H1040" s="47">
        <f t="shared" si="130"/>
        <v>0</v>
      </c>
      <c r="I1040" s="47">
        <f t="shared" si="130"/>
        <v>0</v>
      </c>
      <c r="J1040" s="47">
        <f t="shared" si="113"/>
        <v>0</v>
      </c>
      <c r="K1040" s="47">
        <v>0</v>
      </c>
      <c r="L1040" s="47">
        <v>0</v>
      </c>
      <c r="M1040" s="893"/>
    </row>
    <row r="1041" spans="1:13" hidden="1" outlineLevel="1" x14ac:dyDescent="0.2">
      <c r="A1041" s="22" t="s">
        <v>1502</v>
      </c>
      <c r="B1041" s="2" t="s">
        <v>252</v>
      </c>
      <c r="C1041" s="2" t="s">
        <v>1511</v>
      </c>
      <c r="D1041" s="716">
        <v>1</v>
      </c>
      <c r="E1041" s="4" t="s">
        <v>18</v>
      </c>
      <c r="F1041" s="47">
        <f t="shared" si="130"/>
        <v>0</v>
      </c>
      <c r="G1041" s="47">
        <f t="shared" si="130"/>
        <v>0</v>
      </c>
      <c r="H1041" s="47">
        <f t="shared" si="130"/>
        <v>0</v>
      </c>
      <c r="I1041" s="47">
        <f t="shared" si="130"/>
        <v>0</v>
      </c>
      <c r="J1041" s="47">
        <f t="shared" si="113"/>
        <v>0</v>
      </c>
      <c r="K1041" s="47">
        <v>0</v>
      </c>
      <c r="L1041" s="47">
        <v>0</v>
      </c>
      <c r="M1041" s="893"/>
    </row>
    <row r="1042" spans="1:13" hidden="1" outlineLevel="1" x14ac:dyDescent="0.2">
      <c r="A1042" s="22" t="s">
        <v>1502</v>
      </c>
      <c r="B1042" s="2" t="s">
        <v>252</v>
      </c>
      <c r="C1042" s="2" t="s">
        <v>1511</v>
      </c>
      <c r="D1042" s="716">
        <v>1</v>
      </c>
      <c r="E1042" s="4" t="s">
        <v>2</v>
      </c>
      <c r="F1042" s="47">
        <f t="shared" si="130"/>
        <v>0</v>
      </c>
      <c r="G1042" s="47">
        <f t="shared" si="130"/>
        <v>0</v>
      </c>
      <c r="H1042" s="47">
        <f t="shared" si="130"/>
        <v>0</v>
      </c>
      <c r="I1042" s="47">
        <f t="shared" si="130"/>
        <v>0</v>
      </c>
      <c r="J1042" s="47">
        <f t="shared" si="113"/>
        <v>0</v>
      </c>
      <c r="K1042" s="47">
        <v>0</v>
      </c>
      <c r="L1042" s="47">
        <v>0</v>
      </c>
      <c r="M1042" s="893"/>
    </row>
    <row r="1043" spans="1:13" hidden="1" outlineLevel="1" x14ac:dyDescent="0.2">
      <c r="A1043" s="22" t="s">
        <v>1502</v>
      </c>
      <c r="B1043" s="2" t="s">
        <v>252</v>
      </c>
      <c r="C1043" s="2" t="s">
        <v>1511</v>
      </c>
      <c r="D1043" s="716">
        <v>1</v>
      </c>
      <c r="E1043" s="4" t="s">
        <v>19</v>
      </c>
      <c r="F1043" s="47">
        <f t="shared" si="130"/>
        <v>0</v>
      </c>
      <c r="G1043" s="47">
        <f t="shared" si="130"/>
        <v>0</v>
      </c>
      <c r="H1043" s="47">
        <f t="shared" si="130"/>
        <v>0</v>
      </c>
      <c r="I1043" s="47">
        <f t="shared" si="130"/>
        <v>0</v>
      </c>
      <c r="J1043" s="47">
        <f t="shared" si="113"/>
        <v>0</v>
      </c>
      <c r="K1043" s="47">
        <v>0</v>
      </c>
      <c r="L1043" s="47">
        <v>0</v>
      </c>
      <c r="M1043" s="893"/>
    </row>
    <row r="1044" spans="1:13" hidden="1" outlineLevel="1" x14ac:dyDescent="0.2">
      <c r="A1044" s="22" t="s">
        <v>1502</v>
      </c>
      <c r="B1044" s="2" t="s">
        <v>252</v>
      </c>
      <c r="C1044" s="2" t="s">
        <v>1511</v>
      </c>
      <c r="D1044" s="716">
        <v>1</v>
      </c>
      <c r="E1044" s="4" t="s">
        <v>3</v>
      </c>
      <c r="F1044" s="47">
        <f t="shared" si="130"/>
        <v>0</v>
      </c>
      <c r="G1044" s="47">
        <f t="shared" si="130"/>
        <v>0</v>
      </c>
      <c r="H1044" s="47">
        <f t="shared" si="130"/>
        <v>0</v>
      </c>
      <c r="I1044" s="47">
        <f t="shared" si="130"/>
        <v>0</v>
      </c>
      <c r="J1044" s="47">
        <f t="shared" si="113"/>
        <v>0</v>
      </c>
      <c r="K1044" s="47">
        <v>0</v>
      </c>
      <c r="L1044" s="47">
        <v>0</v>
      </c>
      <c r="M1044" s="893"/>
    </row>
    <row r="1045" spans="1:13" hidden="1" outlineLevel="1" x14ac:dyDescent="0.2">
      <c r="A1045" s="22" t="s">
        <v>1502</v>
      </c>
      <c r="B1045" s="2" t="s">
        <v>252</v>
      </c>
      <c r="C1045" s="2" t="s">
        <v>1511</v>
      </c>
      <c r="D1045" s="716">
        <v>1</v>
      </c>
      <c r="E1045" s="4" t="s">
        <v>20</v>
      </c>
      <c r="F1045" s="47">
        <f t="shared" si="130"/>
        <v>0</v>
      </c>
      <c r="G1045" s="47">
        <f t="shared" si="130"/>
        <v>0</v>
      </c>
      <c r="H1045" s="47">
        <f t="shared" si="130"/>
        <v>0</v>
      </c>
      <c r="I1045" s="47">
        <f t="shared" si="130"/>
        <v>0</v>
      </c>
      <c r="J1045" s="47">
        <f t="shared" si="113"/>
        <v>0</v>
      </c>
      <c r="K1045" s="47">
        <v>0</v>
      </c>
      <c r="L1045" s="47">
        <v>0</v>
      </c>
      <c r="M1045" s="893"/>
    </row>
    <row r="1046" spans="1:13" hidden="1" outlineLevel="1" x14ac:dyDescent="0.2">
      <c r="A1046" s="22" t="s">
        <v>1502</v>
      </c>
      <c r="B1046" s="2" t="s">
        <v>252</v>
      </c>
      <c r="C1046" s="2" t="s">
        <v>1511</v>
      </c>
      <c r="D1046" s="716">
        <v>1</v>
      </c>
      <c r="E1046" s="4" t="s">
        <v>21</v>
      </c>
      <c r="F1046" s="47">
        <f t="shared" si="130"/>
        <v>0</v>
      </c>
      <c r="G1046" s="47">
        <f t="shared" si="130"/>
        <v>0</v>
      </c>
      <c r="H1046" s="47">
        <f t="shared" si="130"/>
        <v>0</v>
      </c>
      <c r="I1046" s="47">
        <f t="shared" si="130"/>
        <v>0</v>
      </c>
      <c r="J1046" s="47">
        <f t="shared" si="113"/>
        <v>0</v>
      </c>
      <c r="K1046" s="47">
        <v>0</v>
      </c>
      <c r="L1046" s="47">
        <v>0</v>
      </c>
      <c r="M1046" s="893"/>
    </row>
    <row r="1047" spans="1:13" hidden="1" outlineLevel="1" x14ac:dyDescent="0.2">
      <c r="A1047" s="22" t="s">
        <v>1502</v>
      </c>
      <c r="B1047" s="2" t="s">
        <v>252</v>
      </c>
      <c r="C1047" s="2" t="s">
        <v>1511</v>
      </c>
      <c r="D1047" s="716">
        <v>1</v>
      </c>
      <c r="E1047" s="4" t="s">
        <v>1096</v>
      </c>
      <c r="F1047" s="47">
        <f t="shared" si="130"/>
        <v>0</v>
      </c>
      <c r="G1047" s="47">
        <f t="shared" si="130"/>
        <v>0</v>
      </c>
      <c r="H1047" s="47">
        <f t="shared" si="130"/>
        <v>0</v>
      </c>
      <c r="I1047" s="47">
        <f t="shared" si="130"/>
        <v>0</v>
      </c>
      <c r="J1047" s="47">
        <f t="shared" si="113"/>
        <v>0</v>
      </c>
      <c r="K1047" s="47">
        <v>0</v>
      </c>
      <c r="L1047" s="47">
        <v>0</v>
      </c>
      <c r="M1047" s="893"/>
    </row>
    <row r="1048" spans="1:13" hidden="1" outlineLevel="1" x14ac:dyDescent="0.2">
      <c r="A1048" s="22" t="s">
        <v>1502</v>
      </c>
      <c r="B1048" s="2" t="s">
        <v>252</v>
      </c>
      <c r="C1048" s="2" t="s">
        <v>1511</v>
      </c>
      <c r="D1048" s="716">
        <v>1</v>
      </c>
      <c r="E1048" s="4" t="s">
        <v>22</v>
      </c>
      <c r="F1048" s="47">
        <f t="shared" si="130"/>
        <v>0</v>
      </c>
      <c r="G1048" s="47">
        <f t="shared" si="130"/>
        <v>0</v>
      </c>
      <c r="H1048" s="47">
        <f t="shared" si="130"/>
        <v>0</v>
      </c>
      <c r="I1048" s="47">
        <f t="shared" si="130"/>
        <v>0</v>
      </c>
      <c r="J1048" s="47">
        <f t="shared" si="113"/>
        <v>0</v>
      </c>
      <c r="K1048" s="47">
        <v>0</v>
      </c>
      <c r="L1048" s="47">
        <v>0</v>
      </c>
      <c r="M1048" s="893"/>
    </row>
    <row r="1049" spans="1:13" hidden="1" outlineLevel="1" x14ac:dyDescent="0.2">
      <c r="A1049" s="91" t="s">
        <v>1502</v>
      </c>
      <c r="B1049" s="3" t="s">
        <v>252</v>
      </c>
      <c r="C1049" s="3" t="s">
        <v>1511</v>
      </c>
      <c r="D1049" s="717">
        <v>1</v>
      </c>
      <c r="E1049" s="469" t="s">
        <v>23</v>
      </c>
      <c r="F1049" s="48">
        <f t="shared" si="130"/>
        <v>0</v>
      </c>
      <c r="G1049" s="48">
        <f t="shared" si="130"/>
        <v>0</v>
      </c>
      <c r="H1049" s="48">
        <f t="shared" si="130"/>
        <v>0</v>
      </c>
      <c r="I1049" s="48">
        <f t="shared" si="130"/>
        <v>0</v>
      </c>
      <c r="J1049" s="48">
        <f t="shared" si="113"/>
        <v>0</v>
      </c>
      <c r="K1049" s="363">
        <v>0</v>
      </c>
      <c r="L1049" s="363">
        <v>0</v>
      </c>
      <c r="M1049" s="920"/>
    </row>
    <row r="1050" spans="1:13" hidden="1" outlineLevel="1" x14ac:dyDescent="0.2">
      <c r="A1050" s="92" t="s">
        <v>1502</v>
      </c>
      <c r="B1050" s="81" t="s">
        <v>252</v>
      </c>
      <c r="C1050" s="81" t="s">
        <v>1512</v>
      </c>
      <c r="D1050" s="715">
        <v>1</v>
      </c>
      <c r="E1050" s="468" t="s">
        <v>4</v>
      </c>
      <c r="F1050" s="380">
        <f t="shared" si="130"/>
        <v>0</v>
      </c>
      <c r="G1050" s="89">
        <f t="shared" si="130"/>
        <v>0</v>
      </c>
      <c r="H1050" s="89">
        <f t="shared" si="130"/>
        <v>0</v>
      </c>
      <c r="I1050" s="89">
        <f t="shared" si="130"/>
        <v>0</v>
      </c>
      <c r="J1050" s="89">
        <f t="shared" si="113"/>
        <v>0</v>
      </c>
      <c r="K1050" s="380">
        <v>0</v>
      </c>
      <c r="L1050" s="380">
        <v>1</v>
      </c>
      <c r="M1050" s="892"/>
    </row>
    <row r="1051" spans="1:13" hidden="1" outlineLevel="1" x14ac:dyDescent="0.2">
      <c r="A1051" s="22" t="s">
        <v>1502</v>
      </c>
      <c r="B1051" s="2" t="s">
        <v>252</v>
      </c>
      <c r="C1051" s="2" t="s">
        <v>1512</v>
      </c>
      <c r="D1051" s="716">
        <v>1</v>
      </c>
      <c r="E1051" s="4" t="s">
        <v>5</v>
      </c>
      <c r="F1051" s="47">
        <f t="shared" si="130"/>
        <v>0</v>
      </c>
      <c r="G1051" s="47">
        <f t="shared" si="130"/>
        <v>0</v>
      </c>
      <c r="H1051" s="47">
        <f t="shared" si="130"/>
        <v>0</v>
      </c>
      <c r="I1051" s="47">
        <f t="shared" si="130"/>
        <v>0</v>
      </c>
      <c r="J1051" s="47">
        <f t="shared" si="113"/>
        <v>0</v>
      </c>
      <c r="K1051" s="47">
        <v>0</v>
      </c>
      <c r="L1051" s="47">
        <v>0</v>
      </c>
      <c r="M1051" s="893"/>
    </row>
    <row r="1052" spans="1:13" hidden="1" outlineLevel="1" x14ac:dyDescent="0.2">
      <c r="A1052" s="22" t="s">
        <v>1502</v>
      </c>
      <c r="B1052" s="2" t="s">
        <v>252</v>
      </c>
      <c r="C1052" s="2" t="s">
        <v>1512</v>
      </c>
      <c r="D1052" s="716">
        <v>1</v>
      </c>
      <c r="E1052" s="4" t="s">
        <v>6</v>
      </c>
      <c r="F1052" s="47">
        <f t="shared" si="130"/>
        <v>0</v>
      </c>
      <c r="G1052" s="47">
        <f t="shared" si="130"/>
        <v>0</v>
      </c>
      <c r="H1052" s="47">
        <f t="shared" si="130"/>
        <v>0</v>
      </c>
      <c r="I1052" s="47">
        <f t="shared" si="130"/>
        <v>0</v>
      </c>
      <c r="J1052" s="47">
        <f t="shared" si="113"/>
        <v>0</v>
      </c>
      <c r="K1052" s="47">
        <v>0</v>
      </c>
      <c r="L1052" s="47">
        <v>0</v>
      </c>
      <c r="M1052" s="893"/>
    </row>
    <row r="1053" spans="1:13" hidden="1" outlineLevel="1" x14ac:dyDescent="0.2">
      <c r="A1053" s="22" t="s">
        <v>1502</v>
      </c>
      <c r="B1053" s="2" t="s">
        <v>252</v>
      </c>
      <c r="C1053" s="2" t="s">
        <v>1512</v>
      </c>
      <c r="D1053" s="716">
        <v>1</v>
      </c>
      <c r="E1053" s="4" t="s">
        <v>143</v>
      </c>
      <c r="F1053" s="47">
        <f t="shared" si="130"/>
        <v>0</v>
      </c>
      <c r="G1053" s="47">
        <f t="shared" si="130"/>
        <v>0</v>
      </c>
      <c r="H1053" s="47">
        <f t="shared" si="130"/>
        <v>0</v>
      </c>
      <c r="I1053" s="47">
        <f t="shared" si="130"/>
        <v>0</v>
      </c>
      <c r="J1053" s="47">
        <f t="shared" si="113"/>
        <v>0</v>
      </c>
      <c r="K1053" s="47">
        <v>0</v>
      </c>
      <c r="L1053" s="47">
        <v>0</v>
      </c>
      <c r="M1053" s="893"/>
    </row>
    <row r="1054" spans="1:13" hidden="1" outlineLevel="1" x14ac:dyDescent="0.2">
      <c r="A1054" s="22" t="s">
        <v>1502</v>
      </c>
      <c r="B1054" s="2" t="s">
        <v>252</v>
      </c>
      <c r="C1054" s="2" t="s">
        <v>1512</v>
      </c>
      <c r="D1054" s="716">
        <v>1</v>
      </c>
      <c r="E1054" s="4" t="s">
        <v>7</v>
      </c>
      <c r="F1054" s="47">
        <f t="shared" si="130"/>
        <v>0</v>
      </c>
      <c r="G1054" s="47">
        <f t="shared" si="130"/>
        <v>0</v>
      </c>
      <c r="H1054" s="47">
        <f t="shared" si="130"/>
        <v>0</v>
      </c>
      <c r="I1054" s="47">
        <f t="shared" si="130"/>
        <v>0</v>
      </c>
      <c r="J1054" s="47">
        <f t="shared" si="113"/>
        <v>0</v>
      </c>
      <c r="K1054" s="47">
        <v>0</v>
      </c>
      <c r="L1054" s="47">
        <v>0</v>
      </c>
      <c r="M1054" s="893"/>
    </row>
    <row r="1055" spans="1:13" hidden="1" outlineLevel="1" x14ac:dyDescent="0.2">
      <c r="A1055" s="22" t="s">
        <v>1502</v>
      </c>
      <c r="B1055" s="2" t="s">
        <v>252</v>
      </c>
      <c r="C1055" s="2" t="s">
        <v>1512</v>
      </c>
      <c r="D1055" s="716">
        <v>1</v>
      </c>
      <c r="E1055" s="4" t="s">
        <v>31</v>
      </c>
      <c r="F1055" s="47">
        <f t="shared" si="130"/>
        <v>0</v>
      </c>
      <c r="G1055" s="47">
        <f t="shared" si="130"/>
        <v>0</v>
      </c>
      <c r="H1055" s="47">
        <f t="shared" si="130"/>
        <v>0</v>
      </c>
      <c r="I1055" s="47">
        <f t="shared" si="130"/>
        <v>0</v>
      </c>
      <c r="J1055" s="47">
        <f t="shared" si="113"/>
        <v>0</v>
      </c>
      <c r="K1055" s="47">
        <v>0</v>
      </c>
      <c r="L1055" s="47">
        <v>0</v>
      </c>
      <c r="M1055" s="893"/>
    </row>
    <row r="1056" spans="1:13" hidden="1" outlineLevel="1" x14ac:dyDescent="0.2">
      <c r="A1056" s="22" t="s">
        <v>1502</v>
      </c>
      <c r="B1056" s="2" t="s">
        <v>252</v>
      </c>
      <c r="C1056" s="2" t="s">
        <v>1512</v>
      </c>
      <c r="D1056" s="716">
        <v>1</v>
      </c>
      <c r="E1056" s="4" t="s">
        <v>8</v>
      </c>
      <c r="F1056" s="47">
        <f t="shared" si="130"/>
        <v>0</v>
      </c>
      <c r="G1056" s="47">
        <f t="shared" si="130"/>
        <v>0</v>
      </c>
      <c r="H1056" s="47">
        <f t="shared" si="130"/>
        <v>0</v>
      </c>
      <c r="I1056" s="47">
        <f t="shared" si="130"/>
        <v>0</v>
      </c>
      <c r="J1056" s="47">
        <f t="shared" si="130"/>
        <v>0</v>
      </c>
      <c r="K1056" s="47">
        <v>0</v>
      </c>
      <c r="L1056" s="47">
        <v>1</v>
      </c>
      <c r="M1056" s="893"/>
    </row>
    <row r="1057" spans="1:13" hidden="1" outlineLevel="1" x14ac:dyDescent="0.2">
      <c r="A1057" s="22" t="s">
        <v>1502</v>
      </c>
      <c r="B1057" s="2" t="s">
        <v>252</v>
      </c>
      <c r="C1057" s="2" t="s">
        <v>1512</v>
      </c>
      <c r="D1057" s="716">
        <v>1</v>
      </c>
      <c r="E1057" s="4" t="s">
        <v>9</v>
      </c>
      <c r="F1057" s="47">
        <f t="shared" si="130"/>
        <v>0</v>
      </c>
      <c r="G1057" s="47">
        <f t="shared" si="130"/>
        <v>0</v>
      </c>
      <c r="H1057" s="47">
        <f t="shared" si="130"/>
        <v>0</v>
      </c>
      <c r="I1057" s="47">
        <f t="shared" si="130"/>
        <v>0</v>
      </c>
      <c r="J1057" s="47">
        <f t="shared" si="130"/>
        <v>0</v>
      </c>
      <c r="K1057" s="47">
        <v>0</v>
      </c>
      <c r="L1057" s="47">
        <v>0</v>
      </c>
      <c r="M1057" s="893"/>
    </row>
    <row r="1058" spans="1:13" hidden="1" outlineLevel="1" x14ac:dyDescent="0.2">
      <c r="A1058" s="22" t="s">
        <v>1502</v>
      </c>
      <c r="B1058" s="2" t="s">
        <v>252</v>
      </c>
      <c r="C1058" s="2" t="s">
        <v>1512</v>
      </c>
      <c r="D1058" s="716">
        <v>1</v>
      </c>
      <c r="E1058" s="4" t="s">
        <v>10</v>
      </c>
      <c r="F1058" s="47">
        <f t="shared" si="130"/>
        <v>0</v>
      </c>
      <c r="G1058" s="47">
        <f t="shared" si="130"/>
        <v>0</v>
      </c>
      <c r="H1058" s="47">
        <f t="shared" si="130"/>
        <v>0</v>
      </c>
      <c r="I1058" s="47">
        <f t="shared" si="130"/>
        <v>0</v>
      </c>
      <c r="J1058" s="47">
        <f t="shared" si="130"/>
        <v>0</v>
      </c>
      <c r="K1058" s="47">
        <v>0</v>
      </c>
      <c r="L1058" s="47">
        <v>0</v>
      </c>
      <c r="M1058" s="893"/>
    </row>
    <row r="1059" spans="1:13" hidden="1" outlineLevel="1" x14ac:dyDescent="0.2">
      <c r="A1059" s="22" t="s">
        <v>1502</v>
      </c>
      <c r="B1059" s="2" t="s">
        <v>252</v>
      </c>
      <c r="C1059" s="2" t="s">
        <v>1512</v>
      </c>
      <c r="D1059" s="716">
        <v>1</v>
      </c>
      <c r="E1059" s="4" t="s">
        <v>11</v>
      </c>
      <c r="F1059" s="47">
        <f t="shared" si="130"/>
        <v>0</v>
      </c>
      <c r="G1059" s="47">
        <f t="shared" si="130"/>
        <v>0</v>
      </c>
      <c r="H1059" s="47">
        <f t="shared" si="130"/>
        <v>0</v>
      </c>
      <c r="I1059" s="47">
        <f t="shared" si="130"/>
        <v>0</v>
      </c>
      <c r="J1059" s="47">
        <f t="shared" si="130"/>
        <v>0</v>
      </c>
      <c r="K1059" s="47">
        <v>0</v>
      </c>
      <c r="L1059" s="47">
        <v>0</v>
      </c>
      <c r="M1059" s="893"/>
    </row>
    <row r="1060" spans="1:13" hidden="1" outlineLevel="1" x14ac:dyDescent="0.2">
      <c r="A1060" s="22" t="s">
        <v>1502</v>
      </c>
      <c r="B1060" s="2" t="s">
        <v>252</v>
      </c>
      <c r="C1060" s="2" t="s">
        <v>1512</v>
      </c>
      <c r="D1060" s="716">
        <v>1</v>
      </c>
      <c r="E1060" s="4" t="s">
        <v>12</v>
      </c>
      <c r="F1060" s="47">
        <f t="shared" si="130"/>
        <v>0</v>
      </c>
      <c r="G1060" s="47">
        <f t="shared" si="130"/>
        <v>0</v>
      </c>
      <c r="H1060" s="47">
        <f t="shared" si="130"/>
        <v>0</v>
      </c>
      <c r="I1060" s="47">
        <f t="shared" si="130"/>
        <v>0</v>
      </c>
      <c r="J1060" s="47">
        <f t="shared" si="130"/>
        <v>0</v>
      </c>
      <c r="K1060" s="47">
        <v>0</v>
      </c>
      <c r="L1060" s="47">
        <v>0</v>
      </c>
      <c r="M1060" s="893"/>
    </row>
    <row r="1061" spans="1:13" hidden="1" outlineLevel="1" x14ac:dyDescent="0.2">
      <c r="A1061" s="22" t="s">
        <v>1502</v>
      </c>
      <c r="B1061" s="2" t="s">
        <v>252</v>
      </c>
      <c r="C1061" s="2" t="s">
        <v>1512</v>
      </c>
      <c r="D1061" s="716">
        <v>1</v>
      </c>
      <c r="E1061" s="4" t="s">
        <v>1</v>
      </c>
      <c r="F1061" s="47">
        <f t="shared" si="130"/>
        <v>0</v>
      </c>
      <c r="G1061" s="47">
        <f t="shared" si="130"/>
        <v>0</v>
      </c>
      <c r="H1061" s="47">
        <f t="shared" si="130"/>
        <v>0</v>
      </c>
      <c r="I1061" s="47">
        <f t="shared" si="130"/>
        <v>0</v>
      </c>
      <c r="J1061" s="47">
        <f t="shared" si="130"/>
        <v>0</v>
      </c>
      <c r="K1061" s="47">
        <v>0</v>
      </c>
      <c r="L1061" s="47">
        <v>0</v>
      </c>
      <c r="M1061" s="893"/>
    </row>
    <row r="1062" spans="1:13" hidden="1" outlineLevel="1" x14ac:dyDescent="0.2">
      <c r="A1062" s="22" t="s">
        <v>1502</v>
      </c>
      <c r="B1062" s="2" t="s">
        <v>252</v>
      </c>
      <c r="C1062" s="2" t="s">
        <v>1512</v>
      </c>
      <c r="D1062" s="716">
        <v>1</v>
      </c>
      <c r="E1062" s="4" t="s">
        <v>13</v>
      </c>
      <c r="F1062" s="47">
        <f t="shared" si="130"/>
        <v>0</v>
      </c>
      <c r="G1062" s="47">
        <f t="shared" si="130"/>
        <v>0</v>
      </c>
      <c r="H1062" s="47">
        <f t="shared" si="130"/>
        <v>0</v>
      </c>
      <c r="I1062" s="47">
        <f t="shared" si="130"/>
        <v>0</v>
      </c>
      <c r="J1062" s="47">
        <f t="shared" si="130"/>
        <v>0</v>
      </c>
      <c r="K1062" s="47">
        <v>0</v>
      </c>
      <c r="L1062" s="47">
        <v>0</v>
      </c>
      <c r="M1062" s="893"/>
    </row>
    <row r="1063" spans="1:13" hidden="1" outlineLevel="1" x14ac:dyDescent="0.2">
      <c r="A1063" s="22" t="s">
        <v>1502</v>
      </c>
      <c r="B1063" s="2" t="s">
        <v>252</v>
      </c>
      <c r="C1063" s="2" t="s">
        <v>1512</v>
      </c>
      <c r="D1063" s="716">
        <v>1</v>
      </c>
      <c r="E1063" s="4" t="s">
        <v>14</v>
      </c>
      <c r="F1063" s="47">
        <f t="shared" si="130"/>
        <v>0</v>
      </c>
      <c r="G1063" s="47">
        <f t="shared" si="130"/>
        <v>0</v>
      </c>
      <c r="H1063" s="47">
        <f t="shared" si="130"/>
        <v>0</v>
      </c>
      <c r="I1063" s="47">
        <f t="shared" si="130"/>
        <v>0</v>
      </c>
      <c r="J1063" s="47">
        <f t="shared" si="130"/>
        <v>0</v>
      </c>
      <c r="K1063" s="47">
        <v>0</v>
      </c>
      <c r="L1063" s="47">
        <v>0</v>
      </c>
      <c r="M1063" s="893"/>
    </row>
    <row r="1064" spans="1:13" hidden="1" outlineLevel="1" x14ac:dyDescent="0.2">
      <c r="A1064" s="22" t="s">
        <v>1502</v>
      </c>
      <c r="B1064" s="2" t="s">
        <v>252</v>
      </c>
      <c r="C1064" s="2" t="s">
        <v>1512</v>
      </c>
      <c r="D1064" s="716">
        <v>1</v>
      </c>
      <c r="E1064" s="4" t="s">
        <v>15</v>
      </c>
      <c r="F1064" s="47">
        <f t="shared" si="130"/>
        <v>0</v>
      </c>
      <c r="G1064" s="47">
        <f t="shared" si="130"/>
        <v>0</v>
      </c>
      <c r="H1064" s="47">
        <f t="shared" si="130"/>
        <v>0</v>
      </c>
      <c r="I1064" s="47">
        <f t="shared" si="130"/>
        <v>0</v>
      </c>
      <c r="J1064" s="47">
        <f t="shared" si="130"/>
        <v>0</v>
      </c>
      <c r="K1064" s="47">
        <v>0</v>
      </c>
      <c r="L1064" s="47">
        <v>0</v>
      </c>
      <c r="M1064" s="893"/>
    </row>
    <row r="1065" spans="1:13" hidden="1" outlineLevel="1" x14ac:dyDescent="0.2">
      <c r="A1065" s="22" t="s">
        <v>1502</v>
      </c>
      <c r="B1065" s="2" t="s">
        <v>252</v>
      </c>
      <c r="C1065" s="2" t="s">
        <v>1512</v>
      </c>
      <c r="D1065" s="716">
        <v>1</v>
      </c>
      <c r="E1065" s="4" t="s">
        <v>16</v>
      </c>
      <c r="F1065" s="47">
        <f t="shared" si="130"/>
        <v>0</v>
      </c>
      <c r="G1065" s="47">
        <f t="shared" si="130"/>
        <v>0</v>
      </c>
      <c r="H1065" s="47">
        <f t="shared" si="130"/>
        <v>0</v>
      </c>
      <c r="I1065" s="47">
        <f t="shared" si="130"/>
        <v>0</v>
      </c>
      <c r="J1065" s="47">
        <f t="shared" si="130"/>
        <v>0</v>
      </c>
      <c r="K1065" s="47">
        <v>0</v>
      </c>
      <c r="L1065" s="47">
        <v>0</v>
      </c>
      <c r="M1065" s="893"/>
    </row>
    <row r="1066" spans="1:13" hidden="1" outlineLevel="1" x14ac:dyDescent="0.2">
      <c r="A1066" s="22" t="s">
        <v>1502</v>
      </c>
      <c r="B1066" s="2" t="s">
        <v>252</v>
      </c>
      <c r="C1066" s="2" t="s">
        <v>1512</v>
      </c>
      <c r="D1066" s="716">
        <v>1</v>
      </c>
      <c r="E1066" s="4" t="s">
        <v>17</v>
      </c>
      <c r="F1066" s="47">
        <f t="shared" si="130"/>
        <v>0</v>
      </c>
      <c r="G1066" s="47">
        <f t="shared" si="130"/>
        <v>0</v>
      </c>
      <c r="H1066" s="47">
        <f t="shared" si="130"/>
        <v>0</v>
      </c>
      <c r="I1066" s="47">
        <f t="shared" si="130"/>
        <v>0</v>
      </c>
      <c r="J1066" s="47">
        <f t="shared" si="130"/>
        <v>0</v>
      </c>
      <c r="K1066" s="47">
        <v>0</v>
      </c>
      <c r="L1066" s="47">
        <v>0</v>
      </c>
      <c r="M1066" s="893"/>
    </row>
    <row r="1067" spans="1:13" hidden="1" outlineLevel="1" x14ac:dyDescent="0.2">
      <c r="A1067" s="22" t="s">
        <v>1502</v>
      </c>
      <c r="B1067" s="2" t="s">
        <v>252</v>
      </c>
      <c r="C1067" s="2" t="s">
        <v>1512</v>
      </c>
      <c r="D1067" s="716">
        <v>1</v>
      </c>
      <c r="E1067" s="4" t="s">
        <v>18</v>
      </c>
      <c r="F1067" s="47">
        <f t="shared" si="130"/>
        <v>0</v>
      </c>
      <c r="G1067" s="47">
        <f t="shared" si="130"/>
        <v>0</v>
      </c>
      <c r="H1067" s="47">
        <f t="shared" si="130"/>
        <v>0</v>
      </c>
      <c r="I1067" s="47">
        <f t="shared" si="130"/>
        <v>0</v>
      </c>
      <c r="J1067" s="47">
        <f t="shared" si="130"/>
        <v>0</v>
      </c>
      <c r="K1067" s="47">
        <v>0</v>
      </c>
      <c r="L1067" s="47">
        <v>0</v>
      </c>
      <c r="M1067" s="893"/>
    </row>
    <row r="1068" spans="1:13" hidden="1" outlineLevel="1" x14ac:dyDescent="0.2">
      <c r="A1068" s="22" t="s">
        <v>1502</v>
      </c>
      <c r="B1068" s="2" t="s">
        <v>252</v>
      </c>
      <c r="C1068" s="2" t="s">
        <v>1512</v>
      </c>
      <c r="D1068" s="716">
        <v>1</v>
      </c>
      <c r="E1068" s="4" t="s">
        <v>2</v>
      </c>
      <c r="F1068" s="47">
        <f t="shared" si="130"/>
        <v>0</v>
      </c>
      <c r="G1068" s="47">
        <f t="shared" si="130"/>
        <v>0</v>
      </c>
      <c r="H1068" s="47">
        <f t="shared" si="130"/>
        <v>0</v>
      </c>
      <c r="I1068" s="47">
        <f t="shared" ref="I1068:J1068" si="131">J1068</f>
        <v>0</v>
      </c>
      <c r="J1068" s="47">
        <f t="shared" si="131"/>
        <v>0</v>
      </c>
      <c r="K1068" s="47">
        <v>0</v>
      </c>
      <c r="L1068" s="47">
        <v>0</v>
      </c>
      <c r="M1068" s="893"/>
    </row>
    <row r="1069" spans="1:13" hidden="1" outlineLevel="1" x14ac:dyDescent="0.2">
      <c r="A1069" s="22" t="s">
        <v>1502</v>
      </c>
      <c r="B1069" s="2" t="s">
        <v>252</v>
      </c>
      <c r="C1069" s="2" t="s">
        <v>1512</v>
      </c>
      <c r="D1069" s="716">
        <v>1</v>
      </c>
      <c r="E1069" s="4" t="s">
        <v>19</v>
      </c>
      <c r="F1069" s="47">
        <f t="shared" si="130"/>
        <v>0</v>
      </c>
      <c r="G1069" s="47">
        <f t="shared" ref="G1069:J1069" si="132">H1069</f>
        <v>0</v>
      </c>
      <c r="H1069" s="47">
        <f t="shared" si="132"/>
        <v>0</v>
      </c>
      <c r="I1069" s="47">
        <f t="shared" si="132"/>
        <v>0</v>
      </c>
      <c r="J1069" s="47">
        <f t="shared" si="132"/>
        <v>0</v>
      </c>
      <c r="K1069" s="47">
        <v>0</v>
      </c>
      <c r="L1069" s="47">
        <v>0</v>
      </c>
      <c r="M1069" s="893"/>
    </row>
    <row r="1070" spans="1:13" hidden="1" outlineLevel="1" x14ac:dyDescent="0.2">
      <c r="A1070" s="22" t="s">
        <v>1502</v>
      </c>
      <c r="B1070" s="2" t="s">
        <v>252</v>
      </c>
      <c r="C1070" s="2" t="s">
        <v>1512</v>
      </c>
      <c r="D1070" s="716">
        <v>1</v>
      </c>
      <c r="E1070" s="4" t="s">
        <v>3</v>
      </c>
      <c r="F1070" s="47">
        <f t="shared" si="130"/>
        <v>0</v>
      </c>
      <c r="G1070" s="47">
        <f t="shared" ref="G1070:J1070" si="133">H1070</f>
        <v>0</v>
      </c>
      <c r="H1070" s="47">
        <f t="shared" si="133"/>
        <v>0</v>
      </c>
      <c r="I1070" s="47">
        <f t="shared" si="133"/>
        <v>0</v>
      </c>
      <c r="J1070" s="47">
        <f t="shared" si="133"/>
        <v>0</v>
      </c>
      <c r="K1070" s="47">
        <v>0</v>
      </c>
      <c r="L1070" s="47">
        <v>0</v>
      </c>
      <c r="M1070" s="893"/>
    </row>
    <row r="1071" spans="1:13" hidden="1" outlineLevel="1" x14ac:dyDescent="0.2">
      <c r="A1071" s="22" t="s">
        <v>1502</v>
      </c>
      <c r="B1071" s="2" t="s">
        <v>252</v>
      </c>
      <c r="C1071" s="2" t="s">
        <v>1512</v>
      </c>
      <c r="D1071" s="716">
        <v>1</v>
      </c>
      <c r="E1071" s="4" t="s">
        <v>20</v>
      </c>
      <c r="F1071" s="47">
        <f t="shared" si="130"/>
        <v>0</v>
      </c>
      <c r="G1071" s="47">
        <f t="shared" ref="G1071:J1071" si="134">H1071</f>
        <v>0</v>
      </c>
      <c r="H1071" s="47">
        <f t="shared" si="134"/>
        <v>0</v>
      </c>
      <c r="I1071" s="47">
        <f t="shared" si="134"/>
        <v>0</v>
      </c>
      <c r="J1071" s="47">
        <f t="shared" si="134"/>
        <v>0</v>
      </c>
      <c r="K1071" s="47">
        <v>0</v>
      </c>
      <c r="L1071" s="47">
        <v>0</v>
      </c>
      <c r="M1071" s="893"/>
    </row>
    <row r="1072" spans="1:13" hidden="1" outlineLevel="1" x14ac:dyDescent="0.2">
      <c r="A1072" s="22" t="s">
        <v>1502</v>
      </c>
      <c r="B1072" s="2" t="s">
        <v>252</v>
      </c>
      <c r="C1072" s="2" t="s">
        <v>1512</v>
      </c>
      <c r="D1072" s="716">
        <v>1</v>
      </c>
      <c r="E1072" s="4" t="s">
        <v>21</v>
      </c>
      <c r="F1072" s="47">
        <f t="shared" si="130"/>
        <v>0</v>
      </c>
      <c r="G1072" s="47">
        <f t="shared" ref="G1072:J1072" si="135">H1072</f>
        <v>0</v>
      </c>
      <c r="H1072" s="47">
        <f t="shared" si="135"/>
        <v>0</v>
      </c>
      <c r="I1072" s="47">
        <f t="shared" si="135"/>
        <v>0</v>
      </c>
      <c r="J1072" s="47">
        <f t="shared" si="135"/>
        <v>0</v>
      </c>
      <c r="K1072" s="47">
        <v>0</v>
      </c>
      <c r="L1072" s="47">
        <v>0</v>
      </c>
      <c r="M1072" s="893"/>
    </row>
    <row r="1073" spans="1:13" hidden="1" outlineLevel="1" x14ac:dyDescent="0.2">
      <c r="A1073" s="22" t="s">
        <v>1502</v>
      </c>
      <c r="B1073" s="2" t="s">
        <v>252</v>
      </c>
      <c r="C1073" s="2" t="s">
        <v>1512</v>
      </c>
      <c r="D1073" s="716">
        <v>1</v>
      </c>
      <c r="E1073" s="4" t="s">
        <v>1096</v>
      </c>
      <c r="F1073" s="47">
        <f t="shared" ref="F1073:J1136" si="136">G1073</f>
        <v>0</v>
      </c>
      <c r="G1073" s="47">
        <f t="shared" si="136"/>
        <v>0</v>
      </c>
      <c r="H1073" s="47">
        <f t="shared" si="136"/>
        <v>0</v>
      </c>
      <c r="I1073" s="47">
        <f t="shared" si="136"/>
        <v>0</v>
      </c>
      <c r="J1073" s="47">
        <f t="shared" si="136"/>
        <v>0</v>
      </c>
      <c r="K1073" s="47">
        <v>0</v>
      </c>
      <c r="L1073" s="47">
        <v>0</v>
      </c>
      <c r="M1073" s="893"/>
    </row>
    <row r="1074" spans="1:13" hidden="1" outlineLevel="1" x14ac:dyDescent="0.2">
      <c r="A1074" s="22" t="s">
        <v>1502</v>
      </c>
      <c r="B1074" s="2" t="s">
        <v>252</v>
      </c>
      <c r="C1074" s="2" t="s">
        <v>1512</v>
      </c>
      <c r="D1074" s="716">
        <v>1</v>
      </c>
      <c r="E1074" s="4" t="s">
        <v>22</v>
      </c>
      <c r="F1074" s="47">
        <f t="shared" si="136"/>
        <v>0</v>
      </c>
      <c r="G1074" s="47">
        <f t="shared" si="136"/>
        <v>0</v>
      </c>
      <c r="H1074" s="47">
        <f t="shared" si="136"/>
        <v>0</v>
      </c>
      <c r="I1074" s="47">
        <f t="shared" si="136"/>
        <v>0</v>
      </c>
      <c r="J1074" s="47">
        <f t="shared" si="136"/>
        <v>0</v>
      </c>
      <c r="K1074" s="47">
        <v>0</v>
      </c>
      <c r="L1074" s="47">
        <v>0</v>
      </c>
      <c r="M1074" s="893"/>
    </row>
    <row r="1075" spans="1:13" hidden="1" outlineLevel="1" x14ac:dyDescent="0.2">
      <c r="A1075" s="91" t="s">
        <v>1502</v>
      </c>
      <c r="B1075" s="3" t="s">
        <v>252</v>
      </c>
      <c r="C1075" s="3" t="s">
        <v>1512</v>
      </c>
      <c r="D1075" s="717">
        <v>1</v>
      </c>
      <c r="E1075" s="469" t="s">
        <v>23</v>
      </c>
      <c r="F1075" s="48">
        <f t="shared" si="136"/>
        <v>0</v>
      </c>
      <c r="G1075" s="48">
        <f t="shared" si="136"/>
        <v>0</v>
      </c>
      <c r="H1075" s="48">
        <f t="shared" si="136"/>
        <v>0</v>
      </c>
      <c r="I1075" s="48">
        <f t="shared" si="136"/>
        <v>0</v>
      </c>
      <c r="J1075" s="48">
        <f t="shared" si="136"/>
        <v>0</v>
      </c>
      <c r="K1075" s="363">
        <v>0</v>
      </c>
      <c r="L1075" s="363">
        <v>0</v>
      </c>
      <c r="M1075" s="920"/>
    </row>
    <row r="1076" spans="1:13" hidden="1" outlineLevel="1" x14ac:dyDescent="0.2">
      <c r="A1076" s="92" t="s">
        <v>1502</v>
      </c>
      <c r="B1076" s="81" t="s">
        <v>252</v>
      </c>
      <c r="C1076" s="81" t="s">
        <v>1513</v>
      </c>
      <c r="D1076" s="715">
        <v>1</v>
      </c>
      <c r="E1076" s="468" t="s">
        <v>4</v>
      </c>
      <c r="F1076" s="380">
        <f t="shared" si="136"/>
        <v>1</v>
      </c>
      <c r="G1076" s="89">
        <f t="shared" si="136"/>
        <v>1</v>
      </c>
      <c r="H1076" s="89">
        <f t="shared" si="136"/>
        <v>1</v>
      </c>
      <c r="I1076" s="89">
        <f t="shared" si="136"/>
        <v>1</v>
      </c>
      <c r="J1076" s="89">
        <f t="shared" si="136"/>
        <v>1</v>
      </c>
      <c r="K1076" s="380">
        <v>1</v>
      </c>
      <c r="L1076" s="380">
        <v>1</v>
      </c>
      <c r="M1076" s="892"/>
    </row>
    <row r="1077" spans="1:13" hidden="1" outlineLevel="1" x14ac:dyDescent="0.2">
      <c r="A1077" s="22" t="s">
        <v>1502</v>
      </c>
      <c r="B1077" s="2" t="s">
        <v>252</v>
      </c>
      <c r="C1077" s="2" t="s">
        <v>1513</v>
      </c>
      <c r="D1077" s="716">
        <v>1</v>
      </c>
      <c r="E1077" s="4" t="s">
        <v>5</v>
      </c>
      <c r="F1077" s="47">
        <f t="shared" si="136"/>
        <v>0</v>
      </c>
      <c r="G1077" s="47">
        <f t="shared" si="136"/>
        <v>0</v>
      </c>
      <c r="H1077" s="47">
        <f t="shared" si="136"/>
        <v>0</v>
      </c>
      <c r="I1077" s="47">
        <f t="shared" si="136"/>
        <v>0</v>
      </c>
      <c r="J1077" s="47">
        <f t="shared" si="136"/>
        <v>0</v>
      </c>
      <c r="K1077" s="47">
        <v>0</v>
      </c>
      <c r="L1077" s="47">
        <v>0</v>
      </c>
      <c r="M1077" s="893"/>
    </row>
    <row r="1078" spans="1:13" hidden="1" outlineLevel="1" x14ac:dyDescent="0.2">
      <c r="A1078" s="22" t="s">
        <v>1502</v>
      </c>
      <c r="B1078" s="2" t="s">
        <v>252</v>
      </c>
      <c r="C1078" s="2" t="s">
        <v>1513</v>
      </c>
      <c r="D1078" s="716">
        <v>1</v>
      </c>
      <c r="E1078" s="4" t="s">
        <v>6</v>
      </c>
      <c r="F1078" s="47">
        <f t="shared" si="136"/>
        <v>0</v>
      </c>
      <c r="G1078" s="47">
        <f t="shared" si="136"/>
        <v>0</v>
      </c>
      <c r="H1078" s="47">
        <f t="shared" si="136"/>
        <v>0</v>
      </c>
      <c r="I1078" s="47">
        <f t="shared" si="136"/>
        <v>0</v>
      </c>
      <c r="J1078" s="47">
        <f t="shared" si="136"/>
        <v>0</v>
      </c>
      <c r="K1078" s="47">
        <v>0</v>
      </c>
      <c r="L1078" s="47">
        <v>0</v>
      </c>
      <c r="M1078" s="893"/>
    </row>
    <row r="1079" spans="1:13" hidden="1" outlineLevel="1" x14ac:dyDescent="0.2">
      <c r="A1079" s="22" t="s">
        <v>1502</v>
      </c>
      <c r="B1079" s="2" t="s">
        <v>252</v>
      </c>
      <c r="C1079" s="2" t="s">
        <v>1513</v>
      </c>
      <c r="D1079" s="716">
        <v>1</v>
      </c>
      <c r="E1079" s="4" t="s">
        <v>143</v>
      </c>
      <c r="F1079" s="47">
        <f t="shared" si="136"/>
        <v>0</v>
      </c>
      <c r="G1079" s="47">
        <f t="shared" si="136"/>
        <v>0</v>
      </c>
      <c r="H1079" s="47">
        <f t="shared" si="136"/>
        <v>0</v>
      </c>
      <c r="I1079" s="47">
        <f t="shared" si="136"/>
        <v>0</v>
      </c>
      <c r="J1079" s="47">
        <f t="shared" si="136"/>
        <v>0</v>
      </c>
      <c r="K1079" s="47">
        <v>0</v>
      </c>
      <c r="L1079" s="47">
        <v>0</v>
      </c>
      <c r="M1079" s="893"/>
    </row>
    <row r="1080" spans="1:13" hidden="1" outlineLevel="1" x14ac:dyDescent="0.2">
      <c r="A1080" s="22" t="s">
        <v>1502</v>
      </c>
      <c r="B1080" s="2" t="s">
        <v>252</v>
      </c>
      <c r="C1080" s="2" t="s">
        <v>1513</v>
      </c>
      <c r="D1080" s="716">
        <v>1</v>
      </c>
      <c r="E1080" s="4" t="s">
        <v>7</v>
      </c>
      <c r="F1080" s="47">
        <f t="shared" si="136"/>
        <v>1</v>
      </c>
      <c r="G1080" s="47">
        <f t="shared" si="136"/>
        <v>1</v>
      </c>
      <c r="H1080" s="47">
        <f t="shared" si="136"/>
        <v>1</v>
      </c>
      <c r="I1080" s="47">
        <f t="shared" si="136"/>
        <v>1</v>
      </c>
      <c r="J1080" s="47">
        <f t="shared" si="136"/>
        <v>1</v>
      </c>
      <c r="K1080" s="47">
        <v>1</v>
      </c>
      <c r="L1080" s="47">
        <v>1</v>
      </c>
      <c r="M1080" s="893"/>
    </row>
    <row r="1081" spans="1:13" hidden="1" outlineLevel="1" x14ac:dyDescent="0.2">
      <c r="A1081" s="22" t="s">
        <v>1502</v>
      </c>
      <c r="B1081" s="2" t="s">
        <v>252</v>
      </c>
      <c r="C1081" s="2" t="s">
        <v>1513</v>
      </c>
      <c r="D1081" s="716">
        <v>1</v>
      </c>
      <c r="E1081" s="4" t="s">
        <v>31</v>
      </c>
      <c r="F1081" s="47">
        <f t="shared" si="136"/>
        <v>1</v>
      </c>
      <c r="G1081" s="47">
        <f t="shared" si="136"/>
        <v>1</v>
      </c>
      <c r="H1081" s="47">
        <f t="shared" si="136"/>
        <v>1</v>
      </c>
      <c r="I1081" s="47">
        <f t="shared" si="136"/>
        <v>1</v>
      </c>
      <c r="J1081" s="47">
        <f t="shared" si="136"/>
        <v>1</v>
      </c>
      <c r="K1081" s="47">
        <v>1</v>
      </c>
      <c r="L1081" s="47">
        <v>1</v>
      </c>
      <c r="M1081" s="893"/>
    </row>
    <row r="1082" spans="1:13" hidden="1" outlineLevel="1" x14ac:dyDescent="0.2">
      <c r="A1082" s="22" t="s">
        <v>1502</v>
      </c>
      <c r="B1082" s="2" t="s">
        <v>252</v>
      </c>
      <c r="C1082" s="2" t="s">
        <v>1513</v>
      </c>
      <c r="D1082" s="716">
        <v>1</v>
      </c>
      <c r="E1082" s="4" t="s">
        <v>8</v>
      </c>
      <c r="F1082" s="47">
        <f t="shared" si="136"/>
        <v>1</v>
      </c>
      <c r="G1082" s="47">
        <f t="shared" si="136"/>
        <v>1</v>
      </c>
      <c r="H1082" s="47">
        <f t="shared" si="136"/>
        <v>1</v>
      </c>
      <c r="I1082" s="47">
        <f t="shared" si="136"/>
        <v>1</v>
      </c>
      <c r="J1082" s="47">
        <f t="shared" si="136"/>
        <v>1</v>
      </c>
      <c r="K1082" s="47">
        <v>1</v>
      </c>
      <c r="L1082" s="47">
        <v>1</v>
      </c>
      <c r="M1082" s="893"/>
    </row>
    <row r="1083" spans="1:13" hidden="1" outlineLevel="1" x14ac:dyDescent="0.2">
      <c r="A1083" s="22" t="s">
        <v>1502</v>
      </c>
      <c r="B1083" s="2" t="s">
        <v>252</v>
      </c>
      <c r="C1083" s="2" t="s">
        <v>1513</v>
      </c>
      <c r="D1083" s="716">
        <v>1</v>
      </c>
      <c r="E1083" s="4" t="s">
        <v>9</v>
      </c>
      <c r="F1083" s="47">
        <f t="shared" si="136"/>
        <v>1</v>
      </c>
      <c r="G1083" s="47">
        <f t="shared" si="136"/>
        <v>1</v>
      </c>
      <c r="H1083" s="47">
        <f t="shared" si="136"/>
        <v>1</v>
      </c>
      <c r="I1083" s="47">
        <f t="shared" si="136"/>
        <v>1</v>
      </c>
      <c r="J1083" s="47">
        <f t="shared" si="136"/>
        <v>1</v>
      </c>
      <c r="K1083" s="47">
        <v>1</v>
      </c>
      <c r="L1083" s="47">
        <v>1</v>
      </c>
      <c r="M1083" s="893"/>
    </row>
    <row r="1084" spans="1:13" hidden="1" outlineLevel="1" x14ac:dyDescent="0.2">
      <c r="A1084" s="22" t="s">
        <v>1502</v>
      </c>
      <c r="B1084" s="2" t="s">
        <v>252</v>
      </c>
      <c r="C1084" s="2" t="s">
        <v>1513</v>
      </c>
      <c r="D1084" s="716">
        <v>1</v>
      </c>
      <c r="E1084" s="4" t="s">
        <v>10</v>
      </c>
      <c r="F1084" s="47">
        <f t="shared" si="136"/>
        <v>0</v>
      </c>
      <c r="G1084" s="47">
        <f t="shared" si="136"/>
        <v>0</v>
      </c>
      <c r="H1084" s="47">
        <f t="shared" si="136"/>
        <v>0</v>
      </c>
      <c r="I1084" s="47">
        <f t="shared" si="136"/>
        <v>0</v>
      </c>
      <c r="J1084" s="47">
        <f t="shared" si="136"/>
        <v>0</v>
      </c>
      <c r="K1084" s="47">
        <v>0</v>
      </c>
      <c r="L1084" s="47">
        <v>0</v>
      </c>
      <c r="M1084" s="893"/>
    </row>
    <row r="1085" spans="1:13" hidden="1" outlineLevel="1" x14ac:dyDescent="0.2">
      <c r="A1085" s="22" t="s">
        <v>1502</v>
      </c>
      <c r="B1085" s="2" t="s">
        <v>252</v>
      </c>
      <c r="C1085" s="2" t="s">
        <v>1513</v>
      </c>
      <c r="D1085" s="716">
        <v>1</v>
      </c>
      <c r="E1085" s="4" t="s">
        <v>11</v>
      </c>
      <c r="F1085" s="47">
        <f t="shared" si="136"/>
        <v>0</v>
      </c>
      <c r="G1085" s="47">
        <f t="shared" si="136"/>
        <v>0</v>
      </c>
      <c r="H1085" s="47">
        <f t="shared" si="136"/>
        <v>0</v>
      </c>
      <c r="I1085" s="47">
        <f t="shared" si="136"/>
        <v>0</v>
      </c>
      <c r="J1085" s="47">
        <f t="shared" si="136"/>
        <v>0</v>
      </c>
      <c r="K1085" s="47">
        <v>0</v>
      </c>
      <c r="L1085" s="47">
        <v>0</v>
      </c>
      <c r="M1085" s="893"/>
    </row>
    <row r="1086" spans="1:13" hidden="1" outlineLevel="1" x14ac:dyDescent="0.2">
      <c r="A1086" s="22" t="s">
        <v>1502</v>
      </c>
      <c r="B1086" s="2" t="s">
        <v>252</v>
      </c>
      <c r="C1086" s="2" t="s">
        <v>1513</v>
      </c>
      <c r="D1086" s="716">
        <v>1</v>
      </c>
      <c r="E1086" s="4" t="s">
        <v>12</v>
      </c>
      <c r="F1086" s="47">
        <f t="shared" si="136"/>
        <v>0</v>
      </c>
      <c r="G1086" s="47">
        <f t="shared" si="136"/>
        <v>0</v>
      </c>
      <c r="H1086" s="47">
        <f t="shared" si="136"/>
        <v>0</v>
      </c>
      <c r="I1086" s="47">
        <f t="shared" si="136"/>
        <v>0</v>
      </c>
      <c r="J1086" s="47">
        <f t="shared" si="136"/>
        <v>0</v>
      </c>
      <c r="K1086" s="47">
        <v>0</v>
      </c>
      <c r="L1086" s="47">
        <v>1</v>
      </c>
      <c r="M1086" s="893"/>
    </row>
    <row r="1087" spans="1:13" hidden="1" outlineLevel="1" x14ac:dyDescent="0.2">
      <c r="A1087" s="22" t="s">
        <v>1502</v>
      </c>
      <c r="B1087" s="2" t="s">
        <v>252</v>
      </c>
      <c r="C1087" s="2" t="s">
        <v>1513</v>
      </c>
      <c r="D1087" s="716">
        <v>1</v>
      </c>
      <c r="E1087" s="4" t="s">
        <v>1</v>
      </c>
      <c r="F1087" s="47">
        <f t="shared" si="136"/>
        <v>1</v>
      </c>
      <c r="G1087" s="47">
        <f t="shared" si="136"/>
        <v>1</v>
      </c>
      <c r="H1087" s="47">
        <f t="shared" si="136"/>
        <v>1</v>
      </c>
      <c r="I1087" s="47">
        <f t="shared" si="136"/>
        <v>1</v>
      </c>
      <c r="J1087" s="47">
        <f t="shared" si="136"/>
        <v>1</v>
      </c>
      <c r="K1087" s="47">
        <v>1</v>
      </c>
      <c r="L1087" s="47">
        <v>1</v>
      </c>
      <c r="M1087" s="893"/>
    </row>
    <row r="1088" spans="1:13" hidden="1" outlineLevel="1" x14ac:dyDescent="0.2">
      <c r="A1088" s="22" t="s">
        <v>1502</v>
      </c>
      <c r="B1088" s="2" t="s">
        <v>252</v>
      </c>
      <c r="C1088" s="2" t="s">
        <v>1513</v>
      </c>
      <c r="D1088" s="716">
        <v>1</v>
      </c>
      <c r="E1088" s="4" t="s">
        <v>13</v>
      </c>
      <c r="F1088" s="47">
        <f t="shared" si="136"/>
        <v>0</v>
      </c>
      <c r="G1088" s="47">
        <f t="shared" si="136"/>
        <v>0</v>
      </c>
      <c r="H1088" s="47">
        <f t="shared" si="136"/>
        <v>0</v>
      </c>
      <c r="I1088" s="47">
        <f t="shared" si="136"/>
        <v>0</v>
      </c>
      <c r="J1088" s="47">
        <f t="shared" si="136"/>
        <v>0</v>
      </c>
      <c r="K1088" s="47">
        <v>0</v>
      </c>
      <c r="L1088" s="47">
        <v>0</v>
      </c>
      <c r="M1088" s="893"/>
    </row>
    <row r="1089" spans="1:13" hidden="1" outlineLevel="1" x14ac:dyDescent="0.2">
      <c r="A1089" s="22" t="s">
        <v>1502</v>
      </c>
      <c r="B1089" s="2" t="s">
        <v>252</v>
      </c>
      <c r="C1089" s="2" t="s">
        <v>1513</v>
      </c>
      <c r="D1089" s="716">
        <v>1</v>
      </c>
      <c r="E1089" s="4" t="s">
        <v>14</v>
      </c>
      <c r="F1089" s="47">
        <f t="shared" si="136"/>
        <v>0</v>
      </c>
      <c r="G1089" s="47">
        <f t="shared" si="136"/>
        <v>0</v>
      </c>
      <c r="H1089" s="47">
        <f t="shared" si="136"/>
        <v>0</v>
      </c>
      <c r="I1089" s="47">
        <f t="shared" si="136"/>
        <v>0</v>
      </c>
      <c r="J1089" s="47">
        <f t="shared" si="136"/>
        <v>0</v>
      </c>
      <c r="K1089" s="47">
        <v>0</v>
      </c>
      <c r="L1089" s="47">
        <v>0</v>
      </c>
      <c r="M1089" s="893"/>
    </row>
    <row r="1090" spans="1:13" hidden="1" outlineLevel="1" x14ac:dyDescent="0.2">
      <c r="A1090" s="22" t="s">
        <v>1502</v>
      </c>
      <c r="B1090" s="2" t="s">
        <v>252</v>
      </c>
      <c r="C1090" s="2" t="s">
        <v>1513</v>
      </c>
      <c r="D1090" s="716">
        <v>1</v>
      </c>
      <c r="E1090" s="4" t="s">
        <v>15</v>
      </c>
      <c r="F1090" s="47">
        <f t="shared" si="136"/>
        <v>1</v>
      </c>
      <c r="G1090" s="47">
        <f t="shared" si="136"/>
        <v>1</v>
      </c>
      <c r="H1090" s="47">
        <f t="shared" si="136"/>
        <v>1</v>
      </c>
      <c r="I1090" s="47">
        <f t="shared" si="136"/>
        <v>1</v>
      </c>
      <c r="J1090" s="47">
        <f t="shared" si="136"/>
        <v>1</v>
      </c>
      <c r="K1090" s="47">
        <v>1</v>
      </c>
      <c r="L1090" s="47">
        <v>1</v>
      </c>
      <c r="M1090" s="893"/>
    </row>
    <row r="1091" spans="1:13" hidden="1" outlineLevel="1" x14ac:dyDescent="0.2">
      <c r="A1091" s="22" t="s">
        <v>1502</v>
      </c>
      <c r="B1091" s="2" t="s">
        <v>252</v>
      </c>
      <c r="C1091" s="2" t="s">
        <v>1513</v>
      </c>
      <c r="D1091" s="716">
        <v>1</v>
      </c>
      <c r="E1091" s="4" t="s">
        <v>16</v>
      </c>
      <c r="F1091" s="47">
        <f t="shared" si="136"/>
        <v>0</v>
      </c>
      <c r="G1091" s="47">
        <f t="shared" si="136"/>
        <v>0</v>
      </c>
      <c r="H1091" s="47">
        <f t="shared" si="136"/>
        <v>0</v>
      </c>
      <c r="I1091" s="47">
        <f t="shared" si="136"/>
        <v>0</v>
      </c>
      <c r="J1091" s="47">
        <f t="shared" si="136"/>
        <v>0</v>
      </c>
      <c r="K1091" s="47">
        <v>0</v>
      </c>
      <c r="L1091" s="47">
        <v>0</v>
      </c>
      <c r="M1091" s="893"/>
    </row>
    <row r="1092" spans="1:13" hidden="1" outlineLevel="1" x14ac:dyDescent="0.2">
      <c r="A1092" s="22" t="s">
        <v>1502</v>
      </c>
      <c r="B1092" s="2" t="s">
        <v>252</v>
      </c>
      <c r="C1092" s="2" t="s">
        <v>1513</v>
      </c>
      <c r="D1092" s="716">
        <v>1</v>
      </c>
      <c r="E1092" s="4" t="s">
        <v>17</v>
      </c>
      <c r="F1092" s="47">
        <f t="shared" si="136"/>
        <v>0</v>
      </c>
      <c r="G1092" s="47">
        <f t="shared" si="136"/>
        <v>0</v>
      </c>
      <c r="H1092" s="47">
        <f t="shared" si="136"/>
        <v>0</v>
      </c>
      <c r="I1092" s="47">
        <f t="shared" si="136"/>
        <v>0</v>
      </c>
      <c r="J1092" s="47">
        <f t="shared" si="136"/>
        <v>0</v>
      </c>
      <c r="K1092" s="47">
        <v>0</v>
      </c>
      <c r="L1092" s="47">
        <v>0</v>
      </c>
      <c r="M1092" s="893"/>
    </row>
    <row r="1093" spans="1:13" hidden="1" outlineLevel="1" x14ac:dyDescent="0.2">
      <c r="A1093" s="22" t="s">
        <v>1502</v>
      </c>
      <c r="B1093" s="2" t="s">
        <v>252</v>
      </c>
      <c r="C1093" s="2" t="s">
        <v>1513</v>
      </c>
      <c r="D1093" s="716">
        <v>1</v>
      </c>
      <c r="E1093" s="4" t="s">
        <v>18</v>
      </c>
      <c r="F1093" s="47">
        <f t="shared" si="136"/>
        <v>1</v>
      </c>
      <c r="G1093" s="47">
        <f t="shared" si="136"/>
        <v>1</v>
      </c>
      <c r="H1093" s="47">
        <f t="shared" si="136"/>
        <v>1</v>
      </c>
      <c r="I1093" s="47">
        <f t="shared" si="136"/>
        <v>1</v>
      </c>
      <c r="J1093" s="47">
        <f t="shared" si="136"/>
        <v>1</v>
      </c>
      <c r="K1093" s="47">
        <v>1</v>
      </c>
      <c r="L1093" s="47">
        <v>1</v>
      </c>
      <c r="M1093" s="893"/>
    </row>
    <row r="1094" spans="1:13" hidden="1" outlineLevel="1" x14ac:dyDescent="0.2">
      <c r="A1094" s="22" t="s">
        <v>1502</v>
      </c>
      <c r="B1094" s="2" t="s">
        <v>252</v>
      </c>
      <c r="C1094" s="2" t="s">
        <v>1513</v>
      </c>
      <c r="D1094" s="716">
        <v>1</v>
      </c>
      <c r="E1094" s="4" t="s">
        <v>2</v>
      </c>
      <c r="F1094" s="47">
        <f t="shared" si="136"/>
        <v>0</v>
      </c>
      <c r="G1094" s="47">
        <f t="shared" si="136"/>
        <v>0</v>
      </c>
      <c r="H1094" s="47">
        <f t="shared" si="136"/>
        <v>0</v>
      </c>
      <c r="I1094" s="47">
        <f t="shared" si="136"/>
        <v>0</v>
      </c>
      <c r="J1094" s="47">
        <f t="shared" si="136"/>
        <v>0</v>
      </c>
      <c r="K1094" s="47">
        <v>0</v>
      </c>
      <c r="L1094" s="47">
        <v>0</v>
      </c>
      <c r="M1094" s="893"/>
    </row>
    <row r="1095" spans="1:13" hidden="1" outlineLevel="1" x14ac:dyDescent="0.2">
      <c r="A1095" s="22" t="s">
        <v>1502</v>
      </c>
      <c r="B1095" s="2" t="s">
        <v>252</v>
      </c>
      <c r="C1095" s="2" t="s">
        <v>1513</v>
      </c>
      <c r="D1095" s="716">
        <v>1</v>
      </c>
      <c r="E1095" s="4" t="s">
        <v>19</v>
      </c>
      <c r="F1095" s="47">
        <f t="shared" si="136"/>
        <v>1</v>
      </c>
      <c r="G1095" s="47">
        <f t="shared" si="136"/>
        <v>1</v>
      </c>
      <c r="H1095" s="47">
        <f t="shared" si="136"/>
        <v>1</v>
      </c>
      <c r="I1095" s="47">
        <f t="shared" si="136"/>
        <v>1</v>
      </c>
      <c r="J1095" s="47">
        <f t="shared" si="136"/>
        <v>1</v>
      </c>
      <c r="K1095" s="47">
        <v>1</v>
      </c>
      <c r="L1095" s="47">
        <v>1</v>
      </c>
      <c r="M1095" s="893"/>
    </row>
    <row r="1096" spans="1:13" hidden="1" outlineLevel="1" x14ac:dyDescent="0.2">
      <c r="A1096" s="22" t="s">
        <v>1502</v>
      </c>
      <c r="B1096" s="2" t="s">
        <v>252</v>
      </c>
      <c r="C1096" s="2" t="s">
        <v>1513</v>
      </c>
      <c r="D1096" s="716">
        <v>1</v>
      </c>
      <c r="E1096" s="4" t="s">
        <v>3</v>
      </c>
      <c r="F1096" s="47">
        <f t="shared" si="136"/>
        <v>0</v>
      </c>
      <c r="G1096" s="47">
        <f t="shared" si="136"/>
        <v>0</v>
      </c>
      <c r="H1096" s="47">
        <f t="shared" si="136"/>
        <v>0</v>
      </c>
      <c r="I1096" s="47">
        <f t="shared" si="136"/>
        <v>0</v>
      </c>
      <c r="J1096" s="47">
        <f t="shared" si="136"/>
        <v>0</v>
      </c>
      <c r="K1096" s="47">
        <v>0</v>
      </c>
      <c r="L1096" s="47">
        <v>0</v>
      </c>
      <c r="M1096" s="893"/>
    </row>
    <row r="1097" spans="1:13" hidden="1" outlineLevel="1" x14ac:dyDescent="0.2">
      <c r="A1097" s="22" t="s">
        <v>1502</v>
      </c>
      <c r="B1097" s="2" t="s">
        <v>252</v>
      </c>
      <c r="C1097" s="2" t="s">
        <v>1513</v>
      </c>
      <c r="D1097" s="716">
        <v>1</v>
      </c>
      <c r="E1097" s="4" t="s">
        <v>20</v>
      </c>
      <c r="F1097" s="47">
        <f t="shared" si="136"/>
        <v>1</v>
      </c>
      <c r="G1097" s="47">
        <f t="shared" si="136"/>
        <v>1</v>
      </c>
      <c r="H1097" s="47">
        <f t="shared" si="136"/>
        <v>1</v>
      </c>
      <c r="I1097" s="47">
        <f t="shared" si="136"/>
        <v>1</v>
      </c>
      <c r="J1097" s="47">
        <f t="shared" si="136"/>
        <v>1</v>
      </c>
      <c r="K1097" s="47">
        <v>1</v>
      </c>
      <c r="L1097" s="47">
        <v>1</v>
      </c>
      <c r="M1097" s="893"/>
    </row>
    <row r="1098" spans="1:13" hidden="1" outlineLevel="1" x14ac:dyDescent="0.2">
      <c r="A1098" s="22" t="s">
        <v>1502</v>
      </c>
      <c r="B1098" s="2" t="s">
        <v>252</v>
      </c>
      <c r="C1098" s="2" t="s">
        <v>1513</v>
      </c>
      <c r="D1098" s="716">
        <v>1</v>
      </c>
      <c r="E1098" s="4" t="s">
        <v>21</v>
      </c>
      <c r="F1098" s="47">
        <f t="shared" si="136"/>
        <v>0</v>
      </c>
      <c r="G1098" s="47">
        <f t="shared" si="136"/>
        <v>0</v>
      </c>
      <c r="H1098" s="47">
        <f t="shared" si="136"/>
        <v>0</v>
      </c>
      <c r="I1098" s="47">
        <f t="shared" si="136"/>
        <v>0</v>
      </c>
      <c r="J1098" s="47">
        <f t="shared" si="136"/>
        <v>0</v>
      </c>
      <c r="K1098" s="47">
        <v>0</v>
      </c>
      <c r="L1098" s="47">
        <v>0</v>
      </c>
      <c r="M1098" s="893"/>
    </row>
    <row r="1099" spans="1:13" hidden="1" outlineLevel="1" x14ac:dyDescent="0.2">
      <c r="A1099" s="22" t="s">
        <v>1502</v>
      </c>
      <c r="B1099" s="2" t="s">
        <v>252</v>
      </c>
      <c r="C1099" s="2" t="s">
        <v>1513</v>
      </c>
      <c r="D1099" s="716">
        <v>1</v>
      </c>
      <c r="E1099" s="4" t="s">
        <v>1096</v>
      </c>
      <c r="F1099" s="47">
        <f t="shared" si="136"/>
        <v>0</v>
      </c>
      <c r="G1099" s="47">
        <f t="shared" si="136"/>
        <v>0</v>
      </c>
      <c r="H1099" s="47">
        <f t="shared" si="136"/>
        <v>0</v>
      </c>
      <c r="I1099" s="47">
        <f t="shared" si="136"/>
        <v>0</v>
      </c>
      <c r="J1099" s="47">
        <f t="shared" si="136"/>
        <v>0</v>
      </c>
      <c r="K1099" s="47">
        <v>0</v>
      </c>
      <c r="L1099" s="47">
        <v>1</v>
      </c>
      <c r="M1099" s="893"/>
    </row>
    <row r="1100" spans="1:13" hidden="1" outlineLevel="1" x14ac:dyDescent="0.2">
      <c r="A1100" s="22" t="s">
        <v>1502</v>
      </c>
      <c r="B1100" s="2" t="s">
        <v>252</v>
      </c>
      <c r="C1100" s="2" t="s">
        <v>1513</v>
      </c>
      <c r="D1100" s="716">
        <v>1</v>
      </c>
      <c r="E1100" s="4" t="s">
        <v>22</v>
      </c>
      <c r="F1100" s="47">
        <f t="shared" si="136"/>
        <v>0</v>
      </c>
      <c r="G1100" s="47">
        <f t="shared" si="136"/>
        <v>0</v>
      </c>
      <c r="H1100" s="47">
        <f t="shared" si="136"/>
        <v>0</v>
      </c>
      <c r="I1100" s="47">
        <f t="shared" si="136"/>
        <v>0</v>
      </c>
      <c r="J1100" s="47">
        <f t="shared" si="136"/>
        <v>0</v>
      </c>
      <c r="K1100" s="47">
        <v>0</v>
      </c>
      <c r="L1100" s="47">
        <v>0</v>
      </c>
      <c r="M1100" s="893"/>
    </row>
    <row r="1101" spans="1:13" hidden="1" outlineLevel="1" x14ac:dyDescent="0.2">
      <c r="A1101" s="91" t="s">
        <v>1502</v>
      </c>
      <c r="B1101" s="3" t="s">
        <v>252</v>
      </c>
      <c r="C1101" s="3" t="s">
        <v>1513</v>
      </c>
      <c r="D1101" s="717">
        <v>1</v>
      </c>
      <c r="E1101" s="469" t="s">
        <v>23</v>
      </c>
      <c r="F1101" s="48">
        <f t="shared" si="136"/>
        <v>0</v>
      </c>
      <c r="G1101" s="48">
        <f t="shared" si="136"/>
        <v>0</v>
      </c>
      <c r="H1101" s="48">
        <f t="shared" si="136"/>
        <v>0</v>
      </c>
      <c r="I1101" s="48">
        <f t="shared" si="136"/>
        <v>0</v>
      </c>
      <c r="J1101" s="48">
        <f t="shared" si="136"/>
        <v>0</v>
      </c>
      <c r="K1101" s="363">
        <v>0</v>
      </c>
      <c r="L1101" s="363">
        <v>0</v>
      </c>
      <c r="M1101" s="920"/>
    </row>
    <row r="1102" spans="1:13" hidden="1" outlineLevel="1" x14ac:dyDescent="0.2">
      <c r="A1102" s="92" t="s">
        <v>1502</v>
      </c>
      <c r="B1102" s="81" t="s">
        <v>252</v>
      </c>
      <c r="C1102" s="81" t="s">
        <v>1514</v>
      </c>
      <c r="D1102" s="715">
        <v>1</v>
      </c>
      <c r="E1102" s="468" t="s">
        <v>4</v>
      </c>
      <c r="F1102" s="380">
        <f t="shared" si="136"/>
        <v>0</v>
      </c>
      <c r="G1102" s="89">
        <f t="shared" si="136"/>
        <v>0</v>
      </c>
      <c r="H1102" s="89">
        <f t="shared" si="136"/>
        <v>0</v>
      </c>
      <c r="I1102" s="89">
        <f t="shared" si="136"/>
        <v>0</v>
      </c>
      <c r="J1102" s="89">
        <f t="shared" si="136"/>
        <v>0</v>
      </c>
      <c r="K1102" s="380">
        <v>0</v>
      </c>
      <c r="L1102" s="380">
        <v>0</v>
      </c>
      <c r="M1102" s="892"/>
    </row>
    <row r="1103" spans="1:13" hidden="1" outlineLevel="1" x14ac:dyDescent="0.2">
      <c r="A1103" s="22" t="s">
        <v>1502</v>
      </c>
      <c r="B1103" s="2" t="s">
        <v>252</v>
      </c>
      <c r="C1103" s="2" t="s">
        <v>1514</v>
      </c>
      <c r="D1103" s="716">
        <v>1</v>
      </c>
      <c r="E1103" s="4" t="s">
        <v>5</v>
      </c>
      <c r="F1103" s="47">
        <f t="shared" si="136"/>
        <v>0</v>
      </c>
      <c r="G1103" s="47">
        <f t="shared" si="136"/>
        <v>0</v>
      </c>
      <c r="H1103" s="47">
        <f t="shared" si="136"/>
        <v>0</v>
      </c>
      <c r="I1103" s="47">
        <f t="shared" si="136"/>
        <v>0</v>
      </c>
      <c r="J1103" s="47">
        <f t="shared" si="136"/>
        <v>0</v>
      </c>
      <c r="K1103" s="47">
        <v>0</v>
      </c>
      <c r="L1103" s="47">
        <v>0</v>
      </c>
      <c r="M1103" s="893"/>
    </row>
    <row r="1104" spans="1:13" hidden="1" outlineLevel="1" x14ac:dyDescent="0.2">
      <c r="A1104" s="22" t="s">
        <v>1502</v>
      </c>
      <c r="B1104" s="2" t="s">
        <v>252</v>
      </c>
      <c r="C1104" s="2" t="s">
        <v>1514</v>
      </c>
      <c r="D1104" s="716">
        <v>1</v>
      </c>
      <c r="E1104" s="4" t="s">
        <v>6</v>
      </c>
      <c r="F1104" s="47">
        <f t="shared" si="136"/>
        <v>0</v>
      </c>
      <c r="G1104" s="47">
        <f t="shared" si="136"/>
        <v>0</v>
      </c>
      <c r="H1104" s="47">
        <f t="shared" si="136"/>
        <v>0</v>
      </c>
      <c r="I1104" s="47">
        <f t="shared" si="136"/>
        <v>0</v>
      </c>
      <c r="J1104" s="47">
        <f t="shared" si="136"/>
        <v>0</v>
      </c>
      <c r="K1104" s="47">
        <v>0</v>
      </c>
      <c r="L1104" s="47">
        <v>0</v>
      </c>
      <c r="M1104" s="893"/>
    </row>
    <row r="1105" spans="1:13" hidden="1" outlineLevel="1" x14ac:dyDescent="0.2">
      <c r="A1105" s="22" t="s">
        <v>1502</v>
      </c>
      <c r="B1105" s="2" t="s">
        <v>252</v>
      </c>
      <c r="C1105" s="2" t="s">
        <v>1514</v>
      </c>
      <c r="D1105" s="716">
        <v>1</v>
      </c>
      <c r="E1105" s="4" t="s">
        <v>143</v>
      </c>
      <c r="F1105" s="47">
        <f t="shared" si="136"/>
        <v>0</v>
      </c>
      <c r="G1105" s="47">
        <f t="shared" si="136"/>
        <v>0</v>
      </c>
      <c r="H1105" s="47">
        <f t="shared" si="136"/>
        <v>0</v>
      </c>
      <c r="I1105" s="47">
        <f t="shared" si="136"/>
        <v>0</v>
      </c>
      <c r="J1105" s="47">
        <f t="shared" si="136"/>
        <v>0</v>
      </c>
      <c r="K1105" s="47">
        <v>0</v>
      </c>
      <c r="L1105" s="47">
        <v>0</v>
      </c>
      <c r="M1105" s="893"/>
    </row>
    <row r="1106" spans="1:13" hidden="1" outlineLevel="1" x14ac:dyDescent="0.2">
      <c r="A1106" s="22" t="s">
        <v>1502</v>
      </c>
      <c r="B1106" s="2" t="s">
        <v>252</v>
      </c>
      <c r="C1106" s="2" t="s">
        <v>1514</v>
      </c>
      <c r="D1106" s="716">
        <v>1</v>
      </c>
      <c r="E1106" s="4" t="s">
        <v>7</v>
      </c>
      <c r="F1106" s="47">
        <f t="shared" si="136"/>
        <v>0</v>
      </c>
      <c r="G1106" s="47">
        <f t="shared" si="136"/>
        <v>0</v>
      </c>
      <c r="H1106" s="47">
        <f t="shared" si="136"/>
        <v>0</v>
      </c>
      <c r="I1106" s="47">
        <f t="shared" si="136"/>
        <v>0</v>
      </c>
      <c r="J1106" s="47">
        <f t="shared" si="136"/>
        <v>0</v>
      </c>
      <c r="K1106" s="47">
        <v>0</v>
      </c>
      <c r="L1106" s="47">
        <v>0</v>
      </c>
      <c r="M1106" s="893"/>
    </row>
    <row r="1107" spans="1:13" hidden="1" outlineLevel="1" x14ac:dyDescent="0.2">
      <c r="A1107" s="22" t="s">
        <v>1502</v>
      </c>
      <c r="B1107" s="2" t="s">
        <v>252</v>
      </c>
      <c r="C1107" s="2" t="s">
        <v>1514</v>
      </c>
      <c r="D1107" s="716">
        <v>1</v>
      </c>
      <c r="E1107" s="4" t="s">
        <v>31</v>
      </c>
      <c r="F1107" s="47">
        <f t="shared" si="136"/>
        <v>1</v>
      </c>
      <c r="G1107" s="47">
        <f t="shared" si="136"/>
        <v>1</v>
      </c>
      <c r="H1107" s="47">
        <f t="shared" si="136"/>
        <v>1</v>
      </c>
      <c r="I1107" s="47">
        <f t="shared" si="136"/>
        <v>1</v>
      </c>
      <c r="J1107" s="47">
        <f t="shared" si="136"/>
        <v>1</v>
      </c>
      <c r="K1107" s="47">
        <v>1</v>
      </c>
      <c r="L1107" s="47">
        <v>1</v>
      </c>
      <c r="M1107" s="893"/>
    </row>
    <row r="1108" spans="1:13" hidden="1" outlineLevel="1" x14ac:dyDescent="0.2">
      <c r="A1108" s="22" t="s">
        <v>1502</v>
      </c>
      <c r="B1108" s="2" t="s">
        <v>252</v>
      </c>
      <c r="C1108" s="2" t="s">
        <v>1514</v>
      </c>
      <c r="D1108" s="716">
        <v>1</v>
      </c>
      <c r="E1108" s="4" t="s">
        <v>8</v>
      </c>
      <c r="F1108" s="47">
        <f t="shared" si="136"/>
        <v>0</v>
      </c>
      <c r="G1108" s="47">
        <f t="shared" si="136"/>
        <v>0</v>
      </c>
      <c r="H1108" s="47">
        <f t="shared" si="136"/>
        <v>0</v>
      </c>
      <c r="I1108" s="47">
        <f t="shared" si="136"/>
        <v>0</v>
      </c>
      <c r="J1108" s="47">
        <f t="shared" si="136"/>
        <v>0</v>
      </c>
      <c r="K1108" s="47">
        <v>0</v>
      </c>
      <c r="L1108" s="47">
        <v>0</v>
      </c>
      <c r="M1108" s="893"/>
    </row>
    <row r="1109" spans="1:13" hidden="1" outlineLevel="1" x14ac:dyDescent="0.2">
      <c r="A1109" s="22" t="s">
        <v>1502</v>
      </c>
      <c r="B1109" s="2" t="s">
        <v>252</v>
      </c>
      <c r="C1109" s="2" t="s">
        <v>1514</v>
      </c>
      <c r="D1109" s="716">
        <v>1</v>
      </c>
      <c r="E1109" s="4" t="s">
        <v>9</v>
      </c>
      <c r="F1109" s="47">
        <f t="shared" si="136"/>
        <v>0</v>
      </c>
      <c r="G1109" s="47">
        <f t="shared" si="136"/>
        <v>0</v>
      </c>
      <c r="H1109" s="47">
        <f t="shared" si="136"/>
        <v>0</v>
      </c>
      <c r="I1109" s="47">
        <f t="shared" si="136"/>
        <v>0</v>
      </c>
      <c r="J1109" s="47">
        <f t="shared" si="136"/>
        <v>0</v>
      </c>
      <c r="K1109" s="47">
        <v>0</v>
      </c>
      <c r="L1109" s="47">
        <v>0</v>
      </c>
      <c r="M1109" s="893"/>
    </row>
    <row r="1110" spans="1:13" hidden="1" outlineLevel="1" x14ac:dyDescent="0.2">
      <c r="A1110" s="22" t="s">
        <v>1502</v>
      </c>
      <c r="B1110" s="2" t="s">
        <v>252</v>
      </c>
      <c r="C1110" s="2" t="s">
        <v>1514</v>
      </c>
      <c r="D1110" s="716">
        <v>1</v>
      </c>
      <c r="E1110" s="4" t="s">
        <v>10</v>
      </c>
      <c r="F1110" s="47">
        <f t="shared" si="136"/>
        <v>1</v>
      </c>
      <c r="G1110" s="47">
        <f t="shared" si="136"/>
        <v>1</v>
      </c>
      <c r="H1110" s="47">
        <f t="shared" si="136"/>
        <v>1</v>
      </c>
      <c r="I1110" s="47">
        <f t="shared" si="136"/>
        <v>1</v>
      </c>
      <c r="J1110" s="47">
        <f t="shared" si="136"/>
        <v>1</v>
      </c>
      <c r="K1110" s="47">
        <v>1</v>
      </c>
      <c r="L1110" s="47">
        <v>1</v>
      </c>
      <c r="M1110" s="893"/>
    </row>
    <row r="1111" spans="1:13" hidden="1" outlineLevel="1" x14ac:dyDescent="0.2">
      <c r="A1111" s="22" t="s">
        <v>1502</v>
      </c>
      <c r="B1111" s="2" t="s">
        <v>252</v>
      </c>
      <c r="C1111" s="2" t="s">
        <v>1514</v>
      </c>
      <c r="D1111" s="716">
        <v>1</v>
      </c>
      <c r="E1111" s="4" t="s">
        <v>11</v>
      </c>
      <c r="F1111" s="47">
        <f t="shared" si="136"/>
        <v>0</v>
      </c>
      <c r="G1111" s="47">
        <f t="shared" si="136"/>
        <v>0</v>
      </c>
      <c r="H1111" s="47">
        <f t="shared" si="136"/>
        <v>0</v>
      </c>
      <c r="I1111" s="47">
        <f t="shared" si="136"/>
        <v>0</v>
      </c>
      <c r="J1111" s="47">
        <f t="shared" si="136"/>
        <v>0</v>
      </c>
      <c r="K1111" s="47">
        <v>0</v>
      </c>
      <c r="L1111" s="47">
        <v>0</v>
      </c>
      <c r="M1111" s="893"/>
    </row>
    <row r="1112" spans="1:13" hidden="1" outlineLevel="1" x14ac:dyDescent="0.2">
      <c r="A1112" s="22" t="s">
        <v>1502</v>
      </c>
      <c r="B1112" s="2" t="s">
        <v>252</v>
      </c>
      <c r="C1112" s="2" t="s">
        <v>1514</v>
      </c>
      <c r="D1112" s="716">
        <v>1</v>
      </c>
      <c r="E1112" s="4" t="s">
        <v>12</v>
      </c>
      <c r="F1112" s="47">
        <f t="shared" si="136"/>
        <v>0</v>
      </c>
      <c r="G1112" s="47">
        <f t="shared" si="136"/>
        <v>0</v>
      </c>
      <c r="H1112" s="47">
        <f t="shared" si="136"/>
        <v>0</v>
      </c>
      <c r="I1112" s="47">
        <f t="shared" si="136"/>
        <v>0</v>
      </c>
      <c r="J1112" s="47">
        <f t="shared" si="136"/>
        <v>0</v>
      </c>
      <c r="K1112" s="47">
        <v>0</v>
      </c>
      <c r="L1112" s="47">
        <v>0</v>
      </c>
      <c r="M1112" s="893"/>
    </row>
    <row r="1113" spans="1:13" hidden="1" outlineLevel="1" x14ac:dyDescent="0.2">
      <c r="A1113" s="22" t="s">
        <v>1502</v>
      </c>
      <c r="B1113" s="2" t="s">
        <v>252</v>
      </c>
      <c r="C1113" s="2" t="s">
        <v>1514</v>
      </c>
      <c r="D1113" s="716">
        <v>1</v>
      </c>
      <c r="E1113" s="4" t="s">
        <v>1</v>
      </c>
      <c r="F1113" s="47">
        <f t="shared" si="136"/>
        <v>0</v>
      </c>
      <c r="G1113" s="47">
        <f t="shared" si="136"/>
        <v>0</v>
      </c>
      <c r="H1113" s="47">
        <f t="shared" si="136"/>
        <v>0</v>
      </c>
      <c r="I1113" s="47">
        <f t="shared" si="136"/>
        <v>0</v>
      </c>
      <c r="J1113" s="47">
        <f t="shared" si="136"/>
        <v>0</v>
      </c>
      <c r="K1113" s="47">
        <v>0</v>
      </c>
      <c r="L1113" s="47">
        <v>0</v>
      </c>
      <c r="M1113" s="893"/>
    </row>
    <row r="1114" spans="1:13" hidden="1" outlineLevel="1" x14ac:dyDescent="0.2">
      <c r="A1114" s="22" t="s">
        <v>1502</v>
      </c>
      <c r="B1114" s="2" t="s">
        <v>252</v>
      </c>
      <c r="C1114" s="2" t="s">
        <v>1514</v>
      </c>
      <c r="D1114" s="716">
        <v>1</v>
      </c>
      <c r="E1114" s="4" t="s">
        <v>13</v>
      </c>
      <c r="F1114" s="47">
        <f t="shared" si="136"/>
        <v>0</v>
      </c>
      <c r="G1114" s="47">
        <f t="shared" si="136"/>
        <v>0</v>
      </c>
      <c r="H1114" s="47">
        <f t="shared" si="136"/>
        <v>0</v>
      </c>
      <c r="I1114" s="47">
        <f t="shared" si="136"/>
        <v>0</v>
      </c>
      <c r="J1114" s="47">
        <f t="shared" si="136"/>
        <v>0</v>
      </c>
      <c r="K1114" s="47">
        <v>0</v>
      </c>
      <c r="L1114" s="47">
        <v>0</v>
      </c>
      <c r="M1114" s="893"/>
    </row>
    <row r="1115" spans="1:13" hidden="1" outlineLevel="1" x14ac:dyDescent="0.2">
      <c r="A1115" s="22" t="s">
        <v>1502</v>
      </c>
      <c r="B1115" s="2" t="s">
        <v>252</v>
      </c>
      <c r="C1115" s="2" t="s">
        <v>1514</v>
      </c>
      <c r="D1115" s="716">
        <v>1</v>
      </c>
      <c r="E1115" s="4" t="s">
        <v>14</v>
      </c>
      <c r="F1115" s="47">
        <f t="shared" si="136"/>
        <v>0</v>
      </c>
      <c r="G1115" s="47">
        <f t="shared" si="136"/>
        <v>0</v>
      </c>
      <c r="H1115" s="47">
        <f t="shared" si="136"/>
        <v>0</v>
      </c>
      <c r="I1115" s="47">
        <f t="shared" si="136"/>
        <v>0</v>
      </c>
      <c r="J1115" s="47">
        <f t="shared" si="136"/>
        <v>0</v>
      </c>
      <c r="K1115" s="47">
        <v>0</v>
      </c>
      <c r="L1115" s="47">
        <v>0</v>
      </c>
      <c r="M1115" s="893"/>
    </row>
    <row r="1116" spans="1:13" hidden="1" outlineLevel="1" x14ac:dyDescent="0.2">
      <c r="A1116" s="22" t="s">
        <v>1502</v>
      </c>
      <c r="B1116" s="2" t="s">
        <v>252</v>
      </c>
      <c r="C1116" s="2" t="s">
        <v>1514</v>
      </c>
      <c r="D1116" s="716">
        <v>1</v>
      </c>
      <c r="E1116" s="4" t="s">
        <v>15</v>
      </c>
      <c r="F1116" s="47">
        <f t="shared" si="136"/>
        <v>0</v>
      </c>
      <c r="G1116" s="47">
        <f t="shared" si="136"/>
        <v>0</v>
      </c>
      <c r="H1116" s="47">
        <f t="shared" si="136"/>
        <v>0</v>
      </c>
      <c r="I1116" s="47">
        <f t="shared" si="136"/>
        <v>0</v>
      </c>
      <c r="J1116" s="47">
        <f t="shared" si="136"/>
        <v>0</v>
      </c>
      <c r="K1116" s="47">
        <v>0</v>
      </c>
      <c r="L1116" s="47">
        <v>0</v>
      </c>
      <c r="M1116" s="893"/>
    </row>
    <row r="1117" spans="1:13" hidden="1" outlineLevel="1" x14ac:dyDescent="0.2">
      <c r="A1117" s="22" t="s">
        <v>1502</v>
      </c>
      <c r="B1117" s="2" t="s">
        <v>252</v>
      </c>
      <c r="C1117" s="2" t="s">
        <v>1514</v>
      </c>
      <c r="D1117" s="716">
        <v>1</v>
      </c>
      <c r="E1117" s="4" t="s">
        <v>16</v>
      </c>
      <c r="F1117" s="47">
        <f t="shared" si="136"/>
        <v>0</v>
      </c>
      <c r="G1117" s="47">
        <f t="shared" si="136"/>
        <v>0</v>
      </c>
      <c r="H1117" s="47">
        <f t="shared" si="136"/>
        <v>0</v>
      </c>
      <c r="I1117" s="47">
        <f t="shared" si="136"/>
        <v>0</v>
      </c>
      <c r="J1117" s="47">
        <f t="shared" si="136"/>
        <v>0</v>
      </c>
      <c r="K1117" s="47">
        <v>0</v>
      </c>
      <c r="L1117" s="47">
        <v>0</v>
      </c>
      <c r="M1117" s="893"/>
    </row>
    <row r="1118" spans="1:13" hidden="1" outlineLevel="1" x14ac:dyDescent="0.2">
      <c r="A1118" s="22" t="s">
        <v>1502</v>
      </c>
      <c r="B1118" s="2" t="s">
        <v>252</v>
      </c>
      <c r="C1118" s="2" t="s">
        <v>1514</v>
      </c>
      <c r="D1118" s="716">
        <v>1</v>
      </c>
      <c r="E1118" s="4" t="s">
        <v>17</v>
      </c>
      <c r="F1118" s="47">
        <f t="shared" si="136"/>
        <v>0</v>
      </c>
      <c r="G1118" s="47">
        <f t="shared" si="136"/>
        <v>0</v>
      </c>
      <c r="H1118" s="47">
        <f t="shared" si="136"/>
        <v>0</v>
      </c>
      <c r="I1118" s="47">
        <f t="shared" si="136"/>
        <v>0</v>
      </c>
      <c r="J1118" s="47">
        <f t="shared" si="136"/>
        <v>0</v>
      </c>
      <c r="K1118" s="47">
        <v>0</v>
      </c>
      <c r="L1118" s="47">
        <v>0</v>
      </c>
      <c r="M1118" s="893"/>
    </row>
    <row r="1119" spans="1:13" hidden="1" outlineLevel="1" x14ac:dyDescent="0.2">
      <c r="A1119" s="22" t="s">
        <v>1502</v>
      </c>
      <c r="B1119" s="2" t="s">
        <v>252</v>
      </c>
      <c r="C1119" s="2" t="s">
        <v>1514</v>
      </c>
      <c r="D1119" s="716">
        <v>1</v>
      </c>
      <c r="E1119" s="4" t="s">
        <v>18</v>
      </c>
      <c r="F1119" s="47">
        <f t="shared" si="136"/>
        <v>0</v>
      </c>
      <c r="G1119" s="47">
        <f t="shared" si="136"/>
        <v>0</v>
      </c>
      <c r="H1119" s="47">
        <f t="shared" si="136"/>
        <v>0</v>
      </c>
      <c r="I1119" s="47">
        <f t="shared" si="136"/>
        <v>0</v>
      </c>
      <c r="J1119" s="47">
        <f t="shared" si="136"/>
        <v>0</v>
      </c>
      <c r="K1119" s="47">
        <v>0</v>
      </c>
      <c r="L1119" s="47">
        <v>0</v>
      </c>
      <c r="M1119" s="893"/>
    </row>
    <row r="1120" spans="1:13" hidden="1" outlineLevel="1" x14ac:dyDescent="0.2">
      <c r="A1120" s="22" t="s">
        <v>1502</v>
      </c>
      <c r="B1120" s="2" t="s">
        <v>252</v>
      </c>
      <c r="C1120" s="2" t="s">
        <v>1514</v>
      </c>
      <c r="D1120" s="716">
        <v>1</v>
      </c>
      <c r="E1120" s="4" t="s">
        <v>2</v>
      </c>
      <c r="F1120" s="47">
        <f t="shared" si="136"/>
        <v>0</v>
      </c>
      <c r="G1120" s="47">
        <f t="shared" si="136"/>
        <v>0</v>
      </c>
      <c r="H1120" s="47">
        <f t="shared" si="136"/>
        <v>0</v>
      </c>
      <c r="I1120" s="47">
        <f t="shared" si="136"/>
        <v>0</v>
      </c>
      <c r="J1120" s="47">
        <f t="shared" ref="J1120:J1183" si="137">K1120</f>
        <v>0</v>
      </c>
      <c r="K1120" s="47">
        <v>0</v>
      </c>
      <c r="L1120" s="47">
        <v>0</v>
      </c>
      <c r="M1120" s="893"/>
    </row>
    <row r="1121" spans="1:13" hidden="1" outlineLevel="1" x14ac:dyDescent="0.2">
      <c r="A1121" s="22" t="s">
        <v>1502</v>
      </c>
      <c r="B1121" s="2" t="s">
        <v>252</v>
      </c>
      <c r="C1121" s="2" t="s">
        <v>1514</v>
      </c>
      <c r="D1121" s="716">
        <v>1</v>
      </c>
      <c r="E1121" s="4" t="s">
        <v>19</v>
      </c>
      <c r="F1121" s="47">
        <f t="shared" si="136"/>
        <v>0</v>
      </c>
      <c r="G1121" s="47">
        <f t="shared" ref="G1121:I1121" si="138">H1121</f>
        <v>0</v>
      </c>
      <c r="H1121" s="47">
        <f t="shared" si="138"/>
        <v>0</v>
      </c>
      <c r="I1121" s="47">
        <f t="shared" si="138"/>
        <v>0</v>
      </c>
      <c r="J1121" s="47">
        <f t="shared" si="137"/>
        <v>0</v>
      </c>
      <c r="K1121" s="47">
        <v>0</v>
      </c>
      <c r="L1121" s="47">
        <v>0</v>
      </c>
      <c r="M1121" s="893"/>
    </row>
    <row r="1122" spans="1:13" hidden="1" outlineLevel="1" x14ac:dyDescent="0.2">
      <c r="A1122" s="22" t="s">
        <v>1502</v>
      </c>
      <c r="B1122" s="2" t="s">
        <v>252</v>
      </c>
      <c r="C1122" s="2" t="s">
        <v>1514</v>
      </c>
      <c r="D1122" s="716">
        <v>1</v>
      </c>
      <c r="E1122" s="4" t="s">
        <v>3</v>
      </c>
      <c r="F1122" s="47">
        <f t="shared" si="136"/>
        <v>0</v>
      </c>
      <c r="G1122" s="47">
        <f t="shared" ref="G1122:I1122" si="139">H1122</f>
        <v>0</v>
      </c>
      <c r="H1122" s="47">
        <f t="shared" si="139"/>
        <v>0</v>
      </c>
      <c r="I1122" s="47">
        <f t="shared" si="139"/>
        <v>0</v>
      </c>
      <c r="J1122" s="47">
        <f t="shared" si="137"/>
        <v>0</v>
      </c>
      <c r="K1122" s="47">
        <v>0</v>
      </c>
      <c r="L1122" s="47">
        <v>0</v>
      </c>
      <c r="M1122" s="893"/>
    </row>
    <row r="1123" spans="1:13" hidden="1" outlineLevel="1" x14ac:dyDescent="0.2">
      <c r="A1123" s="22" t="s">
        <v>1502</v>
      </c>
      <c r="B1123" s="2" t="s">
        <v>252</v>
      </c>
      <c r="C1123" s="2" t="s">
        <v>1514</v>
      </c>
      <c r="D1123" s="716">
        <v>1</v>
      </c>
      <c r="E1123" s="4" t="s">
        <v>20</v>
      </c>
      <c r="F1123" s="47">
        <f t="shared" si="136"/>
        <v>0</v>
      </c>
      <c r="G1123" s="47">
        <f t="shared" ref="G1123:I1123" si="140">H1123</f>
        <v>0</v>
      </c>
      <c r="H1123" s="47">
        <f t="shared" si="140"/>
        <v>0</v>
      </c>
      <c r="I1123" s="47">
        <f t="shared" si="140"/>
        <v>0</v>
      </c>
      <c r="J1123" s="47">
        <f t="shared" si="137"/>
        <v>0</v>
      </c>
      <c r="K1123" s="47">
        <v>0</v>
      </c>
      <c r="L1123" s="47">
        <v>0</v>
      </c>
      <c r="M1123" s="893"/>
    </row>
    <row r="1124" spans="1:13" hidden="1" outlineLevel="1" x14ac:dyDescent="0.2">
      <c r="A1124" s="22" t="s">
        <v>1502</v>
      </c>
      <c r="B1124" s="2" t="s">
        <v>252</v>
      </c>
      <c r="C1124" s="2" t="s">
        <v>1514</v>
      </c>
      <c r="D1124" s="716">
        <v>1</v>
      </c>
      <c r="E1124" s="4" t="s">
        <v>21</v>
      </c>
      <c r="F1124" s="47">
        <f t="shared" si="136"/>
        <v>0</v>
      </c>
      <c r="G1124" s="47">
        <f t="shared" ref="G1124:I1124" si="141">H1124</f>
        <v>0</v>
      </c>
      <c r="H1124" s="47">
        <f t="shared" si="141"/>
        <v>0</v>
      </c>
      <c r="I1124" s="47">
        <f t="shared" si="141"/>
        <v>0</v>
      </c>
      <c r="J1124" s="47">
        <f t="shared" si="137"/>
        <v>0</v>
      </c>
      <c r="K1124" s="47">
        <v>0</v>
      </c>
      <c r="L1124" s="47">
        <v>0</v>
      </c>
      <c r="M1124" s="893"/>
    </row>
    <row r="1125" spans="1:13" hidden="1" outlineLevel="1" x14ac:dyDescent="0.2">
      <c r="A1125" s="22" t="s">
        <v>1502</v>
      </c>
      <c r="B1125" s="2" t="s">
        <v>252</v>
      </c>
      <c r="C1125" s="2" t="s">
        <v>1514</v>
      </c>
      <c r="D1125" s="716">
        <v>1</v>
      </c>
      <c r="E1125" s="4" t="s">
        <v>1096</v>
      </c>
      <c r="F1125" s="47">
        <f t="shared" si="136"/>
        <v>0</v>
      </c>
      <c r="G1125" s="47">
        <f t="shared" ref="G1125:I1125" si="142">H1125</f>
        <v>0</v>
      </c>
      <c r="H1125" s="47">
        <f t="shared" si="142"/>
        <v>0</v>
      </c>
      <c r="I1125" s="47">
        <f t="shared" si="142"/>
        <v>0</v>
      </c>
      <c r="J1125" s="47">
        <f t="shared" si="137"/>
        <v>0</v>
      </c>
      <c r="K1125" s="47">
        <v>0</v>
      </c>
      <c r="L1125" s="47">
        <v>0</v>
      </c>
      <c r="M1125" s="893"/>
    </row>
    <row r="1126" spans="1:13" hidden="1" outlineLevel="1" x14ac:dyDescent="0.2">
      <c r="A1126" s="22" t="s">
        <v>1502</v>
      </c>
      <c r="B1126" s="2" t="s">
        <v>252</v>
      </c>
      <c r="C1126" s="2" t="s">
        <v>1514</v>
      </c>
      <c r="D1126" s="716">
        <v>1</v>
      </c>
      <c r="E1126" s="4" t="s">
        <v>22</v>
      </c>
      <c r="F1126" s="47">
        <f t="shared" si="136"/>
        <v>0</v>
      </c>
      <c r="G1126" s="47">
        <f t="shared" ref="G1126:I1126" si="143">H1126</f>
        <v>0</v>
      </c>
      <c r="H1126" s="47">
        <f t="shared" si="143"/>
        <v>0</v>
      </c>
      <c r="I1126" s="47">
        <f t="shared" si="143"/>
        <v>0</v>
      </c>
      <c r="J1126" s="47">
        <f t="shared" si="137"/>
        <v>0</v>
      </c>
      <c r="K1126" s="47">
        <v>0</v>
      </c>
      <c r="L1126" s="47">
        <v>0</v>
      </c>
      <c r="M1126" s="893"/>
    </row>
    <row r="1127" spans="1:13" hidden="1" outlineLevel="1" x14ac:dyDescent="0.2">
      <c r="A1127" s="91" t="s">
        <v>1502</v>
      </c>
      <c r="B1127" s="3" t="s">
        <v>252</v>
      </c>
      <c r="C1127" s="3" t="s">
        <v>1514</v>
      </c>
      <c r="D1127" s="717">
        <v>1</v>
      </c>
      <c r="E1127" s="469" t="s">
        <v>23</v>
      </c>
      <c r="F1127" s="48">
        <f t="shared" si="136"/>
        <v>0</v>
      </c>
      <c r="G1127" s="48">
        <f t="shared" ref="G1127:I1127" si="144">H1127</f>
        <v>0</v>
      </c>
      <c r="H1127" s="48">
        <f t="shared" si="144"/>
        <v>0</v>
      </c>
      <c r="I1127" s="48">
        <f t="shared" si="144"/>
        <v>0</v>
      </c>
      <c r="J1127" s="48">
        <f t="shared" si="137"/>
        <v>0</v>
      </c>
      <c r="K1127" s="363">
        <v>0</v>
      </c>
      <c r="L1127" s="363">
        <v>0</v>
      </c>
      <c r="M1127" s="920"/>
    </row>
    <row r="1128" spans="1:13" hidden="1" outlineLevel="1" x14ac:dyDescent="0.2">
      <c r="A1128" s="92" t="s">
        <v>1502</v>
      </c>
      <c r="B1128" s="81" t="s">
        <v>252</v>
      </c>
      <c r="C1128" s="81" t="s">
        <v>1515</v>
      </c>
      <c r="D1128" s="715">
        <v>1</v>
      </c>
      <c r="E1128" s="468" t="s">
        <v>4</v>
      </c>
      <c r="F1128" s="380">
        <f t="shared" si="136"/>
        <v>0</v>
      </c>
      <c r="G1128" s="89">
        <f t="shared" ref="G1128:I1128" si="145">H1128</f>
        <v>0</v>
      </c>
      <c r="H1128" s="89">
        <f t="shared" si="145"/>
        <v>0</v>
      </c>
      <c r="I1128" s="89">
        <f t="shared" si="145"/>
        <v>0</v>
      </c>
      <c r="J1128" s="89">
        <f t="shared" si="137"/>
        <v>0</v>
      </c>
      <c r="K1128" s="380">
        <v>0</v>
      </c>
      <c r="L1128" s="380">
        <v>0</v>
      </c>
      <c r="M1128" s="892"/>
    </row>
    <row r="1129" spans="1:13" hidden="1" outlineLevel="1" x14ac:dyDescent="0.2">
      <c r="A1129" s="22" t="s">
        <v>1502</v>
      </c>
      <c r="B1129" s="2" t="s">
        <v>252</v>
      </c>
      <c r="C1129" s="2" t="s">
        <v>1515</v>
      </c>
      <c r="D1129" s="716">
        <v>1</v>
      </c>
      <c r="E1129" s="4" t="s">
        <v>5</v>
      </c>
      <c r="F1129" s="47">
        <f t="shared" si="136"/>
        <v>0</v>
      </c>
      <c r="G1129" s="47">
        <f t="shared" ref="G1129:I1129" si="146">H1129</f>
        <v>0</v>
      </c>
      <c r="H1129" s="47">
        <f t="shared" si="146"/>
        <v>0</v>
      </c>
      <c r="I1129" s="47">
        <f t="shared" si="146"/>
        <v>0</v>
      </c>
      <c r="J1129" s="47">
        <f t="shared" si="137"/>
        <v>0</v>
      </c>
      <c r="K1129" s="47">
        <v>0</v>
      </c>
      <c r="L1129" s="47">
        <v>0</v>
      </c>
      <c r="M1129" s="893"/>
    </row>
    <row r="1130" spans="1:13" hidden="1" outlineLevel="1" x14ac:dyDescent="0.2">
      <c r="A1130" s="22" t="s">
        <v>1502</v>
      </c>
      <c r="B1130" s="2" t="s">
        <v>252</v>
      </c>
      <c r="C1130" s="2" t="s">
        <v>1515</v>
      </c>
      <c r="D1130" s="716">
        <v>1</v>
      </c>
      <c r="E1130" s="4" t="s">
        <v>6</v>
      </c>
      <c r="F1130" s="47">
        <f t="shared" si="136"/>
        <v>0</v>
      </c>
      <c r="G1130" s="47">
        <f t="shared" ref="G1130:I1130" si="147">H1130</f>
        <v>0</v>
      </c>
      <c r="H1130" s="47">
        <f t="shared" si="147"/>
        <v>0</v>
      </c>
      <c r="I1130" s="47">
        <f t="shared" si="147"/>
        <v>0</v>
      </c>
      <c r="J1130" s="47">
        <f t="shared" si="137"/>
        <v>0</v>
      </c>
      <c r="K1130" s="47">
        <v>0</v>
      </c>
      <c r="L1130" s="47">
        <v>0</v>
      </c>
      <c r="M1130" s="893"/>
    </row>
    <row r="1131" spans="1:13" hidden="1" outlineLevel="1" x14ac:dyDescent="0.2">
      <c r="A1131" s="22" t="s">
        <v>1502</v>
      </c>
      <c r="B1131" s="2" t="s">
        <v>252</v>
      </c>
      <c r="C1131" s="2" t="s">
        <v>1515</v>
      </c>
      <c r="D1131" s="716">
        <v>1</v>
      </c>
      <c r="E1131" s="4" t="s">
        <v>143</v>
      </c>
      <c r="F1131" s="47">
        <f t="shared" si="136"/>
        <v>0</v>
      </c>
      <c r="G1131" s="47">
        <f t="shared" ref="G1131:I1131" si="148">H1131</f>
        <v>0</v>
      </c>
      <c r="H1131" s="47">
        <f t="shared" si="148"/>
        <v>0</v>
      </c>
      <c r="I1131" s="47">
        <f t="shared" si="148"/>
        <v>0</v>
      </c>
      <c r="J1131" s="47">
        <f t="shared" si="137"/>
        <v>0</v>
      </c>
      <c r="K1131" s="47">
        <v>0</v>
      </c>
      <c r="L1131" s="47">
        <v>0</v>
      </c>
      <c r="M1131" s="893"/>
    </row>
    <row r="1132" spans="1:13" hidden="1" outlineLevel="1" x14ac:dyDescent="0.2">
      <c r="A1132" s="22" t="s">
        <v>1502</v>
      </c>
      <c r="B1132" s="2" t="s">
        <v>252</v>
      </c>
      <c r="C1132" s="2" t="s">
        <v>1515</v>
      </c>
      <c r="D1132" s="716">
        <v>1</v>
      </c>
      <c r="E1132" s="4" t="s">
        <v>7</v>
      </c>
      <c r="F1132" s="47">
        <f t="shared" si="136"/>
        <v>0</v>
      </c>
      <c r="G1132" s="47">
        <f t="shared" ref="G1132:I1132" si="149">H1132</f>
        <v>0</v>
      </c>
      <c r="H1132" s="47">
        <f t="shared" si="149"/>
        <v>0</v>
      </c>
      <c r="I1132" s="47">
        <f t="shared" si="149"/>
        <v>0</v>
      </c>
      <c r="J1132" s="47">
        <f t="shared" si="137"/>
        <v>0</v>
      </c>
      <c r="K1132" s="47">
        <v>0</v>
      </c>
      <c r="L1132" s="47">
        <v>0</v>
      </c>
      <c r="M1132" s="893"/>
    </row>
    <row r="1133" spans="1:13" hidden="1" outlineLevel="1" x14ac:dyDescent="0.2">
      <c r="A1133" s="22" t="s">
        <v>1502</v>
      </c>
      <c r="B1133" s="2" t="s">
        <v>252</v>
      </c>
      <c r="C1133" s="2" t="s">
        <v>1515</v>
      </c>
      <c r="D1133" s="716">
        <v>1</v>
      </c>
      <c r="E1133" s="4" t="s">
        <v>31</v>
      </c>
      <c r="F1133" s="47">
        <f t="shared" si="136"/>
        <v>1</v>
      </c>
      <c r="G1133" s="47">
        <f t="shared" ref="G1133:I1133" si="150">H1133</f>
        <v>1</v>
      </c>
      <c r="H1133" s="47">
        <f t="shared" si="150"/>
        <v>1</v>
      </c>
      <c r="I1133" s="47">
        <f t="shared" si="150"/>
        <v>1</v>
      </c>
      <c r="J1133" s="47">
        <f t="shared" si="137"/>
        <v>1</v>
      </c>
      <c r="K1133" s="47">
        <v>1</v>
      </c>
      <c r="L1133" s="47">
        <v>1</v>
      </c>
      <c r="M1133" s="893"/>
    </row>
    <row r="1134" spans="1:13" hidden="1" outlineLevel="1" x14ac:dyDescent="0.2">
      <c r="A1134" s="22" t="s">
        <v>1502</v>
      </c>
      <c r="B1134" s="2" t="s">
        <v>252</v>
      </c>
      <c r="C1134" s="2" t="s">
        <v>1515</v>
      </c>
      <c r="D1134" s="716">
        <v>1</v>
      </c>
      <c r="E1134" s="4" t="s">
        <v>8</v>
      </c>
      <c r="F1134" s="47">
        <f t="shared" si="136"/>
        <v>0</v>
      </c>
      <c r="G1134" s="47">
        <f t="shared" ref="G1134:I1134" si="151">H1134</f>
        <v>0</v>
      </c>
      <c r="H1134" s="47">
        <f t="shared" si="151"/>
        <v>0</v>
      </c>
      <c r="I1134" s="47">
        <f t="shared" si="151"/>
        <v>0</v>
      </c>
      <c r="J1134" s="47">
        <f t="shared" si="137"/>
        <v>0</v>
      </c>
      <c r="K1134" s="47">
        <v>0</v>
      </c>
      <c r="L1134" s="47">
        <v>0</v>
      </c>
      <c r="M1134" s="893"/>
    </row>
    <row r="1135" spans="1:13" hidden="1" outlineLevel="1" x14ac:dyDescent="0.2">
      <c r="A1135" s="22" t="s">
        <v>1502</v>
      </c>
      <c r="B1135" s="2" t="s">
        <v>252</v>
      </c>
      <c r="C1135" s="2" t="s">
        <v>1515</v>
      </c>
      <c r="D1135" s="716">
        <v>1</v>
      </c>
      <c r="E1135" s="4" t="s">
        <v>9</v>
      </c>
      <c r="F1135" s="47">
        <f t="shared" si="136"/>
        <v>0</v>
      </c>
      <c r="G1135" s="47">
        <f t="shared" ref="G1135:I1135" si="152">H1135</f>
        <v>0</v>
      </c>
      <c r="H1135" s="47">
        <f t="shared" si="152"/>
        <v>0</v>
      </c>
      <c r="I1135" s="47">
        <f t="shared" si="152"/>
        <v>0</v>
      </c>
      <c r="J1135" s="47">
        <f t="shared" si="137"/>
        <v>0</v>
      </c>
      <c r="K1135" s="47">
        <v>0</v>
      </c>
      <c r="L1135" s="47">
        <v>0</v>
      </c>
      <c r="M1135" s="893"/>
    </row>
    <row r="1136" spans="1:13" hidden="1" outlineLevel="1" x14ac:dyDescent="0.2">
      <c r="A1136" s="22" t="s">
        <v>1502</v>
      </c>
      <c r="B1136" s="2" t="s">
        <v>252</v>
      </c>
      <c r="C1136" s="2" t="s">
        <v>1515</v>
      </c>
      <c r="D1136" s="716">
        <v>1</v>
      </c>
      <c r="E1136" s="4" t="s">
        <v>10</v>
      </c>
      <c r="F1136" s="47">
        <f t="shared" si="136"/>
        <v>0</v>
      </c>
      <c r="G1136" s="47">
        <f t="shared" ref="G1136:I1136" si="153">H1136</f>
        <v>0</v>
      </c>
      <c r="H1136" s="47">
        <f t="shared" si="153"/>
        <v>0</v>
      </c>
      <c r="I1136" s="47">
        <f t="shared" si="153"/>
        <v>0</v>
      </c>
      <c r="J1136" s="47">
        <f t="shared" si="137"/>
        <v>0</v>
      </c>
      <c r="K1136" s="47">
        <v>0</v>
      </c>
      <c r="L1136" s="47">
        <v>0</v>
      </c>
      <c r="M1136" s="893"/>
    </row>
    <row r="1137" spans="1:13" hidden="1" outlineLevel="1" x14ac:dyDescent="0.2">
      <c r="A1137" s="22" t="s">
        <v>1502</v>
      </c>
      <c r="B1137" s="2" t="s">
        <v>252</v>
      </c>
      <c r="C1137" s="2" t="s">
        <v>1515</v>
      </c>
      <c r="D1137" s="716">
        <v>1</v>
      </c>
      <c r="E1137" s="4" t="s">
        <v>11</v>
      </c>
      <c r="F1137" s="47">
        <f t="shared" ref="F1137:J1200" si="154">G1137</f>
        <v>0</v>
      </c>
      <c r="G1137" s="47">
        <f t="shared" si="154"/>
        <v>0</v>
      </c>
      <c r="H1137" s="47">
        <f t="shared" si="154"/>
        <v>0</v>
      </c>
      <c r="I1137" s="47">
        <f t="shared" si="154"/>
        <v>0</v>
      </c>
      <c r="J1137" s="47">
        <f t="shared" si="137"/>
        <v>0</v>
      </c>
      <c r="K1137" s="47">
        <v>0</v>
      </c>
      <c r="L1137" s="47">
        <v>0</v>
      </c>
      <c r="M1137" s="893"/>
    </row>
    <row r="1138" spans="1:13" hidden="1" outlineLevel="1" x14ac:dyDescent="0.2">
      <c r="A1138" s="22" t="s">
        <v>1502</v>
      </c>
      <c r="B1138" s="2" t="s">
        <v>252</v>
      </c>
      <c r="C1138" s="2" t="s">
        <v>1515</v>
      </c>
      <c r="D1138" s="716">
        <v>1</v>
      </c>
      <c r="E1138" s="4" t="s">
        <v>12</v>
      </c>
      <c r="F1138" s="47">
        <f t="shared" si="154"/>
        <v>0</v>
      </c>
      <c r="G1138" s="47">
        <f t="shared" si="154"/>
        <v>0</v>
      </c>
      <c r="H1138" s="47">
        <f t="shared" si="154"/>
        <v>0</v>
      </c>
      <c r="I1138" s="47">
        <f t="shared" si="154"/>
        <v>0</v>
      </c>
      <c r="J1138" s="47">
        <f t="shared" si="137"/>
        <v>0</v>
      </c>
      <c r="K1138" s="47">
        <v>0</v>
      </c>
      <c r="L1138" s="47">
        <v>0</v>
      </c>
      <c r="M1138" s="893"/>
    </row>
    <row r="1139" spans="1:13" hidden="1" outlineLevel="1" x14ac:dyDescent="0.2">
      <c r="A1139" s="22" t="s">
        <v>1502</v>
      </c>
      <c r="B1139" s="2" t="s">
        <v>252</v>
      </c>
      <c r="C1139" s="2" t="s">
        <v>1515</v>
      </c>
      <c r="D1139" s="716">
        <v>1</v>
      </c>
      <c r="E1139" s="4" t="s">
        <v>1</v>
      </c>
      <c r="F1139" s="47">
        <f t="shared" si="154"/>
        <v>0</v>
      </c>
      <c r="G1139" s="47">
        <f t="shared" si="154"/>
        <v>0</v>
      </c>
      <c r="H1139" s="47">
        <f t="shared" si="154"/>
        <v>0</v>
      </c>
      <c r="I1139" s="47">
        <f t="shared" si="154"/>
        <v>0</v>
      </c>
      <c r="J1139" s="47">
        <f t="shared" si="137"/>
        <v>0</v>
      </c>
      <c r="K1139" s="47">
        <v>0</v>
      </c>
      <c r="L1139" s="47">
        <v>0</v>
      </c>
      <c r="M1139" s="893"/>
    </row>
    <row r="1140" spans="1:13" hidden="1" outlineLevel="1" x14ac:dyDescent="0.2">
      <c r="A1140" s="22" t="s">
        <v>1502</v>
      </c>
      <c r="B1140" s="2" t="s">
        <v>252</v>
      </c>
      <c r="C1140" s="2" t="s">
        <v>1515</v>
      </c>
      <c r="D1140" s="716">
        <v>1</v>
      </c>
      <c r="E1140" s="4" t="s">
        <v>13</v>
      </c>
      <c r="F1140" s="47">
        <f t="shared" si="154"/>
        <v>0</v>
      </c>
      <c r="G1140" s="47">
        <f t="shared" si="154"/>
        <v>0</v>
      </c>
      <c r="H1140" s="47">
        <f t="shared" si="154"/>
        <v>0</v>
      </c>
      <c r="I1140" s="47">
        <f t="shared" si="154"/>
        <v>0</v>
      </c>
      <c r="J1140" s="47">
        <f t="shared" si="137"/>
        <v>0</v>
      </c>
      <c r="K1140" s="47">
        <v>0</v>
      </c>
      <c r="L1140" s="47">
        <v>0</v>
      </c>
      <c r="M1140" s="893"/>
    </row>
    <row r="1141" spans="1:13" hidden="1" outlineLevel="1" x14ac:dyDescent="0.2">
      <c r="A1141" s="22" t="s">
        <v>1502</v>
      </c>
      <c r="B1141" s="2" t="s">
        <v>252</v>
      </c>
      <c r="C1141" s="2" t="s">
        <v>1515</v>
      </c>
      <c r="D1141" s="716">
        <v>1</v>
      </c>
      <c r="E1141" s="4" t="s">
        <v>14</v>
      </c>
      <c r="F1141" s="47">
        <f t="shared" si="154"/>
        <v>0</v>
      </c>
      <c r="G1141" s="47">
        <f t="shared" si="154"/>
        <v>0</v>
      </c>
      <c r="H1141" s="47">
        <f t="shared" si="154"/>
        <v>0</v>
      </c>
      <c r="I1141" s="47">
        <f t="shared" si="154"/>
        <v>0</v>
      </c>
      <c r="J1141" s="47">
        <f t="shared" si="137"/>
        <v>0</v>
      </c>
      <c r="K1141" s="47">
        <v>0</v>
      </c>
      <c r="L1141" s="47">
        <v>0</v>
      </c>
      <c r="M1141" s="893"/>
    </row>
    <row r="1142" spans="1:13" hidden="1" outlineLevel="1" x14ac:dyDescent="0.2">
      <c r="A1142" s="22" t="s">
        <v>1502</v>
      </c>
      <c r="B1142" s="2" t="s">
        <v>252</v>
      </c>
      <c r="C1142" s="2" t="s">
        <v>1515</v>
      </c>
      <c r="D1142" s="716">
        <v>1</v>
      </c>
      <c r="E1142" s="4" t="s">
        <v>15</v>
      </c>
      <c r="F1142" s="47">
        <f t="shared" si="154"/>
        <v>0</v>
      </c>
      <c r="G1142" s="47">
        <f t="shared" si="154"/>
        <v>0</v>
      </c>
      <c r="H1142" s="47">
        <f t="shared" si="154"/>
        <v>0</v>
      </c>
      <c r="I1142" s="47">
        <f t="shared" si="154"/>
        <v>0</v>
      </c>
      <c r="J1142" s="47">
        <f t="shared" si="137"/>
        <v>0</v>
      </c>
      <c r="K1142" s="47">
        <v>0</v>
      </c>
      <c r="L1142" s="47">
        <v>0</v>
      </c>
      <c r="M1142" s="893"/>
    </row>
    <row r="1143" spans="1:13" hidden="1" outlineLevel="1" x14ac:dyDescent="0.2">
      <c r="A1143" s="22" t="s">
        <v>1502</v>
      </c>
      <c r="B1143" s="2" t="s">
        <v>252</v>
      </c>
      <c r="C1143" s="2" t="s">
        <v>1515</v>
      </c>
      <c r="D1143" s="716">
        <v>1</v>
      </c>
      <c r="E1143" s="4" t="s">
        <v>16</v>
      </c>
      <c r="F1143" s="47">
        <f t="shared" si="154"/>
        <v>0</v>
      </c>
      <c r="G1143" s="47">
        <f t="shared" si="154"/>
        <v>0</v>
      </c>
      <c r="H1143" s="47">
        <f t="shared" si="154"/>
        <v>0</v>
      </c>
      <c r="I1143" s="47">
        <f t="shared" si="154"/>
        <v>0</v>
      </c>
      <c r="J1143" s="47">
        <f t="shared" si="137"/>
        <v>0</v>
      </c>
      <c r="K1143" s="47">
        <v>0</v>
      </c>
      <c r="L1143" s="47">
        <v>0</v>
      </c>
      <c r="M1143" s="893"/>
    </row>
    <row r="1144" spans="1:13" hidden="1" outlineLevel="1" x14ac:dyDescent="0.2">
      <c r="A1144" s="22" t="s">
        <v>1502</v>
      </c>
      <c r="B1144" s="2" t="s">
        <v>252</v>
      </c>
      <c r="C1144" s="2" t="s">
        <v>1515</v>
      </c>
      <c r="D1144" s="716">
        <v>1</v>
      </c>
      <c r="E1144" s="4" t="s">
        <v>17</v>
      </c>
      <c r="F1144" s="47">
        <f t="shared" si="154"/>
        <v>0</v>
      </c>
      <c r="G1144" s="47">
        <f t="shared" si="154"/>
        <v>0</v>
      </c>
      <c r="H1144" s="47">
        <f t="shared" si="154"/>
        <v>0</v>
      </c>
      <c r="I1144" s="47">
        <f t="shared" si="154"/>
        <v>0</v>
      </c>
      <c r="J1144" s="47">
        <f t="shared" si="137"/>
        <v>0</v>
      </c>
      <c r="K1144" s="47">
        <v>0</v>
      </c>
      <c r="L1144" s="47">
        <v>0</v>
      </c>
      <c r="M1144" s="893"/>
    </row>
    <row r="1145" spans="1:13" hidden="1" outlineLevel="1" x14ac:dyDescent="0.2">
      <c r="A1145" s="22" t="s">
        <v>1502</v>
      </c>
      <c r="B1145" s="2" t="s">
        <v>252</v>
      </c>
      <c r="C1145" s="2" t="s">
        <v>1515</v>
      </c>
      <c r="D1145" s="716">
        <v>1</v>
      </c>
      <c r="E1145" s="4" t="s">
        <v>18</v>
      </c>
      <c r="F1145" s="47">
        <f t="shared" si="154"/>
        <v>0</v>
      </c>
      <c r="G1145" s="47">
        <f t="shared" si="154"/>
        <v>0</v>
      </c>
      <c r="H1145" s="47">
        <f t="shared" si="154"/>
        <v>0</v>
      </c>
      <c r="I1145" s="47">
        <f t="shared" si="154"/>
        <v>0</v>
      </c>
      <c r="J1145" s="47">
        <f t="shared" si="137"/>
        <v>0</v>
      </c>
      <c r="K1145" s="47">
        <v>0</v>
      </c>
      <c r="L1145" s="47">
        <v>0</v>
      </c>
      <c r="M1145" s="893"/>
    </row>
    <row r="1146" spans="1:13" hidden="1" outlineLevel="1" x14ac:dyDescent="0.2">
      <c r="A1146" s="22" t="s">
        <v>1502</v>
      </c>
      <c r="B1146" s="2" t="s">
        <v>252</v>
      </c>
      <c r="C1146" s="2" t="s">
        <v>1515</v>
      </c>
      <c r="D1146" s="716">
        <v>1</v>
      </c>
      <c r="E1146" s="4" t="s">
        <v>2</v>
      </c>
      <c r="F1146" s="47">
        <f t="shared" si="154"/>
        <v>0</v>
      </c>
      <c r="G1146" s="47">
        <f t="shared" si="154"/>
        <v>0</v>
      </c>
      <c r="H1146" s="47">
        <f t="shared" si="154"/>
        <v>0</v>
      </c>
      <c r="I1146" s="47">
        <f t="shared" si="154"/>
        <v>0</v>
      </c>
      <c r="J1146" s="47">
        <f t="shared" si="137"/>
        <v>0</v>
      </c>
      <c r="K1146" s="47">
        <v>0</v>
      </c>
      <c r="L1146" s="47">
        <v>0</v>
      </c>
      <c r="M1146" s="893"/>
    </row>
    <row r="1147" spans="1:13" hidden="1" outlineLevel="1" x14ac:dyDescent="0.2">
      <c r="A1147" s="22" t="s">
        <v>1502</v>
      </c>
      <c r="B1147" s="2" t="s">
        <v>252</v>
      </c>
      <c r="C1147" s="2" t="s">
        <v>1515</v>
      </c>
      <c r="D1147" s="716">
        <v>1</v>
      </c>
      <c r="E1147" s="4" t="s">
        <v>19</v>
      </c>
      <c r="F1147" s="47">
        <f t="shared" si="154"/>
        <v>0</v>
      </c>
      <c r="G1147" s="47">
        <f t="shared" si="154"/>
        <v>0</v>
      </c>
      <c r="H1147" s="47">
        <f t="shared" si="154"/>
        <v>0</v>
      </c>
      <c r="I1147" s="47">
        <f t="shared" si="154"/>
        <v>0</v>
      </c>
      <c r="J1147" s="47">
        <f t="shared" si="137"/>
        <v>0</v>
      </c>
      <c r="K1147" s="47">
        <v>0</v>
      </c>
      <c r="L1147" s="47">
        <v>0</v>
      </c>
      <c r="M1147" s="893"/>
    </row>
    <row r="1148" spans="1:13" hidden="1" outlineLevel="1" x14ac:dyDescent="0.2">
      <c r="A1148" s="22" t="s">
        <v>1502</v>
      </c>
      <c r="B1148" s="2" t="s">
        <v>252</v>
      </c>
      <c r="C1148" s="2" t="s">
        <v>1515</v>
      </c>
      <c r="D1148" s="716">
        <v>1</v>
      </c>
      <c r="E1148" s="4" t="s">
        <v>3</v>
      </c>
      <c r="F1148" s="47">
        <f t="shared" si="154"/>
        <v>0</v>
      </c>
      <c r="G1148" s="47">
        <f t="shared" si="154"/>
        <v>0</v>
      </c>
      <c r="H1148" s="47">
        <f t="shared" si="154"/>
        <v>0</v>
      </c>
      <c r="I1148" s="47">
        <f t="shared" si="154"/>
        <v>0</v>
      </c>
      <c r="J1148" s="47">
        <f t="shared" si="137"/>
        <v>0</v>
      </c>
      <c r="K1148" s="47">
        <v>0</v>
      </c>
      <c r="L1148" s="47">
        <v>0</v>
      </c>
      <c r="M1148" s="893"/>
    </row>
    <row r="1149" spans="1:13" hidden="1" outlineLevel="1" x14ac:dyDescent="0.2">
      <c r="A1149" s="22" t="s">
        <v>1502</v>
      </c>
      <c r="B1149" s="2" t="s">
        <v>252</v>
      </c>
      <c r="C1149" s="2" t="s">
        <v>1515</v>
      </c>
      <c r="D1149" s="716">
        <v>1</v>
      </c>
      <c r="E1149" s="4" t="s">
        <v>20</v>
      </c>
      <c r="F1149" s="47">
        <f t="shared" si="154"/>
        <v>0</v>
      </c>
      <c r="G1149" s="47">
        <f t="shared" si="154"/>
        <v>0</v>
      </c>
      <c r="H1149" s="47">
        <f t="shared" si="154"/>
        <v>0</v>
      </c>
      <c r="I1149" s="47">
        <f t="shared" si="154"/>
        <v>0</v>
      </c>
      <c r="J1149" s="47">
        <f t="shared" si="137"/>
        <v>0</v>
      </c>
      <c r="K1149" s="47">
        <v>0</v>
      </c>
      <c r="L1149" s="47">
        <v>0</v>
      </c>
      <c r="M1149" s="893"/>
    </row>
    <row r="1150" spans="1:13" hidden="1" outlineLevel="1" x14ac:dyDescent="0.2">
      <c r="A1150" s="22" t="s">
        <v>1502</v>
      </c>
      <c r="B1150" s="2" t="s">
        <v>252</v>
      </c>
      <c r="C1150" s="2" t="s">
        <v>1515</v>
      </c>
      <c r="D1150" s="716">
        <v>1</v>
      </c>
      <c r="E1150" s="4" t="s">
        <v>21</v>
      </c>
      <c r="F1150" s="47">
        <f t="shared" si="154"/>
        <v>0</v>
      </c>
      <c r="G1150" s="47">
        <f t="shared" si="154"/>
        <v>0</v>
      </c>
      <c r="H1150" s="47">
        <f t="shared" si="154"/>
        <v>0</v>
      </c>
      <c r="I1150" s="47">
        <f t="shared" si="154"/>
        <v>0</v>
      </c>
      <c r="J1150" s="47">
        <f t="shared" si="137"/>
        <v>0</v>
      </c>
      <c r="K1150" s="47">
        <v>0</v>
      </c>
      <c r="L1150" s="47">
        <v>0</v>
      </c>
      <c r="M1150" s="893"/>
    </row>
    <row r="1151" spans="1:13" hidden="1" outlineLevel="1" x14ac:dyDescent="0.2">
      <c r="A1151" s="22" t="s">
        <v>1502</v>
      </c>
      <c r="B1151" s="2" t="s">
        <v>252</v>
      </c>
      <c r="C1151" s="2" t="s">
        <v>1515</v>
      </c>
      <c r="D1151" s="716">
        <v>1</v>
      </c>
      <c r="E1151" s="4" t="s">
        <v>1096</v>
      </c>
      <c r="F1151" s="47">
        <f t="shared" si="154"/>
        <v>0</v>
      </c>
      <c r="G1151" s="47">
        <f t="shared" si="154"/>
        <v>0</v>
      </c>
      <c r="H1151" s="47">
        <f t="shared" si="154"/>
        <v>0</v>
      </c>
      <c r="I1151" s="47">
        <f t="shared" si="154"/>
        <v>0</v>
      </c>
      <c r="J1151" s="47">
        <f t="shared" si="137"/>
        <v>0</v>
      </c>
      <c r="K1151" s="47">
        <v>0</v>
      </c>
      <c r="L1151" s="47">
        <v>0</v>
      </c>
      <c r="M1151" s="893"/>
    </row>
    <row r="1152" spans="1:13" hidden="1" outlineLevel="1" x14ac:dyDescent="0.2">
      <c r="A1152" s="22" t="s">
        <v>1502</v>
      </c>
      <c r="B1152" s="2" t="s">
        <v>252</v>
      </c>
      <c r="C1152" s="2" t="s">
        <v>1515</v>
      </c>
      <c r="D1152" s="716">
        <v>1</v>
      </c>
      <c r="E1152" s="4" t="s">
        <v>22</v>
      </c>
      <c r="F1152" s="47">
        <f t="shared" si="154"/>
        <v>0</v>
      </c>
      <c r="G1152" s="47">
        <f t="shared" si="154"/>
        <v>0</v>
      </c>
      <c r="H1152" s="47">
        <f t="shared" si="154"/>
        <v>0</v>
      </c>
      <c r="I1152" s="47">
        <f t="shared" si="154"/>
        <v>0</v>
      </c>
      <c r="J1152" s="47">
        <f t="shared" si="137"/>
        <v>0</v>
      </c>
      <c r="K1152" s="47">
        <v>0</v>
      </c>
      <c r="L1152" s="47">
        <v>0</v>
      </c>
      <c r="M1152" s="893"/>
    </row>
    <row r="1153" spans="1:13" hidden="1" outlineLevel="1" x14ac:dyDescent="0.2">
      <c r="A1153" s="91" t="s">
        <v>1502</v>
      </c>
      <c r="B1153" s="3" t="s">
        <v>252</v>
      </c>
      <c r="C1153" s="3" t="s">
        <v>1515</v>
      </c>
      <c r="D1153" s="717">
        <v>1</v>
      </c>
      <c r="E1153" s="469" t="s">
        <v>23</v>
      </c>
      <c r="F1153" s="48">
        <f t="shared" si="154"/>
        <v>0</v>
      </c>
      <c r="G1153" s="48">
        <f t="shared" si="154"/>
        <v>0</v>
      </c>
      <c r="H1153" s="48">
        <f t="shared" si="154"/>
        <v>0</v>
      </c>
      <c r="I1153" s="48">
        <f t="shared" si="154"/>
        <v>0</v>
      </c>
      <c r="J1153" s="48">
        <f t="shared" si="137"/>
        <v>0</v>
      </c>
      <c r="K1153" s="363">
        <v>0</v>
      </c>
      <c r="L1153" s="363">
        <v>0</v>
      </c>
      <c r="M1153" s="920"/>
    </row>
    <row r="1154" spans="1:13" hidden="1" outlineLevel="1" x14ac:dyDescent="0.2">
      <c r="A1154" s="92" t="s">
        <v>1502</v>
      </c>
      <c r="B1154" s="81" t="s">
        <v>252</v>
      </c>
      <c r="C1154" s="81" t="s">
        <v>1516</v>
      </c>
      <c r="D1154" s="715">
        <v>1</v>
      </c>
      <c r="E1154" s="468" t="s">
        <v>4</v>
      </c>
      <c r="F1154" s="380">
        <f t="shared" si="154"/>
        <v>1</v>
      </c>
      <c r="G1154" s="89">
        <f t="shared" si="154"/>
        <v>1</v>
      </c>
      <c r="H1154" s="89">
        <f t="shared" si="154"/>
        <v>1</v>
      </c>
      <c r="I1154" s="89">
        <f t="shared" si="154"/>
        <v>1</v>
      </c>
      <c r="J1154" s="89">
        <f t="shared" si="137"/>
        <v>1</v>
      </c>
      <c r="K1154" s="380">
        <v>1</v>
      </c>
      <c r="L1154" s="380">
        <v>1</v>
      </c>
      <c r="M1154" s="892"/>
    </row>
    <row r="1155" spans="1:13" hidden="1" outlineLevel="1" x14ac:dyDescent="0.2">
      <c r="A1155" s="22" t="s">
        <v>1502</v>
      </c>
      <c r="B1155" s="2" t="s">
        <v>252</v>
      </c>
      <c r="C1155" s="2" t="s">
        <v>1516</v>
      </c>
      <c r="D1155" s="716">
        <v>1</v>
      </c>
      <c r="E1155" s="4" t="s">
        <v>5</v>
      </c>
      <c r="F1155" s="47">
        <f t="shared" si="154"/>
        <v>1</v>
      </c>
      <c r="G1155" s="47">
        <f t="shared" si="154"/>
        <v>1</v>
      </c>
      <c r="H1155" s="47">
        <f t="shared" si="154"/>
        <v>1</v>
      </c>
      <c r="I1155" s="47">
        <f t="shared" si="154"/>
        <v>1</v>
      </c>
      <c r="J1155" s="47">
        <f t="shared" si="137"/>
        <v>1</v>
      </c>
      <c r="K1155" s="47">
        <v>1</v>
      </c>
      <c r="L1155" s="47">
        <v>1</v>
      </c>
      <c r="M1155" s="893"/>
    </row>
    <row r="1156" spans="1:13" hidden="1" outlineLevel="1" x14ac:dyDescent="0.2">
      <c r="A1156" s="22" t="s">
        <v>1502</v>
      </c>
      <c r="B1156" s="2" t="s">
        <v>252</v>
      </c>
      <c r="C1156" s="2" t="s">
        <v>1516</v>
      </c>
      <c r="D1156" s="716">
        <v>1</v>
      </c>
      <c r="E1156" s="4" t="s">
        <v>6</v>
      </c>
      <c r="F1156" s="47">
        <f t="shared" si="154"/>
        <v>1</v>
      </c>
      <c r="G1156" s="47">
        <f t="shared" si="154"/>
        <v>1</v>
      </c>
      <c r="H1156" s="47">
        <f t="shared" si="154"/>
        <v>1</v>
      </c>
      <c r="I1156" s="47">
        <f t="shared" si="154"/>
        <v>1</v>
      </c>
      <c r="J1156" s="47">
        <f t="shared" si="137"/>
        <v>1</v>
      </c>
      <c r="K1156" s="47">
        <v>1</v>
      </c>
      <c r="L1156" s="47">
        <v>1</v>
      </c>
      <c r="M1156" s="893"/>
    </row>
    <row r="1157" spans="1:13" hidden="1" outlineLevel="1" x14ac:dyDescent="0.2">
      <c r="A1157" s="22" t="s">
        <v>1502</v>
      </c>
      <c r="B1157" s="2" t="s">
        <v>252</v>
      </c>
      <c r="C1157" s="2" t="s">
        <v>1516</v>
      </c>
      <c r="D1157" s="716">
        <v>1</v>
      </c>
      <c r="E1157" s="4" t="s">
        <v>143</v>
      </c>
      <c r="F1157" s="47">
        <f t="shared" si="154"/>
        <v>0</v>
      </c>
      <c r="G1157" s="47">
        <f t="shared" si="154"/>
        <v>0</v>
      </c>
      <c r="H1157" s="47">
        <f t="shared" si="154"/>
        <v>0</v>
      </c>
      <c r="I1157" s="47">
        <f t="shared" si="154"/>
        <v>0</v>
      </c>
      <c r="J1157" s="47">
        <f t="shared" si="137"/>
        <v>0</v>
      </c>
      <c r="K1157" s="47">
        <v>0</v>
      </c>
      <c r="L1157" s="47">
        <v>0</v>
      </c>
      <c r="M1157" s="893"/>
    </row>
    <row r="1158" spans="1:13" hidden="1" outlineLevel="1" x14ac:dyDescent="0.2">
      <c r="A1158" s="22" t="s">
        <v>1502</v>
      </c>
      <c r="B1158" s="2" t="s">
        <v>252</v>
      </c>
      <c r="C1158" s="2" t="s">
        <v>1516</v>
      </c>
      <c r="D1158" s="716">
        <v>1</v>
      </c>
      <c r="E1158" s="4" t="s">
        <v>7</v>
      </c>
      <c r="F1158" s="47">
        <f t="shared" si="154"/>
        <v>0</v>
      </c>
      <c r="G1158" s="47">
        <f t="shared" si="154"/>
        <v>0</v>
      </c>
      <c r="H1158" s="47">
        <f t="shared" si="154"/>
        <v>0</v>
      </c>
      <c r="I1158" s="47">
        <f t="shared" si="154"/>
        <v>0</v>
      </c>
      <c r="J1158" s="47">
        <f t="shared" si="137"/>
        <v>0</v>
      </c>
      <c r="K1158" s="47">
        <v>0</v>
      </c>
      <c r="L1158" s="47">
        <v>0</v>
      </c>
      <c r="M1158" s="893"/>
    </row>
    <row r="1159" spans="1:13" hidden="1" outlineLevel="1" x14ac:dyDescent="0.2">
      <c r="A1159" s="22" t="s">
        <v>1502</v>
      </c>
      <c r="B1159" s="2" t="s">
        <v>252</v>
      </c>
      <c r="C1159" s="2" t="s">
        <v>1516</v>
      </c>
      <c r="D1159" s="716">
        <v>1</v>
      </c>
      <c r="E1159" s="4" t="s">
        <v>31</v>
      </c>
      <c r="F1159" s="47">
        <f t="shared" si="154"/>
        <v>1</v>
      </c>
      <c r="G1159" s="47">
        <f t="shared" si="154"/>
        <v>1</v>
      </c>
      <c r="H1159" s="47">
        <f t="shared" si="154"/>
        <v>1</v>
      </c>
      <c r="I1159" s="47">
        <f t="shared" si="154"/>
        <v>1</v>
      </c>
      <c r="J1159" s="47">
        <f t="shared" si="137"/>
        <v>1</v>
      </c>
      <c r="K1159" s="47">
        <v>1</v>
      </c>
      <c r="L1159" s="47">
        <v>1</v>
      </c>
      <c r="M1159" s="893"/>
    </row>
    <row r="1160" spans="1:13" hidden="1" outlineLevel="1" x14ac:dyDescent="0.2">
      <c r="A1160" s="22" t="s">
        <v>1502</v>
      </c>
      <c r="B1160" s="2" t="s">
        <v>252</v>
      </c>
      <c r="C1160" s="2" t="s">
        <v>1516</v>
      </c>
      <c r="D1160" s="716">
        <v>1</v>
      </c>
      <c r="E1160" s="4" t="s">
        <v>8</v>
      </c>
      <c r="F1160" s="47">
        <f t="shared" si="154"/>
        <v>1</v>
      </c>
      <c r="G1160" s="47">
        <f t="shared" si="154"/>
        <v>1</v>
      </c>
      <c r="H1160" s="47">
        <f t="shared" si="154"/>
        <v>1</v>
      </c>
      <c r="I1160" s="47">
        <f t="shared" si="154"/>
        <v>1</v>
      </c>
      <c r="J1160" s="47">
        <f t="shared" si="137"/>
        <v>1</v>
      </c>
      <c r="K1160" s="47">
        <v>1</v>
      </c>
      <c r="L1160" s="47">
        <v>1</v>
      </c>
      <c r="M1160" s="893"/>
    </row>
    <row r="1161" spans="1:13" hidden="1" outlineLevel="1" x14ac:dyDescent="0.2">
      <c r="A1161" s="22" t="s">
        <v>1502</v>
      </c>
      <c r="B1161" s="2" t="s">
        <v>252</v>
      </c>
      <c r="C1161" s="2" t="s">
        <v>1516</v>
      </c>
      <c r="D1161" s="716">
        <v>1</v>
      </c>
      <c r="E1161" s="4" t="s">
        <v>9</v>
      </c>
      <c r="F1161" s="47">
        <f t="shared" si="154"/>
        <v>1</v>
      </c>
      <c r="G1161" s="47">
        <f t="shared" si="154"/>
        <v>1</v>
      </c>
      <c r="H1161" s="47">
        <f t="shared" si="154"/>
        <v>1</v>
      </c>
      <c r="I1161" s="47">
        <f t="shared" si="154"/>
        <v>1</v>
      </c>
      <c r="J1161" s="47">
        <f t="shared" si="137"/>
        <v>1</v>
      </c>
      <c r="K1161" s="47">
        <v>1</v>
      </c>
      <c r="L1161" s="47">
        <v>1</v>
      </c>
      <c r="M1161" s="893"/>
    </row>
    <row r="1162" spans="1:13" hidden="1" outlineLevel="1" x14ac:dyDescent="0.2">
      <c r="A1162" s="22" t="s">
        <v>1502</v>
      </c>
      <c r="B1162" s="2" t="s">
        <v>252</v>
      </c>
      <c r="C1162" s="2" t="s">
        <v>1516</v>
      </c>
      <c r="D1162" s="716">
        <v>1</v>
      </c>
      <c r="E1162" s="4" t="s">
        <v>10</v>
      </c>
      <c r="F1162" s="47">
        <f t="shared" si="154"/>
        <v>1</v>
      </c>
      <c r="G1162" s="47">
        <f t="shared" si="154"/>
        <v>1</v>
      </c>
      <c r="H1162" s="47">
        <f t="shared" si="154"/>
        <v>1</v>
      </c>
      <c r="I1162" s="47">
        <f t="shared" si="154"/>
        <v>1</v>
      </c>
      <c r="J1162" s="47">
        <f t="shared" si="137"/>
        <v>1</v>
      </c>
      <c r="K1162" s="47">
        <v>1</v>
      </c>
      <c r="L1162" s="47">
        <v>1</v>
      </c>
      <c r="M1162" s="893"/>
    </row>
    <row r="1163" spans="1:13" hidden="1" outlineLevel="1" x14ac:dyDescent="0.2">
      <c r="A1163" s="22" t="s">
        <v>1502</v>
      </c>
      <c r="B1163" s="2" t="s">
        <v>252</v>
      </c>
      <c r="C1163" s="2" t="s">
        <v>1516</v>
      </c>
      <c r="D1163" s="716">
        <v>1</v>
      </c>
      <c r="E1163" s="4" t="s">
        <v>11</v>
      </c>
      <c r="F1163" s="47">
        <f t="shared" si="154"/>
        <v>0</v>
      </c>
      <c r="G1163" s="47">
        <f t="shared" si="154"/>
        <v>0</v>
      </c>
      <c r="H1163" s="47">
        <f t="shared" si="154"/>
        <v>0</v>
      </c>
      <c r="I1163" s="47">
        <f t="shared" si="154"/>
        <v>0</v>
      </c>
      <c r="J1163" s="47">
        <f t="shared" si="137"/>
        <v>0</v>
      </c>
      <c r="K1163" s="47">
        <v>0</v>
      </c>
      <c r="L1163" s="47">
        <v>0</v>
      </c>
      <c r="M1163" s="893"/>
    </row>
    <row r="1164" spans="1:13" hidden="1" outlineLevel="1" x14ac:dyDescent="0.2">
      <c r="A1164" s="22" t="s">
        <v>1502</v>
      </c>
      <c r="B1164" s="2" t="s">
        <v>252</v>
      </c>
      <c r="C1164" s="2" t="s">
        <v>1516</v>
      </c>
      <c r="D1164" s="716">
        <v>1</v>
      </c>
      <c r="E1164" s="4" t="s">
        <v>12</v>
      </c>
      <c r="F1164" s="47">
        <f t="shared" si="154"/>
        <v>0</v>
      </c>
      <c r="G1164" s="47">
        <f t="shared" si="154"/>
        <v>0</v>
      </c>
      <c r="H1164" s="47">
        <f t="shared" si="154"/>
        <v>0</v>
      </c>
      <c r="I1164" s="47">
        <f t="shared" si="154"/>
        <v>0</v>
      </c>
      <c r="J1164" s="47">
        <f t="shared" si="137"/>
        <v>0</v>
      </c>
      <c r="K1164" s="47">
        <v>0</v>
      </c>
      <c r="L1164" s="47">
        <v>0</v>
      </c>
      <c r="M1164" s="893"/>
    </row>
    <row r="1165" spans="1:13" hidden="1" outlineLevel="1" x14ac:dyDescent="0.2">
      <c r="A1165" s="22" t="s">
        <v>1502</v>
      </c>
      <c r="B1165" s="2" t="s">
        <v>252</v>
      </c>
      <c r="C1165" s="2" t="s">
        <v>1516</v>
      </c>
      <c r="D1165" s="716">
        <v>1</v>
      </c>
      <c r="E1165" s="4" t="s">
        <v>1</v>
      </c>
      <c r="F1165" s="47">
        <f t="shared" si="154"/>
        <v>1</v>
      </c>
      <c r="G1165" s="47">
        <f t="shared" si="154"/>
        <v>1</v>
      </c>
      <c r="H1165" s="47">
        <f t="shared" si="154"/>
        <v>1</v>
      </c>
      <c r="I1165" s="47">
        <f t="shared" si="154"/>
        <v>1</v>
      </c>
      <c r="J1165" s="47">
        <f t="shared" si="137"/>
        <v>1</v>
      </c>
      <c r="K1165" s="47">
        <v>1</v>
      </c>
      <c r="L1165" s="47">
        <v>1</v>
      </c>
      <c r="M1165" s="893"/>
    </row>
    <row r="1166" spans="1:13" hidden="1" outlineLevel="1" x14ac:dyDescent="0.2">
      <c r="A1166" s="22" t="s">
        <v>1502</v>
      </c>
      <c r="B1166" s="2" t="s">
        <v>252</v>
      </c>
      <c r="C1166" s="2" t="s">
        <v>1516</v>
      </c>
      <c r="D1166" s="716">
        <v>1</v>
      </c>
      <c r="E1166" s="4" t="s">
        <v>13</v>
      </c>
      <c r="F1166" s="47">
        <f t="shared" si="154"/>
        <v>0</v>
      </c>
      <c r="G1166" s="47">
        <f t="shared" si="154"/>
        <v>0</v>
      </c>
      <c r="H1166" s="47">
        <f t="shared" si="154"/>
        <v>0</v>
      </c>
      <c r="I1166" s="47">
        <f t="shared" si="154"/>
        <v>0</v>
      </c>
      <c r="J1166" s="47">
        <f t="shared" si="137"/>
        <v>0</v>
      </c>
      <c r="K1166" s="47">
        <v>0</v>
      </c>
      <c r="L1166" s="47">
        <v>0</v>
      </c>
      <c r="M1166" s="893"/>
    </row>
    <row r="1167" spans="1:13" hidden="1" outlineLevel="1" x14ac:dyDescent="0.2">
      <c r="A1167" s="22" t="s">
        <v>1502</v>
      </c>
      <c r="B1167" s="2" t="s">
        <v>252</v>
      </c>
      <c r="C1167" s="2" t="s">
        <v>1516</v>
      </c>
      <c r="D1167" s="716">
        <v>1</v>
      </c>
      <c r="E1167" s="4" t="s">
        <v>14</v>
      </c>
      <c r="F1167" s="47">
        <f t="shared" si="154"/>
        <v>0</v>
      </c>
      <c r="G1167" s="47">
        <f t="shared" si="154"/>
        <v>0</v>
      </c>
      <c r="H1167" s="47">
        <f t="shared" si="154"/>
        <v>0</v>
      </c>
      <c r="I1167" s="47">
        <f t="shared" si="154"/>
        <v>0</v>
      </c>
      <c r="J1167" s="47">
        <f t="shared" si="137"/>
        <v>0</v>
      </c>
      <c r="K1167" s="47">
        <v>0</v>
      </c>
      <c r="L1167" s="47">
        <v>0</v>
      </c>
      <c r="M1167" s="893"/>
    </row>
    <row r="1168" spans="1:13" hidden="1" outlineLevel="1" x14ac:dyDescent="0.2">
      <c r="A1168" s="22" t="s">
        <v>1502</v>
      </c>
      <c r="B1168" s="2" t="s">
        <v>252</v>
      </c>
      <c r="C1168" s="2" t="s">
        <v>1516</v>
      </c>
      <c r="D1168" s="716">
        <v>1</v>
      </c>
      <c r="E1168" s="4" t="s">
        <v>15</v>
      </c>
      <c r="F1168" s="47">
        <f t="shared" si="154"/>
        <v>0</v>
      </c>
      <c r="G1168" s="47">
        <f t="shared" si="154"/>
        <v>0</v>
      </c>
      <c r="H1168" s="47">
        <f t="shared" si="154"/>
        <v>0</v>
      </c>
      <c r="I1168" s="47">
        <f t="shared" si="154"/>
        <v>0</v>
      </c>
      <c r="J1168" s="47">
        <f t="shared" si="137"/>
        <v>0</v>
      </c>
      <c r="K1168" s="47">
        <v>0</v>
      </c>
      <c r="L1168" s="47">
        <v>0</v>
      </c>
      <c r="M1168" s="893"/>
    </row>
    <row r="1169" spans="1:13" hidden="1" outlineLevel="1" x14ac:dyDescent="0.2">
      <c r="A1169" s="22" t="s">
        <v>1502</v>
      </c>
      <c r="B1169" s="2" t="s">
        <v>252</v>
      </c>
      <c r="C1169" s="2" t="s">
        <v>1516</v>
      </c>
      <c r="D1169" s="716">
        <v>1</v>
      </c>
      <c r="E1169" s="4" t="s">
        <v>16</v>
      </c>
      <c r="F1169" s="47">
        <f t="shared" si="154"/>
        <v>0</v>
      </c>
      <c r="G1169" s="47">
        <f t="shared" si="154"/>
        <v>0</v>
      </c>
      <c r="H1169" s="47">
        <f t="shared" si="154"/>
        <v>0</v>
      </c>
      <c r="I1169" s="47">
        <f t="shared" si="154"/>
        <v>0</v>
      </c>
      <c r="J1169" s="47">
        <f t="shared" si="137"/>
        <v>0</v>
      </c>
      <c r="K1169" s="47">
        <v>0</v>
      </c>
      <c r="L1169" s="47">
        <v>0</v>
      </c>
      <c r="M1169" s="893"/>
    </row>
    <row r="1170" spans="1:13" hidden="1" outlineLevel="1" x14ac:dyDescent="0.2">
      <c r="A1170" s="22" t="s">
        <v>1502</v>
      </c>
      <c r="B1170" s="2" t="s">
        <v>252</v>
      </c>
      <c r="C1170" s="2" t="s">
        <v>1516</v>
      </c>
      <c r="D1170" s="716">
        <v>1</v>
      </c>
      <c r="E1170" s="4" t="s">
        <v>17</v>
      </c>
      <c r="F1170" s="47">
        <f t="shared" si="154"/>
        <v>0</v>
      </c>
      <c r="G1170" s="47">
        <f t="shared" si="154"/>
        <v>0</v>
      </c>
      <c r="H1170" s="47">
        <f t="shared" si="154"/>
        <v>0</v>
      </c>
      <c r="I1170" s="47">
        <f t="shared" si="154"/>
        <v>0</v>
      </c>
      <c r="J1170" s="47">
        <f t="shared" si="137"/>
        <v>0</v>
      </c>
      <c r="K1170" s="47">
        <v>0</v>
      </c>
      <c r="L1170" s="47">
        <v>0</v>
      </c>
      <c r="M1170" s="893"/>
    </row>
    <row r="1171" spans="1:13" hidden="1" outlineLevel="1" x14ac:dyDescent="0.2">
      <c r="A1171" s="22" t="s">
        <v>1502</v>
      </c>
      <c r="B1171" s="2" t="s">
        <v>252</v>
      </c>
      <c r="C1171" s="2" t="s">
        <v>1516</v>
      </c>
      <c r="D1171" s="716">
        <v>1</v>
      </c>
      <c r="E1171" s="4" t="s">
        <v>18</v>
      </c>
      <c r="F1171" s="47">
        <f t="shared" si="154"/>
        <v>1</v>
      </c>
      <c r="G1171" s="47">
        <f t="shared" si="154"/>
        <v>1</v>
      </c>
      <c r="H1171" s="47">
        <f t="shared" si="154"/>
        <v>1</v>
      </c>
      <c r="I1171" s="47">
        <f t="shared" si="154"/>
        <v>1</v>
      </c>
      <c r="J1171" s="47">
        <f t="shared" si="137"/>
        <v>1</v>
      </c>
      <c r="K1171" s="47">
        <v>1</v>
      </c>
      <c r="L1171" s="47">
        <v>1</v>
      </c>
      <c r="M1171" s="893"/>
    </row>
    <row r="1172" spans="1:13" hidden="1" outlineLevel="1" x14ac:dyDescent="0.2">
      <c r="A1172" s="22" t="s">
        <v>1502</v>
      </c>
      <c r="B1172" s="2" t="s">
        <v>252</v>
      </c>
      <c r="C1172" s="2" t="s">
        <v>1516</v>
      </c>
      <c r="D1172" s="716">
        <v>1</v>
      </c>
      <c r="E1172" s="4" t="s">
        <v>2</v>
      </c>
      <c r="F1172" s="47">
        <f t="shared" si="154"/>
        <v>0</v>
      </c>
      <c r="G1172" s="47">
        <f t="shared" si="154"/>
        <v>0</v>
      </c>
      <c r="H1172" s="47">
        <f t="shared" si="154"/>
        <v>0</v>
      </c>
      <c r="I1172" s="47">
        <f t="shared" si="154"/>
        <v>0</v>
      </c>
      <c r="J1172" s="47">
        <f t="shared" si="137"/>
        <v>0</v>
      </c>
      <c r="K1172" s="47">
        <v>0</v>
      </c>
      <c r="L1172" s="47">
        <v>0</v>
      </c>
      <c r="M1172" s="893"/>
    </row>
    <row r="1173" spans="1:13" hidden="1" outlineLevel="1" x14ac:dyDescent="0.2">
      <c r="A1173" s="22" t="s">
        <v>1502</v>
      </c>
      <c r="B1173" s="2" t="s">
        <v>252</v>
      </c>
      <c r="C1173" s="2" t="s">
        <v>1516</v>
      </c>
      <c r="D1173" s="716">
        <v>1</v>
      </c>
      <c r="E1173" s="4" t="s">
        <v>19</v>
      </c>
      <c r="F1173" s="47">
        <f t="shared" si="154"/>
        <v>1</v>
      </c>
      <c r="G1173" s="47">
        <f t="shared" si="154"/>
        <v>1</v>
      </c>
      <c r="H1173" s="47">
        <f t="shared" si="154"/>
        <v>1</v>
      </c>
      <c r="I1173" s="47">
        <f t="shared" si="154"/>
        <v>1</v>
      </c>
      <c r="J1173" s="47">
        <f t="shared" si="137"/>
        <v>1</v>
      </c>
      <c r="K1173" s="47">
        <v>1</v>
      </c>
      <c r="L1173" s="47">
        <v>1</v>
      </c>
      <c r="M1173" s="893"/>
    </row>
    <row r="1174" spans="1:13" hidden="1" outlineLevel="1" x14ac:dyDescent="0.2">
      <c r="A1174" s="22" t="s">
        <v>1502</v>
      </c>
      <c r="B1174" s="2" t="s">
        <v>252</v>
      </c>
      <c r="C1174" s="2" t="s">
        <v>1516</v>
      </c>
      <c r="D1174" s="716">
        <v>1</v>
      </c>
      <c r="E1174" s="4" t="s">
        <v>3</v>
      </c>
      <c r="F1174" s="47">
        <f t="shared" si="154"/>
        <v>0</v>
      </c>
      <c r="G1174" s="47">
        <f t="shared" si="154"/>
        <v>0</v>
      </c>
      <c r="H1174" s="47">
        <f t="shared" si="154"/>
        <v>0</v>
      </c>
      <c r="I1174" s="47">
        <f t="shared" si="154"/>
        <v>0</v>
      </c>
      <c r="J1174" s="47">
        <f t="shared" si="137"/>
        <v>0</v>
      </c>
      <c r="K1174" s="47">
        <v>0</v>
      </c>
      <c r="L1174" s="47">
        <v>0</v>
      </c>
      <c r="M1174" s="893"/>
    </row>
    <row r="1175" spans="1:13" hidden="1" outlineLevel="1" x14ac:dyDescent="0.2">
      <c r="A1175" s="22" t="s">
        <v>1502</v>
      </c>
      <c r="B1175" s="2" t="s">
        <v>252</v>
      </c>
      <c r="C1175" s="2" t="s">
        <v>1516</v>
      </c>
      <c r="D1175" s="716">
        <v>1</v>
      </c>
      <c r="E1175" s="4" t="s">
        <v>20</v>
      </c>
      <c r="F1175" s="47">
        <f t="shared" si="154"/>
        <v>1</v>
      </c>
      <c r="G1175" s="47">
        <f t="shared" si="154"/>
        <v>1</v>
      </c>
      <c r="H1175" s="47">
        <f t="shared" si="154"/>
        <v>1</v>
      </c>
      <c r="I1175" s="47">
        <f t="shared" si="154"/>
        <v>1</v>
      </c>
      <c r="J1175" s="47">
        <f t="shared" si="137"/>
        <v>1</v>
      </c>
      <c r="K1175" s="47">
        <v>1</v>
      </c>
      <c r="L1175" s="47">
        <v>1</v>
      </c>
      <c r="M1175" s="893"/>
    </row>
    <row r="1176" spans="1:13" hidden="1" outlineLevel="1" x14ac:dyDescent="0.2">
      <c r="A1176" s="22" t="s">
        <v>1502</v>
      </c>
      <c r="B1176" s="2" t="s">
        <v>252</v>
      </c>
      <c r="C1176" s="2" t="s">
        <v>1516</v>
      </c>
      <c r="D1176" s="716">
        <v>1</v>
      </c>
      <c r="E1176" s="4" t="s">
        <v>21</v>
      </c>
      <c r="F1176" s="47">
        <f t="shared" si="154"/>
        <v>0</v>
      </c>
      <c r="G1176" s="47">
        <f t="shared" si="154"/>
        <v>0</v>
      </c>
      <c r="H1176" s="47">
        <f t="shared" si="154"/>
        <v>0</v>
      </c>
      <c r="I1176" s="47">
        <f t="shared" si="154"/>
        <v>0</v>
      </c>
      <c r="J1176" s="47">
        <f t="shared" si="137"/>
        <v>0</v>
      </c>
      <c r="K1176" s="47">
        <v>0</v>
      </c>
      <c r="L1176" s="47">
        <v>0</v>
      </c>
      <c r="M1176" s="893"/>
    </row>
    <row r="1177" spans="1:13" hidden="1" outlineLevel="1" x14ac:dyDescent="0.2">
      <c r="A1177" s="22" t="s">
        <v>1502</v>
      </c>
      <c r="B1177" s="2" t="s">
        <v>252</v>
      </c>
      <c r="C1177" s="2" t="s">
        <v>1516</v>
      </c>
      <c r="D1177" s="716">
        <v>1</v>
      </c>
      <c r="E1177" s="4" t="s">
        <v>1096</v>
      </c>
      <c r="F1177" s="47">
        <f t="shared" si="154"/>
        <v>0</v>
      </c>
      <c r="G1177" s="47">
        <f t="shared" si="154"/>
        <v>0</v>
      </c>
      <c r="H1177" s="47">
        <f t="shared" si="154"/>
        <v>0</v>
      </c>
      <c r="I1177" s="47">
        <f t="shared" si="154"/>
        <v>0</v>
      </c>
      <c r="J1177" s="47">
        <f t="shared" si="137"/>
        <v>0</v>
      </c>
      <c r="K1177" s="47">
        <v>0</v>
      </c>
      <c r="L1177" s="47">
        <v>1</v>
      </c>
      <c r="M1177" s="893"/>
    </row>
    <row r="1178" spans="1:13" hidden="1" outlineLevel="1" x14ac:dyDescent="0.2">
      <c r="A1178" s="22" t="s">
        <v>1502</v>
      </c>
      <c r="B1178" s="2" t="s">
        <v>252</v>
      </c>
      <c r="C1178" s="2" t="s">
        <v>1516</v>
      </c>
      <c r="D1178" s="716">
        <v>1</v>
      </c>
      <c r="E1178" s="4" t="s">
        <v>22</v>
      </c>
      <c r="F1178" s="47">
        <f t="shared" si="154"/>
        <v>1</v>
      </c>
      <c r="G1178" s="47">
        <f t="shared" si="154"/>
        <v>1</v>
      </c>
      <c r="H1178" s="47">
        <f t="shared" si="154"/>
        <v>1</v>
      </c>
      <c r="I1178" s="47">
        <f t="shared" si="154"/>
        <v>1</v>
      </c>
      <c r="J1178" s="47">
        <f t="shared" si="137"/>
        <v>1</v>
      </c>
      <c r="K1178" s="47">
        <v>1</v>
      </c>
      <c r="L1178" s="47">
        <v>1</v>
      </c>
      <c r="M1178" s="893"/>
    </row>
    <row r="1179" spans="1:13" hidden="1" outlineLevel="1" x14ac:dyDescent="0.2">
      <c r="A1179" s="91" t="s">
        <v>1502</v>
      </c>
      <c r="B1179" s="3" t="s">
        <v>252</v>
      </c>
      <c r="C1179" s="3" t="s">
        <v>1516</v>
      </c>
      <c r="D1179" s="717">
        <v>1</v>
      </c>
      <c r="E1179" s="469" t="s">
        <v>23</v>
      </c>
      <c r="F1179" s="48">
        <f t="shared" si="154"/>
        <v>1</v>
      </c>
      <c r="G1179" s="48">
        <f t="shared" si="154"/>
        <v>1</v>
      </c>
      <c r="H1179" s="48">
        <f t="shared" si="154"/>
        <v>1</v>
      </c>
      <c r="I1179" s="48">
        <f t="shared" si="154"/>
        <v>1</v>
      </c>
      <c r="J1179" s="48">
        <f t="shared" si="137"/>
        <v>1</v>
      </c>
      <c r="K1179" s="363">
        <v>1</v>
      </c>
      <c r="L1179" s="363">
        <v>1</v>
      </c>
      <c r="M1179" s="920"/>
    </row>
    <row r="1180" spans="1:13" hidden="1" outlineLevel="1" x14ac:dyDescent="0.2">
      <c r="A1180" s="92" t="s">
        <v>1502</v>
      </c>
      <c r="B1180" s="81" t="s">
        <v>252</v>
      </c>
      <c r="C1180" s="81" t="s">
        <v>1517</v>
      </c>
      <c r="D1180" s="715">
        <v>1</v>
      </c>
      <c r="E1180" s="468" t="s">
        <v>4</v>
      </c>
      <c r="F1180" s="380">
        <f t="shared" si="154"/>
        <v>0</v>
      </c>
      <c r="G1180" s="89">
        <f t="shared" si="154"/>
        <v>0</v>
      </c>
      <c r="H1180" s="89">
        <f t="shared" si="154"/>
        <v>0</v>
      </c>
      <c r="I1180" s="89">
        <f t="shared" si="154"/>
        <v>0</v>
      </c>
      <c r="J1180" s="89">
        <f t="shared" si="137"/>
        <v>0</v>
      </c>
      <c r="K1180" s="380">
        <v>0</v>
      </c>
      <c r="L1180" s="380">
        <v>0</v>
      </c>
      <c r="M1180" s="892"/>
    </row>
    <row r="1181" spans="1:13" hidden="1" outlineLevel="1" x14ac:dyDescent="0.2">
      <c r="A1181" s="22" t="s">
        <v>1502</v>
      </c>
      <c r="B1181" s="2" t="s">
        <v>252</v>
      </c>
      <c r="C1181" s="2" t="s">
        <v>1517</v>
      </c>
      <c r="D1181" s="716">
        <v>1</v>
      </c>
      <c r="E1181" s="4" t="s">
        <v>5</v>
      </c>
      <c r="F1181" s="47">
        <f t="shared" si="154"/>
        <v>0</v>
      </c>
      <c r="G1181" s="47">
        <f t="shared" si="154"/>
        <v>0</v>
      </c>
      <c r="H1181" s="47">
        <f t="shared" si="154"/>
        <v>0</v>
      </c>
      <c r="I1181" s="47">
        <f t="shared" si="154"/>
        <v>0</v>
      </c>
      <c r="J1181" s="47">
        <f t="shared" si="137"/>
        <v>0</v>
      </c>
      <c r="K1181" s="47">
        <v>0</v>
      </c>
      <c r="L1181" s="47">
        <v>0</v>
      </c>
      <c r="M1181" s="893"/>
    </row>
    <row r="1182" spans="1:13" hidden="1" outlineLevel="1" x14ac:dyDescent="0.2">
      <c r="A1182" s="22" t="s">
        <v>1502</v>
      </c>
      <c r="B1182" s="2" t="s">
        <v>252</v>
      </c>
      <c r="C1182" s="2" t="s">
        <v>1517</v>
      </c>
      <c r="D1182" s="716">
        <v>1</v>
      </c>
      <c r="E1182" s="4" t="s">
        <v>6</v>
      </c>
      <c r="F1182" s="47">
        <f t="shared" si="154"/>
        <v>0</v>
      </c>
      <c r="G1182" s="47">
        <f t="shared" si="154"/>
        <v>0</v>
      </c>
      <c r="H1182" s="47">
        <f t="shared" si="154"/>
        <v>0</v>
      </c>
      <c r="I1182" s="47">
        <f t="shared" si="154"/>
        <v>0</v>
      </c>
      <c r="J1182" s="47">
        <f t="shared" si="137"/>
        <v>0</v>
      </c>
      <c r="K1182" s="47">
        <v>0</v>
      </c>
      <c r="L1182" s="47">
        <v>0</v>
      </c>
      <c r="M1182" s="893"/>
    </row>
    <row r="1183" spans="1:13" hidden="1" outlineLevel="1" x14ac:dyDescent="0.2">
      <c r="A1183" s="22" t="s">
        <v>1502</v>
      </c>
      <c r="B1183" s="2" t="s">
        <v>252</v>
      </c>
      <c r="C1183" s="2" t="s">
        <v>1517</v>
      </c>
      <c r="D1183" s="716">
        <v>1</v>
      </c>
      <c r="E1183" s="4" t="s">
        <v>143</v>
      </c>
      <c r="F1183" s="47">
        <f t="shared" si="154"/>
        <v>0</v>
      </c>
      <c r="G1183" s="47">
        <f t="shared" si="154"/>
        <v>0</v>
      </c>
      <c r="H1183" s="47">
        <f t="shared" si="154"/>
        <v>0</v>
      </c>
      <c r="I1183" s="47">
        <f t="shared" si="154"/>
        <v>0</v>
      </c>
      <c r="J1183" s="47">
        <f t="shared" si="137"/>
        <v>0</v>
      </c>
      <c r="K1183" s="47">
        <v>0</v>
      </c>
      <c r="L1183" s="47">
        <v>0</v>
      </c>
      <c r="M1183" s="893"/>
    </row>
    <row r="1184" spans="1:13" hidden="1" outlineLevel="1" x14ac:dyDescent="0.2">
      <c r="A1184" s="22" t="s">
        <v>1502</v>
      </c>
      <c r="B1184" s="2" t="s">
        <v>252</v>
      </c>
      <c r="C1184" s="2" t="s">
        <v>1517</v>
      </c>
      <c r="D1184" s="716">
        <v>1</v>
      </c>
      <c r="E1184" s="4" t="s">
        <v>7</v>
      </c>
      <c r="F1184" s="47">
        <f t="shared" si="154"/>
        <v>0</v>
      </c>
      <c r="G1184" s="47">
        <f t="shared" si="154"/>
        <v>0</v>
      </c>
      <c r="H1184" s="47">
        <f t="shared" si="154"/>
        <v>0</v>
      </c>
      <c r="I1184" s="47">
        <f t="shared" si="154"/>
        <v>0</v>
      </c>
      <c r="J1184" s="47">
        <f t="shared" si="154"/>
        <v>0</v>
      </c>
      <c r="K1184" s="47">
        <v>0</v>
      </c>
      <c r="L1184" s="47">
        <v>0</v>
      </c>
      <c r="M1184" s="893"/>
    </row>
    <row r="1185" spans="1:13" hidden="1" outlineLevel="1" x14ac:dyDescent="0.2">
      <c r="A1185" s="22" t="s">
        <v>1502</v>
      </c>
      <c r="B1185" s="2" t="s">
        <v>252</v>
      </c>
      <c r="C1185" s="2" t="s">
        <v>1517</v>
      </c>
      <c r="D1185" s="716">
        <v>1</v>
      </c>
      <c r="E1185" s="4" t="s">
        <v>31</v>
      </c>
      <c r="F1185" s="47">
        <f t="shared" si="154"/>
        <v>1</v>
      </c>
      <c r="G1185" s="47">
        <f t="shared" si="154"/>
        <v>1</v>
      </c>
      <c r="H1185" s="47">
        <f t="shared" si="154"/>
        <v>1</v>
      </c>
      <c r="I1185" s="47">
        <f t="shared" si="154"/>
        <v>1</v>
      </c>
      <c r="J1185" s="47">
        <f t="shared" si="154"/>
        <v>1</v>
      </c>
      <c r="K1185" s="47">
        <v>1</v>
      </c>
      <c r="L1185" s="47">
        <v>1</v>
      </c>
      <c r="M1185" s="893"/>
    </row>
    <row r="1186" spans="1:13" hidden="1" outlineLevel="1" x14ac:dyDescent="0.2">
      <c r="A1186" s="22" t="s">
        <v>1502</v>
      </c>
      <c r="B1186" s="2" t="s">
        <v>252</v>
      </c>
      <c r="C1186" s="2" t="s">
        <v>1517</v>
      </c>
      <c r="D1186" s="716">
        <v>1</v>
      </c>
      <c r="E1186" s="4" t="s">
        <v>8</v>
      </c>
      <c r="F1186" s="47">
        <f t="shared" si="154"/>
        <v>0</v>
      </c>
      <c r="G1186" s="47">
        <f t="shared" si="154"/>
        <v>0</v>
      </c>
      <c r="H1186" s="47">
        <f t="shared" si="154"/>
        <v>0</v>
      </c>
      <c r="I1186" s="47">
        <f t="shared" si="154"/>
        <v>0</v>
      </c>
      <c r="J1186" s="47">
        <f t="shared" si="154"/>
        <v>0</v>
      </c>
      <c r="K1186" s="47">
        <v>0</v>
      </c>
      <c r="L1186" s="47">
        <v>0</v>
      </c>
      <c r="M1186" s="893"/>
    </row>
    <row r="1187" spans="1:13" hidden="1" outlineLevel="1" x14ac:dyDescent="0.2">
      <c r="A1187" s="22" t="s">
        <v>1502</v>
      </c>
      <c r="B1187" s="2" t="s">
        <v>252</v>
      </c>
      <c r="C1187" s="2" t="s">
        <v>1517</v>
      </c>
      <c r="D1187" s="716">
        <v>1</v>
      </c>
      <c r="E1187" s="4" t="s">
        <v>9</v>
      </c>
      <c r="F1187" s="47">
        <f t="shared" si="154"/>
        <v>0</v>
      </c>
      <c r="G1187" s="47">
        <f t="shared" si="154"/>
        <v>0</v>
      </c>
      <c r="H1187" s="47">
        <f t="shared" si="154"/>
        <v>0</v>
      </c>
      <c r="I1187" s="47">
        <f t="shared" si="154"/>
        <v>0</v>
      </c>
      <c r="J1187" s="47">
        <f t="shared" si="154"/>
        <v>0</v>
      </c>
      <c r="K1187" s="47">
        <v>0</v>
      </c>
      <c r="L1187" s="47">
        <v>0</v>
      </c>
      <c r="M1187" s="893"/>
    </row>
    <row r="1188" spans="1:13" hidden="1" outlineLevel="1" x14ac:dyDescent="0.2">
      <c r="A1188" s="22" t="s">
        <v>1502</v>
      </c>
      <c r="B1188" s="2" t="s">
        <v>252</v>
      </c>
      <c r="C1188" s="2" t="s">
        <v>1517</v>
      </c>
      <c r="D1188" s="716">
        <v>1</v>
      </c>
      <c r="E1188" s="4" t="s">
        <v>10</v>
      </c>
      <c r="F1188" s="47">
        <f t="shared" si="154"/>
        <v>1</v>
      </c>
      <c r="G1188" s="47">
        <f t="shared" si="154"/>
        <v>1</v>
      </c>
      <c r="H1188" s="47">
        <f t="shared" si="154"/>
        <v>1</v>
      </c>
      <c r="I1188" s="47">
        <f t="shared" si="154"/>
        <v>1</v>
      </c>
      <c r="J1188" s="47">
        <f t="shared" si="154"/>
        <v>1</v>
      </c>
      <c r="K1188" s="47">
        <v>1</v>
      </c>
      <c r="L1188" s="47">
        <v>1</v>
      </c>
      <c r="M1188" s="893"/>
    </row>
    <row r="1189" spans="1:13" hidden="1" outlineLevel="1" x14ac:dyDescent="0.2">
      <c r="A1189" s="22" t="s">
        <v>1502</v>
      </c>
      <c r="B1189" s="2" t="s">
        <v>252</v>
      </c>
      <c r="C1189" s="2" t="s">
        <v>1517</v>
      </c>
      <c r="D1189" s="716">
        <v>1</v>
      </c>
      <c r="E1189" s="4" t="s">
        <v>11</v>
      </c>
      <c r="F1189" s="47">
        <f t="shared" si="154"/>
        <v>0</v>
      </c>
      <c r="G1189" s="47">
        <f t="shared" si="154"/>
        <v>0</v>
      </c>
      <c r="H1189" s="47">
        <f t="shared" si="154"/>
        <v>0</v>
      </c>
      <c r="I1189" s="47">
        <f t="shared" si="154"/>
        <v>0</v>
      </c>
      <c r="J1189" s="47">
        <f t="shared" si="154"/>
        <v>0</v>
      </c>
      <c r="K1189" s="47">
        <v>0</v>
      </c>
      <c r="L1189" s="47">
        <v>0</v>
      </c>
      <c r="M1189" s="893"/>
    </row>
    <row r="1190" spans="1:13" hidden="1" outlineLevel="1" x14ac:dyDescent="0.2">
      <c r="A1190" s="22" t="s">
        <v>1502</v>
      </c>
      <c r="B1190" s="2" t="s">
        <v>252</v>
      </c>
      <c r="C1190" s="2" t="s">
        <v>1517</v>
      </c>
      <c r="D1190" s="716">
        <v>1</v>
      </c>
      <c r="E1190" s="4" t="s">
        <v>12</v>
      </c>
      <c r="F1190" s="47">
        <f t="shared" si="154"/>
        <v>0</v>
      </c>
      <c r="G1190" s="47">
        <f t="shared" si="154"/>
        <v>0</v>
      </c>
      <c r="H1190" s="47">
        <f t="shared" si="154"/>
        <v>0</v>
      </c>
      <c r="I1190" s="47">
        <f t="shared" si="154"/>
        <v>0</v>
      </c>
      <c r="J1190" s="47">
        <f t="shared" si="154"/>
        <v>0</v>
      </c>
      <c r="K1190" s="47">
        <v>0</v>
      </c>
      <c r="L1190" s="47">
        <v>0</v>
      </c>
      <c r="M1190" s="893"/>
    </row>
    <row r="1191" spans="1:13" hidden="1" outlineLevel="1" x14ac:dyDescent="0.2">
      <c r="A1191" s="22" t="s">
        <v>1502</v>
      </c>
      <c r="B1191" s="2" t="s">
        <v>252</v>
      </c>
      <c r="C1191" s="2" t="s">
        <v>1517</v>
      </c>
      <c r="D1191" s="716">
        <v>1</v>
      </c>
      <c r="E1191" s="4" t="s">
        <v>1</v>
      </c>
      <c r="F1191" s="47">
        <f t="shared" si="154"/>
        <v>0</v>
      </c>
      <c r="G1191" s="47">
        <f t="shared" si="154"/>
        <v>0</v>
      </c>
      <c r="H1191" s="47">
        <f t="shared" si="154"/>
        <v>0</v>
      </c>
      <c r="I1191" s="47">
        <f t="shared" si="154"/>
        <v>0</v>
      </c>
      <c r="J1191" s="47">
        <f t="shared" si="154"/>
        <v>0</v>
      </c>
      <c r="K1191" s="47">
        <v>0</v>
      </c>
      <c r="L1191" s="47">
        <v>0</v>
      </c>
      <c r="M1191" s="893"/>
    </row>
    <row r="1192" spans="1:13" hidden="1" outlineLevel="1" x14ac:dyDescent="0.2">
      <c r="A1192" s="22" t="s">
        <v>1502</v>
      </c>
      <c r="B1192" s="2" t="s">
        <v>252</v>
      </c>
      <c r="C1192" s="2" t="s">
        <v>1517</v>
      </c>
      <c r="D1192" s="716">
        <v>1</v>
      </c>
      <c r="E1192" s="4" t="s">
        <v>13</v>
      </c>
      <c r="F1192" s="47">
        <f t="shared" si="154"/>
        <v>0</v>
      </c>
      <c r="G1192" s="47">
        <f t="shared" si="154"/>
        <v>0</v>
      </c>
      <c r="H1192" s="47">
        <f t="shared" si="154"/>
        <v>0</v>
      </c>
      <c r="I1192" s="47">
        <f t="shared" si="154"/>
        <v>0</v>
      </c>
      <c r="J1192" s="47">
        <f t="shared" si="154"/>
        <v>0</v>
      </c>
      <c r="K1192" s="47">
        <v>0</v>
      </c>
      <c r="L1192" s="47">
        <v>0</v>
      </c>
      <c r="M1192" s="893"/>
    </row>
    <row r="1193" spans="1:13" hidden="1" outlineLevel="1" x14ac:dyDescent="0.2">
      <c r="A1193" s="22" t="s">
        <v>1502</v>
      </c>
      <c r="B1193" s="2" t="s">
        <v>252</v>
      </c>
      <c r="C1193" s="2" t="s">
        <v>1517</v>
      </c>
      <c r="D1193" s="716">
        <v>1</v>
      </c>
      <c r="E1193" s="4" t="s">
        <v>14</v>
      </c>
      <c r="F1193" s="47">
        <f t="shared" si="154"/>
        <v>0</v>
      </c>
      <c r="G1193" s="47">
        <f t="shared" si="154"/>
        <v>0</v>
      </c>
      <c r="H1193" s="47">
        <f t="shared" si="154"/>
        <v>0</v>
      </c>
      <c r="I1193" s="47">
        <f t="shared" si="154"/>
        <v>0</v>
      </c>
      <c r="J1193" s="47">
        <f t="shared" si="154"/>
        <v>0</v>
      </c>
      <c r="K1193" s="47">
        <v>0</v>
      </c>
      <c r="L1193" s="47">
        <v>0</v>
      </c>
      <c r="M1193" s="893"/>
    </row>
    <row r="1194" spans="1:13" hidden="1" outlineLevel="1" x14ac:dyDescent="0.2">
      <c r="A1194" s="22" t="s">
        <v>1502</v>
      </c>
      <c r="B1194" s="2" t="s">
        <v>252</v>
      </c>
      <c r="C1194" s="2" t="s">
        <v>1517</v>
      </c>
      <c r="D1194" s="716">
        <v>1</v>
      </c>
      <c r="E1194" s="4" t="s">
        <v>15</v>
      </c>
      <c r="F1194" s="47">
        <f t="shared" si="154"/>
        <v>0</v>
      </c>
      <c r="G1194" s="47">
        <f t="shared" si="154"/>
        <v>0</v>
      </c>
      <c r="H1194" s="47">
        <f t="shared" si="154"/>
        <v>0</v>
      </c>
      <c r="I1194" s="47">
        <f t="shared" si="154"/>
        <v>0</v>
      </c>
      <c r="J1194" s="47">
        <f t="shared" si="154"/>
        <v>0</v>
      </c>
      <c r="K1194" s="47">
        <v>0</v>
      </c>
      <c r="L1194" s="47">
        <v>0</v>
      </c>
      <c r="M1194" s="893"/>
    </row>
    <row r="1195" spans="1:13" hidden="1" outlineLevel="1" x14ac:dyDescent="0.2">
      <c r="A1195" s="22" t="s">
        <v>1502</v>
      </c>
      <c r="B1195" s="2" t="s">
        <v>252</v>
      </c>
      <c r="C1195" s="2" t="s">
        <v>1517</v>
      </c>
      <c r="D1195" s="716">
        <v>1</v>
      </c>
      <c r="E1195" s="4" t="s">
        <v>16</v>
      </c>
      <c r="F1195" s="47">
        <f t="shared" si="154"/>
        <v>0</v>
      </c>
      <c r="G1195" s="47">
        <f t="shared" si="154"/>
        <v>0</v>
      </c>
      <c r="H1195" s="47">
        <f t="shared" si="154"/>
        <v>0</v>
      </c>
      <c r="I1195" s="47">
        <f t="shared" si="154"/>
        <v>0</v>
      </c>
      <c r="J1195" s="47">
        <f t="shared" si="154"/>
        <v>0</v>
      </c>
      <c r="K1195" s="47">
        <v>0</v>
      </c>
      <c r="L1195" s="47">
        <v>0</v>
      </c>
      <c r="M1195" s="893"/>
    </row>
    <row r="1196" spans="1:13" hidden="1" outlineLevel="1" x14ac:dyDescent="0.2">
      <c r="A1196" s="22" t="s">
        <v>1502</v>
      </c>
      <c r="B1196" s="2" t="s">
        <v>252</v>
      </c>
      <c r="C1196" s="2" t="s">
        <v>1517</v>
      </c>
      <c r="D1196" s="716">
        <v>1</v>
      </c>
      <c r="E1196" s="4" t="s">
        <v>17</v>
      </c>
      <c r="F1196" s="47">
        <f t="shared" si="154"/>
        <v>0</v>
      </c>
      <c r="G1196" s="47">
        <f t="shared" si="154"/>
        <v>0</v>
      </c>
      <c r="H1196" s="47">
        <f t="shared" si="154"/>
        <v>0</v>
      </c>
      <c r="I1196" s="47">
        <f t="shared" ref="I1196:J1196" si="155">J1196</f>
        <v>0</v>
      </c>
      <c r="J1196" s="47">
        <f t="shared" si="155"/>
        <v>0</v>
      </c>
      <c r="K1196" s="47">
        <v>0</v>
      </c>
      <c r="L1196" s="47">
        <v>0</v>
      </c>
      <c r="M1196" s="893"/>
    </row>
    <row r="1197" spans="1:13" hidden="1" outlineLevel="1" x14ac:dyDescent="0.2">
      <c r="A1197" s="22" t="s">
        <v>1502</v>
      </c>
      <c r="B1197" s="2" t="s">
        <v>252</v>
      </c>
      <c r="C1197" s="2" t="s">
        <v>1517</v>
      </c>
      <c r="D1197" s="716">
        <v>1</v>
      </c>
      <c r="E1197" s="4" t="s">
        <v>18</v>
      </c>
      <c r="F1197" s="47">
        <f t="shared" si="154"/>
        <v>0</v>
      </c>
      <c r="G1197" s="47">
        <f t="shared" ref="G1197:J1197" si="156">H1197</f>
        <v>0</v>
      </c>
      <c r="H1197" s="47">
        <f t="shared" si="156"/>
        <v>0</v>
      </c>
      <c r="I1197" s="47">
        <f t="shared" si="156"/>
        <v>0</v>
      </c>
      <c r="J1197" s="47">
        <f t="shared" si="156"/>
        <v>0</v>
      </c>
      <c r="K1197" s="47">
        <v>0</v>
      </c>
      <c r="L1197" s="47">
        <v>0</v>
      </c>
      <c r="M1197" s="893"/>
    </row>
    <row r="1198" spans="1:13" hidden="1" outlineLevel="1" x14ac:dyDescent="0.2">
      <c r="A1198" s="22" t="s">
        <v>1502</v>
      </c>
      <c r="B1198" s="2" t="s">
        <v>252</v>
      </c>
      <c r="C1198" s="2" t="s">
        <v>1517</v>
      </c>
      <c r="D1198" s="716">
        <v>1</v>
      </c>
      <c r="E1198" s="4" t="s">
        <v>2</v>
      </c>
      <c r="F1198" s="47">
        <f t="shared" si="154"/>
        <v>0</v>
      </c>
      <c r="G1198" s="47">
        <f t="shared" ref="G1198:J1198" si="157">H1198</f>
        <v>0</v>
      </c>
      <c r="H1198" s="47">
        <f t="shared" si="157"/>
        <v>0</v>
      </c>
      <c r="I1198" s="47">
        <f t="shared" si="157"/>
        <v>0</v>
      </c>
      <c r="J1198" s="47">
        <f t="shared" si="157"/>
        <v>0</v>
      </c>
      <c r="K1198" s="47">
        <v>0</v>
      </c>
      <c r="L1198" s="47">
        <v>0</v>
      </c>
      <c r="M1198" s="893"/>
    </row>
    <row r="1199" spans="1:13" hidden="1" outlineLevel="1" x14ac:dyDescent="0.2">
      <c r="A1199" s="22" t="s">
        <v>1502</v>
      </c>
      <c r="B1199" s="2" t="s">
        <v>252</v>
      </c>
      <c r="C1199" s="2" t="s">
        <v>1517</v>
      </c>
      <c r="D1199" s="716">
        <v>1</v>
      </c>
      <c r="E1199" s="4" t="s">
        <v>19</v>
      </c>
      <c r="F1199" s="47">
        <f t="shared" si="154"/>
        <v>0</v>
      </c>
      <c r="G1199" s="47">
        <f t="shared" ref="G1199:J1199" si="158">H1199</f>
        <v>0</v>
      </c>
      <c r="H1199" s="47">
        <f t="shared" si="158"/>
        <v>0</v>
      </c>
      <c r="I1199" s="47">
        <f t="shared" si="158"/>
        <v>0</v>
      </c>
      <c r="J1199" s="47">
        <f t="shared" si="158"/>
        <v>0</v>
      </c>
      <c r="K1199" s="47">
        <v>0</v>
      </c>
      <c r="L1199" s="47">
        <v>0</v>
      </c>
      <c r="M1199" s="893"/>
    </row>
    <row r="1200" spans="1:13" hidden="1" outlineLevel="1" x14ac:dyDescent="0.2">
      <c r="A1200" s="22" t="s">
        <v>1502</v>
      </c>
      <c r="B1200" s="2" t="s">
        <v>252</v>
      </c>
      <c r="C1200" s="2" t="s">
        <v>1517</v>
      </c>
      <c r="D1200" s="716">
        <v>1</v>
      </c>
      <c r="E1200" s="4" t="s">
        <v>3</v>
      </c>
      <c r="F1200" s="47">
        <f t="shared" si="154"/>
        <v>0</v>
      </c>
      <c r="G1200" s="47">
        <f t="shared" ref="G1200:J1200" si="159">H1200</f>
        <v>0</v>
      </c>
      <c r="H1200" s="47">
        <f t="shared" si="159"/>
        <v>0</v>
      </c>
      <c r="I1200" s="47">
        <f t="shared" si="159"/>
        <v>0</v>
      </c>
      <c r="J1200" s="47">
        <f t="shared" si="159"/>
        <v>0</v>
      </c>
      <c r="K1200" s="47">
        <v>0</v>
      </c>
      <c r="L1200" s="47">
        <v>0</v>
      </c>
      <c r="M1200" s="893"/>
    </row>
    <row r="1201" spans="1:13" hidden="1" outlineLevel="1" x14ac:dyDescent="0.2">
      <c r="A1201" s="22" t="s">
        <v>1502</v>
      </c>
      <c r="B1201" s="2" t="s">
        <v>252</v>
      </c>
      <c r="C1201" s="2" t="s">
        <v>1517</v>
      </c>
      <c r="D1201" s="716">
        <v>1</v>
      </c>
      <c r="E1201" s="4" t="s">
        <v>20</v>
      </c>
      <c r="F1201" s="47">
        <f t="shared" ref="F1201:J1264" si="160">G1201</f>
        <v>0</v>
      </c>
      <c r="G1201" s="47">
        <f t="shared" si="160"/>
        <v>0</v>
      </c>
      <c r="H1201" s="47">
        <f t="shared" si="160"/>
        <v>0</v>
      </c>
      <c r="I1201" s="47">
        <f t="shared" si="160"/>
        <v>0</v>
      </c>
      <c r="J1201" s="47">
        <f t="shared" si="160"/>
        <v>0</v>
      </c>
      <c r="K1201" s="47">
        <v>0</v>
      </c>
      <c r="L1201" s="47">
        <v>0</v>
      </c>
      <c r="M1201" s="893"/>
    </row>
    <row r="1202" spans="1:13" hidden="1" outlineLevel="1" x14ac:dyDescent="0.2">
      <c r="A1202" s="22" t="s">
        <v>1502</v>
      </c>
      <c r="B1202" s="2" t="s">
        <v>252</v>
      </c>
      <c r="C1202" s="2" t="s">
        <v>1517</v>
      </c>
      <c r="D1202" s="716">
        <v>1</v>
      </c>
      <c r="E1202" s="4" t="s">
        <v>21</v>
      </c>
      <c r="F1202" s="47">
        <f t="shared" si="160"/>
        <v>0</v>
      </c>
      <c r="G1202" s="47">
        <f t="shared" si="160"/>
        <v>0</v>
      </c>
      <c r="H1202" s="47">
        <f t="shared" si="160"/>
        <v>0</v>
      </c>
      <c r="I1202" s="47">
        <f t="shared" si="160"/>
        <v>0</v>
      </c>
      <c r="J1202" s="47">
        <f t="shared" si="160"/>
        <v>0</v>
      </c>
      <c r="K1202" s="47">
        <v>0</v>
      </c>
      <c r="L1202" s="47">
        <v>0</v>
      </c>
      <c r="M1202" s="893"/>
    </row>
    <row r="1203" spans="1:13" hidden="1" outlineLevel="1" x14ac:dyDescent="0.2">
      <c r="A1203" s="22" t="s">
        <v>1502</v>
      </c>
      <c r="B1203" s="2" t="s">
        <v>252</v>
      </c>
      <c r="C1203" s="2" t="s">
        <v>1517</v>
      </c>
      <c r="D1203" s="716">
        <v>1</v>
      </c>
      <c r="E1203" s="4" t="s">
        <v>1096</v>
      </c>
      <c r="F1203" s="47">
        <f t="shared" si="160"/>
        <v>0</v>
      </c>
      <c r="G1203" s="47">
        <f t="shared" si="160"/>
        <v>0</v>
      </c>
      <c r="H1203" s="47">
        <f t="shared" si="160"/>
        <v>0</v>
      </c>
      <c r="I1203" s="47">
        <f t="shared" si="160"/>
        <v>0</v>
      </c>
      <c r="J1203" s="47">
        <f t="shared" si="160"/>
        <v>0</v>
      </c>
      <c r="K1203" s="47">
        <v>0</v>
      </c>
      <c r="L1203" s="47">
        <v>1</v>
      </c>
      <c r="M1203" s="893"/>
    </row>
    <row r="1204" spans="1:13" hidden="1" outlineLevel="1" x14ac:dyDescent="0.2">
      <c r="A1204" s="22" t="s">
        <v>1502</v>
      </c>
      <c r="B1204" s="2" t="s">
        <v>252</v>
      </c>
      <c r="C1204" s="2" t="s">
        <v>1517</v>
      </c>
      <c r="D1204" s="716">
        <v>1</v>
      </c>
      <c r="E1204" s="4" t="s">
        <v>22</v>
      </c>
      <c r="F1204" s="47">
        <f t="shared" si="160"/>
        <v>0</v>
      </c>
      <c r="G1204" s="47">
        <f t="shared" si="160"/>
        <v>0</v>
      </c>
      <c r="H1204" s="47">
        <f t="shared" si="160"/>
        <v>0</v>
      </c>
      <c r="I1204" s="47">
        <f t="shared" si="160"/>
        <v>0</v>
      </c>
      <c r="J1204" s="47">
        <f t="shared" si="160"/>
        <v>0</v>
      </c>
      <c r="K1204" s="47">
        <v>0</v>
      </c>
      <c r="L1204" s="47">
        <v>0</v>
      </c>
      <c r="M1204" s="893"/>
    </row>
    <row r="1205" spans="1:13" hidden="1" outlineLevel="1" x14ac:dyDescent="0.2">
      <c r="A1205" s="91" t="s">
        <v>1502</v>
      </c>
      <c r="B1205" s="3" t="s">
        <v>252</v>
      </c>
      <c r="C1205" s="3" t="s">
        <v>1517</v>
      </c>
      <c r="D1205" s="717">
        <v>1</v>
      </c>
      <c r="E1205" s="469" t="s">
        <v>23</v>
      </c>
      <c r="F1205" s="48">
        <f t="shared" si="160"/>
        <v>1</v>
      </c>
      <c r="G1205" s="48">
        <f t="shared" si="160"/>
        <v>1</v>
      </c>
      <c r="H1205" s="48">
        <f t="shared" si="160"/>
        <v>1</v>
      </c>
      <c r="I1205" s="48">
        <f t="shared" si="160"/>
        <v>1</v>
      </c>
      <c r="J1205" s="48">
        <f t="shared" si="160"/>
        <v>1</v>
      </c>
      <c r="K1205" s="363">
        <v>1</v>
      </c>
      <c r="L1205" s="363">
        <v>1</v>
      </c>
      <c r="M1205" s="920"/>
    </row>
    <row r="1206" spans="1:13" hidden="1" outlineLevel="1" x14ac:dyDescent="0.2">
      <c r="A1206" s="92" t="s">
        <v>1502</v>
      </c>
      <c r="B1206" s="81" t="s">
        <v>252</v>
      </c>
      <c r="C1206" s="81" t="s">
        <v>1518</v>
      </c>
      <c r="D1206" s="715">
        <v>1</v>
      </c>
      <c r="E1206" s="468" t="s">
        <v>4</v>
      </c>
      <c r="F1206" s="380">
        <f t="shared" si="160"/>
        <v>0</v>
      </c>
      <c r="G1206" s="89">
        <f t="shared" si="160"/>
        <v>0</v>
      </c>
      <c r="H1206" s="89">
        <f t="shared" si="160"/>
        <v>0</v>
      </c>
      <c r="I1206" s="89">
        <f t="shared" si="160"/>
        <v>0</v>
      </c>
      <c r="J1206" s="89">
        <f t="shared" si="160"/>
        <v>0</v>
      </c>
      <c r="K1206" s="380">
        <v>0</v>
      </c>
      <c r="L1206" s="380">
        <v>0</v>
      </c>
      <c r="M1206" s="892"/>
    </row>
    <row r="1207" spans="1:13" hidden="1" outlineLevel="1" x14ac:dyDescent="0.2">
      <c r="A1207" s="22" t="s">
        <v>1502</v>
      </c>
      <c r="B1207" s="2" t="s">
        <v>252</v>
      </c>
      <c r="C1207" s="2" t="s">
        <v>1518</v>
      </c>
      <c r="D1207" s="716">
        <v>1</v>
      </c>
      <c r="E1207" s="4" t="s">
        <v>5</v>
      </c>
      <c r="F1207" s="47">
        <f t="shared" si="160"/>
        <v>0</v>
      </c>
      <c r="G1207" s="47">
        <f t="shared" si="160"/>
        <v>0</v>
      </c>
      <c r="H1207" s="47">
        <f t="shared" si="160"/>
        <v>0</v>
      </c>
      <c r="I1207" s="47">
        <f t="shared" si="160"/>
        <v>0</v>
      </c>
      <c r="J1207" s="47">
        <f t="shared" si="160"/>
        <v>0</v>
      </c>
      <c r="K1207" s="47">
        <v>0</v>
      </c>
      <c r="L1207" s="47">
        <v>0</v>
      </c>
      <c r="M1207" s="893"/>
    </row>
    <row r="1208" spans="1:13" hidden="1" outlineLevel="1" x14ac:dyDescent="0.2">
      <c r="A1208" s="22" t="s">
        <v>1502</v>
      </c>
      <c r="B1208" s="2" t="s">
        <v>252</v>
      </c>
      <c r="C1208" s="2" t="s">
        <v>1518</v>
      </c>
      <c r="D1208" s="716">
        <v>1</v>
      </c>
      <c r="E1208" s="4" t="s">
        <v>6</v>
      </c>
      <c r="F1208" s="47">
        <f t="shared" si="160"/>
        <v>0</v>
      </c>
      <c r="G1208" s="47">
        <f t="shared" si="160"/>
        <v>0</v>
      </c>
      <c r="H1208" s="47">
        <f t="shared" si="160"/>
        <v>0</v>
      </c>
      <c r="I1208" s="47">
        <f t="shared" si="160"/>
        <v>0</v>
      </c>
      <c r="J1208" s="47">
        <f t="shared" si="160"/>
        <v>0</v>
      </c>
      <c r="K1208" s="47">
        <v>0</v>
      </c>
      <c r="L1208" s="47">
        <v>0</v>
      </c>
      <c r="M1208" s="893"/>
    </row>
    <row r="1209" spans="1:13" hidden="1" outlineLevel="1" x14ac:dyDescent="0.2">
      <c r="A1209" s="22" t="s">
        <v>1502</v>
      </c>
      <c r="B1209" s="2" t="s">
        <v>252</v>
      </c>
      <c r="C1209" s="2" t="s">
        <v>1518</v>
      </c>
      <c r="D1209" s="716">
        <v>1</v>
      </c>
      <c r="E1209" s="4" t="s">
        <v>143</v>
      </c>
      <c r="F1209" s="47">
        <f t="shared" si="160"/>
        <v>0</v>
      </c>
      <c r="G1209" s="47">
        <f t="shared" si="160"/>
        <v>0</v>
      </c>
      <c r="H1209" s="47">
        <f t="shared" si="160"/>
        <v>0</v>
      </c>
      <c r="I1209" s="47">
        <f t="shared" si="160"/>
        <v>0</v>
      </c>
      <c r="J1209" s="47">
        <f t="shared" si="160"/>
        <v>0</v>
      </c>
      <c r="K1209" s="47">
        <v>0</v>
      </c>
      <c r="L1209" s="47">
        <v>0</v>
      </c>
      <c r="M1209" s="893"/>
    </row>
    <row r="1210" spans="1:13" hidden="1" outlineLevel="1" x14ac:dyDescent="0.2">
      <c r="A1210" s="22" t="s">
        <v>1502</v>
      </c>
      <c r="B1210" s="2" t="s">
        <v>252</v>
      </c>
      <c r="C1210" s="2" t="s">
        <v>1518</v>
      </c>
      <c r="D1210" s="716">
        <v>1</v>
      </c>
      <c r="E1210" s="4" t="s">
        <v>7</v>
      </c>
      <c r="F1210" s="47">
        <f t="shared" si="160"/>
        <v>0</v>
      </c>
      <c r="G1210" s="47">
        <f t="shared" si="160"/>
        <v>0</v>
      </c>
      <c r="H1210" s="47">
        <f t="shared" si="160"/>
        <v>0</v>
      </c>
      <c r="I1210" s="47">
        <f t="shared" si="160"/>
        <v>0</v>
      </c>
      <c r="J1210" s="47">
        <f t="shared" si="160"/>
        <v>0</v>
      </c>
      <c r="K1210" s="47">
        <v>0</v>
      </c>
      <c r="L1210" s="47">
        <v>0</v>
      </c>
      <c r="M1210" s="893"/>
    </row>
    <row r="1211" spans="1:13" hidden="1" outlineLevel="1" x14ac:dyDescent="0.2">
      <c r="A1211" s="22" t="s">
        <v>1502</v>
      </c>
      <c r="B1211" s="2" t="s">
        <v>252</v>
      </c>
      <c r="C1211" s="2" t="s">
        <v>1518</v>
      </c>
      <c r="D1211" s="716">
        <v>1</v>
      </c>
      <c r="E1211" s="4" t="s">
        <v>31</v>
      </c>
      <c r="F1211" s="47">
        <f t="shared" si="160"/>
        <v>1</v>
      </c>
      <c r="G1211" s="47">
        <f t="shared" si="160"/>
        <v>1</v>
      </c>
      <c r="H1211" s="47">
        <f t="shared" si="160"/>
        <v>1</v>
      </c>
      <c r="I1211" s="47">
        <f t="shared" si="160"/>
        <v>1</v>
      </c>
      <c r="J1211" s="47">
        <f t="shared" si="160"/>
        <v>1</v>
      </c>
      <c r="K1211" s="47">
        <v>1</v>
      </c>
      <c r="L1211" s="47">
        <v>1</v>
      </c>
      <c r="M1211" s="893"/>
    </row>
    <row r="1212" spans="1:13" hidden="1" outlineLevel="1" x14ac:dyDescent="0.2">
      <c r="A1212" s="22" t="s">
        <v>1502</v>
      </c>
      <c r="B1212" s="2" t="s">
        <v>252</v>
      </c>
      <c r="C1212" s="2" t="s">
        <v>1518</v>
      </c>
      <c r="D1212" s="716">
        <v>1</v>
      </c>
      <c r="E1212" s="4" t="s">
        <v>8</v>
      </c>
      <c r="F1212" s="47">
        <f t="shared" si="160"/>
        <v>1</v>
      </c>
      <c r="G1212" s="47">
        <f t="shared" si="160"/>
        <v>1</v>
      </c>
      <c r="H1212" s="47">
        <f t="shared" si="160"/>
        <v>1</v>
      </c>
      <c r="I1212" s="47">
        <f t="shared" si="160"/>
        <v>1</v>
      </c>
      <c r="J1212" s="47">
        <f t="shared" si="160"/>
        <v>1</v>
      </c>
      <c r="K1212" s="47">
        <v>1</v>
      </c>
      <c r="L1212" s="47">
        <v>1</v>
      </c>
      <c r="M1212" s="893"/>
    </row>
    <row r="1213" spans="1:13" hidden="1" outlineLevel="1" x14ac:dyDescent="0.2">
      <c r="A1213" s="22" t="s">
        <v>1502</v>
      </c>
      <c r="B1213" s="2" t="s">
        <v>252</v>
      </c>
      <c r="C1213" s="2" t="s">
        <v>1518</v>
      </c>
      <c r="D1213" s="716">
        <v>1</v>
      </c>
      <c r="E1213" s="4" t="s">
        <v>9</v>
      </c>
      <c r="F1213" s="47">
        <f t="shared" si="160"/>
        <v>0</v>
      </c>
      <c r="G1213" s="47">
        <f t="shared" si="160"/>
        <v>0</v>
      </c>
      <c r="H1213" s="47">
        <f t="shared" si="160"/>
        <v>0</v>
      </c>
      <c r="I1213" s="47">
        <f t="shared" si="160"/>
        <v>0</v>
      </c>
      <c r="J1213" s="47">
        <f t="shared" si="160"/>
        <v>0</v>
      </c>
      <c r="K1213" s="47">
        <v>0</v>
      </c>
      <c r="L1213" s="47">
        <v>0</v>
      </c>
      <c r="M1213" s="893"/>
    </row>
    <row r="1214" spans="1:13" hidden="1" outlineLevel="1" x14ac:dyDescent="0.2">
      <c r="A1214" s="22" t="s">
        <v>1502</v>
      </c>
      <c r="B1214" s="2" t="s">
        <v>252</v>
      </c>
      <c r="C1214" s="2" t="s">
        <v>1518</v>
      </c>
      <c r="D1214" s="716">
        <v>1</v>
      </c>
      <c r="E1214" s="4" t="s">
        <v>10</v>
      </c>
      <c r="F1214" s="47">
        <f t="shared" si="160"/>
        <v>0</v>
      </c>
      <c r="G1214" s="47">
        <f t="shared" si="160"/>
        <v>0</v>
      </c>
      <c r="H1214" s="47">
        <f t="shared" si="160"/>
        <v>0</v>
      </c>
      <c r="I1214" s="47">
        <f t="shared" si="160"/>
        <v>0</v>
      </c>
      <c r="J1214" s="47">
        <f t="shared" si="160"/>
        <v>0</v>
      </c>
      <c r="K1214" s="47">
        <v>0</v>
      </c>
      <c r="L1214" s="47">
        <v>0</v>
      </c>
      <c r="M1214" s="893"/>
    </row>
    <row r="1215" spans="1:13" hidden="1" outlineLevel="1" x14ac:dyDescent="0.2">
      <c r="A1215" s="22" t="s">
        <v>1502</v>
      </c>
      <c r="B1215" s="2" t="s">
        <v>252</v>
      </c>
      <c r="C1215" s="2" t="s">
        <v>1518</v>
      </c>
      <c r="D1215" s="716">
        <v>1</v>
      </c>
      <c r="E1215" s="4" t="s">
        <v>11</v>
      </c>
      <c r="F1215" s="47">
        <f t="shared" si="160"/>
        <v>0</v>
      </c>
      <c r="G1215" s="47">
        <f t="shared" si="160"/>
        <v>0</v>
      </c>
      <c r="H1215" s="47">
        <f t="shared" si="160"/>
        <v>0</v>
      </c>
      <c r="I1215" s="47">
        <f t="shared" si="160"/>
        <v>0</v>
      </c>
      <c r="J1215" s="47">
        <f t="shared" si="160"/>
        <v>0</v>
      </c>
      <c r="K1215" s="47">
        <v>0</v>
      </c>
      <c r="L1215" s="47">
        <v>0</v>
      </c>
      <c r="M1215" s="893"/>
    </row>
    <row r="1216" spans="1:13" hidden="1" outlineLevel="1" x14ac:dyDescent="0.2">
      <c r="A1216" s="22" t="s">
        <v>1502</v>
      </c>
      <c r="B1216" s="2" t="s">
        <v>252</v>
      </c>
      <c r="C1216" s="2" t="s">
        <v>1518</v>
      </c>
      <c r="D1216" s="716">
        <v>1</v>
      </c>
      <c r="E1216" s="4" t="s">
        <v>12</v>
      </c>
      <c r="F1216" s="47">
        <f t="shared" si="160"/>
        <v>0</v>
      </c>
      <c r="G1216" s="47">
        <f t="shared" si="160"/>
        <v>0</v>
      </c>
      <c r="H1216" s="47">
        <f t="shared" si="160"/>
        <v>0</v>
      </c>
      <c r="I1216" s="47">
        <f t="shared" si="160"/>
        <v>0</v>
      </c>
      <c r="J1216" s="47">
        <f t="shared" si="160"/>
        <v>0</v>
      </c>
      <c r="K1216" s="47">
        <v>0</v>
      </c>
      <c r="L1216" s="47">
        <v>0</v>
      </c>
      <c r="M1216" s="893"/>
    </row>
    <row r="1217" spans="1:13" hidden="1" outlineLevel="1" x14ac:dyDescent="0.2">
      <c r="A1217" s="22" t="s">
        <v>1502</v>
      </c>
      <c r="B1217" s="2" t="s">
        <v>252</v>
      </c>
      <c r="C1217" s="2" t="s">
        <v>1518</v>
      </c>
      <c r="D1217" s="716">
        <v>1</v>
      </c>
      <c r="E1217" s="4" t="s">
        <v>1</v>
      </c>
      <c r="F1217" s="47">
        <f t="shared" si="160"/>
        <v>0</v>
      </c>
      <c r="G1217" s="47">
        <f t="shared" si="160"/>
        <v>0</v>
      </c>
      <c r="H1217" s="47">
        <f t="shared" si="160"/>
        <v>0</v>
      </c>
      <c r="I1217" s="47">
        <f t="shared" si="160"/>
        <v>0</v>
      </c>
      <c r="J1217" s="47">
        <f t="shared" si="160"/>
        <v>0</v>
      </c>
      <c r="K1217" s="47">
        <v>0</v>
      </c>
      <c r="L1217" s="47">
        <v>0</v>
      </c>
      <c r="M1217" s="893"/>
    </row>
    <row r="1218" spans="1:13" hidden="1" outlineLevel="1" x14ac:dyDescent="0.2">
      <c r="A1218" s="22" t="s">
        <v>1502</v>
      </c>
      <c r="B1218" s="2" t="s">
        <v>252</v>
      </c>
      <c r="C1218" s="2" t="s">
        <v>1518</v>
      </c>
      <c r="D1218" s="716">
        <v>1</v>
      </c>
      <c r="E1218" s="4" t="s">
        <v>13</v>
      </c>
      <c r="F1218" s="47">
        <f t="shared" si="160"/>
        <v>0</v>
      </c>
      <c r="G1218" s="47">
        <f t="shared" si="160"/>
        <v>0</v>
      </c>
      <c r="H1218" s="47">
        <f t="shared" si="160"/>
        <v>0</v>
      </c>
      <c r="I1218" s="47">
        <f t="shared" si="160"/>
        <v>0</v>
      </c>
      <c r="J1218" s="47">
        <f t="shared" si="160"/>
        <v>0</v>
      </c>
      <c r="K1218" s="47">
        <v>0</v>
      </c>
      <c r="L1218" s="47">
        <v>0</v>
      </c>
      <c r="M1218" s="893"/>
    </row>
    <row r="1219" spans="1:13" hidden="1" outlineLevel="1" x14ac:dyDescent="0.2">
      <c r="A1219" s="22" t="s">
        <v>1502</v>
      </c>
      <c r="B1219" s="2" t="s">
        <v>252</v>
      </c>
      <c r="C1219" s="2" t="s">
        <v>1518</v>
      </c>
      <c r="D1219" s="716">
        <v>1</v>
      </c>
      <c r="E1219" s="4" t="s">
        <v>14</v>
      </c>
      <c r="F1219" s="47">
        <f t="shared" si="160"/>
        <v>0</v>
      </c>
      <c r="G1219" s="47">
        <f t="shared" si="160"/>
        <v>0</v>
      </c>
      <c r="H1219" s="47">
        <f t="shared" si="160"/>
        <v>0</v>
      </c>
      <c r="I1219" s="47">
        <f t="shared" si="160"/>
        <v>0</v>
      </c>
      <c r="J1219" s="47">
        <f t="shared" si="160"/>
        <v>0</v>
      </c>
      <c r="K1219" s="47">
        <v>0</v>
      </c>
      <c r="L1219" s="47">
        <v>0</v>
      </c>
      <c r="M1219" s="893"/>
    </row>
    <row r="1220" spans="1:13" hidden="1" outlineLevel="1" x14ac:dyDescent="0.2">
      <c r="A1220" s="22" t="s">
        <v>1502</v>
      </c>
      <c r="B1220" s="2" t="s">
        <v>252</v>
      </c>
      <c r="C1220" s="2" t="s">
        <v>1518</v>
      </c>
      <c r="D1220" s="716">
        <v>1</v>
      </c>
      <c r="E1220" s="4" t="s">
        <v>15</v>
      </c>
      <c r="F1220" s="47">
        <f t="shared" si="160"/>
        <v>0</v>
      </c>
      <c r="G1220" s="47">
        <f t="shared" si="160"/>
        <v>0</v>
      </c>
      <c r="H1220" s="47">
        <f t="shared" si="160"/>
        <v>0</v>
      </c>
      <c r="I1220" s="47">
        <f t="shared" si="160"/>
        <v>0</v>
      </c>
      <c r="J1220" s="47">
        <f t="shared" si="160"/>
        <v>0</v>
      </c>
      <c r="K1220" s="47">
        <v>0</v>
      </c>
      <c r="L1220" s="47">
        <v>0</v>
      </c>
      <c r="M1220" s="893"/>
    </row>
    <row r="1221" spans="1:13" hidden="1" outlineLevel="1" x14ac:dyDescent="0.2">
      <c r="A1221" s="22" t="s">
        <v>1502</v>
      </c>
      <c r="B1221" s="2" t="s">
        <v>252</v>
      </c>
      <c r="C1221" s="2" t="s">
        <v>1518</v>
      </c>
      <c r="D1221" s="716">
        <v>1</v>
      </c>
      <c r="E1221" s="4" t="s">
        <v>16</v>
      </c>
      <c r="F1221" s="47">
        <f t="shared" si="160"/>
        <v>0</v>
      </c>
      <c r="G1221" s="47">
        <f t="shared" si="160"/>
        <v>0</v>
      </c>
      <c r="H1221" s="47">
        <f t="shared" si="160"/>
        <v>0</v>
      </c>
      <c r="I1221" s="47">
        <f t="shared" si="160"/>
        <v>0</v>
      </c>
      <c r="J1221" s="47">
        <f t="shared" si="160"/>
        <v>0</v>
      </c>
      <c r="K1221" s="47">
        <v>0</v>
      </c>
      <c r="L1221" s="47">
        <v>0</v>
      </c>
      <c r="M1221" s="893"/>
    </row>
    <row r="1222" spans="1:13" hidden="1" outlineLevel="1" x14ac:dyDescent="0.2">
      <c r="A1222" s="22" t="s">
        <v>1502</v>
      </c>
      <c r="B1222" s="2" t="s">
        <v>252</v>
      </c>
      <c r="C1222" s="2" t="s">
        <v>1518</v>
      </c>
      <c r="D1222" s="716">
        <v>1</v>
      </c>
      <c r="E1222" s="4" t="s">
        <v>17</v>
      </c>
      <c r="F1222" s="47">
        <f t="shared" si="160"/>
        <v>0</v>
      </c>
      <c r="G1222" s="47">
        <f t="shared" si="160"/>
        <v>0</v>
      </c>
      <c r="H1222" s="47">
        <f t="shared" si="160"/>
        <v>0</v>
      </c>
      <c r="I1222" s="47">
        <f t="shared" si="160"/>
        <v>0</v>
      </c>
      <c r="J1222" s="47">
        <f t="shared" si="160"/>
        <v>0</v>
      </c>
      <c r="K1222" s="47">
        <v>0</v>
      </c>
      <c r="L1222" s="47">
        <v>0</v>
      </c>
      <c r="M1222" s="893"/>
    </row>
    <row r="1223" spans="1:13" hidden="1" outlineLevel="1" x14ac:dyDescent="0.2">
      <c r="A1223" s="22" t="s">
        <v>1502</v>
      </c>
      <c r="B1223" s="2" t="s">
        <v>252</v>
      </c>
      <c r="C1223" s="2" t="s">
        <v>1518</v>
      </c>
      <c r="D1223" s="716">
        <v>1</v>
      </c>
      <c r="E1223" s="4" t="s">
        <v>18</v>
      </c>
      <c r="F1223" s="47">
        <f t="shared" si="160"/>
        <v>0</v>
      </c>
      <c r="G1223" s="47">
        <f t="shared" si="160"/>
        <v>0</v>
      </c>
      <c r="H1223" s="47">
        <f t="shared" si="160"/>
        <v>0</v>
      </c>
      <c r="I1223" s="47">
        <f t="shared" si="160"/>
        <v>0</v>
      </c>
      <c r="J1223" s="47">
        <f t="shared" si="160"/>
        <v>0</v>
      </c>
      <c r="K1223" s="47">
        <v>0</v>
      </c>
      <c r="L1223" s="47">
        <v>1</v>
      </c>
      <c r="M1223" s="893"/>
    </row>
    <row r="1224" spans="1:13" hidden="1" outlineLevel="1" x14ac:dyDescent="0.2">
      <c r="A1224" s="22" t="s">
        <v>1502</v>
      </c>
      <c r="B1224" s="2" t="s">
        <v>252</v>
      </c>
      <c r="C1224" s="2" t="s">
        <v>1518</v>
      </c>
      <c r="D1224" s="716">
        <v>1</v>
      </c>
      <c r="E1224" s="4" t="s">
        <v>2</v>
      </c>
      <c r="F1224" s="47">
        <f t="shared" si="160"/>
        <v>0</v>
      </c>
      <c r="G1224" s="47">
        <f t="shared" si="160"/>
        <v>0</v>
      </c>
      <c r="H1224" s="47">
        <f t="shared" si="160"/>
        <v>0</v>
      </c>
      <c r="I1224" s="47">
        <f t="shared" si="160"/>
        <v>0</v>
      </c>
      <c r="J1224" s="47">
        <f t="shared" si="160"/>
        <v>0</v>
      </c>
      <c r="K1224" s="47">
        <v>0</v>
      </c>
      <c r="L1224" s="47">
        <v>0</v>
      </c>
      <c r="M1224" s="893"/>
    </row>
    <row r="1225" spans="1:13" hidden="1" outlineLevel="1" x14ac:dyDescent="0.2">
      <c r="A1225" s="22" t="s">
        <v>1502</v>
      </c>
      <c r="B1225" s="2" t="s">
        <v>252</v>
      </c>
      <c r="C1225" s="2" t="s">
        <v>1518</v>
      </c>
      <c r="D1225" s="716">
        <v>1</v>
      </c>
      <c r="E1225" s="4" t="s">
        <v>19</v>
      </c>
      <c r="F1225" s="47">
        <f t="shared" si="160"/>
        <v>0</v>
      </c>
      <c r="G1225" s="47">
        <f t="shared" si="160"/>
        <v>0</v>
      </c>
      <c r="H1225" s="47">
        <f t="shared" si="160"/>
        <v>0</v>
      </c>
      <c r="I1225" s="47">
        <f t="shared" si="160"/>
        <v>0</v>
      </c>
      <c r="J1225" s="47">
        <f t="shared" si="160"/>
        <v>0</v>
      </c>
      <c r="K1225" s="47">
        <v>0</v>
      </c>
      <c r="L1225" s="47">
        <v>0</v>
      </c>
      <c r="M1225" s="893"/>
    </row>
    <row r="1226" spans="1:13" hidden="1" outlineLevel="1" x14ac:dyDescent="0.2">
      <c r="A1226" s="22" t="s">
        <v>1502</v>
      </c>
      <c r="B1226" s="2" t="s">
        <v>252</v>
      </c>
      <c r="C1226" s="2" t="s">
        <v>1518</v>
      </c>
      <c r="D1226" s="716">
        <v>1</v>
      </c>
      <c r="E1226" s="4" t="s">
        <v>3</v>
      </c>
      <c r="F1226" s="47">
        <f t="shared" si="160"/>
        <v>0</v>
      </c>
      <c r="G1226" s="47">
        <f t="shared" si="160"/>
        <v>0</v>
      </c>
      <c r="H1226" s="47">
        <f t="shared" si="160"/>
        <v>0</v>
      </c>
      <c r="I1226" s="47">
        <f t="shared" si="160"/>
        <v>0</v>
      </c>
      <c r="J1226" s="47">
        <f t="shared" si="160"/>
        <v>0</v>
      </c>
      <c r="K1226" s="47">
        <v>0</v>
      </c>
      <c r="L1226" s="47">
        <v>0</v>
      </c>
      <c r="M1226" s="893"/>
    </row>
    <row r="1227" spans="1:13" hidden="1" outlineLevel="1" x14ac:dyDescent="0.2">
      <c r="A1227" s="22" t="s">
        <v>1502</v>
      </c>
      <c r="B1227" s="2" t="s">
        <v>252</v>
      </c>
      <c r="C1227" s="2" t="s">
        <v>1518</v>
      </c>
      <c r="D1227" s="716">
        <v>1</v>
      </c>
      <c r="E1227" s="4" t="s">
        <v>20</v>
      </c>
      <c r="F1227" s="47">
        <f t="shared" si="160"/>
        <v>1</v>
      </c>
      <c r="G1227" s="47">
        <f t="shared" si="160"/>
        <v>1</v>
      </c>
      <c r="H1227" s="47">
        <f t="shared" si="160"/>
        <v>1</v>
      </c>
      <c r="I1227" s="47">
        <f t="shared" si="160"/>
        <v>1</v>
      </c>
      <c r="J1227" s="47">
        <f t="shared" si="160"/>
        <v>1</v>
      </c>
      <c r="K1227" s="47">
        <v>1</v>
      </c>
      <c r="L1227" s="47">
        <v>1</v>
      </c>
      <c r="M1227" s="893"/>
    </row>
    <row r="1228" spans="1:13" hidden="1" outlineLevel="1" x14ac:dyDescent="0.2">
      <c r="A1228" s="22" t="s">
        <v>1502</v>
      </c>
      <c r="B1228" s="2" t="s">
        <v>252</v>
      </c>
      <c r="C1228" s="2" t="s">
        <v>1518</v>
      </c>
      <c r="D1228" s="716">
        <v>1</v>
      </c>
      <c r="E1228" s="4" t="s">
        <v>21</v>
      </c>
      <c r="F1228" s="47">
        <f t="shared" si="160"/>
        <v>0</v>
      </c>
      <c r="G1228" s="47">
        <f t="shared" si="160"/>
        <v>0</v>
      </c>
      <c r="H1228" s="47">
        <f t="shared" si="160"/>
        <v>0</v>
      </c>
      <c r="I1228" s="47">
        <f t="shared" si="160"/>
        <v>0</v>
      </c>
      <c r="J1228" s="47">
        <f t="shared" si="160"/>
        <v>0</v>
      </c>
      <c r="K1228" s="47">
        <v>0</v>
      </c>
      <c r="L1228" s="47">
        <v>0</v>
      </c>
      <c r="M1228" s="893"/>
    </row>
    <row r="1229" spans="1:13" hidden="1" outlineLevel="1" x14ac:dyDescent="0.2">
      <c r="A1229" s="22" t="s">
        <v>1502</v>
      </c>
      <c r="B1229" s="2" t="s">
        <v>252</v>
      </c>
      <c r="C1229" s="2" t="s">
        <v>1518</v>
      </c>
      <c r="D1229" s="716">
        <v>1</v>
      </c>
      <c r="E1229" s="4" t="s">
        <v>1096</v>
      </c>
      <c r="F1229" s="47">
        <f t="shared" si="160"/>
        <v>0</v>
      </c>
      <c r="G1229" s="47">
        <f t="shared" si="160"/>
        <v>0</v>
      </c>
      <c r="H1229" s="47">
        <f t="shared" si="160"/>
        <v>0</v>
      </c>
      <c r="I1229" s="47">
        <f t="shared" si="160"/>
        <v>0</v>
      </c>
      <c r="J1229" s="47">
        <f t="shared" si="160"/>
        <v>0</v>
      </c>
      <c r="K1229" s="47">
        <v>0</v>
      </c>
      <c r="L1229" s="47">
        <v>0</v>
      </c>
      <c r="M1229" s="893"/>
    </row>
    <row r="1230" spans="1:13" hidden="1" outlineLevel="1" x14ac:dyDescent="0.2">
      <c r="A1230" s="22" t="s">
        <v>1502</v>
      </c>
      <c r="B1230" s="2" t="s">
        <v>252</v>
      </c>
      <c r="C1230" s="2" t="s">
        <v>1518</v>
      </c>
      <c r="D1230" s="716">
        <v>1</v>
      </c>
      <c r="E1230" s="4" t="s">
        <v>22</v>
      </c>
      <c r="F1230" s="47">
        <f t="shared" si="160"/>
        <v>1</v>
      </c>
      <c r="G1230" s="47">
        <f t="shared" si="160"/>
        <v>1</v>
      </c>
      <c r="H1230" s="47">
        <f t="shared" si="160"/>
        <v>1</v>
      </c>
      <c r="I1230" s="47">
        <f t="shared" si="160"/>
        <v>1</v>
      </c>
      <c r="J1230" s="47">
        <f t="shared" si="160"/>
        <v>1</v>
      </c>
      <c r="K1230" s="47">
        <v>1</v>
      </c>
      <c r="L1230" s="47">
        <v>1</v>
      </c>
      <c r="M1230" s="893"/>
    </row>
    <row r="1231" spans="1:13" hidden="1" outlineLevel="1" x14ac:dyDescent="0.2">
      <c r="A1231" s="91" t="s">
        <v>1502</v>
      </c>
      <c r="B1231" s="3" t="s">
        <v>252</v>
      </c>
      <c r="C1231" s="3" t="s">
        <v>1518</v>
      </c>
      <c r="D1231" s="717">
        <v>1</v>
      </c>
      <c r="E1231" s="469" t="s">
        <v>23</v>
      </c>
      <c r="F1231" s="48">
        <f t="shared" si="160"/>
        <v>0</v>
      </c>
      <c r="G1231" s="48">
        <f t="shared" si="160"/>
        <v>0</v>
      </c>
      <c r="H1231" s="48">
        <f t="shared" si="160"/>
        <v>0</v>
      </c>
      <c r="I1231" s="48">
        <f t="shared" si="160"/>
        <v>0</v>
      </c>
      <c r="J1231" s="48">
        <f t="shared" si="160"/>
        <v>0</v>
      </c>
      <c r="K1231" s="363">
        <v>0</v>
      </c>
      <c r="L1231" s="363">
        <v>0</v>
      </c>
      <c r="M1231" s="920"/>
    </row>
    <row r="1232" spans="1:13" hidden="1" outlineLevel="1" x14ac:dyDescent="0.2">
      <c r="A1232" s="92" t="s">
        <v>1502</v>
      </c>
      <c r="B1232" s="81" t="s">
        <v>252</v>
      </c>
      <c r="C1232" s="81" t="s">
        <v>1519</v>
      </c>
      <c r="D1232" s="715">
        <v>1</v>
      </c>
      <c r="E1232" s="468" t="s">
        <v>4</v>
      </c>
      <c r="F1232" s="380">
        <f t="shared" si="160"/>
        <v>1</v>
      </c>
      <c r="G1232" s="89">
        <f t="shared" si="160"/>
        <v>1</v>
      </c>
      <c r="H1232" s="89">
        <f t="shared" si="160"/>
        <v>1</v>
      </c>
      <c r="I1232" s="89">
        <f t="shared" si="160"/>
        <v>1</v>
      </c>
      <c r="J1232" s="89">
        <f t="shared" si="160"/>
        <v>1</v>
      </c>
      <c r="K1232" s="380">
        <v>1</v>
      </c>
      <c r="L1232" s="380">
        <v>1</v>
      </c>
      <c r="M1232" s="892"/>
    </row>
    <row r="1233" spans="1:13" hidden="1" outlineLevel="1" x14ac:dyDescent="0.2">
      <c r="A1233" s="22" t="s">
        <v>1502</v>
      </c>
      <c r="B1233" s="2" t="s">
        <v>252</v>
      </c>
      <c r="C1233" s="2" t="s">
        <v>1519</v>
      </c>
      <c r="D1233" s="716">
        <v>1</v>
      </c>
      <c r="E1233" s="4" t="s">
        <v>5</v>
      </c>
      <c r="F1233" s="47">
        <f t="shared" si="160"/>
        <v>0</v>
      </c>
      <c r="G1233" s="47">
        <f t="shared" si="160"/>
        <v>0</v>
      </c>
      <c r="H1233" s="47">
        <f t="shared" si="160"/>
        <v>0</v>
      </c>
      <c r="I1233" s="47">
        <f t="shared" si="160"/>
        <v>0</v>
      </c>
      <c r="J1233" s="47">
        <f t="shared" si="160"/>
        <v>0</v>
      </c>
      <c r="K1233" s="47">
        <v>0</v>
      </c>
      <c r="L1233" s="47">
        <v>0</v>
      </c>
      <c r="M1233" s="893"/>
    </row>
    <row r="1234" spans="1:13" hidden="1" outlineLevel="1" x14ac:dyDescent="0.2">
      <c r="A1234" s="22" t="s">
        <v>1502</v>
      </c>
      <c r="B1234" s="2" t="s">
        <v>252</v>
      </c>
      <c r="C1234" s="2" t="s">
        <v>1519</v>
      </c>
      <c r="D1234" s="716">
        <v>1</v>
      </c>
      <c r="E1234" s="4" t="s">
        <v>6</v>
      </c>
      <c r="F1234" s="47">
        <f t="shared" si="160"/>
        <v>0</v>
      </c>
      <c r="G1234" s="47">
        <f t="shared" si="160"/>
        <v>0</v>
      </c>
      <c r="H1234" s="47">
        <f t="shared" si="160"/>
        <v>0</v>
      </c>
      <c r="I1234" s="47">
        <f t="shared" si="160"/>
        <v>0</v>
      </c>
      <c r="J1234" s="47">
        <f t="shared" si="160"/>
        <v>0</v>
      </c>
      <c r="K1234" s="47">
        <v>0</v>
      </c>
      <c r="L1234" s="47">
        <v>0</v>
      </c>
      <c r="M1234" s="893"/>
    </row>
    <row r="1235" spans="1:13" hidden="1" outlineLevel="1" x14ac:dyDescent="0.2">
      <c r="A1235" s="22" t="s">
        <v>1502</v>
      </c>
      <c r="B1235" s="2" t="s">
        <v>252</v>
      </c>
      <c r="C1235" s="2" t="s">
        <v>1519</v>
      </c>
      <c r="D1235" s="716">
        <v>1</v>
      </c>
      <c r="E1235" s="4" t="s">
        <v>143</v>
      </c>
      <c r="F1235" s="47">
        <f t="shared" si="160"/>
        <v>0</v>
      </c>
      <c r="G1235" s="47">
        <f t="shared" si="160"/>
        <v>0</v>
      </c>
      <c r="H1235" s="47">
        <f t="shared" si="160"/>
        <v>0</v>
      </c>
      <c r="I1235" s="47">
        <f t="shared" si="160"/>
        <v>0</v>
      </c>
      <c r="J1235" s="47">
        <f t="shared" si="160"/>
        <v>0</v>
      </c>
      <c r="K1235" s="47">
        <v>0</v>
      </c>
      <c r="L1235" s="47">
        <v>0</v>
      </c>
      <c r="M1235" s="893"/>
    </row>
    <row r="1236" spans="1:13" hidden="1" outlineLevel="1" x14ac:dyDescent="0.2">
      <c r="A1236" s="22" t="s">
        <v>1502</v>
      </c>
      <c r="B1236" s="2" t="s">
        <v>252</v>
      </c>
      <c r="C1236" s="2" t="s">
        <v>1519</v>
      </c>
      <c r="D1236" s="716">
        <v>1</v>
      </c>
      <c r="E1236" s="4" t="s">
        <v>7</v>
      </c>
      <c r="F1236" s="47">
        <f t="shared" si="160"/>
        <v>0</v>
      </c>
      <c r="G1236" s="47">
        <f t="shared" si="160"/>
        <v>0</v>
      </c>
      <c r="H1236" s="47">
        <f t="shared" si="160"/>
        <v>0</v>
      </c>
      <c r="I1236" s="47">
        <f t="shared" si="160"/>
        <v>0</v>
      </c>
      <c r="J1236" s="47">
        <f t="shared" si="160"/>
        <v>0</v>
      </c>
      <c r="K1236" s="47">
        <v>0</v>
      </c>
      <c r="L1236" s="47">
        <v>0</v>
      </c>
      <c r="M1236" s="893"/>
    </row>
    <row r="1237" spans="1:13" hidden="1" outlineLevel="1" x14ac:dyDescent="0.2">
      <c r="A1237" s="22" t="s">
        <v>1502</v>
      </c>
      <c r="B1237" s="2" t="s">
        <v>252</v>
      </c>
      <c r="C1237" s="2" t="s">
        <v>1519</v>
      </c>
      <c r="D1237" s="716">
        <v>1</v>
      </c>
      <c r="E1237" s="4" t="s">
        <v>31</v>
      </c>
      <c r="F1237" s="47">
        <f t="shared" si="160"/>
        <v>1</v>
      </c>
      <c r="G1237" s="47">
        <f t="shared" si="160"/>
        <v>1</v>
      </c>
      <c r="H1237" s="47">
        <f t="shared" si="160"/>
        <v>1</v>
      </c>
      <c r="I1237" s="47">
        <f t="shared" si="160"/>
        <v>1</v>
      </c>
      <c r="J1237" s="47">
        <f t="shared" si="160"/>
        <v>1</v>
      </c>
      <c r="K1237" s="47">
        <v>1</v>
      </c>
      <c r="L1237" s="47">
        <v>1</v>
      </c>
      <c r="M1237" s="893"/>
    </row>
    <row r="1238" spans="1:13" hidden="1" outlineLevel="1" x14ac:dyDescent="0.2">
      <c r="A1238" s="22" t="s">
        <v>1502</v>
      </c>
      <c r="B1238" s="2" t="s">
        <v>252</v>
      </c>
      <c r="C1238" s="2" t="s">
        <v>1519</v>
      </c>
      <c r="D1238" s="716">
        <v>1</v>
      </c>
      <c r="E1238" s="4" t="s">
        <v>8</v>
      </c>
      <c r="F1238" s="47">
        <f t="shared" si="160"/>
        <v>1</v>
      </c>
      <c r="G1238" s="47">
        <f t="shared" si="160"/>
        <v>1</v>
      </c>
      <c r="H1238" s="47">
        <f t="shared" si="160"/>
        <v>1</v>
      </c>
      <c r="I1238" s="47">
        <f t="shared" si="160"/>
        <v>1</v>
      </c>
      <c r="J1238" s="47">
        <f t="shared" si="160"/>
        <v>1</v>
      </c>
      <c r="K1238" s="47">
        <v>1</v>
      </c>
      <c r="L1238" s="47">
        <v>1</v>
      </c>
      <c r="M1238" s="893"/>
    </row>
    <row r="1239" spans="1:13" hidden="1" outlineLevel="1" x14ac:dyDescent="0.2">
      <c r="A1239" s="22" t="s">
        <v>1502</v>
      </c>
      <c r="B1239" s="2" t="s">
        <v>252</v>
      </c>
      <c r="C1239" s="2" t="s">
        <v>1519</v>
      </c>
      <c r="D1239" s="716">
        <v>1</v>
      </c>
      <c r="E1239" s="4" t="s">
        <v>9</v>
      </c>
      <c r="F1239" s="47">
        <f t="shared" si="160"/>
        <v>0</v>
      </c>
      <c r="G1239" s="47">
        <f t="shared" si="160"/>
        <v>0</v>
      </c>
      <c r="H1239" s="47">
        <f t="shared" si="160"/>
        <v>0</v>
      </c>
      <c r="I1239" s="47">
        <f t="shared" si="160"/>
        <v>0</v>
      </c>
      <c r="J1239" s="47">
        <f t="shared" si="160"/>
        <v>0</v>
      </c>
      <c r="K1239" s="47">
        <v>0</v>
      </c>
      <c r="L1239" s="47">
        <v>0</v>
      </c>
      <c r="M1239" s="893"/>
    </row>
    <row r="1240" spans="1:13" hidden="1" outlineLevel="1" x14ac:dyDescent="0.2">
      <c r="A1240" s="22" t="s">
        <v>1502</v>
      </c>
      <c r="B1240" s="2" t="s">
        <v>252</v>
      </c>
      <c r="C1240" s="2" t="s">
        <v>1519</v>
      </c>
      <c r="D1240" s="716">
        <v>1</v>
      </c>
      <c r="E1240" s="4" t="s">
        <v>10</v>
      </c>
      <c r="F1240" s="47">
        <f t="shared" si="160"/>
        <v>0</v>
      </c>
      <c r="G1240" s="47">
        <f t="shared" si="160"/>
        <v>0</v>
      </c>
      <c r="H1240" s="47">
        <f t="shared" si="160"/>
        <v>0</v>
      </c>
      <c r="I1240" s="47">
        <f t="shared" si="160"/>
        <v>0</v>
      </c>
      <c r="J1240" s="47">
        <f t="shared" si="160"/>
        <v>0</v>
      </c>
      <c r="K1240" s="47">
        <v>0</v>
      </c>
      <c r="L1240" s="47">
        <v>0</v>
      </c>
      <c r="M1240" s="893"/>
    </row>
    <row r="1241" spans="1:13" hidden="1" outlineLevel="1" x14ac:dyDescent="0.2">
      <c r="A1241" s="22" t="s">
        <v>1502</v>
      </c>
      <c r="B1241" s="2" t="s">
        <v>252</v>
      </c>
      <c r="C1241" s="2" t="s">
        <v>1519</v>
      </c>
      <c r="D1241" s="716">
        <v>1</v>
      </c>
      <c r="E1241" s="4" t="s">
        <v>11</v>
      </c>
      <c r="F1241" s="47">
        <f t="shared" si="160"/>
        <v>0</v>
      </c>
      <c r="G1241" s="47">
        <f t="shared" si="160"/>
        <v>0</v>
      </c>
      <c r="H1241" s="47">
        <f t="shared" si="160"/>
        <v>0</v>
      </c>
      <c r="I1241" s="47">
        <f t="shared" si="160"/>
        <v>0</v>
      </c>
      <c r="J1241" s="47">
        <f t="shared" si="160"/>
        <v>0</v>
      </c>
      <c r="K1241" s="47">
        <v>0</v>
      </c>
      <c r="L1241" s="47">
        <v>0</v>
      </c>
      <c r="M1241" s="893"/>
    </row>
    <row r="1242" spans="1:13" hidden="1" outlineLevel="1" x14ac:dyDescent="0.2">
      <c r="A1242" s="22" t="s">
        <v>1502</v>
      </c>
      <c r="B1242" s="2" t="s">
        <v>252</v>
      </c>
      <c r="C1242" s="2" t="s">
        <v>1519</v>
      </c>
      <c r="D1242" s="716">
        <v>1</v>
      </c>
      <c r="E1242" s="4" t="s">
        <v>12</v>
      </c>
      <c r="F1242" s="47">
        <f t="shared" si="160"/>
        <v>0</v>
      </c>
      <c r="G1242" s="47">
        <f t="shared" si="160"/>
        <v>0</v>
      </c>
      <c r="H1242" s="47">
        <f t="shared" si="160"/>
        <v>0</v>
      </c>
      <c r="I1242" s="47">
        <f t="shared" si="160"/>
        <v>0</v>
      </c>
      <c r="J1242" s="47">
        <f t="shared" si="160"/>
        <v>0</v>
      </c>
      <c r="K1242" s="47">
        <v>0</v>
      </c>
      <c r="L1242" s="47">
        <v>0</v>
      </c>
      <c r="M1242" s="893"/>
    </row>
    <row r="1243" spans="1:13" hidden="1" outlineLevel="1" x14ac:dyDescent="0.2">
      <c r="A1243" s="22" t="s">
        <v>1502</v>
      </c>
      <c r="B1243" s="2" t="s">
        <v>252</v>
      </c>
      <c r="C1243" s="2" t="s">
        <v>1519</v>
      </c>
      <c r="D1243" s="716">
        <v>1</v>
      </c>
      <c r="E1243" s="4" t="s">
        <v>1</v>
      </c>
      <c r="F1243" s="47">
        <f t="shared" si="160"/>
        <v>0</v>
      </c>
      <c r="G1243" s="47">
        <f t="shared" si="160"/>
        <v>0</v>
      </c>
      <c r="H1243" s="47">
        <f t="shared" si="160"/>
        <v>0</v>
      </c>
      <c r="I1243" s="47">
        <f t="shared" si="160"/>
        <v>0</v>
      </c>
      <c r="J1243" s="47">
        <f t="shared" si="160"/>
        <v>0</v>
      </c>
      <c r="K1243" s="47">
        <v>0</v>
      </c>
      <c r="L1243" s="47">
        <v>0</v>
      </c>
      <c r="M1243" s="893"/>
    </row>
    <row r="1244" spans="1:13" hidden="1" outlineLevel="1" x14ac:dyDescent="0.2">
      <c r="A1244" s="22" t="s">
        <v>1502</v>
      </c>
      <c r="B1244" s="2" t="s">
        <v>252</v>
      </c>
      <c r="C1244" s="2" t="s">
        <v>1519</v>
      </c>
      <c r="D1244" s="716">
        <v>1</v>
      </c>
      <c r="E1244" s="4" t="s">
        <v>13</v>
      </c>
      <c r="F1244" s="47">
        <f t="shared" si="160"/>
        <v>0</v>
      </c>
      <c r="G1244" s="47">
        <f t="shared" si="160"/>
        <v>0</v>
      </c>
      <c r="H1244" s="47">
        <f t="shared" si="160"/>
        <v>0</v>
      </c>
      <c r="I1244" s="47">
        <f t="shared" si="160"/>
        <v>0</v>
      </c>
      <c r="J1244" s="47">
        <f t="shared" si="160"/>
        <v>0</v>
      </c>
      <c r="K1244" s="47">
        <v>0</v>
      </c>
      <c r="L1244" s="47">
        <v>0</v>
      </c>
      <c r="M1244" s="893"/>
    </row>
    <row r="1245" spans="1:13" hidden="1" outlineLevel="1" x14ac:dyDescent="0.2">
      <c r="A1245" s="22" t="s">
        <v>1502</v>
      </c>
      <c r="B1245" s="2" t="s">
        <v>252</v>
      </c>
      <c r="C1245" s="2" t="s">
        <v>1519</v>
      </c>
      <c r="D1245" s="716">
        <v>1</v>
      </c>
      <c r="E1245" s="4" t="s">
        <v>14</v>
      </c>
      <c r="F1245" s="47">
        <f t="shared" si="160"/>
        <v>0</v>
      </c>
      <c r="G1245" s="47">
        <f t="shared" si="160"/>
        <v>0</v>
      </c>
      <c r="H1245" s="47">
        <f t="shared" si="160"/>
        <v>0</v>
      </c>
      <c r="I1245" s="47">
        <f t="shared" si="160"/>
        <v>0</v>
      </c>
      <c r="J1245" s="47">
        <f t="shared" si="160"/>
        <v>0</v>
      </c>
      <c r="K1245" s="47">
        <v>0</v>
      </c>
      <c r="L1245" s="47">
        <v>0</v>
      </c>
      <c r="M1245" s="893"/>
    </row>
    <row r="1246" spans="1:13" hidden="1" outlineLevel="1" x14ac:dyDescent="0.2">
      <c r="A1246" s="22" t="s">
        <v>1502</v>
      </c>
      <c r="B1246" s="2" t="s">
        <v>252</v>
      </c>
      <c r="C1246" s="2" t="s">
        <v>1519</v>
      </c>
      <c r="D1246" s="716">
        <v>1</v>
      </c>
      <c r="E1246" s="4" t="s">
        <v>15</v>
      </c>
      <c r="F1246" s="47">
        <f t="shared" si="160"/>
        <v>0</v>
      </c>
      <c r="G1246" s="47">
        <f t="shared" si="160"/>
        <v>0</v>
      </c>
      <c r="H1246" s="47">
        <f t="shared" si="160"/>
        <v>0</v>
      </c>
      <c r="I1246" s="47">
        <f t="shared" si="160"/>
        <v>0</v>
      </c>
      <c r="J1246" s="47">
        <f t="shared" si="160"/>
        <v>0</v>
      </c>
      <c r="K1246" s="47">
        <v>0</v>
      </c>
      <c r="L1246" s="47">
        <v>0</v>
      </c>
      <c r="M1246" s="893"/>
    </row>
    <row r="1247" spans="1:13" hidden="1" outlineLevel="1" x14ac:dyDescent="0.2">
      <c r="A1247" s="22" t="s">
        <v>1502</v>
      </c>
      <c r="B1247" s="2" t="s">
        <v>252</v>
      </c>
      <c r="C1247" s="2" t="s">
        <v>1519</v>
      </c>
      <c r="D1247" s="716">
        <v>1</v>
      </c>
      <c r="E1247" s="4" t="s">
        <v>16</v>
      </c>
      <c r="F1247" s="47">
        <f t="shared" si="160"/>
        <v>0</v>
      </c>
      <c r="G1247" s="47">
        <f t="shared" si="160"/>
        <v>0</v>
      </c>
      <c r="H1247" s="47">
        <f t="shared" si="160"/>
        <v>0</v>
      </c>
      <c r="I1247" s="47">
        <f t="shared" si="160"/>
        <v>0</v>
      </c>
      <c r="J1247" s="47">
        <f t="shared" si="160"/>
        <v>0</v>
      </c>
      <c r="K1247" s="47">
        <v>0</v>
      </c>
      <c r="L1247" s="47">
        <v>0</v>
      </c>
      <c r="M1247" s="893"/>
    </row>
    <row r="1248" spans="1:13" hidden="1" outlineLevel="1" x14ac:dyDescent="0.2">
      <c r="A1248" s="22" t="s">
        <v>1502</v>
      </c>
      <c r="B1248" s="2" t="s">
        <v>252</v>
      </c>
      <c r="C1248" s="2" t="s">
        <v>1519</v>
      </c>
      <c r="D1248" s="716">
        <v>1</v>
      </c>
      <c r="E1248" s="4" t="s">
        <v>17</v>
      </c>
      <c r="F1248" s="47">
        <f t="shared" si="160"/>
        <v>0</v>
      </c>
      <c r="G1248" s="47">
        <f t="shared" si="160"/>
        <v>0</v>
      </c>
      <c r="H1248" s="47">
        <f t="shared" si="160"/>
        <v>0</v>
      </c>
      <c r="I1248" s="47">
        <f t="shared" si="160"/>
        <v>0</v>
      </c>
      <c r="J1248" s="47">
        <f t="shared" ref="J1248:J1311" si="161">K1248</f>
        <v>0</v>
      </c>
      <c r="K1248" s="47">
        <v>0</v>
      </c>
      <c r="L1248" s="47">
        <v>0</v>
      </c>
      <c r="M1248" s="893"/>
    </row>
    <row r="1249" spans="1:13" hidden="1" outlineLevel="1" x14ac:dyDescent="0.2">
      <c r="A1249" s="22" t="s">
        <v>1502</v>
      </c>
      <c r="B1249" s="2" t="s">
        <v>252</v>
      </c>
      <c r="C1249" s="2" t="s">
        <v>1519</v>
      </c>
      <c r="D1249" s="716">
        <v>1</v>
      </c>
      <c r="E1249" s="4" t="s">
        <v>18</v>
      </c>
      <c r="F1249" s="47">
        <f t="shared" si="160"/>
        <v>1</v>
      </c>
      <c r="G1249" s="47">
        <f t="shared" ref="G1249:I1249" si="162">H1249</f>
        <v>1</v>
      </c>
      <c r="H1249" s="47">
        <f t="shared" si="162"/>
        <v>1</v>
      </c>
      <c r="I1249" s="47">
        <f t="shared" si="162"/>
        <v>1</v>
      </c>
      <c r="J1249" s="47">
        <f t="shared" si="161"/>
        <v>1</v>
      </c>
      <c r="K1249" s="47">
        <v>1</v>
      </c>
      <c r="L1249" s="47">
        <v>1</v>
      </c>
      <c r="M1249" s="893"/>
    </row>
    <row r="1250" spans="1:13" hidden="1" outlineLevel="1" x14ac:dyDescent="0.2">
      <c r="A1250" s="22" t="s">
        <v>1502</v>
      </c>
      <c r="B1250" s="2" t="s">
        <v>252</v>
      </c>
      <c r="C1250" s="2" t="s">
        <v>1519</v>
      </c>
      <c r="D1250" s="716">
        <v>1</v>
      </c>
      <c r="E1250" s="4" t="s">
        <v>2</v>
      </c>
      <c r="F1250" s="47">
        <f t="shared" si="160"/>
        <v>0</v>
      </c>
      <c r="G1250" s="47">
        <f t="shared" ref="G1250:I1250" si="163">H1250</f>
        <v>0</v>
      </c>
      <c r="H1250" s="47">
        <f t="shared" si="163"/>
        <v>0</v>
      </c>
      <c r="I1250" s="47">
        <f t="shared" si="163"/>
        <v>0</v>
      </c>
      <c r="J1250" s="47">
        <f t="shared" si="161"/>
        <v>0</v>
      </c>
      <c r="K1250" s="47">
        <v>0</v>
      </c>
      <c r="L1250" s="47">
        <v>0</v>
      </c>
      <c r="M1250" s="893"/>
    </row>
    <row r="1251" spans="1:13" hidden="1" outlineLevel="1" x14ac:dyDescent="0.2">
      <c r="A1251" s="22" t="s">
        <v>1502</v>
      </c>
      <c r="B1251" s="2" t="s">
        <v>252</v>
      </c>
      <c r="C1251" s="2" t="s">
        <v>1519</v>
      </c>
      <c r="D1251" s="716">
        <v>1</v>
      </c>
      <c r="E1251" s="4" t="s">
        <v>19</v>
      </c>
      <c r="F1251" s="47">
        <f t="shared" si="160"/>
        <v>0</v>
      </c>
      <c r="G1251" s="47">
        <f t="shared" ref="G1251:I1251" si="164">H1251</f>
        <v>0</v>
      </c>
      <c r="H1251" s="47">
        <f t="shared" si="164"/>
        <v>0</v>
      </c>
      <c r="I1251" s="47">
        <f t="shared" si="164"/>
        <v>0</v>
      </c>
      <c r="J1251" s="47">
        <f t="shared" si="161"/>
        <v>0</v>
      </c>
      <c r="K1251" s="47">
        <v>0</v>
      </c>
      <c r="L1251" s="47">
        <v>0</v>
      </c>
      <c r="M1251" s="893"/>
    </row>
    <row r="1252" spans="1:13" hidden="1" outlineLevel="1" x14ac:dyDescent="0.2">
      <c r="A1252" s="22" t="s">
        <v>1502</v>
      </c>
      <c r="B1252" s="2" t="s">
        <v>252</v>
      </c>
      <c r="C1252" s="2" t="s">
        <v>1519</v>
      </c>
      <c r="D1252" s="716">
        <v>1</v>
      </c>
      <c r="E1252" s="4" t="s">
        <v>3</v>
      </c>
      <c r="F1252" s="47">
        <f t="shared" si="160"/>
        <v>0</v>
      </c>
      <c r="G1252" s="47">
        <f t="shared" ref="G1252:I1252" si="165">H1252</f>
        <v>0</v>
      </c>
      <c r="H1252" s="47">
        <f t="shared" si="165"/>
        <v>0</v>
      </c>
      <c r="I1252" s="47">
        <f t="shared" si="165"/>
        <v>0</v>
      </c>
      <c r="J1252" s="47">
        <f t="shared" si="161"/>
        <v>0</v>
      </c>
      <c r="K1252" s="47">
        <v>0</v>
      </c>
      <c r="L1252" s="47">
        <v>0</v>
      </c>
      <c r="M1252" s="893"/>
    </row>
    <row r="1253" spans="1:13" hidden="1" outlineLevel="1" x14ac:dyDescent="0.2">
      <c r="A1253" s="22" t="s">
        <v>1502</v>
      </c>
      <c r="B1253" s="2" t="s">
        <v>252</v>
      </c>
      <c r="C1253" s="2" t="s">
        <v>1519</v>
      </c>
      <c r="D1253" s="716">
        <v>1</v>
      </c>
      <c r="E1253" s="4" t="s">
        <v>20</v>
      </c>
      <c r="F1253" s="47">
        <f t="shared" si="160"/>
        <v>1</v>
      </c>
      <c r="G1253" s="47">
        <f t="shared" ref="G1253:I1253" si="166">H1253</f>
        <v>1</v>
      </c>
      <c r="H1253" s="47">
        <f t="shared" si="166"/>
        <v>1</v>
      </c>
      <c r="I1253" s="47">
        <f t="shared" si="166"/>
        <v>1</v>
      </c>
      <c r="J1253" s="47">
        <f t="shared" si="161"/>
        <v>1</v>
      </c>
      <c r="K1253" s="47">
        <v>1</v>
      </c>
      <c r="L1253" s="47">
        <v>1</v>
      </c>
      <c r="M1253" s="893"/>
    </row>
    <row r="1254" spans="1:13" hidden="1" outlineLevel="1" x14ac:dyDescent="0.2">
      <c r="A1254" s="22" t="s">
        <v>1502</v>
      </c>
      <c r="B1254" s="2" t="s">
        <v>252</v>
      </c>
      <c r="C1254" s="2" t="s">
        <v>1519</v>
      </c>
      <c r="D1254" s="716">
        <v>1</v>
      </c>
      <c r="E1254" s="4" t="s">
        <v>21</v>
      </c>
      <c r="F1254" s="47">
        <f t="shared" si="160"/>
        <v>0</v>
      </c>
      <c r="G1254" s="47">
        <f t="shared" ref="G1254:I1254" si="167">H1254</f>
        <v>0</v>
      </c>
      <c r="H1254" s="47">
        <f t="shared" si="167"/>
        <v>0</v>
      </c>
      <c r="I1254" s="47">
        <f t="shared" si="167"/>
        <v>0</v>
      </c>
      <c r="J1254" s="47">
        <f t="shared" si="161"/>
        <v>0</v>
      </c>
      <c r="K1254" s="47">
        <v>0</v>
      </c>
      <c r="L1254" s="47">
        <v>0</v>
      </c>
      <c r="M1254" s="893"/>
    </row>
    <row r="1255" spans="1:13" hidden="1" outlineLevel="1" x14ac:dyDescent="0.2">
      <c r="A1255" s="22" t="s">
        <v>1502</v>
      </c>
      <c r="B1255" s="2" t="s">
        <v>252</v>
      </c>
      <c r="C1255" s="2" t="s">
        <v>1519</v>
      </c>
      <c r="D1255" s="716">
        <v>1</v>
      </c>
      <c r="E1255" s="4" t="s">
        <v>1096</v>
      </c>
      <c r="F1255" s="47">
        <f t="shared" si="160"/>
        <v>0</v>
      </c>
      <c r="G1255" s="47">
        <f t="shared" ref="G1255:I1255" si="168">H1255</f>
        <v>0</v>
      </c>
      <c r="H1255" s="47">
        <f t="shared" si="168"/>
        <v>0</v>
      </c>
      <c r="I1255" s="47">
        <f t="shared" si="168"/>
        <v>0</v>
      </c>
      <c r="J1255" s="47">
        <f t="shared" si="161"/>
        <v>0</v>
      </c>
      <c r="K1255" s="47">
        <v>0</v>
      </c>
      <c r="L1255" s="47">
        <v>0</v>
      </c>
      <c r="M1255" s="893"/>
    </row>
    <row r="1256" spans="1:13" hidden="1" outlineLevel="1" x14ac:dyDescent="0.2">
      <c r="A1256" s="22" t="s">
        <v>1502</v>
      </c>
      <c r="B1256" s="2" t="s">
        <v>252</v>
      </c>
      <c r="C1256" s="2" t="s">
        <v>1519</v>
      </c>
      <c r="D1256" s="716">
        <v>1</v>
      </c>
      <c r="E1256" s="4" t="s">
        <v>22</v>
      </c>
      <c r="F1256" s="47">
        <f t="shared" si="160"/>
        <v>0</v>
      </c>
      <c r="G1256" s="47">
        <f t="shared" ref="G1256:I1256" si="169">H1256</f>
        <v>0</v>
      </c>
      <c r="H1256" s="47">
        <f t="shared" si="169"/>
        <v>0</v>
      </c>
      <c r="I1256" s="47">
        <f t="shared" si="169"/>
        <v>0</v>
      </c>
      <c r="J1256" s="47">
        <f t="shared" si="161"/>
        <v>0</v>
      </c>
      <c r="K1256" s="47">
        <v>0</v>
      </c>
      <c r="L1256" s="47">
        <v>0</v>
      </c>
      <c r="M1256" s="893"/>
    </row>
    <row r="1257" spans="1:13" hidden="1" outlineLevel="1" x14ac:dyDescent="0.2">
      <c r="A1257" s="91" t="s">
        <v>1502</v>
      </c>
      <c r="B1257" s="3" t="s">
        <v>252</v>
      </c>
      <c r="C1257" s="3" t="s">
        <v>1519</v>
      </c>
      <c r="D1257" s="717">
        <v>1</v>
      </c>
      <c r="E1257" s="469" t="s">
        <v>23</v>
      </c>
      <c r="F1257" s="48">
        <f t="shared" si="160"/>
        <v>0</v>
      </c>
      <c r="G1257" s="48">
        <f t="shared" ref="G1257:I1257" si="170">H1257</f>
        <v>0</v>
      </c>
      <c r="H1257" s="48">
        <f t="shared" si="170"/>
        <v>0</v>
      </c>
      <c r="I1257" s="48">
        <f t="shared" si="170"/>
        <v>0</v>
      </c>
      <c r="J1257" s="48">
        <f t="shared" si="161"/>
        <v>0</v>
      </c>
      <c r="K1257" s="363">
        <v>0</v>
      </c>
      <c r="L1257" s="363">
        <v>0</v>
      </c>
      <c r="M1257" s="920"/>
    </row>
    <row r="1258" spans="1:13" hidden="1" outlineLevel="1" x14ac:dyDescent="0.2">
      <c r="A1258" s="92" t="s">
        <v>1502</v>
      </c>
      <c r="B1258" s="81" t="s">
        <v>252</v>
      </c>
      <c r="C1258" s="81" t="s">
        <v>1520</v>
      </c>
      <c r="D1258" s="715">
        <v>1</v>
      </c>
      <c r="E1258" s="468" t="s">
        <v>4</v>
      </c>
      <c r="F1258" s="380">
        <f t="shared" si="160"/>
        <v>1</v>
      </c>
      <c r="G1258" s="89">
        <f t="shared" ref="G1258:I1258" si="171">H1258</f>
        <v>1</v>
      </c>
      <c r="H1258" s="89">
        <f t="shared" si="171"/>
        <v>1</v>
      </c>
      <c r="I1258" s="89">
        <f t="shared" si="171"/>
        <v>1</v>
      </c>
      <c r="J1258" s="89">
        <f t="shared" si="161"/>
        <v>1</v>
      </c>
      <c r="K1258" s="380">
        <v>1</v>
      </c>
      <c r="L1258" s="380">
        <v>1</v>
      </c>
      <c r="M1258" s="892"/>
    </row>
    <row r="1259" spans="1:13" hidden="1" outlineLevel="1" x14ac:dyDescent="0.2">
      <c r="A1259" s="22" t="s">
        <v>1502</v>
      </c>
      <c r="B1259" s="2" t="s">
        <v>252</v>
      </c>
      <c r="C1259" s="2" t="s">
        <v>1520</v>
      </c>
      <c r="D1259" s="716">
        <v>1</v>
      </c>
      <c r="E1259" s="4" t="s">
        <v>5</v>
      </c>
      <c r="F1259" s="47">
        <f t="shared" si="160"/>
        <v>0</v>
      </c>
      <c r="G1259" s="47">
        <f t="shared" ref="G1259:I1259" si="172">H1259</f>
        <v>0</v>
      </c>
      <c r="H1259" s="47">
        <f t="shared" si="172"/>
        <v>0</v>
      </c>
      <c r="I1259" s="47">
        <f t="shared" si="172"/>
        <v>0</v>
      </c>
      <c r="J1259" s="47">
        <f t="shared" si="161"/>
        <v>0</v>
      </c>
      <c r="K1259" s="47">
        <v>0</v>
      </c>
      <c r="L1259" s="47">
        <v>0</v>
      </c>
      <c r="M1259" s="893"/>
    </row>
    <row r="1260" spans="1:13" hidden="1" outlineLevel="1" x14ac:dyDescent="0.2">
      <c r="A1260" s="22" t="s">
        <v>1502</v>
      </c>
      <c r="B1260" s="2" t="s">
        <v>252</v>
      </c>
      <c r="C1260" s="2" t="s">
        <v>1520</v>
      </c>
      <c r="D1260" s="716">
        <v>1</v>
      </c>
      <c r="E1260" s="4" t="s">
        <v>6</v>
      </c>
      <c r="F1260" s="47">
        <f t="shared" si="160"/>
        <v>0</v>
      </c>
      <c r="G1260" s="47">
        <f t="shared" ref="G1260:I1260" si="173">H1260</f>
        <v>0</v>
      </c>
      <c r="H1260" s="47">
        <f t="shared" si="173"/>
        <v>0</v>
      </c>
      <c r="I1260" s="47">
        <f t="shared" si="173"/>
        <v>0</v>
      </c>
      <c r="J1260" s="47">
        <f t="shared" si="161"/>
        <v>0</v>
      </c>
      <c r="K1260" s="47">
        <v>0</v>
      </c>
      <c r="L1260" s="47">
        <v>0</v>
      </c>
      <c r="M1260" s="893"/>
    </row>
    <row r="1261" spans="1:13" hidden="1" outlineLevel="1" x14ac:dyDescent="0.2">
      <c r="A1261" s="22" t="s">
        <v>1502</v>
      </c>
      <c r="B1261" s="2" t="s">
        <v>252</v>
      </c>
      <c r="C1261" s="2" t="s">
        <v>1520</v>
      </c>
      <c r="D1261" s="716">
        <v>1</v>
      </c>
      <c r="E1261" s="4" t="s">
        <v>143</v>
      </c>
      <c r="F1261" s="47">
        <f t="shared" si="160"/>
        <v>0</v>
      </c>
      <c r="G1261" s="47">
        <f t="shared" ref="G1261:I1261" si="174">H1261</f>
        <v>0</v>
      </c>
      <c r="H1261" s="47">
        <f t="shared" si="174"/>
        <v>0</v>
      </c>
      <c r="I1261" s="47">
        <f t="shared" si="174"/>
        <v>0</v>
      </c>
      <c r="J1261" s="47">
        <f t="shared" si="161"/>
        <v>0</v>
      </c>
      <c r="K1261" s="47">
        <v>0</v>
      </c>
      <c r="L1261" s="47">
        <v>0</v>
      </c>
      <c r="M1261" s="893"/>
    </row>
    <row r="1262" spans="1:13" hidden="1" outlineLevel="1" x14ac:dyDescent="0.2">
      <c r="A1262" s="22" t="s">
        <v>1502</v>
      </c>
      <c r="B1262" s="2" t="s">
        <v>252</v>
      </c>
      <c r="C1262" s="2" t="s">
        <v>1520</v>
      </c>
      <c r="D1262" s="716">
        <v>1</v>
      </c>
      <c r="E1262" s="4" t="s">
        <v>7</v>
      </c>
      <c r="F1262" s="47">
        <f t="shared" si="160"/>
        <v>0</v>
      </c>
      <c r="G1262" s="47">
        <f t="shared" ref="G1262:I1262" si="175">H1262</f>
        <v>0</v>
      </c>
      <c r="H1262" s="47">
        <f t="shared" si="175"/>
        <v>0</v>
      </c>
      <c r="I1262" s="47">
        <f t="shared" si="175"/>
        <v>0</v>
      </c>
      <c r="J1262" s="47">
        <f t="shared" si="161"/>
        <v>0</v>
      </c>
      <c r="K1262" s="47">
        <v>0</v>
      </c>
      <c r="L1262" s="47">
        <v>0</v>
      </c>
      <c r="M1262" s="893"/>
    </row>
    <row r="1263" spans="1:13" hidden="1" outlineLevel="1" x14ac:dyDescent="0.2">
      <c r="A1263" s="22" t="s">
        <v>1502</v>
      </c>
      <c r="B1263" s="2" t="s">
        <v>252</v>
      </c>
      <c r="C1263" s="2" t="s">
        <v>1520</v>
      </c>
      <c r="D1263" s="716">
        <v>1</v>
      </c>
      <c r="E1263" s="4" t="s">
        <v>31</v>
      </c>
      <c r="F1263" s="47">
        <f t="shared" si="160"/>
        <v>1</v>
      </c>
      <c r="G1263" s="47">
        <f t="shared" ref="G1263:I1263" si="176">H1263</f>
        <v>1</v>
      </c>
      <c r="H1263" s="47">
        <f t="shared" si="176"/>
        <v>1</v>
      </c>
      <c r="I1263" s="47">
        <f t="shared" si="176"/>
        <v>1</v>
      </c>
      <c r="J1263" s="47">
        <f t="shared" si="161"/>
        <v>1</v>
      </c>
      <c r="K1263" s="47">
        <v>1</v>
      </c>
      <c r="L1263" s="47">
        <v>1</v>
      </c>
      <c r="M1263" s="893"/>
    </row>
    <row r="1264" spans="1:13" hidden="1" outlineLevel="1" x14ac:dyDescent="0.2">
      <c r="A1264" s="22" t="s">
        <v>1502</v>
      </c>
      <c r="B1264" s="2" t="s">
        <v>252</v>
      </c>
      <c r="C1264" s="2" t="s">
        <v>1520</v>
      </c>
      <c r="D1264" s="716">
        <v>1</v>
      </c>
      <c r="E1264" s="4" t="s">
        <v>8</v>
      </c>
      <c r="F1264" s="47">
        <f t="shared" si="160"/>
        <v>1</v>
      </c>
      <c r="G1264" s="47">
        <f t="shared" ref="G1264:I1264" si="177">H1264</f>
        <v>1</v>
      </c>
      <c r="H1264" s="47">
        <f t="shared" si="177"/>
        <v>1</v>
      </c>
      <c r="I1264" s="47">
        <f t="shared" si="177"/>
        <v>1</v>
      </c>
      <c r="J1264" s="47">
        <f t="shared" si="161"/>
        <v>1</v>
      </c>
      <c r="K1264" s="47">
        <v>1</v>
      </c>
      <c r="L1264" s="47">
        <v>1</v>
      </c>
      <c r="M1264" s="893"/>
    </row>
    <row r="1265" spans="1:13" hidden="1" outlineLevel="1" x14ac:dyDescent="0.2">
      <c r="A1265" s="22" t="s">
        <v>1502</v>
      </c>
      <c r="B1265" s="2" t="s">
        <v>252</v>
      </c>
      <c r="C1265" s="2" t="s">
        <v>1520</v>
      </c>
      <c r="D1265" s="716">
        <v>1</v>
      </c>
      <c r="E1265" s="4" t="s">
        <v>9</v>
      </c>
      <c r="F1265" s="47">
        <f t="shared" ref="F1265:J1328" si="178">G1265</f>
        <v>0</v>
      </c>
      <c r="G1265" s="47">
        <f t="shared" si="178"/>
        <v>0</v>
      </c>
      <c r="H1265" s="47">
        <f t="shared" si="178"/>
        <v>0</v>
      </c>
      <c r="I1265" s="47">
        <f t="shared" si="178"/>
        <v>0</v>
      </c>
      <c r="J1265" s="47">
        <f t="shared" si="161"/>
        <v>0</v>
      </c>
      <c r="K1265" s="47">
        <v>0</v>
      </c>
      <c r="L1265" s="47">
        <v>0</v>
      </c>
      <c r="M1265" s="893"/>
    </row>
    <row r="1266" spans="1:13" hidden="1" outlineLevel="1" x14ac:dyDescent="0.2">
      <c r="A1266" s="22" t="s">
        <v>1502</v>
      </c>
      <c r="B1266" s="2" t="s">
        <v>252</v>
      </c>
      <c r="C1266" s="2" t="s">
        <v>1520</v>
      </c>
      <c r="D1266" s="716">
        <v>1</v>
      </c>
      <c r="E1266" s="4" t="s">
        <v>10</v>
      </c>
      <c r="F1266" s="47">
        <f t="shared" si="178"/>
        <v>0</v>
      </c>
      <c r="G1266" s="47">
        <f t="shared" si="178"/>
        <v>0</v>
      </c>
      <c r="H1266" s="47">
        <f t="shared" si="178"/>
        <v>0</v>
      </c>
      <c r="I1266" s="47">
        <f t="shared" si="178"/>
        <v>0</v>
      </c>
      <c r="J1266" s="47">
        <f t="shared" si="161"/>
        <v>0</v>
      </c>
      <c r="K1266" s="47">
        <v>0</v>
      </c>
      <c r="L1266" s="47">
        <v>0</v>
      </c>
      <c r="M1266" s="893"/>
    </row>
    <row r="1267" spans="1:13" hidden="1" outlineLevel="1" x14ac:dyDescent="0.2">
      <c r="A1267" s="22" t="s">
        <v>1502</v>
      </c>
      <c r="B1267" s="2" t="s">
        <v>252</v>
      </c>
      <c r="C1267" s="2" t="s">
        <v>1520</v>
      </c>
      <c r="D1267" s="716">
        <v>1</v>
      </c>
      <c r="E1267" s="4" t="s">
        <v>11</v>
      </c>
      <c r="F1267" s="47">
        <f t="shared" si="178"/>
        <v>0</v>
      </c>
      <c r="G1267" s="47">
        <f t="shared" si="178"/>
        <v>0</v>
      </c>
      <c r="H1267" s="47">
        <f t="shared" si="178"/>
        <v>0</v>
      </c>
      <c r="I1267" s="47">
        <f t="shared" si="178"/>
        <v>0</v>
      </c>
      <c r="J1267" s="47">
        <f t="shared" si="161"/>
        <v>0</v>
      </c>
      <c r="K1267" s="47">
        <v>0</v>
      </c>
      <c r="L1267" s="47">
        <v>0</v>
      </c>
      <c r="M1267" s="893"/>
    </row>
    <row r="1268" spans="1:13" hidden="1" outlineLevel="1" x14ac:dyDescent="0.2">
      <c r="A1268" s="22" t="s">
        <v>1502</v>
      </c>
      <c r="B1268" s="2" t="s">
        <v>252</v>
      </c>
      <c r="C1268" s="2" t="s">
        <v>1520</v>
      </c>
      <c r="D1268" s="716">
        <v>1</v>
      </c>
      <c r="E1268" s="4" t="s">
        <v>12</v>
      </c>
      <c r="F1268" s="47">
        <f t="shared" si="178"/>
        <v>0</v>
      </c>
      <c r="G1268" s="47">
        <f t="shared" si="178"/>
        <v>0</v>
      </c>
      <c r="H1268" s="47">
        <f t="shared" si="178"/>
        <v>0</v>
      </c>
      <c r="I1268" s="47">
        <f t="shared" si="178"/>
        <v>0</v>
      </c>
      <c r="J1268" s="47">
        <f t="shared" si="161"/>
        <v>0</v>
      </c>
      <c r="K1268" s="47">
        <v>0</v>
      </c>
      <c r="L1268" s="47">
        <v>0</v>
      </c>
      <c r="M1268" s="893"/>
    </row>
    <row r="1269" spans="1:13" hidden="1" outlineLevel="1" x14ac:dyDescent="0.2">
      <c r="A1269" s="22" t="s">
        <v>1502</v>
      </c>
      <c r="B1269" s="2" t="s">
        <v>252</v>
      </c>
      <c r="C1269" s="2" t="s">
        <v>1520</v>
      </c>
      <c r="D1269" s="716">
        <v>1</v>
      </c>
      <c r="E1269" s="4" t="s">
        <v>1</v>
      </c>
      <c r="F1269" s="47">
        <f t="shared" si="178"/>
        <v>0</v>
      </c>
      <c r="G1269" s="47">
        <f t="shared" si="178"/>
        <v>0</v>
      </c>
      <c r="H1269" s="47">
        <f t="shared" si="178"/>
        <v>0</v>
      </c>
      <c r="I1269" s="47">
        <f t="shared" si="178"/>
        <v>0</v>
      </c>
      <c r="J1269" s="47">
        <f t="shared" si="161"/>
        <v>0</v>
      </c>
      <c r="K1269" s="47">
        <v>0</v>
      </c>
      <c r="L1269" s="47">
        <v>0</v>
      </c>
      <c r="M1269" s="893"/>
    </row>
    <row r="1270" spans="1:13" hidden="1" outlineLevel="1" x14ac:dyDescent="0.2">
      <c r="A1270" s="22" t="s">
        <v>1502</v>
      </c>
      <c r="B1270" s="2" t="s">
        <v>252</v>
      </c>
      <c r="C1270" s="2" t="s">
        <v>1520</v>
      </c>
      <c r="D1270" s="716">
        <v>1</v>
      </c>
      <c r="E1270" s="4" t="s">
        <v>13</v>
      </c>
      <c r="F1270" s="47">
        <f t="shared" si="178"/>
        <v>0</v>
      </c>
      <c r="G1270" s="47">
        <f t="shared" si="178"/>
        <v>0</v>
      </c>
      <c r="H1270" s="47">
        <f t="shared" si="178"/>
        <v>0</v>
      </c>
      <c r="I1270" s="47">
        <f t="shared" si="178"/>
        <v>0</v>
      </c>
      <c r="J1270" s="47">
        <f t="shared" si="161"/>
        <v>0</v>
      </c>
      <c r="K1270" s="47">
        <v>0</v>
      </c>
      <c r="L1270" s="47">
        <v>0</v>
      </c>
      <c r="M1270" s="893"/>
    </row>
    <row r="1271" spans="1:13" hidden="1" outlineLevel="1" x14ac:dyDescent="0.2">
      <c r="A1271" s="22" t="s">
        <v>1502</v>
      </c>
      <c r="B1271" s="2" t="s">
        <v>252</v>
      </c>
      <c r="C1271" s="2" t="s">
        <v>1520</v>
      </c>
      <c r="D1271" s="716">
        <v>1</v>
      </c>
      <c r="E1271" s="4" t="s">
        <v>14</v>
      </c>
      <c r="F1271" s="47">
        <f t="shared" si="178"/>
        <v>0</v>
      </c>
      <c r="G1271" s="47">
        <f t="shared" si="178"/>
        <v>0</v>
      </c>
      <c r="H1271" s="47">
        <f t="shared" si="178"/>
        <v>0</v>
      </c>
      <c r="I1271" s="47">
        <f t="shared" si="178"/>
        <v>0</v>
      </c>
      <c r="J1271" s="47">
        <f t="shared" si="161"/>
        <v>0</v>
      </c>
      <c r="K1271" s="47">
        <v>0</v>
      </c>
      <c r="L1271" s="47">
        <v>0</v>
      </c>
      <c r="M1271" s="893"/>
    </row>
    <row r="1272" spans="1:13" hidden="1" outlineLevel="1" x14ac:dyDescent="0.2">
      <c r="A1272" s="22" t="s">
        <v>1502</v>
      </c>
      <c r="B1272" s="2" t="s">
        <v>252</v>
      </c>
      <c r="C1272" s="2" t="s">
        <v>1520</v>
      </c>
      <c r="D1272" s="716">
        <v>1</v>
      </c>
      <c r="E1272" s="4" t="s">
        <v>15</v>
      </c>
      <c r="F1272" s="47">
        <f t="shared" si="178"/>
        <v>0</v>
      </c>
      <c r="G1272" s="47">
        <f t="shared" si="178"/>
        <v>0</v>
      </c>
      <c r="H1272" s="47">
        <f t="shared" si="178"/>
        <v>0</v>
      </c>
      <c r="I1272" s="47">
        <f t="shared" si="178"/>
        <v>0</v>
      </c>
      <c r="J1272" s="47">
        <f t="shared" si="161"/>
        <v>0</v>
      </c>
      <c r="K1272" s="47">
        <v>0</v>
      </c>
      <c r="L1272" s="47">
        <v>0</v>
      </c>
      <c r="M1272" s="893"/>
    </row>
    <row r="1273" spans="1:13" hidden="1" outlineLevel="1" x14ac:dyDescent="0.2">
      <c r="A1273" s="22" t="s">
        <v>1502</v>
      </c>
      <c r="B1273" s="2" t="s">
        <v>252</v>
      </c>
      <c r="C1273" s="2" t="s">
        <v>1520</v>
      </c>
      <c r="D1273" s="716">
        <v>1</v>
      </c>
      <c r="E1273" s="4" t="s">
        <v>16</v>
      </c>
      <c r="F1273" s="47">
        <f t="shared" si="178"/>
        <v>0</v>
      </c>
      <c r="G1273" s="47">
        <f t="shared" si="178"/>
        <v>0</v>
      </c>
      <c r="H1273" s="47">
        <f t="shared" si="178"/>
        <v>0</v>
      </c>
      <c r="I1273" s="47">
        <f t="shared" si="178"/>
        <v>0</v>
      </c>
      <c r="J1273" s="47">
        <f t="shared" si="161"/>
        <v>0</v>
      </c>
      <c r="K1273" s="47">
        <v>0</v>
      </c>
      <c r="L1273" s="47">
        <v>0</v>
      </c>
      <c r="M1273" s="893"/>
    </row>
    <row r="1274" spans="1:13" hidden="1" outlineLevel="1" x14ac:dyDescent="0.2">
      <c r="A1274" s="22" t="s">
        <v>1502</v>
      </c>
      <c r="B1274" s="2" t="s">
        <v>252</v>
      </c>
      <c r="C1274" s="2" t="s">
        <v>1520</v>
      </c>
      <c r="D1274" s="716">
        <v>1</v>
      </c>
      <c r="E1274" s="4" t="s">
        <v>17</v>
      </c>
      <c r="F1274" s="47">
        <f t="shared" si="178"/>
        <v>0</v>
      </c>
      <c r="G1274" s="47">
        <f t="shared" si="178"/>
        <v>0</v>
      </c>
      <c r="H1274" s="47">
        <f t="shared" si="178"/>
        <v>0</v>
      </c>
      <c r="I1274" s="47">
        <f t="shared" si="178"/>
        <v>0</v>
      </c>
      <c r="J1274" s="47">
        <f t="shared" si="161"/>
        <v>0</v>
      </c>
      <c r="K1274" s="47">
        <v>0</v>
      </c>
      <c r="L1274" s="47">
        <v>0</v>
      </c>
      <c r="M1274" s="893"/>
    </row>
    <row r="1275" spans="1:13" hidden="1" outlineLevel="1" x14ac:dyDescent="0.2">
      <c r="A1275" s="22" t="s">
        <v>1502</v>
      </c>
      <c r="B1275" s="2" t="s">
        <v>252</v>
      </c>
      <c r="C1275" s="2" t="s">
        <v>1520</v>
      </c>
      <c r="D1275" s="716">
        <v>1</v>
      </c>
      <c r="E1275" s="4" t="s">
        <v>18</v>
      </c>
      <c r="F1275" s="47">
        <f t="shared" si="178"/>
        <v>0</v>
      </c>
      <c r="G1275" s="47">
        <f t="shared" si="178"/>
        <v>0</v>
      </c>
      <c r="H1275" s="47">
        <f t="shared" si="178"/>
        <v>0</v>
      </c>
      <c r="I1275" s="47">
        <f t="shared" si="178"/>
        <v>0</v>
      </c>
      <c r="J1275" s="47">
        <f t="shared" si="161"/>
        <v>0</v>
      </c>
      <c r="K1275" s="47">
        <v>0</v>
      </c>
      <c r="L1275" s="47">
        <v>1</v>
      </c>
      <c r="M1275" s="893"/>
    </row>
    <row r="1276" spans="1:13" hidden="1" outlineLevel="1" x14ac:dyDescent="0.2">
      <c r="A1276" s="22" t="s">
        <v>1502</v>
      </c>
      <c r="B1276" s="2" t="s">
        <v>252</v>
      </c>
      <c r="C1276" s="2" t="s">
        <v>1520</v>
      </c>
      <c r="D1276" s="716">
        <v>1</v>
      </c>
      <c r="E1276" s="4" t="s">
        <v>2</v>
      </c>
      <c r="F1276" s="47">
        <f t="shared" si="178"/>
        <v>0</v>
      </c>
      <c r="G1276" s="47">
        <f t="shared" si="178"/>
        <v>0</v>
      </c>
      <c r="H1276" s="47">
        <f t="shared" si="178"/>
        <v>0</v>
      </c>
      <c r="I1276" s="47">
        <f t="shared" si="178"/>
        <v>0</v>
      </c>
      <c r="J1276" s="47">
        <f t="shared" si="161"/>
        <v>0</v>
      </c>
      <c r="K1276" s="47">
        <v>0</v>
      </c>
      <c r="L1276" s="47">
        <v>0</v>
      </c>
      <c r="M1276" s="893"/>
    </row>
    <row r="1277" spans="1:13" hidden="1" outlineLevel="1" x14ac:dyDescent="0.2">
      <c r="A1277" s="22" t="s">
        <v>1502</v>
      </c>
      <c r="B1277" s="2" t="s">
        <v>252</v>
      </c>
      <c r="C1277" s="2" t="s">
        <v>1520</v>
      </c>
      <c r="D1277" s="716">
        <v>1</v>
      </c>
      <c r="E1277" s="4" t="s">
        <v>19</v>
      </c>
      <c r="F1277" s="47">
        <f t="shared" si="178"/>
        <v>0</v>
      </c>
      <c r="G1277" s="47">
        <f t="shared" si="178"/>
        <v>0</v>
      </c>
      <c r="H1277" s="47">
        <f t="shared" si="178"/>
        <v>0</v>
      </c>
      <c r="I1277" s="47">
        <f t="shared" si="178"/>
        <v>0</v>
      </c>
      <c r="J1277" s="47">
        <f t="shared" si="161"/>
        <v>0</v>
      </c>
      <c r="K1277" s="47">
        <v>0</v>
      </c>
      <c r="L1277" s="47">
        <v>0</v>
      </c>
      <c r="M1277" s="893"/>
    </row>
    <row r="1278" spans="1:13" hidden="1" outlineLevel="1" x14ac:dyDescent="0.2">
      <c r="A1278" s="22" t="s">
        <v>1502</v>
      </c>
      <c r="B1278" s="2" t="s">
        <v>252</v>
      </c>
      <c r="C1278" s="2" t="s">
        <v>1520</v>
      </c>
      <c r="D1278" s="716">
        <v>1</v>
      </c>
      <c r="E1278" s="4" t="s">
        <v>3</v>
      </c>
      <c r="F1278" s="47">
        <f t="shared" si="178"/>
        <v>0</v>
      </c>
      <c r="G1278" s="47">
        <f t="shared" si="178"/>
        <v>0</v>
      </c>
      <c r="H1278" s="47">
        <f t="shared" si="178"/>
        <v>0</v>
      </c>
      <c r="I1278" s="47">
        <f t="shared" si="178"/>
        <v>0</v>
      </c>
      <c r="J1278" s="47">
        <f t="shared" si="161"/>
        <v>0</v>
      </c>
      <c r="K1278" s="47">
        <v>0</v>
      </c>
      <c r="L1278" s="47">
        <v>0</v>
      </c>
      <c r="M1278" s="893"/>
    </row>
    <row r="1279" spans="1:13" hidden="1" outlineLevel="1" x14ac:dyDescent="0.2">
      <c r="A1279" s="22" t="s">
        <v>1502</v>
      </c>
      <c r="B1279" s="2" t="s">
        <v>252</v>
      </c>
      <c r="C1279" s="2" t="s">
        <v>1520</v>
      </c>
      <c r="D1279" s="716">
        <v>1</v>
      </c>
      <c r="E1279" s="4" t="s">
        <v>20</v>
      </c>
      <c r="F1279" s="47">
        <f t="shared" si="178"/>
        <v>0</v>
      </c>
      <c r="G1279" s="47">
        <f t="shared" si="178"/>
        <v>0</v>
      </c>
      <c r="H1279" s="47">
        <f t="shared" si="178"/>
        <v>0</v>
      </c>
      <c r="I1279" s="47">
        <f t="shared" si="178"/>
        <v>0</v>
      </c>
      <c r="J1279" s="47">
        <f t="shared" si="161"/>
        <v>0</v>
      </c>
      <c r="K1279" s="47">
        <v>0</v>
      </c>
      <c r="L1279" s="47">
        <v>1</v>
      </c>
      <c r="M1279" s="893"/>
    </row>
    <row r="1280" spans="1:13" hidden="1" outlineLevel="1" x14ac:dyDescent="0.2">
      <c r="A1280" s="22" t="s">
        <v>1502</v>
      </c>
      <c r="B1280" s="2" t="s">
        <v>252</v>
      </c>
      <c r="C1280" s="2" t="s">
        <v>1520</v>
      </c>
      <c r="D1280" s="716">
        <v>1</v>
      </c>
      <c r="E1280" s="4" t="s">
        <v>21</v>
      </c>
      <c r="F1280" s="47">
        <f t="shared" si="178"/>
        <v>0</v>
      </c>
      <c r="G1280" s="47">
        <f t="shared" si="178"/>
        <v>0</v>
      </c>
      <c r="H1280" s="47">
        <f t="shared" si="178"/>
        <v>0</v>
      </c>
      <c r="I1280" s="47">
        <f t="shared" si="178"/>
        <v>0</v>
      </c>
      <c r="J1280" s="47">
        <f t="shared" si="161"/>
        <v>0</v>
      </c>
      <c r="K1280" s="47">
        <v>0</v>
      </c>
      <c r="L1280" s="47">
        <v>0</v>
      </c>
      <c r="M1280" s="893"/>
    </row>
    <row r="1281" spans="1:13" hidden="1" outlineLevel="1" x14ac:dyDescent="0.2">
      <c r="A1281" s="22" t="s">
        <v>1502</v>
      </c>
      <c r="B1281" s="2" t="s">
        <v>252</v>
      </c>
      <c r="C1281" s="2" t="s">
        <v>1520</v>
      </c>
      <c r="D1281" s="716">
        <v>1</v>
      </c>
      <c r="E1281" s="4" t="s">
        <v>1096</v>
      </c>
      <c r="F1281" s="47">
        <f t="shared" si="178"/>
        <v>0</v>
      </c>
      <c r="G1281" s="47">
        <f t="shared" si="178"/>
        <v>0</v>
      </c>
      <c r="H1281" s="47">
        <f t="shared" si="178"/>
        <v>0</v>
      </c>
      <c r="I1281" s="47">
        <f t="shared" si="178"/>
        <v>0</v>
      </c>
      <c r="J1281" s="47">
        <f t="shared" si="161"/>
        <v>0</v>
      </c>
      <c r="K1281" s="47">
        <v>0</v>
      </c>
      <c r="L1281" s="47">
        <v>0</v>
      </c>
      <c r="M1281" s="893"/>
    </row>
    <row r="1282" spans="1:13" hidden="1" outlineLevel="1" x14ac:dyDescent="0.2">
      <c r="A1282" s="22" t="s">
        <v>1502</v>
      </c>
      <c r="B1282" s="2" t="s">
        <v>252</v>
      </c>
      <c r="C1282" s="2" t="s">
        <v>1520</v>
      </c>
      <c r="D1282" s="716">
        <v>1</v>
      </c>
      <c r="E1282" s="4" t="s">
        <v>22</v>
      </c>
      <c r="F1282" s="47">
        <f t="shared" si="178"/>
        <v>0</v>
      </c>
      <c r="G1282" s="47">
        <f t="shared" si="178"/>
        <v>0</v>
      </c>
      <c r="H1282" s="47">
        <f t="shared" si="178"/>
        <v>0</v>
      </c>
      <c r="I1282" s="47">
        <f t="shared" si="178"/>
        <v>0</v>
      </c>
      <c r="J1282" s="47">
        <f t="shared" si="161"/>
        <v>0</v>
      </c>
      <c r="K1282" s="47">
        <v>0</v>
      </c>
      <c r="L1282" s="47">
        <v>0</v>
      </c>
      <c r="M1282" s="893"/>
    </row>
    <row r="1283" spans="1:13" hidden="1" outlineLevel="1" x14ac:dyDescent="0.2">
      <c r="A1283" s="91" t="s">
        <v>1502</v>
      </c>
      <c r="B1283" s="3" t="s">
        <v>252</v>
      </c>
      <c r="C1283" s="3" t="s">
        <v>1520</v>
      </c>
      <c r="D1283" s="717">
        <v>1</v>
      </c>
      <c r="E1283" s="469" t="s">
        <v>23</v>
      </c>
      <c r="F1283" s="48">
        <f t="shared" si="178"/>
        <v>0</v>
      </c>
      <c r="G1283" s="48">
        <f t="shared" si="178"/>
        <v>0</v>
      </c>
      <c r="H1283" s="48">
        <f t="shared" si="178"/>
        <v>0</v>
      </c>
      <c r="I1283" s="48">
        <f t="shared" si="178"/>
        <v>0</v>
      </c>
      <c r="J1283" s="48">
        <f t="shared" si="161"/>
        <v>0</v>
      </c>
      <c r="K1283" s="363">
        <v>0</v>
      </c>
      <c r="L1283" s="363">
        <v>0</v>
      </c>
      <c r="M1283" s="920"/>
    </row>
    <row r="1284" spans="1:13" hidden="1" outlineLevel="1" x14ac:dyDescent="0.2">
      <c r="A1284" s="92" t="s">
        <v>1502</v>
      </c>
      <c r="B1284" s="81" t="s">
        <v>252</v>
      </c>
      <c r="C1284" s="81" t="s">
        <v>1521</v>
      </c>
      <c r="D1284" s="715">
        <v>1</v>
      </c>
      <c r="E1284" s="468" t="s">
        <v>4</v>
      </c>
      <c r="F1284" s="380">
        <f t="shared" si="178"/>
        <v>1</v>
      </c>
      <c r="G1284" s="89">
        <f t="shared" si="178"/>
        <v>1</v>
      </c>
      <c r="H1284" s="89">
        <f t="shared" si="178"/>
        <v>1</v>
      </c>
      <c r="I1284" s="89">
        <f t="shared" si="178"/>
        <v>1</v>
      </c>
      <c r="J1284" s="89">
        <f t="shared" si="161"/>
        <v>1</v>
      </c>
      <c r="K1284" s="380">
        <v>1</v>
      </c>
      <c r="L1284" s="380">
        <v>1</v>
      </c>
      <c r="M1284" s="892"/>
    </row>
    <row r="1285" spans="1:13" hidden="1" outlineLevel="1" x14ac:dyDescent="0.2">
      <c r="A1285" s="22" t="s">
        <v>1502</v>
      </c>
      <c r="B1285" s="2" t="s">
        <v>252</v>
      </c>
      <c r="C1285" s="2" t="s">
        <v>1521</v>
      </c>
      <c r="D1285" s="716">
        <v>1</v>
      </c>
      <c r="E1285" s="4" t="s">
        <v>5</v>
      </c>
      <c r="F1285" s="47">
        <f t="shared" si="178"/>
        <v>0</v>
      </c>
      <c r="G1285" s="47">
        <f t="shared" si="178"/>
        <v>0</v>
      </c>
      <c r="H1285" s="47">
        <f t="shared" si="178"/>
        <v>0</v>
      </c>
      <c r="I1285" s="47">
        <f t="shared" si="178"/>
        <v>0</v>
      </c>
      <c r="J1285" s="47">
        <f t="shared" si="161"/>
        <v>0</v>
      </c>
      <c r="K1285" s="47">
        <v>0</v>
      </c>
      <c r="L1285" s="47">
        <v>0</v>
      </c>
      <c r="M1285" s="893"/>
    </row>
    <row r="1286" spans="1:13" hidden="1" outlineLevel="1" x14ac:dyDescent="0.2">
      <c r="A1286" s="22" t="s">
        <v>1502</v>
      </c>
      <c r="B1286" s="2" t="s">
        <v>252</v>
      </c>
      <c r="C1286" s="2" t="s">
        <v>1521</v>
      </c>
      <c r="D1286" s="716">
        <v>1</v>
      </c>
      <c r="E1286" s="4" t="s">
        <v>6</v>
      </c>
      <c r="F1286" s="47">
        <f t="shared" si="178"/>
        <v>0</v>
      </c>
      <c r="G1286" s="47">
        <f t="shared" si="178"/>
        <v>0</v>
      </c>
      <c r="H1286" s="47">
        <f t="shared" si="178"/>
        <v>0</v>
      </c>
      <c r="I1286" s="47">
        <f t="shared" si="178"/>
        <v>0</v>
      </c>
      <c r="J1286" s="47">
        <f t="shared" si="161"/>
        <v>0</v>
      </c>
      <c r="K1286" s="47">
        <v>0</v>
      </c>
      <c r="L1286" s="47">
        <v>0</v>
      </c>
      <c r="M1286" s="893"/>
    </row>
    <row r="1287" spans="1:13" hidden="1" outlineLevel="1" x14ac:dyDescent="0.2">
      <c r="A1287" s="22" t="s">
        <v>1502</v>
      </c>
      <c r="B1287" s="2" t="s">
        <v>252</v>
      </c>
      <c r="C1287" s="2" t="s">
        <v>1521</v>
      </c>
      <c r="D1287" s="716">
        <v>1</v>
      </c>
      <c r="E1287" s="4" t="s">
        <v>143</v>
      </c>
      <c r="F1287" s="47">
        <f t="shared" si="178"/>
        <v>0</v>
      </c>
      <c r="G1287" s="47">
        <f t="shared" si="178"/>
        <v>0</v>
      </c>
      <c r="H1287" s="47">
        <f t="shared" si="178"/>
        <v>0</v>
      </c>
      <c r="I1287" s="47">
        <f t="shared" si="178"/>
        <v>0</v>
      </c>
      <c r="J1287" s="47">
        <f t="shared" si="161"/>
        <v>0</v>
      </c>
      <c r="K1287" s="47">
        <v>0</v>
      </c>
      <c r="L1287" s="47">
        <v>0</v>
      </c>
      <c r="M1287" s="893"/>
    </row>
    <row r="1288" spans="1:13" hidden="1" outlineLevel="1" x14ac:dyDescent="0.2">
      <c r="A1288" s="22" t="s">
        <v>1502</v>
      </c>
      <c r="B1288" s="2" t="s">
        <v>252</v>
      </c>
      <c r="C1288" s="2" t="s">
        <v>1521</v>
      </c>
      <c r="D1288" s="716">
        <v>1</v>
      </c>
      <c r="E1288" s="4" t="s">
        <v>7</v>
      </c>
      <c r="F1288" s="47">
        <f t="shared" si="178"/>
        <v>0</v>
      </c>
      <c r="G1288" s="47">
        <f t="shared" si="178"/>
        <v>0</v>
      </c>
      <c r="H1288" s="47">
        <f t="shared" si="178"/>
        <v>0</v>
      </c>
      <c r="I1288" s="47">
        <f t="shared" si="178"/>
        <v>0</v>
      </c>
      <c r="J1288" s="47">
        <f t="shared" si="161"/>
        <v>0</v>
      </c>
      <c r="K1288" s="47">
        <v>0</v>
      </c>
      <c r="L1288" s="47">
        <v>0</v>
      </c>
      <c r="M1288" s="893"/>
    </row>
    <row r="1289" spans="1:13" hidden="1" outlineLevel="1" x14ac:dyDescent="0.2">
      <c r="A1289" s="22" t="s">
        <v>1502</v>
      </c>
      <c r="B1289" s="2" t="s">
        <v>252</v>
      </c>
      <c r="C1289" s="2" t="s">
        <v>1521</v>
      </c>
      <c r="D1289" s="716">
        <v>1</v>
      </c>
      <c r="E1289" s="4" t="s">
        <v>31</v>
      </c>
      <c r="F1289" s="47">
        <f t="shared" si="178"/>
        <v>1</v>
      </c>
      <c r="G1289" s="47">
        <f t="shared" si="178"/>
        <v>1</v>
      </c>
      <c r="H1289" s="47">
        <f t="shared" si="178"/>
        <v>1</v>
      </c>
      <c r="I1289" s="47">
        <f t="shared" si="178"/>
        <v>1</v>
      </c>
      <c r="J1289" s="47">
        <f t="shared" si="161"/>
        <v>1</v>
      </c>
      <c r="K1289" s="47">
        <v>1</v>
      </c>
      <c r="L1289" s="47">
        <v>1</v>
      </c>
      <c r="M1289" s="893"/>
    </row>
    <row r="1290" spans="1:13" hidden="1" outlineLevel="1" x14ac:dyDescent="0.2">
      <c r="A1290" s="22" t="s">
        <v>1502</v>
      </c>
      <c r="B1290" s="2" t="s">
        <v>252</v>
      </c>
      <c r="C1290" s="2" t="s">
        <v>1521</v>
      </c>
      <c r="D1290" s="716">
        <v>1</v>
      </c>
      <c r="E1290" s="4" t="s">
        <v>8</v>
      </c>
      <c r="F1290" s="47">
        <f t="shared" si="178"/>
        <v>1</v>
      </c>
      <c r="G1290" s="47">
        <f t="shared" si="178"/>
        <v>1</v>
      </c>
      <c r="H1290" s="47">
        <f t="shared" si="178"/>
        <v>1</v>
      </c>
      <c r="I1290" s="47">
        <f t="shared" si="178"/>
        <v>1</v>
      </c>
      <c r="J1290" s="47">
        <f t="shared" si="161"/>
        <v>1</v>
      </c>
      <c r="K1290" s="47">
        <v>1</v>
      </c>
      <c r="L1290" s="47">
        <v>1</v>
      </c>
      <c r="M1290" s="893"/>
    </row>
    <row r="1291" spans="1:13" hidden="1" outlineLevel="1" x14ac:dyDescent="0.2">
      <c r="A1291" s="22" t="s">
        <v>1502</v>
      </c>
      <c r="B1291" s="2" t="s">
        <v>252</v>
      </c>
      <c r="C1291" s="2" t="s">
        <v>1521</v>
      </c>
      <c r="D1291" s="716">
        <v>1</v>
      </c>
      <c r="E1291" s="4" t="s">
        <v>9</v>
      </c>
      <c r="F1291" s="47">
        <f t="shared" si="178"/>
        <v>1</v>
      </c>
      <c r="G1291" s="47">
        <f t="shared" si="178"/>
        <v>1</v>
      </c>
      <c r="H1291" s="47">
        <f t="shared" si="178"/>
        <v>1</v>
      </c>
      <c r="I1291" s="47">
        <f t="shared" si="178"/>
        <v>1</v>
      </c>
      <c r="J1291" s="47">
        <f t="shared" si="161"/>
        <v>1</v>
      </c>
      <c r="K1291" s="47">
        <v>1</v>
      </c>
      <c r="L1291" s="47">
        <v>1</v>
      </c>
      <c r="M1291" s="893"/>
    </row>
    <row r="1292" spans="1:13" hidden="1" outlineLevel="1" x14ac:dyDescent="0.2">
      <c r="A1292" s="22" t="s">
        <v>1502</v>
      </c>
      <c r="B1292" s="2" t="s">
        <v>252</v>
      </c>
      <c r="C1292" s="2" t="s">
        <v>1521</v>
      </c>
      <c r="D1292" s="716">
        <v>1</v>
      </c>
      <c r="E1292" s="4" t="s">
        <v>10</v>
      </c>
      <c r="F1292" s="47">
        <f t="shared" si="178"/>
        <v>0</v>
      </c>
      <c r="G1292" s="47">
        <f t="shared" si="178"/>
        <v>0</v>
      </c>
      <c r="H1292" s="47">
        <f t="shared" si="178"/>
        <v>0</v>
      </c>
      <c r="I1292" s="47">
        <f t="shared" si="178"/>
        <v>0</v>
      </c>
      <c r="J1292" s="47">
        <f t="shared" si="161"/>
        <v>0</v>
      </c>
      <c r="K1292" s="47">
        <v>0</v>
      </c>
      <c r="L1292" s="47">
        <v>0</v>
      </c>
      <c r="M1292" s="893"/>
    </row>
    <row r="1293" spans="1:13" hidden="1" outlineLevel="1" x14ac:dyDescent="0.2">
      <c r="A1293" s="22" t="s">
        <v>1502</v>
      </c>
      <c r="B1293" s="2" t="s">
        <v>252</v>
      </c>
      <c r="C1293" s="2" t="s">
        <v>1521</v>
      </c>
      <c r="D1293" s="716">
        <v>1</v>
      </c>
      <c r="E1293" s="4" t="s">
        <v>11</v>
      </c>
      <c r="F1293" s="47">
        <f t="shared" si="178"/>
        <v>0</v>
      </c>
      <c r="G1293" s="47">
        <f t="shared" si="178"/>
        <v>0</v>
      </c>
      <c r="H1293" s="47">
        <f t="shared" si="178"/>
        <v>0</v>
      </c>
      <c r="I1293" s="47">
        <f t="shared" si="178"/>
        <v>0</v>
      </c>
      <c r="J1293" s="47">
        <f t="shared" si="161"/>
        <v>0</v>
      </c>
      <c r="K1293" s="47">
        <v>0</v>
      </c>
      <c r="L1293" s="47">
        <v>0</v>
      </c>
      <c r="M1293" s="893"/>
    </row>
    <row r="1294" spans="1:13" hidden="1" outlineLevel="1" x14ac:dyDescent="0.2">
      <c r="A1294" s="22" t="s">
        <v>1502</v>
      </c>
      <c r="B1294" s="2" t="s">
        <v>252</v>
      </c>
      <c r="C1294" s="2" t="s">
        <v>1521</v>
      </c>
      <c r="D1294" s="716">
        <v>1</v>
      </c>
      <c r="E1294" s="4" t="s">
        <v>12</v>
      </c>
      <c r="F1294" s="47">
        <f t="shared" si="178"/>
        <v>0</v>
      </c>
      <c r="G1294" s="47">
        <f t="shared" si="178"/>
        <v>0</v>
      </c>
      <c r="H1294" s="47">
        <f t="shared" si="178"/>
        <v>0</v>
      </c>
      <c r="I1294" s="47">
        <f t="shared" si="178"/>
        <v>0</v>
      </c>
      <c r="J1294" s="47">
        <f t="shared" si="161"/>
        <v>0</v>
      </c>
      <c r="K1294" s="47">
        <v>0</v>
      </c>
      <c r="L1294" s="47">
        <v>0</v>
      </c>
      <c r="M1294" s="893"/>
    </row>
    <row r="1295" spans="1:13" hidden="1" outlineLevel="1" x14ac:dyDescent="0.2">
      <c r="A1295" s="22" t="s">
        <v>1502</v>
      </c>
      <c r="B1295" s="2" t="s">
        <v>252</v>
      </c>
      <c r="C1295" s="2" t="s">
        <v>1521</v>
      </c>
      <c r="D1295" s="716">
        <v>1</v>
      </c>
      <c r="E1295" s="4" t="s">
        <v>1</v>
      </c>
      <c r="F1295" s="47">
        <f t="shared" si="178"/>
        <v>0</v>
      </c>
      <c r="G1295" s="47">
        <f t="shared" si="178"/>
        <v>0</v>
      </c>
      <c r="H1295" s="47">
        <f t="shared" si="178"/>
        <v>0</v>
      </c>
      <c r="I1295" s="47">
        <f t="shared" si="178"/>
        <v>0</v>
      </c>
      <c r="J1295" s="47">
        <f t="shared" si="161"/>
        <v>0</v>
      </c>
      <c r="K1295" s="47">
        <v>0</v>
      </c>
      <c r="L1295" s="47">
        <v>0</v>
      </c>
      <c r="M1295" s="893"/>
    </row>
    <row r="1296" spans="1:13" hidden="1" outlineLevel="1" x14ac:dyDescent="0.2">
      <c r="A1296" s="22" t="s">
        <v>1502</v>
      </c>
      <c r="B1296" s="2" t="s">
        <v>252</v>
      </c>
      <c r="C1296" s="2" t="s">
        <v>1521</v>
      </c>
      <c r="D1296" s="716">
        <v>1</v>
      </c>
      <c r="E1296" s="4" t="s">
        <v>13</v>
      </c>
      <c r="F1296" s="47">
        <f t="shared" si="178"/>
        <v>0</v>
      </c>
      <c r="G1296" s="47">
        <f t="shared" si="178"/>
        <v>0</v>
      </c>
      <c r="H1296" s="47">
        <f t="shared" si="178"/>
        <v>0</v>
      </c>
      <c r="I1296" s="47">
        <f t="shared" si="178"/>
        <v>0</v>
      </c>
      <c r="J1296" s="47">
        <f t="shared" si="161"/>
        <v>0</v>
      </c>
      <c r="K1296" s="47">
        <v>0</v>
      </c>
      <c r="L1296" s="47">
        <v>0</v>
      </c>
      <c r="M1296" s="893"/>
    </row>
    <row r="1297" spans="1:13" hidden="1" outlineLevel="1" x14ac:dyDescent="0.2">
      <c r="A1297" s="22" t="s">
        <v>1502</v>
      </c>
      <c r="B1297" s="2" t="s">
        <v>252</v>
      </c>
      <c r="C1297" s="2" t="s">
        <v>1521</v>
      </c>
      <c r="D1297" s="716">
        <v>1</v>
      </c>
      <c r="E1297" s="4" t="s">
        <v>14</v>
      </c>
      <c r="F1297" s="47">
        <f t="shared" si="178"/>
        <v>0</v>
      </c>
      <c r="G1297" s="47">
        <f t="shared" si="178"/>
        <v>0</v>
      </c>
      <c r="H1297" s="47">
        <f t="shared" si="178"/>
        <v>0</v>
      </c>
      <c r="I1297" s="47">
        <f t="shared" si="178"/>
        <v>0</v>
      </c>
      <c r="J1297" s="47">
        <f t="shared" si="161"/>
        <v>0</v>
      </c>
      <c r="K1297" s="47">
        <v>0</v>
      </c>
      <c r="L1297" s="47">
        <v>0</v>
      </c>
      <c r="M1297" s="893"/>
    </row>
    <row r="1298" spans="1:13" hidden="1" outlineLevel="1" x14ac:dyDescent="0.2">
      <c r="A1298" s="22" t="s">
        <v>1502</v>
      </c>
      <c r="B1298" s="2" t="s">
        <v>252</v>
      </c>
      <c r="C1298" s="2" t="s">
        <v>1521</v>
      </c>
      <c r="D1298" s="716">
        <v>1</v>
      </c>
      <c r="E1298" s="4" t="s">
        <v>15</v>
      </c>
      <c r="F1298" s="47">
        <f t="shared" si="178"/>
        <v>0</v>
      </c>
      <c r="G1298" s="47">
        <f t="shared" si="178"/>
        <v>0</v>
      </c>
      <c r="H1298" s="47">
        <f t="shared" si="178"/>
        <v>0</v>
      </c>
      <c r="I1298" s="47">
        <f t="shared" si="178"/>
        <v>0</v>
      </c>
      <c r="J1298" s="47">
        <f t="shared" si="161"/>
        <v>0</v>
      </c>
      <c r="K1298" s="47">
        <v>0</v>
      </c>
      <c r="L1298" s="47">
        <v>0</v>
      </c>
      <c r="M1298" s="893"/>
    </row>
    <row r="1299" spans="1:13" hidden="1" outlineLevel="1" x14ac:dyDescent="0.2">
      <c r="A1299" s="22" t="s">
        <v>1502</v>
      </c>
      <c r="B1299" s="2" t="s">
        <v>252</v>
      </c>
      <c r="C1299" s="2" t="s">
        <v>1521</v>
      </c>
      <c r="D1299" s="716">
        <v>1</v>
      </c>
      <c r="E1299" s="4" t="s">
        <v>16</v>
      </c>
      <c r="F1299" s="47">
        <f t="shared" si="178"/>
        <v>0</v>
      </c>
      <c r="G1299" s="47">
        <f t="shared" si="178"/>
        <v>0</v>
      </c>
      <c r="H1299" s="47">
        <f t="shared" si="178"/>
        <v>0</v>
      </c>
      <c r="I1299" s="47">
        <f t="shared" si="178"/>
        <v>0</v>
      </c>
      <c r="J1299" s="47">
        <f t="shared" si="161"/>
        <v>0</v>
      </c>
      <c r="K1299" s="47">
        <v>0</v>
      </c>
      <c r="L1299" s="47">
        <v>0</v>
      </c>
      <c r="M1299" s="893"/>
    </row>
    <row r="1300" spans="1:13" hidden="1" outlineLevel="1" x14ac:dyDescent="0.2">
      <c r="A1300" s="22" t="s">
        <v>1502</v>
      </c>
      <c r="B1300" s="2" t="s">
        <v>252</v>
      </c>
      <c r="C1300" s="2" t="s">
        <v>1521</v>
      </c>
      <c r="D1300" s="716">
        <v>1</v>
      </c>
      <c r="E1300" s="4" t="s">
        <v>17</v>
      </c>
      <c r="F1300" s="47">
        <f t="shared" si="178"/>
        <v>0</v>
      </c>
      <c r="G1300" s="47">
        <f t="shared" si="178"/>
        <v>0</v>
      </c>
      <c r="H1300" s="47">
        <f t="shared" si="178"/>
        <v>0</v>
      </c>
      <c r="I1300" s="47">
        <f t="shared" si="178"/>
        <v>0</v>
      </c>
      <c r="J1300" s="47">
        <f t="shared" si="161"/>
        <v>0</v>
      </c>
      <c r="K1300" s="47">
        <v>0</v>
      </c>
      <c r="L1300" s="47">
        <v>0</v>
      </c>
      <c r="M1300" s="893"/>
    </row>
    <row r="1301" spans="1:13" hidden="1" outlineLevel="1" x14ac:dyDescent="0.2">
      <c r="A1301" s="22" t="s">
        <v>1502</v>
      </c>
      <c r="B1301" s="2" t="s">
        <v>252</v>
      </c>
      <c r="C1301" s="2" t="s">
        <v>1521</v>
      </c>
      <c r="D1301" s="716">
        <v>1</v>
      </c>
      <c r="E1301" s="4" t="s">
        <v>18</v>
      </c>
      <c r="F1301" s="47">
        <f t="shared" si="178"/>
        <v>0</v>
      </c>
      <c r="G1301" s="47">
        <f t="shared" si="178"/>
        <v>0</v>
      </c>
      <c r="H1301" s="47">
        <f t="shared" si="178"/>
        <v>0</v>
      </c>
      <c r="I1301" s="47">
        <f t="shared" si="178"/>
        <v>0</v>
      </c>
      <c r="J1301" s="47">
        <f t="shared" si="161"/>
        <v>0</v>
      </c>
      <c r="K1301" s="47">
        <v>0</v>
      </c>
      <c r="L1301" s="47">
        <v>1</v>
      </c>
      <c r="M1301" s="893"/>
    </row>
    <row r="1302" spans="1:13" hidden="1" outlineLevel="1" x14ac:dyDescent="0.2">
      <c r="A1302" s="22" t="s">
        <v>1502</v>
      </c>
      <c r="B1302" s="2" t="s">
        <v>252</v>
      </c>
      <c r="C1302" s="2" t="s">
        <v>1521</v>
      </c>
      <c r="D1302" s="716">
        <v>1</v>
      </c>
      <c r="E1302" s="4" t="s">
        <v>2</v>
      </c>
      <c r="F1302" s="47">
        <f t="shared" si="178"/>
        <v>0</v>
      </c>
      <c r="G1302" s="47">
        <f t="shared" si="178"/>
        <v>0</v>
      </c>
      <c r="H1302" s="47">
        <f t="shared" si="178"/>
        <v>0</v>
      </c>
      <c r="I1302" s="47">
        <f t="shared" si="178"/>
        <v>0</v>
      </c>
      <c r="J1302" s="47">
        <f t="shared" si="161"/>
        <v>0</v>
      </c>
      <c r="K1302" s="47">
        <v>0</v>
      </c>
      <c r="L1302" s="47">
        <v>0</v>
      </c>
      <c r="M1302" s="893"/>
    </row>
    <row r="1303" spans="1:13" hidden="1" outlineLevel="1" x14ac:dyDescent="0.2">
      <c r="A1303" s="22" t="s">
        <v>1502</v>
      </c>
      <c r="B1303" s="2" t="s">
        <v>252</v>
      </c>
      <c r="C1303" s="2" t="s">
        <v>1521</v>
      </c>
      <c r="D1303" s="716">
        <v>1</v>
      </c>
      <c r="E1303" s="4" t="s">
        <v>19</v>
      </c>
      <c r="F1303" s="47">
        <f t="shared" si="178"/>
        <v>0</v>
      </c>
      <c r="G1303" s="47">
        <f t="shared" si="178"/>
        <v>0</v>
      </c>
      <c r="H1303" s="47">
        <f t="shared" si="178"/>
        <v>0</v>
      </c>
      <c r="I1303" s="47">
        <f t="shared" si="178"/>
        <v>0</v>
      </c>
      <c r="J1303" s="47">
        <f t="shared" si="161"/>
        <v>0</v>
      </c>
      <c r="K1303" s="47">
        <v>0</v>
      </c>
      <c r="L1303" s="47">
        <v>0</v>
      </c>
      <c r="M1303" s="893"/>
    </row>
    <row r="1304" spans="1:13" hidden="1" outlineLevel="1" x14ac:dyDescent="0.2">
      <c r="A1304" s="22" t="s">
        <v>1502</v>
      </c>
      <c r="B1304" s="2" t="s">
        <v>252</v>
      </c>
      <c r="C1304" s="2" t="s">
        <v>1521</v>
      </c>
      <c r="D1304" s="716">
        <v>1</v>
      </c>
      <c r="E1304" s="4" t="s">
        <v>3</v>
      </c>
      <c r="F1304" s="47">
        <f t="shared" si="178"/>
        <v>0</v>
      </c>
      <c r="G1304" s="47">
        <f t="shared" si="178"/>
        <v>0</v>
      </c>
      <c r="H1304" s="47">
        <f t="shared" si="178"/>
        <v>0</v>
      </c>
      <c r="I1304" s="47">
        <f t="shared" si="178"/>
        <v>0</v>
      </c>
      <c r="J1304" s="47">
        <f t="shared" si="161"/>
        <v>0</v>
      </c>
      <c r="K1304" s="47">
        <v>0</v>
      </c>
      <c r="L1304" s="47">
        <v>0</v>
      </c>
      <c r="M1304" s="893"/>
    </row>
    <row r="1305" spans="1:13" hidden="1" outlineLevel="1" x14ac:dyDescent="0.2">
      <c r="A1305" s="22" t="s">
        <v>1502</v>
      </c>
      <c r="B1305" s="2" t="s">
        <v>252</v>
      </c>
      <c r="C1305" s="2" t="s">
        <v>1521</v>
      </c>
      <c r="D1305" s="716">
        <v>1</v>
      </c>
      <c r="E1305" s="4" t="s">
        <v>20</v>
      </c>
      <c r="F1305" s="47">
        <f t="shared" si="178"/>
        <v>0</v>
      </c>
      <c r="G1305" s="47">
        <f t="shared" si="178"/>
        <v>0</v>
      </c>
      <c r="H1305" s="47">
        <f t="shared" si="178"/>
        <v>0</v>
      </c>
      <c r="I1305" s="47">
        <f t="shared" si="178"/>
        <v>0</v>
      </c>
      <c r="J1305" s="47">
        <f t="shared" si="161"/>
        <v>0</v>
      </c>
      <c r="K1305" s="47">
        <v>0</v>
      </c>
      <c r="L1305" s="47">
        <v>1</v>
      </c>
      <c r="M1305" s="893"/>
    </row>
    <row r="1306" spans="1:13" hidden="1" outlineLevel="1" x14ac:dyDescent="0.2">
      <c r="A1306" s="22" t="s">
        <v>1502</v>
      </c>
      <c r="B1306" s="2" t="s">
        <v>252</v>
      </c>
      <c r="C1306" s="2" t="s">
        <v>1521</v>
      </c>
      <c r="D1306" s="716">
        <v>1</v>
      </c>
      <c r="E1306" s="4" t="s">
        <v>21</v>
      </c>
      <c r="F1306" s="47">
        <f t="shared" si="178"/>
        <v>0</v>
      </c>
      <c r="G1306" s="47">
        <f t="shared" si="178"/>
        <v>0</v>
      </c>
      <c r="H1306" s="47">
        <f t="shared" si="178"/>
        <v>0</v>
      </c>
      <c r="I1306" s="47">
        <f t="shared" si="178"/>
        <v>0</v>
      </c>
      <c r="J1306" s="47">
        <f t="shared" si="161"/>
        <v>0</v>
      </c>
      <c r="K1306" s="47">
        <v>0</v>
      </c>
      <c r="L1306" s="47">
        <v>0</v>
      </c>
      <c r="M1306" s="893"/>
    </row>
    <row r="1307" spans="1:13" hidden="1" outlineLevel="1" x14ac:dyDescent="0.2">
      <c r="A1307" s="22" t="s">
        <v>1502</v>
      </c>
      <c r="B1307" s="2" t="s">
        <v>252</v>
      </c>
      <c r="C1307" s="2" t="s">
        <v>1521</v>
      </c>
      <c r="D1307" s="716">
        <v>1</v>
      </c>
      <c r="E1307" s="4" t="s">
        <v>1096</v>
      </c>
      <c r="F1307" s="47">
        <f t="shared" si="178"/>
        <v>0</v>
      </c>
      <c r="G1307" s="47">
        <f t="shared" si="178"/>
        <v>0</v>
      </c>
      <c r="H1307" s="47">
        <f t="shared" si="178"/>
        <v>0</v>
      </c>
      <c r="I1307" s="47">
        <f t="shared" si="178"/>
        <v>0</v>
      </c>
      <c r="J1307" s="47">
        <f t="shared" si="161"/>
        <v>0</v>
      </c>
      <c r="K1307" s="47">
        <v>0</v>
      </c>
      <c r="L1307" s="47">
        <v>0</v>
      </c>
      <c r="M1307" s="893"/>
    </row>
    <row r="1308" spans="1:13" hidden="1" outlineLevel="1" x14ac:dyDescent="0.2">
      <c r="A1308" s="22" t="s">
        <v>1502</v>
      </c>
      <c r="B1308" s="2" t="s">
        <v>252</v>
      </c>
      <c r="C1308" s="2" t="s">
        <v>1521</v>
      </c>
      <c r="D1308" s="716">
        <v>1</v>
      </c>
      <c r="E1308" s="4" t="s">
        <v>22</v>
      </c>
      <c r="F1308" s="47">
        <f t="shared" si="178"/>
        <v>0</v>
      </c>
      <c r="G1308" s="47">
        <f t="shared" si="178"/>
        <v>0</v>
      </c>
      <c r="H1308" s="47">
        <f t="shared" si="178"/>
        <v>0</v>
      </c>
      <c r="I1308" s="47">
        <f t="shared" si="178"/>
        <v>0</v>
      </c>
      <c r="J1308" s="47">
        <f t="shared" si="161"/>
        <v>0</v>
      </c>
      <c r="K1308" s="47">
        <v>0</v>
      </c>
      <c r="L1308" s="47">
        <v>1</v>
      </c>
      <c r="M1308" s="893"/>
    </row>
    <row r="1309" spans="1:13" hidden="1" outlineLevel="1" x14ac:dyDescent="0.2">
      <c r="A1309" s="91" t="s">
        <v>1502</v>
      </c>
      <c r="B1309" s="3" t="s">
        <v>252</v>
      </c>
      <c r="C1309" s="3" t="s">
        <v>1521</v>
      </c>
      <c r="D1309" s="717">
        <v>1</v>
      </c>
      <c r="E1309" s="469" t="s">
        <v>23</v>
      </c>
      <c r="F1309" s="48">
        <f t="shared" si="178"/>
        <v>0</v>
      </c>
      <c r="G1309" s="48">
        <f t="shared" si="178"/>
        <v>0</v>
      </c>
      <c r="H1309" s="48">
        <f t="shared" si="178"/>
        <v>0</v>
      </c>
      <c r="I1309" s="48">
        <f t="shared" si="178"/>
        <v>0</v>
      </c>
      <c r="J1309" s="48">
        <f t="shared" si="161"/>
        <v>0</v>
      </c>
      <c r="K1309" s="363">
        <v>0</v>
      </c>
      <c r="L1309" s="363">
        <v>0</v>
      </c>
      <c r="M1309" s="920"/>
    </row>
    <row r="1310" spans="1:13" hidden="1" outlineLevel="1" x14ac:dyDescent="0.2">
      <c r="A1310" s="92" t="s">
        <v>1502</v>
      </c>
      <c r="B1310" s="81" t="s">
        <v>252</v>
      </c>
      <c r="C1310" s="81" t="s">
        <v>1522</v>
      </c>
      <c r="D1310" s="715">
        <v>1</v>
      </c>
      <c r="E1310" s="468" t="s">
        <v>4</v>
      </c>
      <c r="F1310" s="380">
        <f t="shared" si="178"/>
        <v>0</v>
      </c>
      <c r="G1310" s="89">
        <f t="shared" si="178"/>
        <v>0</v>
      </c>
      <c r="H1310" s="89">
        <f t="shared" si="178"/>
        <v>0</v>
      </c>
      <c r="I1310" s="89">
        <f t="shared" si="178"/>
        <v>0</v>
      </c>
      <c r="J1310" s="89">
        <f t="shared" si="161"/>
        <v>0</v>
      </c>
      <c r="K1310" s="380">
        <v>0</v>
      </c>
      <c r="L1310" s="380">
        <v>0</v>
      </c>
      <c r="M1310" s="892"/>
    </row>
    <row r="1311" spans="1:13" hidden="1" outlineLevel="1" x14ac:dyDescent="0.2">
      <c r="A1311" s="22" t="s">
        <v>1502</v>
      </c>
      <c r="B1311" s="2" t="s">
        <v>252</v>
      </c>
      <c r="C1311" s="2" t="s">
        <v>1522</v>
      </c>
      <c r="D1311" s="716">
        <v>1</v>
      </c>
      <c r="E1311" s="4" t="s">
        <v>5</v>
      </c>
      <c r="F1311" s="47">
        <f t="shared" si="178"/>
        <v>0</v>
      </c>
      <c r="G1311" s="47">
        <f t="shared" si="178"/>
        <v>0</v>
      </c>
      <c r="H1311" s="47">
        <f t="shared" si="178"/>
        <v>0</v>
      </c>
      <c r="I1311" s="47">
        <f t="shared" si="178"/>
        <v>0</v>
      </c>
      <c r="J1311" s="47">
        <f t="shared" si="161"/>
        <v>0</v>
      </c>
      <c r="K1311" s="47">
        <v>0</v>
      </c>
      <c r="L1311" s="47">
        <v>0</v>
      </c>
      <c r="M1311" s="893"/>
    </row>
    <row r="1312" spans="1:13" hidden="1" outlineLevel="1" x14ac:dyDescent="0.2">
      <c r="A1312" s="22" t="s">
        <v>1502</v>
      </c>
      <c r="B1312" s="2" t="s">
        <v>252</v>
      </c>
      <c r="C1312" s="2" t="s">
        <v>1522</v>
      </c>
      <c r="D1312" s="716">
        <v>1</v>
      </c>
      <c r="E1312" s="4" t="s">
        <v>6</v>
      </c>
      <c r="F1312" s="47">
        <f t="shared" si="178"/>
        <v>0</v>
      </c>
      <c r="G1312" s="47">
        <f t="shared" si="178"/>
        <v>0</v>
      </c>
      <c r="H1312" s="47">
        <f t="shared" si="178"/>
        <v>0</v>
      </c>
      <c r="I1312" s="47">
        <f t="shared" si="178"/>
        <v>0</v>
      </c>
      <c r="J1312" s="47">
        <f t="shared" si="178"/>
        <v>0</v>
      </c>
      <c r="K1312" s="47">
        <v>0</v>
      </c>
      <c r="L1312" s="47">
        <v>0</v>
      </c>
      <c r="M1312" s="893"/>
    </row>
    <row r="1313" spans="1:13" hidden="1" outlineLevel="1" x14ac:dyDescent="0.2">
      <c r="A1313" s="22" t="s">
        <v>1502</v>
      </c>
      <c r="B1313" s="2" t="s">
        <v>252</v>
      </c>
      <c r="C1313" s="2" t="s">
        <v>1522</v>
      </c>
      <c r="D1313" s="716">
        <v>1</v>
      </c>
      <c r="E1313" s="4" t="s">
        <v>143</v>
      </c>
      <c r="F1313" s="47">
        <f t="shared" si="178"/>
        <v>0</v>
      </c>
      <c r="G1313" s="47">
        <f t="shared" si="178"/>
        <v>0</v>
      </c>
      <c r="H1313" s="47">
        <f t="shared" si="178"/>
        <v>0</v>
      </c>
      <c r="I1313" s="47">
        <f t="shared" si="178"/>
        <v>0</v>
      </c>
      <c r="J1313" s="47">
        <f t="shared" si="178"/>
        <v>0</v>
      </c>
      <c r="K1313" s="47">
        <v>0</v>
      </c>
      <c r="L1313" s="47">
        <v>0</v>
      </c>
      <c r="M1313" s="893"/>
    </row>
    <row r="1314" spans="1:13" hidden="1" outlineLevel="1" x14ac:dyDescent="0.2">
      <c r="A1314" s="22" t="s">
        <v>1502</v>
      </c>
      <c r="B1314" s="2" t="s">
        <v>252</v>
      </c>
      <c r="C1314" s="2" t="s">
        <v>1522</v>
      </c>
      <c r="D1314" s="716">
        <v>1</v>
      </c>
      <c r="E1314" s="4" t="s">
        <v>7</v>
      </c>
      <c r="F1314" s="47">
        <f t="shared" si="178"/>
        <v>0</v>
      </c>
      <c r="G1314" s="47">
        <f t="shared" si="178"/>
        <v>0</v>
      </c>
      <c r="H1314" s="47">
        <f t="shared" si="178"/>
        <v>0</v>
      </c>
      <c r="I1314" s="47">
        <f t="shared" si="178"/>
        <v>0</v>
      </c>
      <c r="J1314" s="47">
        <f t="shared" si="178"/>
        <v>0</v>
      </c>
      <c r="K1314" s="47">
        <v>0</v>
      </c>
      <c r="L1314" s="47">
        <v>0</v>
      </c>
      <c r="M1314" s="893"/>
    </row>
    <row r="1315" spans="1:13" hidden="1" outlineLevel="1" x14ac:dyDescent="0.2">
      <c r="A1315" s="22" t="s">
        <v>1502</v>
      </c>
      <c r="B1315" s="2" t="s">
        <v>252</v>
      </c>
      <c r="C1315" s="2" t="s">
        <v>1522</v>
      </c>
      <c r="D1315" s="716">
        <v>1</v>
      </c>
      <c r="E1315" s="4" t="s">
        <v>31</v>
      </c>
      <c r="F1315" s="47">
        <f t="shared" si="178"/>
        <v>0</v>
      </c>
      <c r="G1315" s="47">
        <f t="shared" si="178"/>
        <v>0</v>
      </c>
      <c r="H1315" s="47">
        <f t="shared" si="178"/>
        <v>0</v>
      </c>
      <c r="I1315" s="47">
        <f t="shared" si="178"/>
        <v>0</v>
      </c>
      <c r="J1315" s="47">
        <f t="shared" si="178"/>
        <v>0</v>
      </c>
      <c r="K1315" s="47">
        <v>0</v>
      </c>
      <c r="L1315" s="47">
        <v>0</v>
      </c>
      <c r="M1315" s="893"/>
    </row>
    <row r="1316" spans="1:13" hidden="1" outlineLevel="1" x14ac:dyDescent="0.2">
      <c r="A1316" s="22" t="s">
        <v>1502</v>
      </c>
      <c r="B1316" s="2" t="s">
        <v>252</v>
      </c>
      <c r="C1316" s="2" t="s">
        <v>1522</v>
      </c>
      <c r="D1316" s="716">
        <v>1</v>
      </c>
      <c r="E1316" s="4" t="s">
        <v>8</v>
      </c>
      <c r="F1316" s="47">
        <f t="shared" si="178"/>
        <v>0</v>
      </c>
      <c r="G1316" s="47">
        <f t="shared" si="178"/>
        <v>0</v>
      </c>
      <c r="H1316" s="47">
        <f t="shared" si="178"/>
        <v>0</v>
      </c>
      <c r="I1316" s="47">
        <f t="shared" si="178"/>
        <v>0</v>
      </c>
      <c r="J1316" s="47">
        <f t="shared" si="178"/>
        <v>0</v>
      </c>
      <c r="K1316" s="47">
        <v>0</v>
      </c>
      <c r="L1316" s="47">
        <v>0</v>
      </c>
      <c r="M1316" s="893"/>
    </row>
    <row r="1317" spans="1:13" hidden="1" outlineLevel="1" x14ac:dyDescent="0.2">
      <c r="A1317" s="22" t="s">
        <v>1502</v>
      </c>
      <c r="B1317" s="2" t="s">
        <v>252</v>
      </c>
      <c r="C1317" s="2" t="s">
        <v>1522</v>
      </c>
      <c r="D1317" s="716">
        <v>1</v>
      </c>
      <c r="E1317" s="4" t="s">
        <v>9</v>
      </c>
      <c r="F1317" s="47">
        <f t="shared" si="178"/>
        <v>0</v>
      </c>
      <c r="G1317" s="47">
        <f t="shared" si="178"/>
        <v>0</v>
      </c>
      <c r="H1317" s="47">
        <f t="shared" si="178"/>
        <v>0</v>
      </c>
      <c r="I1317" s="47">
        <f t="shared" si="178"/>
        <v>0</v>
      </c>
      <c r="J1317" s="47">
        <f t="shared" si="178"/>
        <v>0</v>
      </c>
      <c r="K1317" s="47">
        <v>0</v>
      </c>
      <c r="L1317" s="47">
        <v>0</v>
      </c>
      <c r="M1317" s="893"/>
    </row>
    <row r="1318" spans="1:13" hidden="1" outlineLevel="1" x14ac:dyDescent="0.2">
      <c r="A1318" s="22" t="s">
        <v>1502</v>
      </c>
      <c r="B1318" s="2" t="s">
        <v>252</v>
      </c>
      <c r="C1318" s="2" t="s">
        <v>1522</v>
      </c>
      <c r="D1318" s="716">
        <v>1</v>
      </c>
      <c r="E1318" s="4" t="s">
        <v>10</v>
      </c>
      <c r="F1318" s="47">
        <f t="shared" si="178"/>
        <v>0</v>
      </c>
      <c r="G1318" s="47">
        <f t="shared" si="178"/>
        <v>0</v>
      </c>
      <c r="H1318" s="47">
        <f t="shared" si="178"/>
        <v>0</v>
      </c>
      <c r="I1318" s="47">
        <f t="shared" si="178"/>
        <v>0</v>
      </c>
      <c r="J1318" s="47">
        <f t="shared" si="178"/>
        <v>0</v>
      </c>
      <c r="K1318" s="47">
        <v>0</v>
      </c>
      <c r="L1318" s="47">
        <v>0</v>
      </c>
      <c r="M1318" s="893"/>
    </row>
    <row r="1319" spans="1:13" hidden="1" outlineLevel="1" x14ac:dyDescent="0.2">
      <c r="A1319" s="22" t="s">
        <v>1502</v>
      </c>
      <c r="B1319" s="2" t="s">
        <v>252</v>
      </c>
      <c r="C1319" s="2" t="s">
        <v>1522</v>
      </c>
      <c r="D1319" s="716">
        <v>1</v>
      </c>
      <c r="E1319" s="4" t="s">
        <v>11</v>
      </c>
      <c r="F1319" s="47">
        <f t="shared" si="178"/>
        <v>0</v>
      </c>
      <c r="G1319" s="47">
        <f t="shared" si="178"/>
        <v>0</v>
      </c>
      <c r="H1319" s="47">
        <f t="shared" si="178"/>
        <v>0</v>
      </c>
      <c r="I1319" s="47">
        <f t="shared" si="178"/>
        <v>0</v>
      </c>
      <c r="J1319" s="47">
        <f t="shared" si="178"/>
        <v>0</v>
      </c>
      <c r="K1319" s="47">
        <v>0</v>
      </c>
      <c r="L1319" s="47">
        <v>0</v>
      </c>
      <c r="M1319" s="893"/>
    </row>
    <row r="1320" spans="1:13" hidden="1" outlineLevel="1" x14ac:dyDescent="0.2">
      <c r="A1320" s="22" t="s">
        <v>1502</v>
      </c>
      <c r="B1320" s="2" t="s">
        <v>252</v>
      </c>
      <c r="C1320" s="2" t="s">
        <v>1522</v>
      </c>
      <c r="D1320" s="716">
        <v>1</v>
      </c>
      <c r="E1320" s="4" t="s">
        <v>12</v>
      </c>
      <c r="F1320" s="47">
        <f t="shared" si="178"/>
        <v>0</v>
      </c>
      <c r="G1320" s="47">
        <f t="shared" si="178"/>
        <v>0</v>
      </c>
      <c r="H1320" s="47">
        <f t="shared" si="178"/>
        <v>0</v>
      </c>
      <c r="I1320" s="47">
        <f t="shared" si="178"/>
        <v>0</v>
      </c>
      <c r="J1320" s="47">
        <f t="shared" si="178"/>
        <v>0</v>
      </c>
      <c r="K1320" s="47">
        <v>0</v>
      </c>
      <c r="L1320" s="47">
        <v>0</v>
      </c>
      <c r="M1320" s="893"/>
    </row>
    <row r="1321" spans="1:13" hidden="1" outlineLevel="1" x14ac:dyDescent="0.2">
      <c r="A1321" s="22" t="s">
        <v>1502</v>
      </c>
      <c r="B1321" s="2" t="s">
        <v>252</v>
      </c>
      <c r="C1321" s="2" t="s">
        <v>1522</v>
      </c>
      <c r="D1321" s="716">
        <v>1</v>
      </c>
      <c r="E1321" s="4" t="s">
        <v>1</v>
      </c>
      <c r="F1321" s="47">
        <f t="shared" si="178"/>
        <v>0</v>
      </c>
      <c r="G1321" s="47">
        <f t="shared" si="178"/>
        <v>0</v>
      </c>
      <c r="H1321" s="47">
        <f t="shared" si="178"/>
        <v>0</v>
      </c>
      <c r="I1321" s="47">
        <f t="shared" si="178"/>
        <v>0</v>
      </c>
      <c r="J1321" s="47">
        <f t="shared" si="178"/>
        <v>0</v>
      </c>
      <c r="K1321" s="47">
        <v>0</v>
      </c>
      <c r="L1321" s="47">
        <v>0</v>
      </c>
      <c r="M1321" s="893"/>
    </row>
    <row r="1322" spans="1:13" hidden="1" outlineLevel="1" x14ac:dyDescent="0.2">
      <c r="A1322" s="22" t="s">
        <v>1502</v>
      </c>
      <c r="B1322" s="2" t="s">
        <v>252</v>
      </c>
      <c r="C1322" s="2" t="s">
        <v>1522</v>
      </c>
      <c r="D1322" s="716">
        <v>1</v>
      </c>
      <c r="E1322" s="4" t="s">
        <v>13</v>
      </c>
      <c r="F1322" s="47">
        <f t="shared" si="178"/>
        <v>0</v>
      </c>
      <c r="G1322" s="47">
        <f t="shared" si="178"/>
        <v>0</v>
      </c>
      <c r="H1322" s="47">
        <f t="shared" si="178"/>
        <v>0</v>
      </c>
      <c r="I1322" s="47">
        <f t="shared" si="178"/>
        <v>0</v>
      </c>
      <c r="J1322" s="47">
        <f t="shared" si="178"/>
        <v>0</v>
      </c>
      <c r="K1322" s="47">
        <v>0</v>
      </c>
      <c r="L1322" s="47">
        <v>0</v>
      </c>
      <c r="M1322" s="893"/>
    </row>
    <row r="1323" spans="1:13" hidden="1" outlineLevel="1" x14ac:dyDescent="0.2">
      <c r="A1323" s="22" t="s">
        <v>1502</v>
      </c>
      <c r="B1323" s="2" t="s">
        <v>252</v>
      </c>
      <c r="C1323" s="2" t="s">
        <v>1522</v>
      </c>
      <c r="D1323" s="716">
        <v>1</v>
      </c>
      <c r="E1323" s="4" t="s">
        <v>14</v>
      </c>
      <c r="F1323" s="47">
        <f t="shared" si="178"/>
        <v>0</v>
      </c>
      <c r="G1323" s="47">
        <f t="shared" si="178"/>
        <v>0</v>
      </c>
      <c r="H1323" s="47">
        <f t="shared" si="178"/>
        <v>0</v>
      </c>
      <c r="I1323" s="47">
        <f t="shared" si="178"/>
        <v>0</v>
      </c>
      <c r="J1323" s="47">
        <f t="shared" si="178"/>
        <v>0</v>
      </c>
      <c r="K1323" s="47">
        <v>0</v>
      </c>
      <c r="L1323" s="47">
        <v>0</v>
      </c>
      <c r="M1323" s="893"/>
    </row>
    <row r="1324" spans="1:13" hidden="1" outlineLevel="1" x14ac:dyDescent="0.2">
      <c r="A1324" s="22" t="s">
        <v>1502</v>
      </c>
      <c r="B1324" s="2" t="s">
        <v>252</v>
      </c>
      <c r="C1324" s="2" t="s">
        <v>1522</v>
      </c>
      <c r="D1324" s="716">
        <v>1</v>
      </c>
      <c r="E1324" s="4" t="s">
        <v>15</v>
      </c>
      <c r="F1324" s="47">
        <f t="shared" si="178"/>
        <v>0</v>
      </c>
      <c r="G1324" s="47">
        <f t="shared" si="178"/>
        <v>0</v>
      </c>
      <c r="H1324" s="47">
        <f t="shared" si="178"/>
        <v>0</v>
      </c>
      <c r="I1324" s="47">
        <f t="shared" ref="I1324:J1324" si="179">J1324</f>
        <v>0</v>
      </c>
      <c r="J1324" s="47">
        <f t="shared" si="179"/>
        <v>0</v>
      </c>
      <c r="K1324" s="47">
        <v>0</v>
      </c>
      <c r="L1324" s="47">
        <v>0</v>
      </c>
      <c r="M1324" s="893"/>
    </row>
    <row r="1325" spans="1:13" hidden="1" outlineLevel="1" x14ac:dyDescent="0.2">
      <c r="A1325" s="22" t="s">
        <v>1502</v>
      </c>
      <c r="B1325" s="2" t="s">
        <v>252</v>
      </c>
      <c r="C1325" s="2" t="s">
        <v>1522</v>
      </c>
      <c r="D1325" s="716">
        <v>1</v>
      </c>
      <c r="E1325" s="4" t="s">
        <v>16</v>
      </c>
      <c r="F1325" s="47">
        <f t="shared" si="178"/>
        <v>0</v>
      </c>
      <c r="G1325" s="47">
        <f t="shared" ref="G1325:J1325" si="180">H1325</f>
        <v>0</v>
      </c>
      <c r="H1325" s="47">
        <f t="shared" si="180"/>
        <v>0</v>
      </c>
      <c r="I1325" s="47">
        <f t="shared" si="180"/>
        <v>0</v>
      </c>
      <c r="J1325" s="47">
        <f t="shared" si="180"/>
        <v>0</v>
      </c>
      <c r="K1325" s="47">
        <v>0</v>
      </c>
      <c r="L1325" s="47">
        <v>0</v>
      </c>
      <c r="M1325" s="893"/>
    </row>
    <row r="1326" spans="1:13" hidden="1" outlineLevel="1" x14ac:dyDescent="0.2">
      <c r="A1326" s="22" t="s">
        <v>1502</v>
      </c>
      <c r="B1326" s="2" t="s">
        <v>252</v>
      </c>
      <c r="C1326" s="2" t="s">
        <v>1522</v>
      </c>
      <c r="D1326" s="716">
        <v>1</v>
      </c>
      <c r="E1326" s="4" t="s">
        <v>17</v>
      </c>
      <c r="F1326" s="47">
        <f t="shared" si="178"/>
        <v>0</v>
      </c>
      <c r="G1326" s="47">
        <f t="shared" ref="G1326:J1326" si="181">H1326</f>
        <v>0</v>
      </c>
      <c r="H1326" s="47">
        <f t="shared" si="181"/>
        <v>0</v>
      </c>
      <c r="I1326" s="47">
        <f t="shared" si="181"/>
        <v>0</v>
      </c>
      <c r="J1326" s="47">
        <f t="shared" si="181"/>
        <v>0</v>
      </c>
      <c r="K1326" s="47">
        <v>0</v>
      </c>
      <c r="L1326" s="47">
        <v>0</v>
      </c>
      <c r="M1326" s="893"/>
    </row>
    <row r="1327" spans="1:13" hidden="1" outlineLevel="1" x14ac:dyDescent="0.2">
      <c r="A1327" s="22" t="s">
        <v>1502</v>
      </c>
      <c r="B1327" s="2" t="s">
        <v>252</v>
      </c>
      <c r="C1327" s="2" t="s">
        <v>1522</v>
      </c>
      <c r="D1327" s="716">
        <v>1</v>
      </c>
      <c r="E1327" s="4" t="s">
        <v>18</v>
      </c>
      <c r="F1327" s="47">
        <f t="shared" si="178"/>
        <v>0</v>
      </c>
      <c r="G1327" s="47">
        <f t="shared" ref="G1327:J1327" si="182">H1327</f>
        <v>0</v>
      </c>
      <c r="H1327" s="47">
        <f t="shared" si="182"/>
        <v>0</v>
      </c>
      <c r="I1327" s="47">
        <f t="shared" si="182"/>
        <v>0</v>
      </c>
      <c r="J1327" s="47">
        <f t="shared" si="182"/>
        <v>0</v>
      </c>
      <c r="K1327" s="47">
        <v>0</v>
      </c>
      <c r="L1327" s="47">
        <v>0</v>
      </c>
      <c r="M1327" s="893"/>
    </row>
    <row r="1328" spans="1:13" hidden="1" outlineLevel="1" x14ac:dyDescent="0.2">
      <c r="A1328" s="22" t="s">
        <v>1502</v>
      </c>
      <c r="B1328" s="2" t="s">
        <v>252</v>
      </c>
      <c r="C1328" s="2" t="s">
        <v>1522</v>
      </c>
      <c r="D1328" s="716">
        <v>1</v>
      </c>
      <c r="E1328" s="4" t="s">
        <v>2</v>
      </c>
      <c r="F1328" s="47">
        <f t="shared" si="178"/>
        <v>0</v>
      </c>
      <c r="G1328" s="47">
        <f t="shared" ref="G1328:J1328" si="183">H1328</f>
        <v>0</v>
      </c>
      <c r="H1328" s="47">
        <f t="shared" si="183"/>
        <v>0</v>
      </c>
      <c r="I1328" s="47">
        <f t="shared" si="183"/>
        <v>0</v>
      </c>
      <c r="J1328" s="47">
        <f t="shared" si="183"/>
        <v>0</v>
      </c>
      <c r="K1328" s="47">
        <v>0</v>
      </c>
      <c r="L1328" s="47">
        <v>0</v>
      </c>
      <c r="M1328" s="893"/>
    </row>
    <row r="1329" spans="1:13" hidden="1" outlineLevel="1" x14ac:dyDescent="0.2">
      <c r="A1329" s="22" t="s">
        <v>1502</v>
      </c>
      <c r="B1329" s="2" t="s">
        <v>252</v>
      </c>
      <c r="C1329" s="2" t="s">
        <v>1522</v>
      </c>
      <c r="D1329" s="716">
        <v>1</v>
      </c>
      <c r="E1329" s="4" t="s">
        <v>19</v>
      </c>
      <c r="F1329" s="47">
        <f t="shared" ref="F1329:J1335" si="184">G1329</f>
        <v>0</v>
      </c>
      <c r="G1329" s="47">
        <f t="shared" si="184"/>
        <v>0</v>
      </c>
      <c r="H1329" s="47">
        <f t="shared" si="184"/>
        <v>0</v>
      </c>
      <c r="I1329" s="47">
        <f t="shared" si="184"/>
        <v>0</v>
      </c>
      <c r="J1329" s="47">
        <f t="shared" si="184"/>
        <v>0</v>
      </c>
      <c r="K1329" s="47">
        <v>0</v>
      </c>
      <c r="L1329" s="47">
        <v>0</v>
      </c>
      <c r="M1329" s="893"/>
    </row>
    <row r="1330" spans="1:13" hidden="1" outlineLevel="1" x14ac:dyDescent="0.2">
      <c r="A1330" s="22" t="s">
        <v>1502</v>
      </c>
      <c r="B1330" s="2" t="s">
        <v>252</v>
      </c>
      <c r="C1330" s="2" t="s">
        <v>1522</v>
      </c>
      <c r="D1330" s="716">
        <v>1</v>
      </c>
      <c r="E1330" s="4" t="s">
        <v>3</v>
      </c>
      <c r="F1330" s="47">
        <f t="shared" si="184"/>
        <v>0</v>
      </c>
      <c r="G1330" s="47">
        <f t="shared" si="184"/>
        <v>0</v>
      </c>
      <c r="H1330" s="47">
        <f t="shared" si="184"/>
        <v>0</v>
      </c>
      <c r="I1330" s="47">
        <f t="shared" si="184"/>
        <v>0</v>
      </c>
      <c r="J1330" s="47">
        <f t="shared" si="184"/>
        <v>0</v>
      </c>
      <c r="K1330" s="47">
        <v>0</v>
      </c>
      <c r="L1330" s="47">
        <v>0</v>
      </c>
      <c r="M1330" s="893"/>
    </row>
    <row r="1331" spans="1:13" hidden="1" outlineLevel="1" x14ac:dyDescent="0.2">
      <c r="A1331" s="22" t="s">
        <v>1502</v>
      </c>
      <c r="B1331" s="2" t="s">
        <v>252</v>
      </c>
      <c r="C1331" s="2" t="s">
        <v>1522</v>
      </c>
      <c r="D1331" s="716">
        <v>1</v>
      </c>
      <c r="E1331" s="4" t="s">
        <v>20</v>
      </c>
      <c r="F1331" s="47">
        <f t="shared" si="184"/>
        <v>0</v>
      </c>
      <c r="G1331" s="47">
        <f t="shared" si="184"/>
        <v>0</v>
      </c>
      <c r="H1331" s="47">
        <f t="shared" si="184"/>
        <v>0</v>
      </c>
      <c r="I1331" s="47">
        <f t="shared" si="184"/>
        <v>0</v>
      </c>
      <c r="J1331" s="47">
        <f t="shared" si="184"/>
        <v>0</v>
      </c>
      <c r="K1331" s="47">
        <v>0</v>
      </c>
      <c r="L1331" s="47">
        <v>0</v>
      </c>
      <c r="M1331" s="893"/>
    </row>
    <row r="1332" spans="1:13" hidden="1" outlineLevel="1" x14ac:dyDescent="0.2">
      <c r="A1332" s="22" t="s">
        <v>1502</v>
      </c>
      <c r="B1332" s="2" t="s">
        <v>252</v>
      </c>
      <c r="C1332" s="2" t="s">
        <v>1522</v>
      </c>
      <c r="D1332" s="716">
        <v>1</v>
      </c>
      <c r="E1332" s="4" t="s">
        <v>21</v>
      </c>
      <c r="F1332" s="47">
        <f t="shared" si="184"/>
        <v>0</v>
      </c>
      <c r="G1332" s="47">
        <f t="shared" si="184"/>
        <v>0</v>
      </c>
      <c r="H1332" s="47">
        <f t="shared" si="184"/>
        <v>0</v>
      </c>
      <c r="I1332" s="47">
        <f t="shared" si="184"/>
        <v>0</v>
      </c>
      <c r="J1332" s="47">
        <f t="shared" si="184"/>
        <v>0</v>
      </c>
      <c r="K1332" s="47">
        <v>0</v>
      </c>
      <c r="L1332" s="47">
        <v>0</v>
      </c>
      <c r="M1332" s="893"/>
    </row>
    <row r="1333" spans="1:13" hidden="1" outlineLevel="1" x14ac:dyDescent="0.2">
      <c r="A1333" s="22" t="s">
        <v>1502</v>
      </c>
      <c r="B1333" s="2" t="s">
        <v>252</v>
      </c>
      <c r="C1333" s="2" t="s">
        <v>1522</v>
      </c>
      <c r="D1333" s="716">
        <v>1</v>
      </c>
      <c r="E1333" s="4" t="s">
        <v>1096</v>
      </c>
      <c r="F1333" s="47">
        <f t="shared" si="184"/>
        <v>0</v>
      </c>
      <c r="G1333" s="47">
        <f t="shared" si="184"/>
        <v>0</v>
      </c>
      <c r="H1333" s="47">
        <f t="shared" si="184"/>
        <v>0</v>
      </c>
      <c r="I1333" s="47">
        <f t="shared" si="184"/>
        <v>0</v>
      </c>
      <c r="J1333" s="47">
        <f t="shared" si="184"/>
        <v>0</v>
      </c>
      <c r="K1333" s="47">
        <v>0</v>
      </c>
      <c r="L1333" s="47">
        <v>0</v>
      </c>
      <c r="M1333" s="893"/>
    </row>
    <row r="1334" spans="1:13" hidden="1" outlineLevel="1" x14ac:dyDescent="0.2">
      <c r="A1334" s="22" t="s">
        <v>1502</v>
      </c>
      <c r="B1334" s="2" t="s">
        <v>252</v>
      </c>
      <c r="C1334" s="2" t="s">
        <v>1522</v>
      </c>
      <c r="D1334" s="716">
        <v>1</v>
      </c>
      <c r="E1334" s="4" t="s">
        <v>22</v>
      </c>
      <c r="F1334" s="47">
        <f t="shared" si="184"/>
        <v>0</v>
      </c>
      <c r="G1334" s="47">
        <f t="shared" si="184"/>
        <v>0</v>
      </c>
      <c r="H1334" s="47">
        <f t="shared" si="184"/>
        <v>0</v>
      </c>
      <c r="I1334" s="47">
        <f t="shared" si="184"/>
        <v>0</v>
      </c>
      <c r="J1334" s="47">
        <f t="shared" si="184"/>
        <v>0</v>
      </c>
      <c r="K1334" s="47">
        <v>0</v>
      </c>
      <c r="L1334" s="47">
        <v>0</v>
      </c>
      <c r="M1334" s="893"/>
    </row>
    <row r="1335" spans="1:13" hidden="1" outlineLevel="1" x14ac:dyDescent="0.2">
      <c r="A1335" s="91" t="s">
        <v>1502</v>
      </c>
      <c r="B1335" s="3" t="s">
        <v>252</v>
      </c>
      <c r="C1335" s="3" t="s">
        <v>1522</v>
      </c>
      <c r="D1335" s="717">
        <v>1</v>
      </c>
      <c r="E1335" s="469" t="s">
        <v>23</v>
      </c>
      <c r="F1335" s="48">
        <f t="shared" si="184"/>
        <v>0</v>
      </c>
      <c r="G1335" s="48">
        <f t="shared" si="184"/>
        <v>0</v>
      </c>
      <c r="H1335" s="48">
        <f t="shared" si="184"/>
        <v>0</v>
      </c>
      <c r="I1335" s="48">
        <f t="shared" si="184"/>
        <v>0</v>
      </c>
      <c r="J1335" s="48">
        <f t="shared" si="184"/>
        <v>0</v>
      </c>
      <c r="K1335" s="363">
        <v>0</v>
      </c>
      <c r="L1335" s="363">
        <v>0</v>
      </c>
      <c r="M1335" s="920"/>
    </row>
    <row r="1336" spans="1:13" hidden="1" outlineLevel="1" x14ac:dyDescent="0.2">
      <c r="A1336" s="92" t="s">
        <v>1502</v>
      </c>
      <c r="B1336" s="81" t="s">
        <v>58</v>
      </c>
      <c r="C1336" s="81" t="s">
        <v>1225</v>
      </c>
      <c r="D1336" s="715">
        <v>1</v>
      </c>
      <c r="E1336" s="468" t="s">
        <v>4</v>
      </c>
      <c r="F1336" s="381">
        <f>SUMIFS(F$816:F$1335, $E$816:$E$1335, $E1336)</f>
        <v>6</v>
      </c>
      <c r="G1336" s="94">
        <f t="shared" ref="G1336:L1351" si="185">SUMIFS(G$816:G$1335, $E$816:$E$1335, $E1336)</f>
        <v>6</v>
      </c>
      <c r="H1336" s="94">
        <f t="shared" si="185"/>
        <v>6</v>
      </c>
      <c r="I1336" s="94">
        <f t="shared" si="185"/>
        <v>6</v>
      </c>
      <c r="J1336" s="94">
        <f t="shared" si="185"/>
        <v>6</v>
      </c>
      <c r="K1336" s="381">
        <f t="shared" si="185"/>
        <v>6</v>
      </c>
      <c r="L1336" s="381">
        <f t="shared" si="185"/>
        <v>8</v>
      </c>
      <c r="M1336" s="894"/>
    </row>
    <row r="1337" spans="1:13" hidden="1" outlineLevel="1" x14ac:dyDescent="0.2">
      <c r="A1337" s="22" t="s">
        <v>1502</v>
      </c>
      <c r="B1337" s="2" t="s">
        <v>58</v>
      </c>
      <c r="C1337" s="2" t="s">
        <v>1225</v>
      </c>
      <c r="D1337" s="716">
        <v>1</v>
      </c>
      <c r="E1337" s="4" t="s">
        <v>5</v>
      </c>
      <c r="F1337" s="74">
        <f t="shared" ref="F1337:L1352" si="186">SUMIFS(F$816:F$1335, $E$816:$E$1335, $E1337)</f>
        <v>2</v>
      </c>
      <c r="G1337" s="74">
        <f t="shared" si="185"/>
        <v>2</v>
      </c>
      <c r="H1337" s="74">
        <f t="shared" si="185"/>
        <v>2</v>
      </c>
      <c r="I1337" s="74">
        <f t="shared" si="185"/>
        <v>2</v>
      </c>
      <c r="J1337" s="74">
        <f t="shared" si="185"/>
        <v>2</v>
      </c>
      <c r="K1337" s="74">
        <f t="shared" si="185"/>
        <v>2</v>
      </c>
      <c r="L1337" s="74">
        <f t="shared" si="185"/>
        <v>2</v>
      </c>
      <c r="M1337" s="895"/>
    </row>
    <row r="1338" spans="1:13" hidden="1" outlineLevel="1" x14ac:dyDescent="0.2">
      <c r="A1338" s="22" t="s">
        <v>1502</v>
      </c>
      <c r="B1338" s="2" t="s">
        <v>58</v>
      </c>
      <c r="C1338" s="2" t="s">
        <v>1225</v>
      </c>
      <c r="D1338" s="716">
        <v>1</v>
      </c>
      <c r="E1338" s="4" t="s">
        <v>6</v>
      </c>
      <c r="F1338" s="74">
        <f t="shared" si="186"/>
        <v>3</v>
      </c>
      <c r="G1338" s="74">
        <f t="shared" si="185"/>
        <v>3</v>
      </c>
      <c r="H1338" s="74">
        <f t="shared" si="185"/>
        <v>3</v>
      </c>
      <c r="I1338" s="74">
        <f t="shared" si="185"/>
        <v>3</v>
      </c>
      <c r="J1338" s="74">
        <f t="shared" si="185"/>
        <v>3</v>
      </c>
      <c r="K1338" s="74">
        <f t="shared" si="185"/>
        <v>3</v>
      </c>
      <c r="L1338" s="74">
        <f t="shared" si="185"/>
        <v>3</v>
      </c>
      <c r="M1338" s="895"/>
    </row>
    <row r="1339" spans="1:13" hidden="1" outlineLevel="1" x14ac:dyDescent="0.2">
      <c r="A1339" s="22" t="s">
        <v>1502</v>
      </c>
      <c r="B1339" s="2" t="s">
        <v>58</v>
      </c>
      <c r="C1339" s="2" t="s">
        <v>1225</v>
      </c>
      <c r="D1339" s="716">
        <v>1</v>
      </c>
      <c r="E1339" s="4" t="s">
        <v>143</v>
      </c>
      <c r="F1339" s="74">
        <f t="shared" si="186"/>
        <v>0</v>
      </c>
      <c r="G1339" s="74">
        <f t="shared" si="185"/>
        <v>0</v>
      </c>
      <c r="H1339" s="74">
        <f t="shared" si="185"/>
        <v>0</v>
      </c>
      <c r="I1339" s="74">
        <f t="shared" si="185"/>
        <v>0</v>
      </c>
      <c r="J1339" s="74">
        <f t="shared" si="185"/>
        <v>0</v>
      </c>
      <c r="K1339" s="74">
        <f t="shared" si="185"/>
        <v>0</v>
      </c>
      <c r="L1339" s="74">
        <f t="shared" si="185"/>
        <v>1</v>
      </c>
      <c r="M1339" s="895"/>
    </row>
    <row r="1340" spans="1:13" hidden="1" outlineLevel="1" x14ac:dyDescent="0.2">
      <c r="A1340" s="22" t="s">
        <v>1502</v>
      </c>
      <c r="B1340" s="2" t="s">
        <v>58</v>
      </c>
      <c r="C1340" s="2" t="s">
        <v>1225</v>
      </c>
      <c r="D1340" s="716">
        <v>1</v>
      </c>
      <c r="E1340" s="4" t="s">
        <v>7</v>
      </c>
      <c r="F1340" s="74">
        <f t="shared" si="186"/>
        <v>1</v>
      </c>
      <c r="G1340" s="74">
        <f t="shared" si="185"/>
        <v>1</v>
      </c>
      <c r="H1340" s="74">
        <f t="shared" si="185"/>
        <v>1</v>
      </c>
      <c r="I1340" s="74">
        <f t="shared" si="185"/>
        <v>1</v>
      </c>
      <c r="J1340" s="74">
        <f t="shared" si="185"/>
        <v>1</v>
      </c>
      <c r="K1340" s="74">
        <f t="shared" si="185"/>
        <v>1</v>
      </c>
      <c r="L1340" s="74">
        <f t="shared" si="185"/>
        <v>1</v>
      </c>
      <c r="M1340" s="895"/>
    </row>
    <row r="1341" spans="1:13" hidden="1" outlineLevel="1" x14ac:dyDescent="0.2">
      <c r="A1341" s="22" t="s">
        <v>1502</v>
      </c>
      <c r="B1341" s="2" t="s">
        <v>58</v>
      </c>
      <c r="C1341" s="2" t="s">
        <v>1225</v>
      </c>
      <c r="D1341" s="716">
        <v>1</v>
      </c>
      <c r="E1341" s="4" t="s">
        <v>31</v>
      </c>
      <c r="F1341" s="74">
        <f t="shared" si="186"/>
        <v>16</v>
      </c>
      <c r="G1341" s="74">
        <f t="shared" si="185"/>
        <v>16</v>
      </c>
      <c r="H1341" s="74">
        <f t="shared" si="185"/>
        <v>16</v>
      </c>
      <c r="I1341" s="74">
        <f t="shared" si="185"/>
        <v>16</v>
      </c>
      <c r="J1341" s="74">
        <f t="shared" si="185"/>
        <v>16</v>
      </c>
      <c r="K1341" s="74">
        <f t="shared" si="185"/>
        <v>16</v>
      </c>
      <c r="L1341" s="74">
        <f t="shared" si="185"/>
        <v>18</v>
      </c>
      <c r="M1341" s="895"/>
    </row>
    <row r="1342" spans="1:13" hidden="1" outlineLevel="1" x14ac:dyDescent="0.2">
      <c r="A1342" s="22" t="s">
        <v>1502</v>
      </c>
      <c r="B1342" s="2" t="s">
        <v>58</v>
      </c>
      <c r="C1342" s="2" t="s">
        <v>1225</v>
      </c>
      <c r="D1342" s="716">
        <v>1</v>
      </c>
      <c r="E1342" s="4" t="s">
        <v>8</v>
      </c>
      <c r="F1342" s="74">
        <f t="shared" si="186"/>
        <v>8</v>
      </c>
      <c r="G1342" s="74">
        <f t="shared" si="185"/>
        <v>8</v>
      </c>
      <c r="H1342" s="74">
        <f t="shared" si="185"/>
        <v>8</v>
      </c>
      <c r="I1342" s="74">
        <f t="shared" si="185"/>
        <v>8</v>
      </c>
      <c r="J1342" s="74">
        <f t="shared" si="185"/>
        <v>8</v>
      </c>
      <c r="K1342" s="74">
        <f t="shared" si="185"/>
        <v>8</v>
      </c>
      <c r="L1342" s="74">
        <f t="shared" si="185"/>
        <v>12</v>
      </c>
      <c r="M1342" s="895"/>
    </row>
    <row r="1343" spans="1:13" hidden="1" outlineLevel="1" x14ac:dyDescent="0.2">
      <c r="A1343" s="22" t="s">
        <v>1502</v>
      </c>
      <c r="B1343" s="2" t="s">
        <v>58</v>
      </c>
      <c r="C1343" s="2" t="s">
        <v>1225</v>
      </c>
      <c r="D1343" s="716">
        <v>1</v>
      </c>
      <c r="E1343" s="4" t="s">
        <v>9</v>
      </c>
      <c r="F1343" s="74">
        <f t="shared" si="186"/>
        <v>4</v>
      </c>
      <c r="G1343" s="74">
        <f t="shared" si="185"/>
        <v>4</v>
      </c>
      <c r="H1343" s="74">
        <f t="shared" si="185"/>
        <v>4</v>
      </c>
      <c r="I1343" s="74">
        <f t="shared" si="185"/>
        <v>4</v>
      </c>
      <c r="J1343" s="74">
        <f t="shared" si="185"/>
        <v>4</v>
      </c>
      <c r="K1343" s="74">
        <f t="shared" si="185"/>
        <v>4</v>
      </c>
      <c r="L1343" s="74">
        <f t="shared" si="185"/>
        <v>5</v>
      </c>
      <c r="M1343" s="895"/>
    </row>
    <row r="1344" spans="1:13" hidden="1" outlineLevel="1" x14ac:dyDescent="0.2">
      <c r="A1344" s="22" t="s">
        <v>1502</v>
      </c>
      <c r="B1344" s="2" t="s">
        <v>58</v>
      </c>
      <c r="C1344" s="2" t="s">
        <v>1225</v>
      </c>
      <c r="D1344" s="716">
        <v>1</v>
      </c>
      <c r="E1344" s="4" t="s">
        <v>10</v>
      </c>
      <c r="F1344" s="74">
        <f t="shared" si="186"/>
        <v>5</v>
      </c>
      <c r="G1344" s="74">
        <f t="shared" si="185"/>
        <v>5</v>
      </c>
      <c r="H1344" s="74">
        <f t="shared" si="185"/>
        <v>5</v>
      </c>
      <c r="I1344" s="74">
        <f t="shared" si="185"/>
        <v>5</v>
      </c>
      <c r="J1344" s="74">
        <f t="shared" si="185"/>
        <v>5</v>
      </c>
      <c r="K1344" s="74">
        <f t="shared" si="185"/>
        <v>5</v>
      </c>
      <c r="L1344" s="74">
        <f t="shared" si="185"/>
        <v>5</v>
      </c>
      <c r="M1344" s="895"/>
    </row>
    <row r="1345" spans="1:13" hidden="1" outlineLevel="1" x14ac:dyDescent="0.2">
      <c r="A1345" s="22" t="s">
        <v>1502</v>
      </c>
      <c r="B1345" s="2" t="s">
        <v>58</v>
      </c>
      <c r="C1345" s="2" t="s">
        <v>1225</v>
      </c>
      <c r="D1345" s="716">
        <v>1</v>
      </c>
      <c r="E1345" s="4" t="s">
        <v>11</v>
      </c>
      <c r="F1345" s="74">
        <f t="shared" si="186"/>
        <v>0</v>
      </c>
      <c r="G1345" s="74">
        <f t="shared" si="185"/>
        <v>0</v>
      </c>
      <c r="H1345" s="74">
        <f t="shared" si="185"/>
        <v>0</v>
      </c>
      <c r="I1345" s="74">
        <f t="shared" si="185"/>
        <v>0</v>
      </c>
      <c r="J1345" s="74">
        <f t="shared" si="185"/>
        <v>0</v>
      </c>
      <c r="K1345" s="74">
        <f t="shared" si="185"/>
        <v>0</v>
      </c>
      <c r="L1345" s="74">
        <f t="shared" si="185"/>
        <v>1</v>
      </c>
      <c r="M1345" s="895"/>
    </row>
    <row r="1346" spans="1:13" hidden="1" outlineLevel="1" x14ac:dyDescent="0.2">
      <c r="A1346" s="22" t="s">
        <v>1502</v>
      </c>
      <c r="B1346" s="2" t="s">
        <v>58</v>
      </c>
      <c r="C1346" s="2" t="s">
        <v>1225</v>
      </c>
      <c r="D1346" s="716">
        <v>1</v>
      </c>
      <c r="E1346" s="4" t="s">
        <v>12</v>
      </c>
      <c r="F1346" s="74">
        <f t="shared" si="186"/>
        <v>0</v>
      </c>
      <c r="G1346" s="74">
        <f t="shared" si="185"/>
        <v>0</v>
      </c>
      <c r="H1346" s="74">
        <f t="shared" si="185"/>
        <v>0</v>
      </c>
      <c r="I1346" s="74">
        <f t="shared" si="185"/>
        <v>0</v>
      </c>
      <c r="J1346" s="74">
        <f t="shared" si="185"/>
        <v>0</v>
      </c>
      <c r="K1346" s="74">
        <f t="shared" si="185"/>
        <v>0</v>
      </c>
      <c r="L1346" s="74">
        <f t="shared" si="185"/>
        <v>2</v>
      </c>
      <c r="M1346" s="895"/>
    </row>
    <row r="1347" spans="1:13" hidden="1" outlineLevel="1" x14ac:dyDescent="0.2">
      <c r="A1347" s="22" t="s">
        <v>1502</v>
      </c>
      <c r="B1347" s="2" t="s">
        <v>58</v>
      </c>
      <c r="C1347" s="2" t="s">
        <v>1225</v>
      </c>
      <c r="D1347" s="716">
        <v>1</v>
      </c>
      <c r="E1347" s="4" t="s">
        <v>1</v>
      </c>
      <c r="F1347" s="74">
        <f t="shared" si="186"/>
        <v>2</v>
      </c>
      <c r="G1347" s="74">
        <f t="shared" si="185"/>
        <v>2</v>
      </c>
      <c r="H1347" s="74">
        <f t="shared" si="185"/>
        <v>2</v>
      </c>
      <c r="I1347" s="74">
        <f t="shared" si="185"/>
        <v>2</v>
      </c>
      <c r="J1347" s="74">
        <f t="shared" si="185"/>
        <v>2</v>
      </c>
      <c r="K1347" s="74">
        <f t="shared" si="185"/>
        <v>2</v>
      </c>
      <c r="L1347" s="74">
        <f t="shared" si="185"/>
        <v>2</v>
      </c>
      <c r="M1347" s="895"/>
    </row>
    <row r="1348" spans="1:13" hidden="1" outlineLevel="1" x14ac:dyDescent="0.2">
      <c r="A1348" s="22" t="s">
        <v>1502</v>
      </c>
      <c r="B1348" s="2" t="s">
        <v>58</v>
      </c>
      <c r="C1348" s="2" t="s">
        <v>1225</v>
      </c>
      <c r="D1348" s="716">
        <v>1</v>
      </c>
      <c r="E1348" s="4" t="s">
        <v>13</v>
      </c>
      <c r="F1348" s="74">
        <f t="shared" si="186"/>
        <v>1</v>
      </c>
      <c r="G1348" s="74">
        <f t="shared" si="185"/>
        <v>1</v>
      </c>
      <c r="H1348" s="74">
        <f t="shared" si="185"/>
        <v>1</v>
      </c>
      <c r="I1348" s="74">
        <f t="shared" si="185"/>
        <v>1</v>
      </c>
      <c r="J1348" s="74">
        <f t="shared" si="185"/>
        <v>1</v>
      </c>
      <c r="K1348" s="74">
        <f t="shared" si="185"/>
        <v>1</v>
      </c>
      <c r="L1348" s="74">
        <f t="shared" si="185"/>
        <v>2</v>
      </c>
      <c r="M1348" s="895"/>
    </row>
    <row r="1349" spans="1:13" hidden="1" outlineLevel="1" x14ac:dyDescent="0.2">
      <c r="A1349" s="22" t="s">
        <v>1502</v>
      </c>
      <c r="B1349" s="2" t="s">
        <v>58</v>
      </c>
      <c r="C1349" s="2" t="s">
        <v>1225</v>
      </c>
      <c r="D1349" s="716">
        <v>1</v>
      </c>
      <c r="E1349" s="4" t="s">
        <v>14</v>
      </c>
      <c r="F1349" s="74">
        <f t="shared" si="186"/>
        <v>1</v>
      </c>
      <c r="G1349" s="74">
        <f t="shared" si="185"/>
        <v>1</v>
      </c>
      <c r="H1349" s="74">
        <f t="shared" si="185"/>
        <v>1</v>
      </c>
      <c r="I1349" s="74">
        <f t="shared" si="185"/>
        <v>1</v>
      </c>
      <c r="J1349" s="74">
        <f t="shared" si="185"/>
        <v>1</v>
      </c>
      <c r="K1349" s="74">
        <f t="shared" si="185"/>
        <v>1</v>
      </c>
      <c r="L1349" s="74">
        <f t="shared" si="185"/>
        <v>1</v>
      </c>
      <c r="M1349" s="895"/>
    </row>
    <row r="1350" spans="1:13" hidden="1" outlineLevel="1" x14ac:dyDescent="0.2">
      <c r="A1350" s="22" t="s">
        <v>1502</v>
      </c>
      <c r="B1350" s="2" t="s">
        <v>58</v>
      </c>
      <c r="C1350" s="2" t="s">
        <v>1225</v>
      </c>
      <c r="D1350" s="716">
        <v>1</v>
      </c>
      <c r="E1350" s="4" t="s">
        <v>15</v>
      </c>
      <c r="F1350" s="74">
        <f t="shared" si="186"/>
        <v>1</v>
      </c>
      <c r="G1350" s="74">
        <f t="shared" si="185"/>
        <v>1</v>
      </c>
      <c r="H1350" s="74">
        <f t="shared" si="185"/>
        <v>1</v>
      </c>
      <c r="I1350" s="74">
        <f t="shared" si="185"/>
        <v>1</v>
      </c>
      <c r="J1350" s="74">
        <f t="shared" si="185"/>
        <v>1</v>
      </c>
      <c r="K1350" s="74">
        <f t="shared" si="185"/>
        <v>1</v>
      </c>
      <c r="L1350" s="74">
        <f t="shared" si="185"/>
        <v>1</v>
      </c>
      <c r="M1350" s="895"/>
    </row>
    <row r="1351" spans="1:13" hidden="1" outlineLevel="1" x14ac:dyDescent="0.2">
      <c r="A1351" s="22" t="s">
        <v>1502</v>
      </c>
      <c r="B1351" s="2" t="s">
        <v>58</v>
      </c>
      <c r="C1351" s="2" t="s">
        <v>1225</v>
      </c>
      <c r="D1351" s="716">
        <v>1</v>
      </c>
      <c r="E1351" s="4" t="s">
        <v>16</v>
      </c>
      <c r="F1351" s="74">
        <f t="shared" si="186"/>
        <v>0</v>
      </c>
      <c r="G1351" s="74">
        <f t="shared" si="185"/>
        <v>0</v>
      </c>
      <c r="H1351" s="74">
        <f t="shared" si="185"/>
        <v>0</v>
      </c>
      <c r="I1351" s="74">
        <f t="shared" si="185"/>
        <v>0</v>
      </c>
      <c r="J1351" s="74">
        <f t="shared" si="185"/>
        <v>0</v>
      </c>
      <c r="K1351" s="74">
        <f t="shared" si="185"/>
        <v>0</v>
      </c>
      <c r="L1351" s="74">
        <f t="shared" si="185"/>
        <v>1</v>
      </c>
      <c r="M1351" s="895"/>
    </row>
    <row r="1352" spans="1:13" hidden="1" outlineLevel="1" x14ac:dyDescent="0.2">
      <c r="A1352" s="22" t="s">
        <v>1502</v>
      </c>
      <c r="B1352" s="2" t="s">
        <v>58</v>
      </c>
      <c r="C1352" s="2" t="s">
        <v>1225</v>
      </c>
      <c r="D1352" s="716">
        <v>1</v>
      </c>
      <c r="E1352" s="4" t="s">
        <v>17</v>
      </c>
      <c r="F1352" s="74">
        <f t="shared" si="186"/>
        <v>1</v>
      </c>
      <c r="G1352" s="74">
        <f t="shared" si="186"/>
        <v>1</v>
      </c>
      <c r="H1352" s="74">
        <f t="shared" si="186"/>
        <v>1</v>
      </c>
      <c r="I1352" s="74">
        <f t="shared" si="186"/>
        <v>1</v>
      </c>
      <c r="J1352" s="74">
        <f t="shared" si="186"/>
        <v>1</v>
      </c>
      <c r="K1352" s="74">
        <f t="shared" si="186"/>
        <v>1</v>
      </c>
      <c r="L1352" s="74">
        <f t="shared" si="186"/>
        <v>1</v>
      </c>
      <c r="M1352" s="895"/>
    </row>
    <row r="1353" spans="1:13" hidden="1" outlineLevel="1" x14ac:dyDescent="0.2">
      <c r="A1353" s="22" t="s">
        <v>1502</v>
      </c>
      <c r="B1353" s="2" t="s">
        <v>58</v>
      </c>
      <c r="C1353" s="2" t="s">
        <v>1225</v>
      </c>
      <c r="D1353" s="716">
        <v>1</v>
      </c>
      <c r="E1353" s="4" t="s">
        <v>18</v>
      </c>
      <c r="F1353" s="74">
        <f t="shared" ref="F1353:L1361" si="187">SUMIFS(F$816:F$1335, $E$816:$E$1335, $E1353)</f>
        <v>7</v>
      </c>
      <c r="G1353" s="74">
        <f t="shared" si="187"/>
        <v>7</v>
      </c>
      <c r="H1353" s="74">
        <f t="shared" si="187"/>
        <v>7</v>
      </c>
      <c r="I1353" s="74">
        <f t="shared" si="187"/>
        <v>7</v>
      </c>
      <c r="J1353" s="74">
        <f t="shared" si="187"/>
        <v>7</v>
      </c>
      <c r="K1353" s="74">
        <f t="shared" si="187"/>
        <v>7</v>
      </c>
      <c r="L1353" s="74">
        <f t="shared" si="187"/>
        <v>12</v>
      </c>
      <c r="M1353" s="895"/>
    </row>
    <row r="1354" spans="1:13" hidden="1" outlineLevel="1" x14ac:dyDescent="0.2">
      <c r="A1354" s="22" t="s">
        <v>1502</v>
      </c>
      <c r="B1354" s="2" t="s">
        <v>58</v>
      </c>
      <c r="C1354" s="2" t="s">
        <v>1225</v>
      </c>
      <c r="D1354" s="716">
        <v>1</v>
      </c>
      <c r="E1354" s="4" t="s">
        <v>2</v>
      </c>
      <c r="F1354" s="74">
        <f t="shared" si="187"/>
        <v>0</v>
      </c>
      <c r="G1354" s="74">
        <f t="shared" si="187"/>
        <v>0</v>
      </c>
      <c r="H1354" s="74">
        <f t="shared" si="187"/>
        <v>0</v>
      </c>
      <c r="I1354" s="74">
        <f t="shared" si="187"/>
        <v>0</v>
      </c>
      <c r="J1354" s="74">
        <f t="shared" si="187"/>
        <v>0</v>
      </c>
      <c r="K1354" s="74">
        <f t="shared" si="187"/>
        <v>0</v>
      </c>
      <c r="L1354" s="74">
        <f t="shared" si="187"/>
        <v>0</v>
      </c>
      <c r="M1354" s="895"/>
    </row>
    <row r="1355" spans="1:13" hidden="1" outlineLevel="1" x14ac:dyDescent="0.2">
      <c r="A1355" s="22" t="s">
        <v>1502</v>
      </c>
      <c r="B1355" s="2" t="s">
        <v>58</v>
      </c>
      <c r="C1355" s="2" t="s">
        <v>1225</v>
      </c>
      <c r="D1355" s="716">
        <v>1</v>
      </c>
      <c r="E1355" s="4" t="s">
        <v>19</v>
      </c>
      <c r="F1355" s="74">
        <f t="shared" si="187"/>
        <v>3</v>
      </c>
      <c r="G1355" s="74">
        <f t="shared" si="187"/>
        <v>3</v>
      </c>
      <c r="H1355" s="74">
        <f t="shared" si="187"/>
        <v>3</v>
      </c>
      <c r="I1355" s="74">
        <f t="shared" si="187"/>
        <v>3</v>
      </c>
      <c r="J1355" s="74">
        <f t="shared" si="187"/>
        <v>3</v>
      </c>
      <c r="K1355" s="74">
        <f t="shared" si="187"/>
        <v>3</v>
      </c>
      <c r="L1355" s="74">
        <f t="shared" si="187"/>
        <v>3</v>
      </c>
      <c r="M1355" s="895"/>
    </row>
    <row r="1356" spans="1:13" hidden="1" outlineLevel="1" x14ac:dyDescent="0.2">
      <c r="A1356" s="22" t="s">
        <v>1502</v>
      </c>
      <c r="B1356" s="2" t="s">
        <v>58</v>
      </c>
      <c r="C1356" s="2" t="s">
        <v>1225</v>
      </c>
      <c r="D1356" s="716">
        <v>1</v>
      </c>
      <c r="E1356" s="4" t="s">
        <v>3</v>
      </c>
      <c r="F1356" s="74">
        <f t="shared" si="187"/>
        <v>0</v>
      </c>
      <c r="G1356" s="74">
        <f t="shared" si="187"/>
        <v>0</v>
      </c>
      <c r="H1356" s="74">
        <f t="shared" si="187"/>
        <v>0</v>
      </c>
      <c r="I1356" s="74">
        <f t="shared" si="187"/>
        <v>0</v>
      </c>
      <c r="J1356" s="74">
        <f t="shared" si="187"/>
        <v>0</v>
      </c>
      <c r="K1356" s="74">
        <f t="shared" si="187"/>
        <v>0</v>
      </c>
      <c r="L1356" s="74">
        <f t="shared" si="187"/>
        <v>0</v>
      </c>
      <c r="M1356" s="895"/>
    </row>
    <row r="1357" spans="1:13" hidden="1" outlineLevel="1" x14ac:dyDescent="0.2">
      <c r="A1357" s="22" t="s">
        <v>1502</v>
      </c>
      <c r="B1357" s="2" t="s">
        <v>58</v>
      </c>
      <c r="C1357" s="2" t="s">
        <v>1225</v>
      </c>
      <c r="D1357" s="716">
        <v>1</v>
      </c>
      <c r="E1357" s="4" t="s">
        <v>20</v>
      </c>
      <c r="F1357" s="74">
        <f t="shared" si="187"/>
        <v>5</v>
      </c>
      <c r="G1357" s="74">
        <f t="shared" si="187"/>
        <v>5</v>
      </c>
      <c r="H1357" s="74">
        <f t="shared" si="187"/>
        <v>5</v>
      </c>
      <c r="I1357" s="74">
        <f t="shared" si="187"/>
        <v>5</v>
      </c>
      <c r="J1357" s="74">
        <f t="shared" si="187"/>
        <v>5</v>
      </c>
      <c r="K1357" s="74">
        <f t="shared" si="187"/>
        <v>5</v>
      </c>
      <c r="L1357" s="74">
        <f t="shared" si="187"/>
        <v>9</v>
      </c>
      <c r="M1357" s="895"/>
    </row>
    <row r="1358" spans="1:13" hidden="1" outlineLevel="1" x14ac:dyDescent="0.2">
      <c r="A1358" s="22" t="s">
        <v>1502</v>
      </c>
      <c r="B1358" s="2" t="s">
        <v>58</v>
      </c>
      <c r="C1358" s="2" t="s">
        <v>1225</v>
      </c>
      <c r="D1358" s="716">
        <v>1</v>
      </c>
      <c r="E1358" s="4" t="s">
        <v>21</v>
      </c>
      <c r="F1358" s="74">
        <f t="shared" si="187"/>
        <v>0</v>
      </c>
      <c r="G1358" s="74">
        <f t="shared" si="187"/>
        <v>0</v>
      </c>
      <c r="H1358" s="74">
        <f t="shared" si="187"/>
        <v>0</v>
      </c>
      <c r="I1358" s="74">
        <f t="shared" si="187"/>
        <v>0</v>
      </c>
      <c r="J1358" s="74">
        <f t="shared" si="187"/>
        <v>0</v>
      </c>
      <c r="K1358" s="74">
        <f t="shared" si="187"/>
        <v>0</v>
      </c>
      <c r="L1358" s="74">
        <f t="shared" si="187"/>
        <v>0</v>
      </c>
      <c r="M1358" s="895"/>
    </row>
    <row r="1359" spans="1:13" hidden="1" outlineLevel="1" x14ac:dyDescent="0.2">
      <c r="A1359" s="22" t="s">
        <v>1502</v>
      </c>
      <c r="B1359" s="2" t="s">
        <v>58</v>
      </c>
      <c r="C1359" s="2" t="s">
        <v>1225</v>
      </c>
      <c r="D1359" s="716">
        <v>1</v>
      </c>
      <c r="E1359" s="4" t="s">
        <v>1096</v>
      </c>
      <c r="F1359" s="74">
        <f t="shared" si="187"/>
        <v>0</v>
      </c>
      <c r="G1359" s="74">
        <f t="shared" si="187"/>
        <v>0</v>
      </c>
      <c r="H1359" s="74">
        <f t="shared" si="187"/>
        <v>0</v>
      </c>
      <c r="I1359" s="74">
        <f t="shared" si="187"/>
        <v>0</v>
      </c>
      <c r="J1359" s="74">
        <f t="shared" si="187"/>
        <v>0</v>
      </c>
      <c r="K1359" s="74">
        <f t="shared" si="187"/>
        <v>0</v>
      </c>
      <c r="L1359" s="74">
        <f t="shared" si="187"/>
        <v>5</v>
      </c>
      <c r="M1359" s="895"/>
    </row>
    <row r="1360" spans="1:13" hidden="1" outlineLevel="1" x14ac:dyDescent="0.2">
      <c r="A1360" s="22" t="s">
        <v>1502</v>
      </c>
      <c r="B1360" s="2" t="s">
        <v>58</v>
      </c>
      <c r="C1360" s="2" t="s">
        <v>1225</v>
      </c>
      <c r="D1360" s="716">
        <v>1</v>
      </c>
      <c r="E1360" s="4" t="s">
        <v>22</v>
      </c>
      <c r="F1360" s="74">
        <f t="shared" si="187"/>
        <v>3</v>
      </c>
      <c r="G1360" s="74">
        <f t="shared" si="187"/>
        <v>3</v>
      </c>
      <c r="H1360" s="74">
        <f t="shared" si="187"/>
        <v>3</v>
      </c>
      <c r="I1360" s="74">
        <f t="shared" si="187"/>
        <v>3</v>
      </c>
      <c r="J1360" s="74">
        <f t="shared" si="187"/>
        <v>3</v>
      </c>
      <c r="K1360" s="74">
        <f t="shared" si="187"/>
        <v>3</v>
      </c>
      <c r="L1360" s="74">
        <f t="shared" si="187"/>
        <v>4</v>
      </c>
      <c r="M1360" s="895"/>
    </row>
    <row r="1361" spans="1:13" hidden="1" outlineLevel="1" x14ac:dyDescent="0.2">
      <c r="A1361" s="22" t="s">
        <v>1502</v>
      </c>
      <c r="B1361" s="2" t="s">
        <v>58</v>
      </c>
      <c r="C1361" s="2" t="s">
        <v>1225</v>
      </c>
      <c r="D1361" s="903">
        <v>1</v>
      </c>
      <c r="E1361" s="4" t="s">
        <v>23</v>
      </c>
      <c r="F1361" s="74">
        <f t="shared" si="187"/>
        <v>2</v>
      </c>
      <c r="G1361" s="74">
        <f t="shared" si="187"/>
        <v>2</v>
      </c>
      <c r="H1361" s="74">
        <f t="shared" si="187"/>
        <v>2</v>
      </c>
      <c r="I1361" s="74">
        <f t="shared" si="187"/>
        <v>2</v>
      </c>
      <c r="J1361" s="74">
        <f t="shared" si="187"/>
        <v>2</v>
      </c>
      <c r="K1361" s="74">
        <f t="shared" si="187"/>
        <v>2</v>
      </c>
      <c r="L1361" s="74">
        <f t="shared" si="187"/>
        <v>2</v>
      </c>
      <c r="M1361" s="895"/>
    </row>
    <row r="1362" spans="1:13" collapsed="1" x14ac:dyDescent="0.2">
      <c r="A1362" s="909" t="s">
        <v>1238</v>
      </c>
      <c r="B1362" s="910"/>
      <c r="C1362" s="910"/>
      <c r="D1362" s="911"/>
      <c r="E1362" s="910"/>
      <c r="F1362" s="912"/>
      <c r="G1362" s="912"/>
      <c r="H1362" s="912"/>
      <c r="I1362" s="912"/>
      <c r="J1362" s="912"/>
      <c r="K1362" s="912"/>
      <c r="L1362" s="912"/>
      <c r="M1362" s="891"/>
    </row>
    <row r="1363" spans="1:13" hidden="1" outlineLevel="1" x14ac:dyDescent="0.2">
      <c r="A1363" s="22" t="s">
        <v>1238</v>
      </c>
      <c r="B1363" s="2" t="s">
        <v>1540</v>
      </c>
      <c r="C1363" s="2" t="s">
        <v>1543</v>
      </c>
      <c r="D1363" s="917">
        <f t="shared" ref="D1363:D1427" si="188">IF(C1363="","",IF(OR(C1363="Wind",C1363="Solar",C1363="Geothermal",C1363="Small Hydro",C1363="Biofuels",C1363="Biomass &amp; Waste"), 1, 0))</f>
        <v>0</v>
      </c>
      <c r="E1363" s="4" t="s">
        <v>4</v>
      </c>
      <c r="F1363" s="47">
        <f t="shared" ref="F1363:I1363" si="189">G1363</f>
        <v>0.8</v>
      </c>
      <c r="G1363" s="47">
        <f t="shared" si="189"/>
        <v>0.8</v>
      </c>
      <c r="H1363" s="47">
        <f t="shared" si="189"/>
        <v>0.8</v>
      </c>
      <c r="I1363" s="47">
        <f t="shared" si="189"/>
        <v>0.8</v>
      </c>
      <c r="J1363" s="47">
        <f t="shared" ref="J1363:J1394" si="190">L1363</f>
        <v>0.8</v>
      </c>
      <c r="K1363" s="47">
        <v>0.8</v>
      </c>
      <c r="L1363" s="47">
        <v>0.8</v>
      </c>
      <c r="M1363" s="893"/>
    </row>
    <row r="1364" spans="1:13" hidden="1" outlineLevel="1" x14ac:dyDescent="0.2">
      <c r="A1364" s="22" t="s">
        <v>1238</v>
      </c>
      <c r="B1364" s="2" t="s">
        <v>1540</v>
      </c>
      <c r="C1364" s="2" t="s">
        <v>1543</v>
      </c>
      <c r="D1364" s="710">
        <f t="shared" si="188"/>
        <v>0</v>
      </c>
      <c r="E1364" s="4" t="s">
        <v>5</v>
      </c>
      <c r="F1364" s="47">
        <f t="shared" ref="F1364:I1364" si="191">G1364</f>
        <v>0</v>
      </c>
      <c r="G1364" s="47">
        <f t="shared" si="191"/>
        <v>0</v>
      </c>
      <c r="H1364" s="47">
        <f t="shared" si="191"/>
        <v>0</v>
      </c>
      <c r="I1364" s="47">
        <f t="shared" si="191"/>
        <v>0</v>
      </c>
      <c r="J1364" s="47">
        <f t="shared" si="190"/>
        <v>0</v>
      </c>
      <c r="K1364" s="47">
        <v>0</v>
      </c>
      <c r="L1364" s="47">
        <v>0</v>
      </c>
      <c r="M1364" s="893"/>
    </row>
    <row r="1365" spans="1:13" hidden="1" outlineLevel="1" x14ac:dyDescent="0.2">
      <c r="A1365" s="22" t="s">
        <v>1238</v>
      </c>
      <c r="B1365" s="2" t="s">
        <v>1540</v>
      </c>
      <c r="C1365" s="2" t="s">
        <v>1543</v>
      </c>
      <c r="D1365" s="710">
        <f t="shared" si="188"/>
        <v>0</v>
      </c>
      <c r="E1365" s="4" t="s">
        <v>6</v>
      </c>
      <c r="F1365" s="47">
        <f t="shared" ref="F1365:I1365" si="192">G1365</f>
        <v>0</v>
      </c>
      <c r="G1365" s="47">
        <f t="shared" si="192"/>
        <v>0</v>
      </c>
      <c r="H1365" s="47">
        <f t="shared" si="192"/>
        <v>0</v>
      </c>
      <c r="I1365" s="47">
        <f t="shared" si="192"/>
        <v>0</v>
      </c>
      <c r="J1365" s="47">
        <f t="shared" si="190"/>
        <v>0</v>
      </c>
      <c r="K1365" s="47">
        <v>0</v>
      </c>
      <c r="L1365" s="47">
        <v>0</v>
      </c>
      <c r="M1365" s="893"/>
    </row>
    <row r="1366" spans="1:13" hidden="1" outlineLevel="1" x14ac:dyDescent="0.2">
      <c r="A1366" s="22" t="s">
        <v>1238</v>
      </c>
      <c r="B1366" s="2" t="s">
        <v>1540</v>
      </c>
      <c r="C1366" s="2" t="s">
        <v>1543</v>
      </c>
      <c r="D1366" s="710">
        <f t="shared" si="188"/>
        <v>0</v>
      </c>
      <c r="E1366" s="4" t="s">
        <v>143</v>
      </c>
      <c r="F1366" s="47">
        <f t="shared" ref="F1366:I1366" si="193">G1366</f>
        <v>0</v>
      </c>
      <c r="G1366" s="47">
        <f t="shared" si="193"/>
        <v>0</v>
      </c>
      <c r="H1366" s="47">
        <f t="shared" si="193"/>
        <v>0</v>
      </c>
      <c r="I1366" s="47">
        <f t="shared" si="193"/>
        <v>0</v>
      </c>
      <c r="J1366" s="47">
        <f t="shared" si="190"/>
        <v>0</v>
      </c>
      <c r="K1366" s="47">
        <v>0</v>
      </c>
      <c r="L1366" s="47">
        <v>0</v>
      </c>
      <c r="M1366" s="893"/>
    </row>
    <row r="1367" spans="1:13" hidden="1" outlineLevel="1" x14ac:dyDescent="0.2">
      <c r="A1367" s="22" t="s">
        <v>1238</v>
      </c>
      <c r="B1367" s="2" t="s">
        <v>1540</v>
      </c>
      <c r="C1367" s="2" t="s">
        <v>1543</v>
      </c>
      <c r="D1367" s="710">
        <f t="shared" si="188"/>
        <v>0</v>
      </c>
      <c r="E1367" s="4" t="s">
        <v>7</v>
      </c>
      <c r="F1367" s="47">
        <f t="shared" ref="F1367:I1367" si="194">G1367</f>
        <v>43.5</v>
      </c>
      <c r="G1367" s="47">
        <f t="shared" si="194"/>
        <v>43.5</v>
      </c>
      <c r="H1367" s="47">
        <f t="shared" si="194"/>
        <v>43.5</v>
      </c>
      <c r="I1367" s="47">
        <f t="shared" si="194"/>
        <v>43.5</v>
      </c>
      <c r="J1367" s="47">
        <f t="shared" si="190"/>
        <v>43.5</v>
      </c>
      <c r="K1367" s="47">
        <v>43.5</v>
      </c>
      <c r="L1367" s="47">
        <v>43.5</v>
      </c>
      <c r="M1367" s="893"/>
    </row>
    <row r="1368" spans="1:13" hidden="1" outlineLevel="1" x14ac:dyDescent="0.2">
      <c r="A1368" s="22" t="s">
        <v>1238</v>
      </c>
      <c r="B1368" s="2" t="s">
        <v>1540</v>
      </c>
      <c r="C1368" s="2" t="s">
        <v>1543</v>
      </c>
      <c r="D1368" s="710">
        <f t="shared" si="188"/>
        <v>0</v>
      </c>
      <c r="E1368" s="4" t="s">
        <v>31</v>
      </c>
      <c r="F1368" s="47">
        <f t="shared" ref="F1368:I1368" si="195">G1368</f>
        <v>8.1</v>
      </c>
      <c r="G1368" s="47">
        <f t="shared" si="195"/>
        <v>8.1</v>
      </c>
      <c r="H1368" s="47">
        <f t="shared" si="195"/>
        <v>8.1</v>
      </c>
      <c r="I1368" s="47">
        <f t="shared" si="195"/>
        <v>8.1</v>
      </c>
      <c r="J1368" s="47">
        <f t="shared" si="190"/>
        <v>8.1</v>
      </c>
      <c r="K1368" s="47">
        <v>8.1</v>
      </c>
      <c r="L1368" s="47">
        <v>8.1</v>
      </c>
      <c r="M1368" s="893"/>
    </row>
    <row r="1369" spans="1:13" hidden="1" outlineLevel="1" x14ac:dyDescent="0.2">
      <c r="A1369" s="22" t="s">
        <v>1238</v>
      </c>
      <c r="B1369" s="2" t="s">
        <v>1540</v>
      </c>
      <c r="C1369" s="2" t="s">
        <v>1543</v>
      </c>
      <c r="D1369" s="710">
        <f t="shared" si="188"/>
        <v>0</v>
      </c>
      <c r="E1369" s="4" t="s">
        <v>8</v>
      </c>
      <c r="F1369" s="47">
        <f t="shared" ref="F1369:I1369" si="196">G1369</f>
        <v>18</v>
      </c>
      <c r="G1369" s="47">
        <f t="shared" si="196"/>
        <v>18</v>
      </c>
      <c r="H1369" s="47">
        <f t="shared" si="196"/>
        <v>18</v>
      </c>
      <c r="I1369" s="47">
        <f t="shared" si="196"/>
        <v>18</v>
      </c>
      <c r="J1369" s="47">
        <f t="shared" si="190"/>
        <v>18</v>
      </c>
      <c r="K1369" s="47">
        <v>18</v>
      </c>
      <c r="L1369" s="47">
        <v>18</v>
      </c>
      <c r="M1369" s="893"/>
    </row>
    <row r="1370" spans="1:13" hidden="1" outlineLevel="1" x14ac:dyDescent="0.2">
      <c r="A1370" s="22" t="s">
        <v>1238</v>
      </c>
      <c r="B1370" s="2" t="s">
        <v>1540</v>
      </c>
      <c r="C1370" s="2" t="s">
        <v>1543</v>
      </c>
      <c r="D1370" s="710">
        <f t="shared" si="188"/>
        <v>0</v>
      </c>
      <c r="E1370" s="4" t="s">
        <v>9</v>
      </c>
      <c r="F1370" s="47">
        <f t="shared" ref="F1370:I1370" si="197">G1370</f>
        <v>19.399999999999999</v>
      </c>
      <c r="G1370" s="47">
        <f t="shared" si="197"/>
        <v>19.399999999999999</v>
      </c>
      <c r="H1370" s="47">
        <f t="shared" si="197"/>
        <v>19.399999999999999</v>
      </c>
      <c r="I1370" s="47">
        <f t="shared" si="197"/>
        <v>19.399999999999999</v>
      </c>
      <c r="J1370" s="47">
        <f t="shared" si="190"/>
        <v>19.399999999999999</v>
      </c>
      <c r="K1370" s="47">
        <v>19.399999999999999</v>
      </c>
      <c r="L1370" s="47">
        <v>19.399999999999999</v>
      </c>
      <c r="M1370" s="893"/>
    </row>
    <row r="1371" spans="1:13" hidden="1" outlineLevel="1" x14ac:dyDescent="0.2">
      <c r="A1371" s="22" t="s">
        <v>1238</v>
      </c>
      <c r="B1371" s="2" t="s">
        <v>1540</v>
      </c>
      <c r="C1371" s="2" t="s">
        <v>1543</v>
      </c>
      <c r="D1371" s="710">
        <f t="shared" si="188"/>
        <v>0</v>
      </c>
      <c r="E1371" s="4" t="s">
        <v>10</v>
      </c>
      <c r="F1371" s="47">
        <f t="shared" ref="F1371:I1371" si="198">G1371</f>
        <v>11.1</v>
      </c>
      <c r="G1371" s="47">
        <f t="shared" si="198"/>
        <v>11.1</v>
      </c>
      <c r="H1371" s="47">
        <f t="shared" si="198"/>
        <v>11.1</v>
      </c>
      <c r="I1371" s="47">
        <f t="shared" si="198"/>
        <v>11.1</v>
      </c>
      <c r="J1371" s="47">
        <f t="shared" si="190"/>
        <v>11.1</v>
      </c>
      <c r="K1371" s="47">
        <v>11.1</v>
      </c>
      <c r="L1371" s="47">
        <v>11.1</v>
      </c>
      <c r="M1371" s="893"/>
    </row>
    <row r="1372" spans="1:13" hidden="1" outlineLevel="1" x14ac:dyDescent="0.2">
      <c r="A1372" s="22" t="s">
        <v>1238</v>
      </c>
      <c r="B1372" s="2" t="s">
        <v>1540</v>
      </c>
      <c r="C1372" s="2" t="s">
        <v>1543</v>
      </c>
      <c r="D1372" s="710">
        <f t="shared" si="188"/>
        <v>0</v>
      </c>
      <c r="E1372" s="4" t="s">
        <v>11</v>
      </c>
      <c r="F1372" s="47">
        <f t="shared" ref="F1372:I1372" si="199">G1372</f>
        <v>15.2</v>
      </c>
      <c r="G1372" s="47">
        <f t="shared" si="199"/>
        <v>15.2</v>
      </c>
      <c r="H1372" s="47">
        <f t="shared" si="199"/>
        <v>15.2</v>
      </c>
      <c r="I1372" s="47">
        <f t="shared" si="199"/>
        <v>15.2</v>
      </c>
      <c r="J1372" s="47">
        <f t="shared" si="190"/>
        <v>15.2</v>
      </c>
      <c r="K1372" s="47">
        <v>15.2</v>
      </c>
      <c r="L1372" s="47">
        <v>15.2</v>
      </c>
      <c r="M1372" s="893"/>
    </row>
    <row r="1373" spans="1:13" hidden="1" outlineLevel="1" x14ac:dyDescent="0.2">
      <c r="A1373" s="22" t="s">
        <v>1238</v>
      </c>
      <c r="B1373" s="2" t="s">
        <v>1540</v>
      </c>
      <c r="C1373" s="2" t="s">
        <v>1543</v>
      </c>
      <c r="D1373" s="710">
        <f t="shared" si="188"/>
        <v>0</v>
      </c>
      <c r="E1373" s="4" t="s">
        <v>12</v>
      </c>
      <c r="F1373" s="47">
        <f t="shared" ref="F1373:I1373" si="200">G1373</f>
        <v>24.5</v>
      </c>
      <c r="G1373" s="47">
        <f t="shared" si="200"/>
        <v>24.5</v>
      </c>
      <c r="H1373" s="47">
        <f t="shared" si="200"/>
        <v>24.5</v>
      </c>
      <c r="I1373" s="47">
        <f t="shared" si="200"/>
        <v>24.5</v>
      </c>
      <c r="J1373" s="47">
        <f t="shared" si="190"/>
        <v>24.5</v>
      </c>
      <c r="K1373" s="47">
        <v>24.5</v>
      </c>
      <c r="L1373" s="47">
        <v>24.5</v>
      </c>
      <c r="M1373" s="893"/>
    </row>
    <row r="1374" spans="1:13" hidden="1" outlineLevel="1" x14ac:dyDescent="0.2">
      <c r="A1374" s="22" t="s">
        <v>1238</v>
      </c>
      <c r="B1374" s="2" t="s">
        <v>1540</v>
      </c>
      <c r="C1374" s="2" t="s">
        <v>1543</v>
      </c>
      <c r="D1374" s="710">
        <f t="shared" si="188"/>
        <v>0</v>
      </c>
      <c r="E1374" s="4" t="s">
        <v>1</v>
      </c>
      <c r="F1374" s="47">
        <f t="shared" ref="F1374:I1374" si="201">G1374</f>
        <v>26.4</v>
      </c>
      <c r="G1374" s="47">
        <f t="shared" si="201"/>
        <v>26.4</v>
      </c>
      <c r="H1374" s="47">
        <f t="shared" si="201"/>
        <v>26.4</v>
      </c>
      <c r="I1374" s="47">
        <f t="shared" si="201"/>
        <v>26.4</v>
      </c>
      <c r="J1374" s="47">
        <f t="shared" si="190"/>
        <v>26.4</v>
      </c>
      <c r="K1374" s="47">
        <v>26.4</v>
      </c>
      <c r="L1374" s="47">
        <v>26.4</v>
      </c>
      <c r="M1374" s="893"/>
    </row>
    <row r="1375" spans="1:13" hidden="1" outlineLevel="1" x14ac:dyDescent="0.2">
      <c r="A1375" s="22" t="s">
        <v>1238</v>
      </c>
      <c r="B1375" s="2" t="s">
        <v>1540</v>
      </c>
      <c r="C1375" s="2" t="s">
        <v>1543</v>
      </c>
      <c r="D1375" s="710">
        <f t="shared" si="188"/>
        <v>0</v>
      </c>
      <c r="E1375" s="4" t="s">
        <v>13</v>
      </c>
      <c r="F1375" s="47">
        <f t="shared" ref="F1375:I1375" si="202">G1375</f>
        <v>24.9</v>
      </c>
      <c r="G1375" s="47">
        <f t="shared" si="202"/>
        <v>24.9</v>
      </c>
      <c r="H1375" s="47">
        <f t="shared" si="202"/>
        <v>24.9</v>
      </c>
      <c r="I1375" s="47">
        <f t="shared" si="202"/>
        <v>24.9</v>
      </c>
      <c r="J1375" s="47">
        <f t="shared" si="190"/>
        <v>24.9</v>
      </c>
      <c r="K1375" s="47">
        <v>24.9</v>
      </c>
      <c r="L1375" s="47">
        <v>24.9</v>
      </c>
      <c r="M1375" s="893"/>
    </row>
    <row r="1376" spans="1:13" hidden="1" outlineLevel="1" x14ac:dyDescent="0.2">
      <c r="A1376" s="22" t="s">
        <v>1238</v>
      </c>
      <c r="B1376" s="2" t="s">
        <v>1540</v>
      </c>
      <c r="C1376" s="2" t="s">
        <v>1543</v>
      </c>
      <c r="D1376" s="710">
        <f t="shared" si="188"/>
        <v>0</v>
      </c>
      <c r="E1376" s="4" t="s">
        <v>14</v>
      </c>
      <c r="F1376" s="47">
        <f t="shared" ref="F1376:I1376" si="203">G1376</f>
        <v>0</v>
      </c>
      <c r="G1376" s="47">
        <f t="shared" si="203"/>
        <v>0</v>
      </c>
      <c r="H1376" s="47">
        <f t="shared" si="203"/>
        <v>0</v>
      </c>
      <c r="I1376" s="47">
        <f t="shared" si="203"/>
        <v>0</v>
      </c>
      <c r="J1376" s="47">
        <f t="shared" si="190"/>
        <v>0</v>
      </c>
      <c r="K1376" s="47">
        <v>0</v>
      </c>
      <c r="L1376" s="47">
        <v>0</v>
      </c>
      <c r="M1376" s="893"/>
    </row>
    <row r="1377" spans="1:13" hidden="1" outlineLevel="1" x14ac:dyDescent="0.2">
      <c r="A1377" s="22" t="s">
        <v>1238</v>
      </c>
      <c r="B1377" s="2" t="s">
        <v>1540</v>
      </c>
      <c r="C1377" s="2" t="s">
        <v>1543</v>
      </c>
      <c r="D1377" s="710">
        <f t="shared" si="188"/>
        <v>0</v>
      </c>
      <c r="E1377" s="4" t="s">
        <v>15</v>
      </c>
      <c r="F1377" s="47">
        <f t="shared" ref="F1377:I1377" si="204">G1377</f>
        <v>29</v>
      </c>
      <c r="G1377" s="47">
        <f t="shared" si="204"/>
        <v>29</v>
      </c>
      <c r="H1377" s="47">
        <f t="shared" si="204"/>
        <v>29</v>
      </c>
      <c r="I1377" s="47">
        <f t="shared" si="204"/>
        <v>29</v>
      </c>
      <c r="J1377" s="47">
        <f t="shared" si="190"/>
        <v>29</v>
      </c>
      <c r="K1377" s="47">
        <v>29</v>
      </c>
      <c r="L1377" s="47">
        <v>29</v>
      </c>
      <c r="M1377" s="893"/>
    </row>
    <row r="1378" spans="1:13" hidden="1" outlineLevel="1" x14ac:dyDescent="0.2">
      <c r="A1378" s="22" t="s">
        <v>1238</v>
      </c>
      <c r="B1378" s="2" t="s">
        <v>1540</v>
      </c>
      <c r="C1378" s="2" t="s">
        <v>1543</v>
      </c>
      <c r="D1378" s="710">
        <f t="shared" si="188"/>
        <v>0</v>
      </c>
      <c r="E1378" s="4" t="s">
        <v>16</v>
      </c>
      <c r="F1378" s="47">
        <f t="shared" ref="F1378:I1378" si="205">G1378</f>
        <v>12.4</v>
      </c>
      <c r="G1378" s="47">
        <f t="shared" si="205"/>
        <v>12.4</v>
      </c>
      <c r="H1378" s="47">
        <f t="shared" si="205"/>
        <v>12.4</v>
      </c>
      <c r="I1378" s="47">
        <f t="shared" si="205"/>
        <v>12.4</v>
      </c>
      <c r="J1378" s="47">
        <f t="shared" si="190"/>
        <v>12.4</v>
      </c>
      <c r="K1378" s="47">
        <v>12.4</v>
      </c>
      <c r="L1378" s="47">
        <v>12.4</v>
      </c>
      <c r="M1378" s="893"/>
    </row>
    <row r="1379" spans="1:13" hidden="1" outlineLevel="1" x14ac:dyDescent="0.2">
      <c r="A1379" s="22" t="s">
        <v>1238</v>
      </c>
      <c r="B1379" s="2" t="s">
        <v>1540</v>
      </c>
      <c r="C1379" s="2" t="s">
        <v>1543</v>
      </c>
      <c r="D1379" s="710">
        <f t="shared" si="188"/>
        <v>0</v>
      </c>
      <c r="E1379" s="4" t="s">
        <v>17</v>
      </c>
      <c r="F1379" s="47">
        <f t="shared" ref="F1379:I1379" si="206">G1379</f>
        <v>0</v>
      </c>
      <c r="G1379" s="47">
        <f t="shared" si="206"/>
        <v>0</v>
      </c>
      <c r="H1379" s="47">
        <f t="shared" si="206"/>
        <v>0</v>
      </c>
      <c r="I1379" s="47">
        <f t="shared" si="206"/>
        <v>0</v>
      </c>
      <c r="J1379" s="47">
        <f t="shared" si="190"/>
        <v>0</v>
      </c>
      <c r="K1379" s="47">
        <v>0</v>
      </c>
      <c r="L1379" s="47">
        <v>0</v>
      </c>
      <c r="M1379" s="893"/>
    </row>
    <row r="1380" spans="1:13" hidden="1" outlineLevel="1" x14ac:dyDescent="0.2">
      <c r="A1380" s="22" t="s">
        <v>1238</v>
      </c>
      <c r="B1380" s="2" t="s">
        <v>1540</v>
      </c>
      <c r="C1380" s="2" t="s">
        <v>1543</v>
      </c>
      <c r="D1380" s="710">
        <f t="shared" si="188"/>
        <v>0</v>
      </c>
      <c r="E1380" s="4" t="s">
        <v>18</v>
      </c>
      <c r="F1380" s="47">
        <f t="shared" ref="F1380:I1380" si="207">G1380</f>
        <v>30.1</v>
      </c>
      <c r="G1380" s="47">
        <f t="shared" si="207"/>
        <v>30.1</v>
      </c>
      <c r="H1380" s="47">
        <f t="shared" si="207"/>
        <v>30.1</v>
      </c>
      <c r="I1380" s="47">
        <f t="shared" si="207"/>
        <v>30.1</v>
      </c>
      <c r="J1380" s="47">
        <f t="shared" si="190"/>
        <v>30.1</v>
      </c>
      <c r="K1380" s="47">
        <v>30.1</v>
      </c>
      <c r="L1380" s="47">
        <v>30.1</v>
      </c>
      <c r="M1380" s="893"/>
    </row>
    <row r="1381" spans="1:13" hidden="1" outlineLevel="1" x14ac:dyDescent="0.2">
      <c r="A1381" s="22" t="s">
        <v>1238</v>
      </c>
      <c r="B1381" s="2" t="s">
        <v>1540</v>
      </c>
      <c r="C1381" s="2" t="s">
        <v>1543</v>
      </c>
      <c r="D1381" s="710">
        <f t="shared" si="188"/>
        <v>0</v>
      </c>
      <c r="E1381" s="4" t="s">
        <v>2</v>
      </c>
      <c r="F1381" s="47">
        <f t="shared" ref="F1381:I1381" si="208">G1381</f>
        <v>37.5</v>
      </c>
      <c r="G1381" s="47">
        <f t="shared" si="208"/>
        <v>37.5</v>
      </c>
      <c r="H1381" s="47">
        <f t="shared" si="208"/>
        <v>37.5</v>
      </c>
      <c r="I1381" s="47">
        <f t="shared" si="208"/>
        <v>37.5</v>
      </c>
      <c r="J1381" s="47">
        <f t="shared" si="190"/>
        <v>37.5</v>
      </c>
      <c r="K1381" s="47">
        <v>37.5</v>
      </c>
      <c r="L1381" s="47">
        <v>37.5</v>
      </c>
      <c r="M1381" s="893"/>
    </row>
    <row r="1382" spans="1:13" hidden="1" outlineLevel="1" x14ac:dyDescent="0.2">
      <c r="A1382" s="22" t="s">
        <v>1238</v>
      </c>
      <c r="B1382" s="2" t="s">
        <v>1540</v>
      </c>
      <c r="C1382" s="2" t="s">
        <v>1543</v>
      </c>
      <c r="D1382" s="710">
        <f t="shared" si="188"/>
        <v>0</v>
      </c>
      <c r="E1382" s="4" t="s">
        <v>19</v>
      </c>
      <c r="F1382" s="47">
        <f t="shared" ref="F1382:I1382" si="209">G1382</f>
        <v>4.9000000000000004</v>
      </c>
      <c r="G1382" s="47">
        <f t="shared" si="209"/>
        <v>4.9000000000000004</v>
      </c>
      <c r="H1382" s="47">
        <f t="shared" si="209"/>
        <v>4.9000000000000004</v>
      </c>
      <c r="I1382" s="47">
        <f t="shared" si="209"/>
        <v>4.9000000000000004</v>
      </c>
      <c r="J1382" s="47">
        <f t="shared" si="190"/>
        <v>4.9000000000000004</v>
      </c>
      <c r="K1382" s="47">
        <v>4.9000000000000004</v>
      </c>
      <c r="L1382" s="47">
        <v>4.9000000000000004</v>
      </c>
      <c r="M1382" s="893"/>
    </row>
    <row r="1383" spans="1:13" hidden="1" outlineLevel="1" x14ac:dyDescent="0.2">
      <c r="A1383" s="22" t="s">
        <v>1238</v>
      </c>
      <c r="B1383" s="2" t="s">
        <v>1540</v>
      </c>
      <c r="C1383" s="2" t="s">
        <v>1543</v>
      </c>
      <c r="D1383" s="710">
        <f t="shared" si="188"/>
        <v>0</v>
      </c>
      <c r="E1383" s="4" t="s">
        <v>3</v>
      </c>
      <c r="F1383" s="47">
        <f t="shared" ref="F1383:I1383" si="210">G1383</f>
        <v>9.6</v>
      </c>
      <c r="G1383" s="47">
        <f t="shared" si="210"/>
        <v>9.6</v>
      </c>
      <c r="H1383" s="47">
        <f t="shared" si="210"/>
        <v>9.6</v>
      </c>
      <c r="I1383" s="47">
        <f t="shared" si="210"/>
        <v>9.6</v>
      </c>
      <c r="J1383" s="47">
        <f t="shared" si="190"/>
        <v>9.6</v>
      </c>
      <c r="K1383" s="47">
        <v>9.6</v>
      </c>
      <c r="L1383" s="47">
        <v>9.6</v>
      </c>
      <c r="M1383" s="893"/>
    </row>
    <row r="1384" spans="1:13" hidden="1" outlineLevel="1" x14ac:dyDescent="0.2">
      <c r="A1384" s="22" t="s">
        <v>1238</v>
      </c>
      <c r="B1384" s="2" t="s">
        <v>1540</v>
      </c>
      <c r="C1384" s="2" t="s">
        <v>1543</v>
      </c>
      <c r="D1384" s="710">
        <f t="shared" si="188"/>
        <v>0</v>
      </c>
      <c r="E1384" s="4" t="s">
        <v>20</v>
      </c>
      <c r="F1384" s="47">
        <f t="shared" ref="F1384:I1384" si="211">G1384</f>
        <v>33.9</v>
      </c>
      <c r="G1384" s="47">
        <f t="shared" si="211"/>
        <v>33.9</v>
      </c>
      <c r="H1384" s="47">
        <f t="shared" si="211"/>
        <v>33.9</v>
      </c>
      <c r="I1384" s="47">
        <f t="shared" si="211"/>
        <v>33.9</v>
      </c>
      <c r="J1384" s="47">
        <f t="shared" si="190"/>
        <v>33.9</v>
      </c>
      <c r="K1384" s="47">
        <v>33.9</v>
      </c>
      <c r="L1384" s="47">
        <v>33.9</v>
      </c>
      <c r="M1384" s="893"/>
    </row>
    <row r="1385" spans="1:13" hidden="1" outlineLevel="1" x14ac:dyDescent="0.2">
      <c r="A1385" s="22" t="s">
        <v>1238</v>
      </c>
      <c r="B1385" s="2" t="s">
        <v>1540</v>
      </c>
      <c r="C1385" s="2" t="s">
        <v>1543</v>
      </c>
      <c r="D1385" s="710">
        <f t="shared" si="188"/>
        <v>0</v>
      </c>
      <c r="E1385" s="4" t="s">
        <v>21</v>
      </c>
      <c r="F1385" s="47">
        <f t="shared" ref="F1385:I1385" si="212">G1385</f>
        <v>0</v>
      </c>
      <c r="G1385" s="47">
        <f t="shared" si="212"/>
        <v>0</v>
      </c>
      <c r="H1385" s="47">
        <f t="shared" si="212"/>
        <v>0</v>
      </c>
      <c r="I1385" s="47">
        <f t="shared" si="212"/>
        <v>0</v>
      </c>
      <c r="J1385" s="47">
        <f t="shared" si="190"/>
        <v>0</v>
      </c>
      <c r="K1385" s="47">
        <v>0</v>
      </c>
      <c r="L1385" s="47">
        <v>0</v>
      </c>
      <c r="M1385" s="893"/>
    </row>
    <row r="1386" spans="1:13" hidden="1" outlineLevel="1" x14ac:dyDescent="0.2">
      <c r="A1386" s="22" t="s">
        <v>1238</v>
      </c>
      <c r="B1386" s="2" t="s">
        <v>1540</v>
      </c>
      <c r="C1386" s="2" t="s">
        <v>1543</v>
      </c>
      <c r="D1386" s="710">
        <f t="shared" si="188"/>
        <v>0</v>
      </c>
      <c r="E1386" s="4" t="s">
        <v>1096</v>
      </c>
      <c r="F1386" s="47">
        <f t="shared" ref="F1386:I1386" si="213">G1386</f>
        <v>0</v>
      </c>
      <c r="G1386" s="47">
        <f t="shared" si="213"/>
        <v>0</v>
      </c>
      <c r="H1386" s="47">
        <f t="shared" si="213"/>
        <v>0</v>
      </c>
      <c r="I1386" s="47">
        <f t="shared" si="213"/>
        <v>0</v>
      </c>
      <c r="J1386" s="47">
        <f t="shared" si="190"/>
        <v>0</v>
      </c>
      <c r="K1386" s="47">
        <v>0</v>
      </c>
      <c r="L1386" s="47">
        <v>0</v>
      </c>
      <c r="M1386" s="893"/>
    </row>
    <row r="1387" spans="1:13" hidden="1" outlineLevel="1" x14ac:dyDescent="0.2">
      <c r="A1387" s="22" t="s">
        <v>1238</v>
      </c>
      <c r="B1387" s="2" t="s">
        <v>1540</v>
      </c>
      <c r="C1387" s="2" t="s">
        <v>1543</v>
      </c>
      <c r="D1387" s="710">
        <f t="shared" si="188"/>
        <v>0</v>
      </c>
      <c r="E1387" s="4" t="s">
        <v>22</v>
      </c>
      <c r="F1387" s="47">
        <f t="shared" ref="F1387:I1387" si="214">G1387</f>
        <v>2.6</v>
      </c>
      <c r="G1387" s="47">
        <f t="shared" si="214"/>
        <v>2.6</v>
      </c>
      <c r="H1387" s="47">
        <f t="shared" si="214"/>
        <v>2.6</v>
      </c>
      <c r="I1387" s="47">
        <f t="shared" si="214"/>
        <v>2.6</v>
      </c>
      <c r="J1387" s="47">
        <f t="shared" si="190"/>
        <v>2.6</v>
      </c>
      <c r="K1387" s="47">
        <v>2.6</v>
      </c>
      <c r="L1387" s="47">
        <v>2.6</v>
      </c>
      <c r="M1387" s="893"/>
    </row>
    <row r="1388" spans="1:13" hidden="1" outlineLevel="1" x14ac:dyDescent="0.2">
      <c r="A1388" s="91" t="s">
        <v>1238</v>
      </c>
      <c r="B1388" s="3" t="s">
        <v>1540</v>
      </c>
      <c r="C1388" s="3" t="s">
        <v>1543</v>
      </c>
      <c r="D1388" s="711">
        <f t="shared" si="188"/>
        <v>0</v>
      </c>
      <c r="E1388" s="469" t="s">
        <v>23</v>
      </c>
      <c r="F1388" s="48">
        <f t="shared" ref="F1388:I1388" si="215">G1388</f>
        <v>0.5</v>
      </c>
      <c r="G1388" s="48">
        <f t="shared" si="215"/>
        <v>0.5</v>
      </c>
      <c r="H1388" s="48">
        <f t="shared" si="215"/>
        <v>0.5</v>
      </c>
      <c r="I1388" s="48">
        <f t="shared" si="215"/>
        <v>0.5</v>
      </c>
      <c r="J1388" s="48">
        <f t="shared" si="190"/>
        <v>0.5</v>
      </c>
      <c r="K1388" s="363">
        <v>0.5</v>
      </c>
      <c r="L1388" s="363">
        <v>0.5</v>
      </c>
      <c r="M1388" s="920"/>
    </row>
    <row r="1389" spans="1:13" hidden="1" outlineLevel="1" x14ac:dyDescent="0.2">
      <c r="A1389" s="92" t="s">
        <v>1238</v>
      </c>
      <c r="B1389" s="81" t="s">
        <v>50</v>
      </c>
      <c r="C1389" s="2" t="s">
        <v>1239</v>
      </c>
      <c r="D1389" s="709">
        <f t="shared" si="188"/>
        <v>0</v>
      </c>
      <c r="E1389" s="468" t="s">
        <v>4</v>
      </c>
      <c r="F1389" s="380">
        <f t="shared" ref="F1389:I1389" si="216">G1389</f>
        <v>107114931</v>
      </c>
      <c r="G1389" s="89">
        <f t="shared" si="216"/>
        <v>107114931</v>
      </c>
      <c r="H1389" s="89">
        <f t="shared" si="216"/>
        <v>107114931</v>
      </c>
      <c r="I1389" s="89">
        <f t="shared" si="216"/>
        <v>107114931</v>
      </c>
      <c r="J1389" s="89">
        <f t="shared" si="190"/>
        <v>107114931</v>
      </c>
      <c r="K1389" s="380">
        <v>107114931</v>
      </c>
      <c r="L1389" s="380">
        <v>107114931</v>
      </c>
      <c r="M1389" s="892"/>
    </row>
    <row r="1390" spans="1:13" hidden="1" outlineLevel="1" x14ac:dyDescent="0.2">
      <c r="A1390" s="22" t="s">
        <v>1238</v>
      </c>
      <c r="B1390" s="2" t="s">
        <v>50</v>
      </c>
      <c r="C1390" s="2" t="s">
        <v>1239</v>
      </c>
      <c r="D1390" s="710">
        <f t="shared" si="188"/>
        <v>0</v>
      </c>
      <c r="E1390" s="4" t="s">
        <v>5</v>
      </c>
      <c r="F1390" s="47">
        <f t="shared" ref="F1390:I1390" si="217">G1390</f>
        <v>0</v>
      </c>
      <c r="G1390" s="47">
        <f t="shared" si="217"/>
        <v>0</v>
      </c>
      <c r="H1390" s="47">
        <f t="shared" si="217"/>
        <v>0</v>
      </c>
      <c r="I1390" s="47">
        <f t="shared" si="217"/>
        <v>0</v>
      </c>
      <c r="J1390" s="47">
        <f t="shared" si="190"/>
        <v>0</v>
      </c>
      <c r="K1390" s="47"/>
      <c r="L1390" s="47"/>
      <c r="M1390" s="893"/>
    </row>
    <row r="1391" spans="1:13" hidden="1" outlineLevel="1" x14ac:dyDescent="0.2">
      <c r="A1391" s="22" t="s">
        <v>1238</v>
      </c>
      <c r="B1391" s="2" t="s">
        <v>50</v>
      </c>
      <c r="C1391" s="2" t="s">
        <v>1239</v>
      </c>
      <c r="D1391" s="710">
        <f t="shared" si="188"/>
        <v>0</v>
      </c>
      <c r="E1391" s="4" t="s">
        <v>6</v>
      </c>
      <c r="F1391" s="47">
        <f t="shared" ref="F1391:I1391" si="218">G1391</f>
        <v>0</v>
      </c>
      <c r="G1391" s="47">
        <f t="shared" si="218"/>
        <v>0</v>
      </c>
      <c r="H1391" s="47">
        <f t="shared" si="218"/>
        <v>0</v>
      </c>
      <c r="I1391" s="47">
        <f t="shared" si="218"/>
        <v>0</v>
      </c>
      <c r="J1391" s="47">
        <f t="shared" si="190"/>
        <v>0</v>
      </c>
      <c r="K1391" s="47"/>
      <c r="L1391" s="47"/>
      <c r="M1391" s="893"/>
    </row>
    <row r="1392" spans="1:13" hidden="1" outlineLevel="1" x14ac:dyDescent="0.2">
      <c r="A1392" s="22" t="s">
        <v>1238</v>
      </c>
      <c r="B1392" s="2" t="s">
        <v>50</v>
      </c>
      <c r="C1392" s="2" t="s">
        <v>1239</v>
      </c>
      <c r="D1392" s="710">
        <f t="shared" si="188"/>
        <v>0</v>
      </c>
      <c r="E1392" s="4" t="s">
        <v>143</v>
      </c>
      <c r="F1392" s="47">
        <f t="shared" ref="F1392:I1392" si="219">G1392</f>
        <v>0</v>
      </c>
      <c r="G1392" s="47">
        <f t="shared" si="219"/>
        <v>0</v>
      </c>
      <c r="H1392" s="47">
        <f t="shared" si="219"/>
        <v>0</v>
      </c>
      <c r="I1392" s="47">
        <f t="shared" si="219"/>
        <v>0</v>
      </c>
      <c r="J1392" s="47">
        <f t="shared" si="190"/>
        <v>0</v>
      </c>
      <c r="K1392" s="47"/>
      <c r="L1392" s="47"/>
      <c r="M1392" s="893"/>
    </row>
    <row r="1393" spans="1:13" hidden="1" outlineLevel="1" x14ac:dyDescent="0.2">
      <c r="A1393" s="22" t="s">
        <v>1238</v>
      </c>
      <c r="B1393" s="2" t="s">
        <v>50</v>
      </c>
      <c r="C1393" s="2" t="s">
        <v>1239</v>
      </c>
      <c r="D1393" s="710">
        <f t="shared" si="188"/>
        <v>0</v>
      </c>
      <c r="E1393" s="4" t="s">
        <v>7</v>
      </c>
      <c r="F1393" s="47">
        <f t="shared" ref="F1393:I1393" si="220">G1393</f>
        <v>7731838923</v>
      </c>
      <c r="G1393" s="47">
        <f t="shared" si="220"/>
        <v>7731838923</v>
      </c>
      <c r="H1393" s="47">
        <f t="shared" si="220"/>
        <v>7731838923</v>
      </c>
      <c r="I1393" s="47">
        <f t="shared" si="220"/>
        <v>7731838923</v>
      </c>
      <c r="J1393" s="47">
        <f t="shared" si="190"/>
        <v>7731838923</v>
      </c>
      <c r="K1393" s="47">
        <v>7731838923</v>
      </c>
      <c r="L1393" s="47">
        <v>7731838923</v>
      </c>
      <c r="M1393" s="893"/>
    </row>
    <row r="1394" spans="1:13" hidden="1" outlineLevel="1" x14ac:dyDescent="0.2">
      <c r="A1394" s="22" t="s">
        <v>1238</v>
      </c>
      <c r="B1394" s="2" t="s">
        <v>50</v>
      </c>
      <c r="C1394" s="2" t="s">
        <v>1239</v>
      </c>
      <c r="D1394" s="710">
        <f t="shared" si="188"/>
        <v>0</v>
      </c>
      <c r="E1394" s="4" t="s">
        <v>31</v>
      </c>
      <c r="F1394" s="47">
        <f t="shared" ref="F1394:I1394" si="221">G1394</f>
        <v>3657993552</v>
      </c>
      <c r="G1394" s="47">
        <f t="shared" si="221"/>
        <v>3657993552</v>
      </c>
      <c r="H1394" s="47">
        <f t="shared" si="221"/>
        <v>3657993552</v>
      </c>
      <c r="I1394" s="47">
        <f t="shared" si="221"/>
        <v>3657993552</v>
      </c>
      <c r="J1394" s="47">
        <f t="shared" si="190"/>
        <v>3657993552</v>
      </c>
      <c r="K1394" s="47">
        <v>3657993552</v>
      </c>
      <c r="L1394" s="47">
        <v>3657993552</v>
      </c>
      <c r="M1394" s="893"/>
    </row>
    <row r="1395" spans="1:13" hidden="1" outlineLevel="1" x14ac:dyDescent="0.2">
      <c r="A1395" s="22" t="s">
        <v>1238</v>
      </c>
      <c r="B1395" s="2" t="s">
        <v>50</v>
      </c>
      <c r="C1395" s="2" t="s">
        <v>1239</v>
      </c>
      <c r="D1395" s="710">
        <f t="shared" si="188"/>
        <v>0</v>
      </c>
      <c r="E1395" s="4" t="s">
        <v>8</v>
      </c>
      <c r="F1395" s="47">
        <f t="shared" ref="F1395:I1395" si="222">G1395</f>
        <v>5494148081</v>
      </c>
      <c r="G1395" s="47">
        <f t="shared" si="222"/>
        <v>5494148081</v>
      </c>
      <c r="H1395" s="47">
        <f t="shared" si="222"/>
        <v>5494148081</v>
      </c>
      <c r="I1395" s="47">
        <f t="shared" si="222"/>
        <v>5494148081</v>
      </c>
      <c r="J1395" s="47">
        <f t="shared" ref="J1395:J1414" si="223">L1395</f>
        <v>5494148081</v>
      </c>
      <c r="K1395" s="47">
        <v>5494148081</v>
      </c>
      <c r="L1395" s="47">
        <v>5494148081</v>
      </c>
      <c r="M1395" s="893"/>
    </row>
    <row r="1396" spans="1:13" hidden="1" outlineLevel="1" x14ac:dyDescent="0.2">
      <c r="A1396" s="22" t="s">
        <v>1238</v>
      </c>
      <c r="B1396" s="2" t="s">
        <v>50</v>
      </c>
      <c r="C1396" s="2" t="s">
        <v>1239</v>
      </c>
      <c r="D1396" s="710">
        <f t="shared" si="188"/>
        <v>0</v>
      </c>
      <c r="E1396" s="4" t="s">
        <v>9</v>
      </c>
      <c r="F1396" s="47">
        <f t="shared" ref="F1396:I1396" si="224">G1396</f>
        <v>17221534138</v>
      </c>
      <c r="G1396" s="47">
        <f t="shared" si="224"/>
        <v>17221534138</v>
      </c>
      <c r="H1396" s="47">
        <f t="shared" si="224"/>
        <v>17221534138</v>
      </c>
      <c r="I1396" s="47">
        <f t="shared" si="224"/>
        <v>17221534138</v>
      </c>
      <c r="J1396" s="47">
        <f t="shared" si="223"/>
        <v>17221534138</v>
      </c>
      <c r="K1396" s="47">
        <v>17221534138</v>
      </c>
      <c r="L1396" s="47">
        <v>17221534138</v>
      </c>
      <c r="M1396" s="893"/>
    </row>
    <row r="1397" spans="1:13" hidden="1" outlineLevel="1" x14ac:dyDescent="0.2">
      <c r="A1397" s="22" t="s">
        <v>1238</v>
      </c>
      <c r="B1397" s="2" t="s">
        <v>50</v>
      </c>
      <c r="C1397" s="2" t="s">
        <v>1239</v>
      </c>
      <c r="D1397" s="710">
        <f t="shared" si="188"/>
        <v>0</v>
      </c>
      <c r="E1397" s="4" t="s">
        <v>10</v>
      </c>
      <c r="F1397" s="47">
        <f t="shared" ref="F1397:I1397" si="225">G1397</f>
        <v>273758291</v>
      </c>
      <c r="G1397" s="47">
        <f t="shared" si="225"/>
        <v>273758291</v>
      </c>
      <c r="H1397" s="47">
        <f t="shared" si="225"/>
        <v>273758291</v>
      </c>
      <c r="I1397" s="47">
        <f t="shared" si="225"/>
        <v>273758291</v>
      </c>
      <c r="J1397" s="47">
        <f t="shared" si="223"/>
        <v>273758291</v>
      </c>
      <c r="K1397" s="47">
        <v>273758291</v>
      </c>
      <c r="L1397" s="47">
        <v>273758291</v>
      </c>
      <c r="M1397" s="893"/>
    </row>
    <row r="1398" spans="1:13" hidden="1" outlineLevel="1" x14ac:dyDescent="0.2">
      <c r="A1398" s="22" t="s">
        <v>1238</v>
      </c>
      <c r="B1398" s="2" t="s">
        <v>50</v>
      </c>
      <c r="C1398" s="2" t="s">
        <v>1239</v>
      </c>
      <c r="D1398" s="710">
        <f t="shared" si="188"/>
        <v>0</v>
      </c>
      <c r="E1398" s="4" t="s">
        <v>11</v>
      </c>
      <c r="F1398" s="47">
        <f t="shared" ref="F1398:I1398" si="226">G1398</f>
        <v>1585452258</v>
      </c>
      <c r="G1398" s="47">
        <f t="shared" si="226"/>
        <v>1585452258</v>
      </c>
      <c r="H1398" s="47">
        <f t="shared" si="226"/>
        <v>1585452258</v>
      </c>
      <c r="I1398" s="47">
        <f t="shared" si="226"/>
        <v>1585452258</v>
      </c>
      <c r="J1398" s="47">
        <f t="shared" si="223"/>
        <v>1585452258</v>
      </c>
      <c r="K1398" s="47">
        <v>1585452258</v>
      </c>
      <c r="L1398" s="47">
        <v>1585452258</v>
      </c>
      <c r="M1398" s="893"/>
    </row>
    <row r="1399" spans="1:13" hidden="1" outlineLevel="1" x14ac:dyDescent="0.2">
      <c r="A1399" s="22" t="s">
        <v>1238</v>
      </c>
      <c r="B1399" s="2" t="s">
        <v>50</v>
      </c>
      <c r="C1399" s="2" t="s">
        <v>1239</v>
      </c>
      <c r="D1399" s="710">
        <f t="shared" si="188"/>
        <v>0</v>
      </c>
      <c r="E1399" s="4" t="s">
        <v>12</v>
      </c>
      <c r="F1399" s="47">
        <f t="shared" ref="F1399:I1399" si="227">G1399</f>
        <v>6053105971</v>
      </c>
      <c r="G1399" s="47">
        <f t="shared" si="227"/>
        <v>6053105971</v>
      </c>
      <c r="H1399" s="47">
        <f t="shared" si="227"/>
        <v>6053105971</v>
      </c>
      <c r="I1399" s="47">
        <f t="shared" si="227"/>
        <v>6053105971</v>
      </c>
      <c r="J1399" s="47">
        <f t="shared" si="223"/>
        <v>6053105971</v>
      </c>
      <c r="K1399" s="47">
        <v>6053105971</v>
      </c>
      <c r="L1399" s="47">
        <v>6053105971</v>
      </c>
      <c r="M1399" s="893"/>
    </row>
    <row r="1400" spans="1:13" hidden="1" outlineLevel="1" x14ac:dyDescent="0.2">
      <c r="A1400" s="22" t="s">
        <v>1238</v>
      </c>
      <c r="B1400" s="2" t="s">
        <v>50</v>
      </c>
      <c r="C1400" s="2" t="s">
        <v>1239</v>
      </c>
      <c r="D1400" s="710">
        <f t="shared" si="188"/>
        <v>0</v>
      </c>
      <c r="E1400" s="4" t="s">
        <v>1</v>
      </c>
      <c r="F1400" s="47">
        <f t="shared" ref="F1400:I1400" si="228">G1400</f>
        <v>1630757789</v>
      </c>
      <c r="G1400" s="47">
        <f t="shared" si="228"/>
        <v>1630757789</v>
      </c>
      <c r="H1400" s="47">
        <f t="shared" si="228"/>
        <v>1630757789</v>
      </c>
      <c r="I1400" s="47">
        <f t="shared" si="228"/>
        <v>1630757789</v>
      </c>
      <c r="J1400" s="47">
        <f t="shared" si="223"/>
        <v>1630757789</v>
      </c>
      <c r="K1400" s="47">
        <v>1630757789</v>
      </c>
      <c r="L1400" s="47">
        <v>1630757789</v>
      </c>
      <c r="M1400" s="893"/>
    </row>
    <row r="1401" spans="1:13" hidden="1" outlineLevel="1" x14ac:dyDescent="0.2">
      <c r="A1401" s="22" t="s">
        <v>1238</v>
      </c>
      <c r="B1401" s="2" t="s">
        <v>50</v>
      </c>
      <c r="C1401" s="2" t="s">
        <v>1239</v>
      </c>
      <c r="D1401" s="710">
        <f t="shared" si="188"/>
        <v>0</v>
      </c>
      <c r="E1401" s="4" t="s">
        <v>13</v>
      </c>
      <c r="F1401" s="47">
        <f t="shared" ref="F1401:I1401" si="229">G1401</f>
        <v>681857402</v>
      </c>
      <c r="G1401" s="47">
        <f t="shared" si="229"/>
        <v>681857402</v>
      </c>
      <c r="H1401" s="47">
        <f t="shared" si="229"/>
        <v>681857402</v>
      </c>
      <c r="I1401" s="47">
        <f t="shared" si="229"/>
        <v>681857402</v>
      </c>
      <c r="J1401" s="47">
        <f t="shared" si="223"/>
        <v>681857402</v>
      </c>
      <c r="K1401" s="47">
        <v>681857402</v>
      </c>
      <c r="L1401" s="47">
        <v>681857402</v>
      </c>
      <c r="M1401" s="893"/>
    </row>
    <row r="1402" spans="1:13" hidden="1" outlineLevel="1" x14ac:dyDescent="0.2">
      <c r="A1402" s="22" t="s">
        <v>1238</v>
      </c>
      <c r="B1402" s="2" t="s">
        <v>50</v>
      </c>
      <c r="C1402" s="2" t="s">
        <v>1239</v>
      </c>
      <c r="D1402" s="710">
        <f t="shared" si="188"/>
        <v>0</v>
      </c>
      <c r="E1402" s="4" t="s">
        <v>14</v>
      </c>
      <c r="F1402" s="47">
        <f t="shared" ref="F1402:I1402" si="230">G1402</f>
        <v>0</v>
      </c>
      <c r="G1402" s="47">
        <f t="shared" si="230"/>
        <v>0</v>
      </c>
      <c r="H1402" s="47">
        <f t="shared" si="230"/>
        <v>0</v>
      </c>
      <c r="I1402" s="47">
        <f t="shared" si="230"/>
        <v>0</v>
      </c>
      <c r="J1402" s="47">
        <f t="shared" si="223"/>
        <v>0</v>
      </c>
      <c r="K1402" s="47"/>
      <c r="L1402" s="47"/>
      <c r="M1402" s="893"/>
    </row>
    <row r="1403" spans="1:13" hidden="1" outlineLevel="1" x14ac:dyDescent="0.2">
      <c r="A1403" s="22" t="s">
        <v>1238</v>
      </c>
      <c r="B1403" s="2" t="s">
        <v>50</v>
      </c>
      <c r="C1403" s="2" t="s">
        <v>1239</v>
      </c>
      <c r="D1403" s="710">
        <f t="shared" si="188"/>
        <v>0</v>
      </c>
      <c r="E1403" s="4" t="s">
        <v>15</v>
      </c>
      <c r="F1403" s="47">
        <f t="shared" ref="F1403:I1403" si="231">G1403</f>
        <v>245047014</v>
      </c>
      <c r="G1403" s="47">
        <f t="shared" si="231"/>
        <v>245047014</v>
      </c>
      <c r="H1403" s="47">
        <f t="shared" si="231"/>
        <v>245047014</v>
      </c>
      <c r="I1403" s="47">
        <f t="shared" si="231"/>
        <v>245047014</v>
      </c>
      <c r="J1403" s="47">
        <f t="shared" si="223"/>
        <v>245047014</v>
      </c>
      <c r="K1403" s="47">
        <v>245047014</v>
      </c>
      <c r="L1403" s="47">
        <v>245047014</v>
      </c>
      <c r="M1403" s="893"/>
    </row>
    <row r="1404" spans="1:13" hidden="1" outlineLevel="1" x14ac:dyDescent="0.2">
      <c r="A1404" s="22" t="s">
        <v>1238</v>
      </c>
      <c r="B1404" s="2" t="s">
        <v>50</v>
      </c>
      <c r="C1404" s="2" t="s">
        <v>1239</v>
      </c>
      <c r="D1404" s="710">
        <f t="shared" si="188"/>
        <v>0</v>
      </c>
      <c r="E1404" s="4" t="s">
        <v>16</v>
      </c>
      <c r="F1404" s="47">
        <f t="shared" ref="F1404:I1404" si="232">G1404</f>
        <v>917441696</v>
      </c>
      <c r="G1404" s="47">
        <f t="shared" si="232"/>
        <v>917441696</v>
      </c>
      <c r="H1404" s="47">
        <f t="shared" si="232"/>
        <v>917441696</v>
      </c>
      <c r="I1404" s="47">
        <f t="shared" si="232"/>
        <v>917441696</v>
      </c>
      <c r="J1404" s="47">
        <f t="shared" si="223"/>
        <v>917441696</v>
      </c>
      <c r="K1404" s="47">
        <v>917441696</v>
      </c>
      <c r="L1404" s="47">
        <v>917441696</v>
      </c>
      <c r="M1404" s="893"/>
    </row>
    <row r="1405" spans="1:13" hidden="1" outlineLevel="1" x14ac:dyDescent="0.2">
      <c r="A1405" s="22" t="s">
        <v>1238</v>
      </c>
      <c r="B1405" s="2" t="s">
        <v>50</v>
      </c>
      <c r="C1405" s="2" t="s">
        <v>1239</v>
      </c>
      <c r="D1405" s="710">
        <f t="shared" si="188"/>
        <v>0</v>
      </c>
      <c r="E1405" s="4" t="s">
        <v>17</v>
      </c>
      <c r="F1405" s="47">
        <f t="shared" ref="F1405:I1405" si="233">G1405</f>
        <v>35253507</v>
      </c>
      <c r="G1405" s="47">
        <f t="shared" si="233"/>
        <v>35253507</v>
      </c>
      <c r="H1405" s="47">
        <f t="shared" si="233"/>
        <v>35253507</v>
      </c>
      <c r="I1405" s="47">
        <f t="shared" si="233"/>
        <v>35253507</v>
      </c>
      <c r="J1405" s="47">
        <f t="shared" si="223"/>
        <v>35253507</v>
      </c>
      <c r="K1405" s="47">
        <v>35253507</v>
      </c>
      <c r="L1405" s="47">
        <v>35253507</v>
      </c>
      <c r="M1405" s="893"/>
    </row>
    <row r="1406" spans="1:13" hidden="1" outlineLevel="1" x14ac:dyDescent="0.2">
      <c r="A1406" s="22" t="s">
        <v>1238</v>
      </c>
      <c r="B1406" s="2" t="s">
        <v>50</v>
      </c>
      <c r="C1406" s="2" t="s">
        <v>1239</v>
      </c>
      <c r="D1406" s="710">
        <f t="shared" si="188"/>
        <v>0</v>
      </c>
      <c r="E1406" s="4" t="s">
        <v>18</v>
      </c>
      <c r="F1406" s="47">
        <f t="shared" ref="F1406:I1406" si="234">G1406</f>
        <v>11449128084</v>
      </c>
      <c r="G1406" s="47">
        <f t="shared" si="234"/>
        <v>11449128084</v>
      </c>
      <c r="H1406" s="47">
        <f t="shared" si="234"/>
        <v>11449128084</v>
      </c>
      <c r="I1406" s="47">
        <f t="shared" si="234"/>
        <v>11449128084</v>
      </c>
      <c r="J1406" s="47">
        <f t="shared" si="223"/>
        <v>11449128084</v>
      </c>
      <c r="K1406" s="47">
        <v>11449128084</v>
      </c>
      <c r="L1406" s="47">
        <v>11449128084</v>
      </c>
      <c r="M1406" s="893"/>
    </row>
    <row r="1407" spans="1:13" hidden="1" outlineLevel="1" x14ac:dyDescent="0.2">
      <c r="A1407" s="22" t="s">
        <v>1238</v>
      </c>
      <c r="B1407" s="2" t="s">
        <v>50</v>
      </c>
      <c r="C1407" s="2" t="s">
        <v>1239</v>
      </c>
      <c r="D1407" s="710">
        <f t="shared" si="188"/>
        <v>0</v>
      </c>
      <c r="E1407" s="4" t="s">
        <v>2</v>
      </c>
      <c r="F1407" s="47">
        <f t="shared" ref="F1407:I1407" si="235">G1407</f>
        <v>2234655424</v>
      </c>
      <c r="G1407" s="47">
        <f t="shared" si="235"/>
        <v>2234655424</v>
      </c>
      <c r="H1407" s="47">
        <f t="shared" si="235"/>
        <v>2234655424</v>
      </c>
      <c r="I1407" s="47">
        <f t="shared" si="235"/>
        <v>2234655424</v>
      </c>
      <c r="J1407" s="47">
        <f t="shared" si="223"/>
        <v>2234655424</v>
      </c>
      <c r="K1407" s="47">
        <v>2234655424</v>
      </c>
      <c r="L1407" s="47">
        <v>2234655424</v>
      </c>
      <c r="M1407" s="893"/>
    </row>
    <row r="1408" spans="1:13" hidden="1" outlineLevel="1" x14ac:dyDescent="0.2">
      <c r="A1408" s="22" t="s">
        <v>1238</v>
      </c>
      <c r="B1408" s="2" t="s">
        <v>50</v>
      </c>
      <c r="C1408" s="2" t="s">
        <v>1239</v>
      </c>
      <c r="D1408" s="710">
        <f t="shared" si="188"/>
        <v>0</v>
      </c>
      <c r="E1408" s="4" t="s">
        <v>19</v>
      </c>
      <c r="F1408" s="47">
        <f t="shared" ref="F1408:I1408" si="236">G1408</f>
        <v>75801697</v>
      </c>
      <c r="G1408" s="47">
        <f t="shared" si="236"/>
        <v>75801697</v>
      </c>
      <c r="H1408" s="47">
        <f t="shared" si="236"/>
        <v>75801697</v>
      </c>
      <c r="I1408" s="47">
        <f t="shared" si="236"/>
        <v>75801697</v>
      </c>
      <c r="J1408" s="47">
        <f t="shared" si="223"/>
        <v>75801697</v>
      </c>
      <c r="K1408" s="47">
        <v>75801697</v>
      </c>
      <c r="L1408" s="47">
        <v>75801697</v>
      </c>
      <c r="M1408" s="893"/>
    </row>
    <row r="1409" spans="1:13" hidden="1" outlineLevel="1" x14ac:dyDescent="0.2">
      <c r="A1409" s="22" t="s">
        <v>1238</v>
      </c>
      <c r="B1409" s="2" t="s">
        <v>50</v>
      </c>
      <c r="C1409" s="2" t="s">
        <v>1239</v>
      </c>
      <c r="D1409" s="710">
        <f t="shared" si="188"/>
        <v>0</v>
      </c>
      <c r="E1409" s="4" t="s">
        <v>3</v>
      </c>
      <c r="F1409" s="47">
        <f t="shared" ref="F1409:I1409" si="237">G1409</f>
        <v>2272570083</v>
      </c>
      <c r="G1409" s="47">
        <f t="shared" si="237"/>
        <v>2272570083</v>
      </c>
      <c r="H1409" s="47">
        <f t="shared" si="237"/>
        <v>2272570083</v>
      </c>
      <c r="I1409" s="47">
        <f t="shared" si="237"/>
        <v>2272570083</v>
      </c>
      <c r="J1409" s="47">
        <f t="shared" si="223"/>
        <v>2272570083</v>
      </c>
      <c r="K1409" s="47">
        <v>2272570083</v>
      </c>
      <c r="L1409" s="47">
        <v>2272570083</v>
      </c>
      <c r="M1409" s="893"/>
    </row>
    <row r="1410" spans="1:13" hidden="1" outlineLevel="1" x14ac:dyDescent="0.2">
      <c r="A1410" s="22" t="s">
        <v>1238</v>
      </c>
      <c r="B1410" s="2" t="s">
        <v>50</v>
      </c>
      <c r="C1410" s="2" t="s">
        <v>1239</v>
      </c>
      <c r="D1410" s="710">
        <f t="shared" si="188"/>
        <v>0</v>
      </c>
      <c r="E1410" s="4" t="s">
        <v>20</v>
      </c>
      <c r="F1410" s="47">
        <f t="shared" ref="F1410:I1410" si="238">G1410</f>
        <v>21178616245</v>
      </c>
      <c r="G1410" s="47">
        <f t="shared" si="238"/>
        <v>21178616245</v>
      </c>
      <c r="H1410" s="47">
        <f t="shared" si="238"/>
        <v>21178616245</v>
      </c>
      <c r="I1410" s="47">
        <f t="shared" si="238"/>
        <v>21178616245</v>
      </c>
      <c r="J1410" s="47">
        <f t="shared" si="223"/>
        <v>21178616245</v>
      </c>
      <c r="K1410" s="47">
        <v>21178616245</v>
      </c>
      <c r="L1410" s="47">
        <v>21178616245</v>
      </c>
      <c r="M1410" s="893"/>
    </row>
    <row r="1411" spans="1:13" hidden="1" outlineLevel="1" x14ac:dyDescent="0.2">
      <c r="A1411" s="22" t="s">
        <v>1238</v>
      </c>
      <c r="B1411" s="2" t="s">
        <v>50</v>
      </c>
      <c r="C1411" s="2" t="s">
        <v>1239</v>
      </c>
      <c r="D1411" s="710">
        <f t="shared" si="188"/>
        <v>0</v>
      </c>
      <c r="E1411" s="4" t="s">
        <v>21</v>
      </c>
      <c r="F1411" s="47">
        <f t="shared" ref="F1411:I1411" si="239">G1411</f>
        <v>1673948</v>
      </c>
      <c r="G1411" s="47">
        <f t="shared" si="239"/>
        <v>1673948</v>
      </c>
      <c r="H1411" s="47">
        <f t="shared" si="239"/>
        <v>1673948</v>
      </c>
      <c r="I1411" s="47">
        <f t="shared" si="239"/>
        <v>1673948</v>
      </c>
      <c r="J1411" s="47">
        <f t="shared" si="223"/>
        <v>1673948</v>
      </c>
      <c r="K1411" s="47">
        <v>1673948</v>
      </c>
      <c r="L1411" s="47">
        <v>1673948</v>
      </c>
      <c r="M1411" s="893"/>
    </row>
    <row r="1412" spans="1:13" hidden="1" outlineLevel="1" x14ac:dyDescent="0.2">
      <c r="A1412" s="22" t="s">
        <v>1238</v>
      </c>
      <c r="B1412" s="2" t="s">
        <v>50</v>
      </c>
      <c r="C1412" s="2" t="s">
        <v>1239</v>
      </c>
      <c r="D1412" s="710">
        <f t="shared" si="188"/>
        <v>0</v>
      </c>
      <c r="E1412" s="4" t="s">
        <v>1096</v>
      </c>
      <c r="F1412" s="47">
        <f t="shared" ref="F1412:I1412" si="240">G1412</f>
        <v>4765808</v>
      </c>
      <c r="G1412" s="47">
        <f t="shared" si="240"/>
        <v>4765808</v>
      </c>
      <c r="H1412" s="47">
        <f t="shared" si="240"/>
        <v>4765808</v>
      </c>
      <c r="I1412" s="47">
        <f t="shared" si="240"/>
        <v>4765808</v>
      </c>
      <c r="J1412" s="47">
        <f t="shared" si="223"/>
        <v>4765808</v>
      </c>
      <c r="K1412" s="47">
        <v>4765808</v>
      </c>
      <c r="L1412" s="47">
        <v>4765808</v>
      </c>
      <c r="M1412" s="893"/>
    </row>
    <row r="1413" spans="1:13" hidden="1" outlineLevel="1" x14ac:dyDescent="0.2">
      <c r="A1413" s="22" t="s">
        <v>1238</v>
      </c>
      <c r="B1413" s="2" t="s">
        <v>50</v>
      </c>
      <c r="C1413" s="2" t="s">
        <v>1239</v>
      </c>
      <c r="D1413" s="710">
        <f t="shared" si="188"/>
        <v>0</v>
      </c>
      <c r="E1413" s="4" t="s">
        <v>22</v>
      </c>
      <c r="F1413" s="47">
        <f t="shared" ref="F1413:I1413" si="241">G1413</f>
        <v>0</v>
      </c>
      <c r="G1413" s="47">
        <f t="shared" si="241"/>
        <v>0</v>
      </c>
      <c r="H1413" s="47">
        <f t="shared" si="241"/>
        <v>0</v>
      </c>
      <c r="I1413" s="47">
        <f t="shared" si="241"/>
        <v>0</v>
      </c>
      <c r="J1413" s="47">
        <f t="shared" si="223"/>
        <v>0</v>
      </c>
      <c r="K1413" s="47"/>
      <c r="L1413" s="47"/>
      <c r="M1413" s="893"/>
    </row>
    <row r="1414" spans="1:13" hidden="1" outlineLevel="1" x14ac:dyDescent="0.2">
      <c r="A1414" s="91" t="s">
        <v>1238</v>
      </c>
      <c r="B1414" s="3" t="s">
        <v>50</v>
      </c>
      <c r="C1414" s="3" t="s">
        <v>1239</v>
      </c>
      <c r="D1414" s="711">
        <f t="shared" si="188"/>
        <v>0</v>
      </c>
      <c r="E1414" s="469" t="s">
        <v>23</v>
      </c>
      <c r="F1414" s="48">
        <f t="shared" ref="F1414:I1414" si="242">G1414</f>
        <v>34537903</v>
      </c>
      <c r="G1414" s="48">
        <f t="shared" si="242"/>
        <v>34537903</v>
      </c>
      <c r="H1414" s="48">
        <f t="shared" si="242"/>
        <v>34537903</v>
      </c>
      <c r="I1414" s="48">
        <f t="shared" si="242"/>
        <v>34537903</v>
      </c>
      <c r="J1414" s="48">
        <f t="shared" si="223"/>
        <v>34537903</v>
      </c>
      <c r="K1414" s="363">
        <v>34537903</v>
      </c>
      <c r="L1414" s="363">
        <v>34537903</v>
      </c>
      <c r="M1414" s="920"/>
    </row>
    <row r="1415" spans="1:13" hidden="1" outlineLevel="1" x14ac:dyDescent="0.2">
      <c r="A1415" s="92" t="s">
        <v>1238</v>
      </c>
      <c r="B1415" s="81" t="s">
        <v>73</v>
      </c>
      <c r="C1415" s="81" t="s">
        <v>1240</v>
      </c>
      <c r="D1415" s="709">
        <f t="shared" si="188"/>
        <v>0</v>
      </c>
      <c r="E1415" s="468" t="s">
        <v>4</v>
      </c>
      <c r="F1415" s="377">
        <v>212.50700000000001</v>
      </c>
      <c r="G1415" s="88">
        <v>260.07100000000003</v>
      </c>
      <c r="H1415" s="88">
        <v>324.40499999999997</v>
      </c>
      <c r="I1415" s="88">
        <v>305.76299999999998</v>
      </c>
      <c r="J1415" s="88">
        <v>367.565</v>
      </c>
      <c r="K1415" s="377">
        <v>444.61200000000002</v>
      </c>
      <c r="L1415" s="377">
        <v>474.95400000000001</v>
      </c>
      <c r="M1415" s="888"/>
    </row>
    <row r="1416" spans="1:13" hidden="1" outlineLevel="1" x14ac:dyDescent="0.2">
      <c r="A1416" s="22" t="s">
        <v>1238</v>
      </c>
      <c r="B1416" s="2" t="s">
        <v>73</v>
      </c>
      <c r="C1416" s="2" t="s">
        <v>1240</v>
      </c>
      <c r="D1416" s="710">
        <f t="shared" si="188"/>
        <v>0</v>
      </c>
      <c r="E1416" s="4" t="s">
        <v>5</v>
      </c>
      <c r="F1416" s="43">
        <v>7.9660000000000002</v>
      </c>
      <c r="G1416" s="43">
        <v>8.3190000000000008</v>
      </c>
      <c r="H1416" s="43">
        <v>8.2469999999999999</v>
      </c>
      <c r="I1416" s="43">
        <v>7.7169999999999996</v>
      </c>
      <c r="J1416" s="43">
        <v>7.7709999999999999</v>
      </c>
      <c r="K1416" s="43">
        <v>7.7880000000000003</v>
      </c>
      <c r="L1416" s="43">
        <v>8.0429999999999993</v>
      </c>
      <c r="M1416" s="887"/>
    </row>
    <row r="1417" spans="1:13" hidden="1" outlineLevel="1" x14ac:dyDescent="0.2">
      <c r="A1417" s="22" t="s">
        <v>1238</v>
      </c>
      <c r="B1417" s="2" t="s">
        <v>73</v>
      </c>
      <c r="C1417" s="2" t="s">
        <v>1240</v>
      </c>
      <c r="D1417" s="710">
        <f t="shared" si="188"/>
        <v>0</v>
      </c>
      <c r="E1417" s="4" t="s">
        <v>6</v>
      </c>
      <c r="F1417" s="43">
        <v>4.1970000000000001</v>
      </c>
      <c r="G1417" s="43">
        <v>4.4829999999999997</v>
      </c>
      <c r="H1417" s="43">
        <v>4.3440000000000003</v>
      </c>
      <c r="I1417" s="43">
        <v>4.3959999999999999</v>
      </c>
      <c r="J1417" s="43">
        <v>4.2450000000000001</v>
      </c>
      <c r="K1417" s="43">
        <v>4.3129999999999997</v>
      </c>
      <c r="L1417" s="43">
        <v>4.49</v>
      </c>
      <c r="M1417" s="887"/>
    </row>
    <row r="1418" spans="1:13" hidden="1" outlineLevel="1" x14ac:dyDescent="0.2">
      <c r="A1418" s="22" t="s">
        <v>1238</v>
      </c>
      <c r="B1418" s="2" t="s">
        <v>73</v>
      </c>
      <c r="C1418" s="2" t="s">
        <v>1240</v>
      </c>
      <c r="D1418" s="710">
        <f t="shared" si="188"/>
        <v>0</v>
      </c>
      <c r="E1418" s="4" t="s">
        <v>143</v>
      </c>
      <c r="F1418" s="43">
        <v>1.2130000000000001</v>
      </c>
      <c r="G1418" s="43">
        <v>1.282</v>
      </c>
      <c r="H1418" s="43">
        <v>1.3640000000000001</v>
      </c>
      <c r="I1418" s="43">
        <v>1.349</v>
      </c>
      <c r="J1418" s="43">
        <v>1.401</v>
      </c>
      <c r="K1418" s="43">
        <v>1.4550000000000001</v>
      </c>
      <c r="L1418" s="43">
        <v>1.554</v>
      </c>
      <c r="M1418" s="887"/>
    </row>
    <row r="1419" spans="1:13" hidden="1" outlineLevel="1" x14ac:dyDescent="0.2">
      <c r="A1419" s="22" t="s">
        <v>1238</v>
      </c>
      <c r="B1419" s="2" t="s">
        <v>73</v>
      </c>
      <c r="C1419" s="2" t="s">
        <v>1240</v>
      </c>
      <c r="D1419" s="710">
        <f t="shared" si="188"/>
        <v>0</v>
      </c>
      <c r="E1419" s="4" t="s">
        <v>7</v>
      </c>
      <c r="F1419" s="43">
        <v>11.52</v>
      </c>
      <c r="G1419" s="43">
        <v>13.215999999999999</v>
      </c>
      <c r="H1419" s="43">
        <v>16.792000000000002</v>
      </c>
      <c r="I1419" s="43">
        <v>17.463999999999999</v>
      </c>
      <c r="J1419" s="43">
        <v>19.786000000000001</v>
      </c>
      <c r="K1419" s="43">
        <v>24.120999999999999</v>
      </c>
      <c r="L1419" s="43">
        <v>27.428999999999998</v>
      </c>
      <c r="M1419" s="887"/>
    </row>
    <row r="1420" spans="1:13" hidden="1" outlineLevel="1" x14ac:dyDescent="0.2">
      <c r="A1420" s="22" t="s">
        <v>1238</v>
      </c>
      <c r="B1420" s="2" t="s">
        <v>73</v>
      </c>
      <c r="C1420" s="2" t="s">
        <v>1240</v>
      </c>
      <c r="D1420" s="710">
        <f t="shared" si="188"/>
        <v>0</v>
      </c>
      <c r="E1420" s="4" t="s">
        <v>31</v>
      </c>
      <c r="F1420" s="43">
        <v>1089.1569999999999</v>
      </c>
      <c r="G1420" s="43">
        <v>1366.22</v>
      </c>
      <c r="H1420" s="43">
        <v>1650.3920000000001</v>
      </c>
      <c r="I1420" s="43">
        <v>1622.3109999999999</v>
      </c>
      <c r="J1420" s="43">
        <v>2142.9259999999999</v>
      </c>
      <c r="K1420" s="43">
        <v>2492.9070000000002</v>
      </c>
      <c r="L1420" s="43">
        <v>2395.9679999999998</v>
      </c>
      <c r="M1420" s="887"/>
    </row>
    <row r="1421" spans="1:13" hidden="1" outlineLevel="1" x14ac:dyDescent="0.2">
      <c r="A1421" s="22" t="s">
        <v>1238</v>
      </c>
      <c r="B1421" s="2" t="s">
        <v>73</v>
      </c>
      <c r="C1421" s="2" t="s">
        <v>1240</v>
      </c>
      <c r="D1421" s="710">
        <f t="shared" si="188"/>
        <v>0</v>
      </c>
      <c r="E1421" s="4" t="s">
        <v>8</v>
      </c>
      <c r="F1421" s="43">
        <v>154.708</v>
      </c>
      <c r="G1421" s="43">
        <v>173.06399999999999</v>
      </c>
      <c r="H1421" s="43">
        <v>179.524</v>
      </c>
      <c r="I1421" s="43">
        <v>172.10900000000001</v>
      </c>
      <c r="J1421" s="43">
        <v>217.31200000000001</v>
      </c>
      <c r="K1421" s="43">
        <v>250.994</v>
      </c>
      <c r="L1421" s="43">
        <v>268.17700000000002</v>
      </c>
      <c r="M1421" s="887"/>
    </row>
    <row r="1422" spans="1:13" hidden="1" outlineLevel="1" x14ac:dyDescent="0.2">
      <c r="A1422" s="22" t="s">
        <v>1238</v>
      </c>
      <c r="B1422" s="2" t="s">
        <v>73</v>
      </c>
      <c r="C1422" s="2" t="s">
        <v>1240</v>
      </c>
      <c r="D1422" s="710">
        <f t="shared" si="188"/>
        <v>0</v>
      </c>
      <c r="E1422" s="4" t="s">
        <v>9</v>
      </c>
      <c r="F1422" s="43">
        <v>160.691</v>
      </c>
      <c r="G1422" s="43">
        <v>210.565</v>
      </c>
      <c r="H1422" s="43">
        <v>235.255</v>
      </c>
      <c r="I1422" s="43">
        <v>231.59700000000001</v>
      </c>
      <c r="J1422" s="43">
        <v>284.87700000000001</v>
      </c>
      <c r="K1422" s="43">
        <v>327.62599999999998</v>
      </c>
      <c r="L1422" s="43">
        <v>366.02</v>
      </c>
      <c r="M1422" s="887"/>
    </row>
    <row r="1423" spans="1:13" hidden="1" outlineLevel="1" x14ac:dyDescent="0.2">
      <c r="A1423" s="22" t="s">
        <v>1238</v>
      </c>
      <c r="B1423" s="2" t="s">
        <v>73</v>
      </c>
      <c r="C1423" s="2" t="s">
        <v>1240</v>
      </c>
      <c r="D1423" s="710">
        <f t="shared" si="188"/>
        <v>0</v>
      </c>
      <c r="E1423" s="4" t="s">
        <v>10</v>
      </c>
      <c r="F1423" s="43">
        <v>22.526</v>
      </c>
      <c r="G1423" s="43">
        <v>26.321999999999999</v>
      </c>
      <c r="H1423" s="43">
        <v>29.838000000000001</v>
      </c>
      <c r="I1423" s="43">
        <v>29.382999999999999</v>
      </c>
      <c r="J1423" s="43">
        <v>36.218000000000004</v>
      </c>
      <c r="K1423" s="43">
        <v>40.869999999999997</v>
      </c>
      <c r="L1423" s="43">
        <v>45.134</v>
      </c>
      <c r="M1423" s="887"/>
    </row>
    <row r="1424" spans="1:13" hidden="1" outlineLevel="1" x14ac:dyDescent="0.2">
      <c r="A1424" s="22" t="s">
        <v>1238</v>
      </c>
      <c r="B1424" s="2" t="s">
        <v>73</v>
      </c>
      <c r="C1424" s="2" t="s">
        <v>1240</v>
      </c>
      <c r="D1424" s="710">
        <f t="shared" si="188"/>
        <v>0</v>
      </c>
      <c r="E1424" s="4" t="s">
        <v>11</v>
      </c>
      <c r="F1424" s="43">
        <v>35.667999999999999</v>
      </c>
      <c r="G1424" s="43">
        <v>40.985999999999997</v>
      </c>
      <c r="H1424" s="43">
        <v>45.515999999999998</v>
      </c>
      <c r="I1424" s="43">
        <v>46.713999999999999</v>
      </c>
      <c r="J1424" s="43">
        <v>51.671999999999997</v>
      </c>
      <c r="K1424" s="43">
        <v>55.636000000000003</v>
      </c>
      <c r="L1424" s="43">
        <v>58.996000000000002</v>
      </c>
      <c r="M1424" s="887"/>
    </row>
    <row r="1425" spans="1:13" hidden="1" outlineLevel="1" x14ac:dyDescent="0.2">
      <c r="A1425" s="22" t="s">
        <v>1238</v>
      </c>
      <c r="B1425" s="2" t="s">
        <v>73</v>
      </c>
      <c r="C1425" s="2" t="s">
        <v>1240</v>
      </c>
      <c r="D1425" s="710">
        <f t="shared" si="188"/>
        <v>0</v>
      </c>
      <c r="E1425" s="4" t="s">
        <v>12</v>
      </c>
      <c r="F1425" s="43">
        <v>46.798999999999999</v>
      </c>
      <c r="G1425" s="43">
        <v>51.008000000000003</v>
      </c>
      <c r="H1425" s="43">
        <v>60.747999999999998</v>
      </c>
      <c r="I1425" s="43">
        <v>57.859000000000002</v>
      </c>
      <c r="J1425" s="43">
        <v>63.753999999999998</v>
      </c>
      <c r="K1425" s="43">
        <v>73.040999999999997</v>
      </c>
      <c r="L1425" s="43">
        <v>80.927000000000007</v>
      </c>
      <c r="M1425" s="887"/>
    </row>
    <row r="1426" spans="1:13" hidden="1" outlineLevel="1" x14ac:dyDescent="0.2">
      <c r="A1426" s="22" t="s">
        <v>1238</v>
      </c>
      <c r="B1426" s="2" t="s">
        <v>73</v>
      </c>
      <c r="C1426" s="2" t="s">
        <v>1240</v>
      </c>
      <c r="D1426" s="710">
        <f t="shared" si="188"/>
        <v>0</v>
      </c>
      <c r="E1426" s="4" t="s">
        <v>1</v>
      </c>
      <c r="F1426" s="43">
        <v>18.550999999999998</v>
      </c>
      <c r="G1426" s="43">
        <v>20.105</v>
      </c>
      <c r="H1426" s="43">
        <v>21.431000000000001</v>
      </c>
      <c r="I1426" s="43">
        <v>20.661000000000001</v>
      </c>
      <c r="J1426" s="43">
        <v>21.417999999999999</v>
      </c>
      <c r="K1426" s="43">
        <v>23.094999999999999</v>
      </c>
      <c r="L1426" s="43">
        <v>23.815999999999999</v>
      </c>
      <c r="M1426" s="887"/>
    </row>
    <row r="1427" spans="1:13" hidden="1" outlineLevel="1" x14ac:dyDescent="0.2">
      <c r="A1427" s="22" t="s">
        <v>1238</v>
      </c>
      <c r="B1427" s="2" t="s">
        <v>73</v>
      </c>
      <c r="C1427" s="2" t="s">
        <v>1240</v>
      </c>
      <c r="D1427" s="710">
        <f t="shared" si="188"/>
        <v>0</v>
      </c>
      <c r="E1427" s="4" t="s">
        <v>13</v>
      </c>
      <c r="F1427" s="43">
        <v>30.231000000000002</v>
      </c>
      <c r="G1427" s="43">
        <v>34.113</v>
      </c>
      <c r="H1427" s="43">
        <v>39.137</v>
      </c>
      <c r="I1427" s="43">
        <v>37.734000000000002</v>
      </c>
      <c r="J1427" s="43">
        <v>41.341000000000001</v>
      </c>
      <c r="K1427" s="43">
        <v>46.98</v>
      </c>
      <c r="L1427" s="43">
        <v>49.88</v>
      </c>
      <c r="M1427" s="887"/>
    </row>
    <row r="1428" spans="1:13" hidden="1" outlineLevel="1" x14ac:dyDescent="0.2">
      <c r="A1428" s="22" t="s">
        <v>1238</v>
      </c>
      <c r="B1428" s="2" t="s">
        <v>73</v>
      </c>
      <c r="C1428" s="2" t="s">
        <v>1240</v>
      </c>
      <c r="D1428" s="710">
        <f t="shared" ref="D1428:D1466" si="243">IF(C1428="","",IF(OR(C1428="Wind",C1428="Solar",C1428="Geothermal",C1428="Small Hydro",C1428="Biofuels",C1428="Biomass &amp; Waste"), 1, 0))</f>
        <v>0</v>
      </c>
      <c r="E1428" s="4" t="s">
        <v>14</v>
      </c>
      <c r="F1428" s="43">
        <v>1.458</v>
      </c>
      <c r="G1428" s="43">
        <v>1.7390000000000001</v>
      </c>
      <c r="H1428" s="43">
        <v>1.923</v>
      </c>
      <c r="I1428" s="43">
        <v>2.024</v>
      </c>
      <c r="J1428" s="43">
        <v>2.2589999999999999</v>
      </c>
      <c r="K1428" s="43">
        <v>2.577</v>
      </c>
      <c r="L1428" s="43">
        <v>2.7879999999999998</v>
      </c>
      <c r="M1428" s="887"/>
    </row>
    <row r="1429" spans="1:13" hidden="1" outlineLevel="1" x14ac:dyDescent="0.2">
      <c r="A1429" s="22" t="s">
        <v>1238</v>
      </c>
      <c r="B1429" s="2" t="s">
        <v>73</v>
      </c>
      <c r="C1429" s="2" t="s">
        <v>1240</v>
      </c>
      <c r="D1429" s="710">
        <f t="shared" si="243"/>
        <v>0</v>
      </c>
      <c r="E1429" s="4" t="s">
        <v>15</v>
      </c>
      <c r="F1429" s="43">
        <v>4.7560000000000002</v>
      </c>
      <c r="G1429" s="43">
        <v>5.8849999999999998</v>
      </c>
      <c r="H1429" s="43">
        <v>6.55</v>
      </c>
      <c r="I1429" s="43">
        <v>6.5519999999999996</v>
      </c>
      <c r="J1429" s="43">
        <v>6.5510000000000002</v>
      </c>
      <c r="K1429" s="43">
        <v>7.3879999999999999</v>
      </c>
      <c r="L1429" s="43">
        <v>7.9020000000000001</v>
      </c>
      <c r="M1429" s="887"/>
    </row>
    <row r="1430" spans="1:13" hidden="1" outlineLevel="1" x14ac:dyDescent="0.2">
      <c r="A1430" s="22" t="s">
        <v>1238</v>
      </c>
      <c r="B1430" s="2" t="s">
        <v>73</v>
      </c>
      <c r="C1430" s="2" t="s">
        <v>1240</v>
      </c>
      <c r="D1430" s="710">
        <f t="shared" si="243"/>
        <v>0</v>
      </c>
      <c r="E1430" s="4" t="s">
        <v>16</v>
      </c>
      <c r="F1430" s="43">
        <v>10.879</v>
      </c>
      <c r="G1430" s="43">
        <v>12.318</v>
      </c>
      <c r="H1430" s="43">
        <v>13.837999999999999</v>
      </c>
      <c r="I1430" s="43">
        <v>14.537000000000001</v>
      </c>
      <c r="J1430" s="43">
        <v>15.784000000000001</v>
      </c>
      <c r="K1430" s="43">
        <v>17.616</v>
      </c>
      <c r="L1430" s="43">
        <v>18.388000000000002</v>
      </c>
      <c r="M1430" s="887"/>
    </row>
    <row r="1431" spans="1:13" hidden="1" outlineLevel="1" x14ac:dyDescent="0.2">
      <c r="A1431" s="22" t="s">
        <v>1238</v>
      </c>
      <c r="B1431" s="2" t="s">
        <v>73</v>
      </c>
      <c r="C1431" s="2" t="s">
        <v>1240</v>
      </c>
      <c r="D1431" s="710">
        <f t="shared" si="243"/>
        <v>0</v>
      </c>
      <c r="E1431" s="4" t="s">
        <v>17</v>
      </c>
      <c r="F1431" s="43">
        <v>11.943</v>
      </c>
      <c r="G1431" s="43">
        <v>12.877000000000001</v>
      </c>
      <c r="H1431" s="43">
        <v>13.853</v>
      </c>
      <c r="I1431" s="43">
        <v>12.276</v>
      </c>
      <c r="J1431" s="43">
        <v>13.492000000000001</v>
      </c>
      <c r="K1431" s="43">
        <v>14.778</v>
      </c>
      <c r="L1431" s="43">
        <v>15.249000000000001</v>
      </c>
      <c r="M1431" s="887"/>
    </row>
    <row r="1432" spans="1:13" hidden="1" outlineLevel="1" x14ac:dyDescent="0.2">
      <c r="A1432" s="22" t="s">
        <v>1238</v>
      </c>
      <c r="B1432" s="2" t="s">
        <v>73</v>
      </c>
      <c r="C1432" s="2" t="s">
        <v>1240</v>
      </c>
      <c r="D1432" s="710">
        <f t="shared" si="243"/>
        <v>0</v>
      </c>
      <c r="E1432" s="4" t="s">
        <v>18</v>
      </c>
      <c r="F1432" s="43">
        <v>951.68</v>
      </c>
      <c r="G1432" s="43">
        <v>1035.0319999999999</v>
      </c>
      <c r="H1432" s="43">
        <v>1093.7439999999999</v>
      </c>
      <c r="I1432" s="43">
        <v>882.83399999999995</v>
      </c>
      <c r="J1432" s="43">
        <v>1034.146</v>
      </c>
      <c r="K1432" s="43">
        <v>1158.3019999999999</v>
      </c>
      <c r="L1432" s="43">
        <v>1177.116</v>
      </c>
      <c r="M1432" s="887"/>
    </row>
    <row r="1433" spans="1:13" hidden="1" outlineLevel="1" x14ac:dyDescent="0.2">
      <c r="A1433" s="22" t="s">
        <v>1238</v>
      </c>
      <c r="B1433" s="2" t="s">
        <v>73</v>
      </c>
      <c r="C1433" s="2" t="s">
        <v>1240</v>
      </c>
      <c r="D1433" s="710">
        <f t="shared" si="243"/>
        <v>0</v>
      </c>
      <c r="E1433" s="4" t="s">
        <v>2</v>
      </c>
      <c r="F1433" s="43">
        <v>6.7859999999999996</v>
      </c>
      <c r="G1433" s="43">
        <v>7.4470000000000001</v>
      </c>
      <c r="H1433" s="43">
        <v>8.2539999999999996</v>
      </c>
      <c r="I1433" s="43">
        <v>8.1549999999999994</v>
      </c>
      <c r="J1433" s="43">
        <v>8.5869999999999997</v>
      </c>
      <c r="K1433" s="43">
        <v>9.6359999999999992</v>
      </c>
      <c r="L1433" s="43">
        <v>10.506</v>
      </c>
      <c r="M1433" s="887"/>
    </row>
    <row r="1434" spans="1:13" hidden="1" outlineLevel="1" x14ac:dyDescent="0.2">
      <c r="A1434" s="22" t="s">
        <v>1238</v>
      </c>
      <c r="B1434" s="2" t="s">
        <v>73</v>
      </c>
      <c r="C1434" s="2" t="s">
        <v>1240</v>
      </c>
      <c r="D1434" s="710">
        <f t="shared" si="243"/>
        <v>0</v>
      </c>
      <c r="E1434" s="4" t="s">
        <v>19</v>
      </c>
      <c r="F1434" s="43">
        <v>17.137</v>
      </c>
      <c r="G1434" s="43">
        <v>19.794</v>
      </c>
      <c r="H1434" s="43">
        <v>23.001999999999999</v>
      </c>
      <c r="I1434" s="43">
        <v>24.163</v>
      </c>
      <c r="J1434" s="43">
        <v>27.053000000000001</v>
      </c>
      <c r="K1434" s="43">
        <v>31.315999999999999</v>
      </c>
      <c r="L1434" s="43">
        <v>36.253</v>
      </c>
      <c r="M1434" s="887"/>
    </row>
    <row r="1435" spans="1:13" hidden="1" outlineLevel="1" x14ac:dyDescent="0.2">
      <c r="A1435" s="22" t="s">
        <v>1238</v>
      </c>
      <c r="B1435" s="2" t="s">
        <v>73</v>
      </c>
      <c r="C1435" s="2" t="s">
        <v>1240</v>
      </c>
      <c r="D1435" s="710">
        <f t="shared" si="243"/>
        <v>0</v>
      </c>
      <c r="E1435" s="4" t="s">
        <v>3</v>
      </c>
      <c r="F1435" s="43">
        <v>10.712</v>
      </c>
      <c r="G1435" s="43">
        <v>13.907999999999999</v>
      </c>
      <c r="H1435" s="43">
        <v>18.620999999999999</v>
      </c>
      <c r="I1435" s="43">
        <v>15.926</v>
      </c>
      <c r="J1435" s="43">
        <v>20.733000000000001</v>
      </c>
      <c r="K1435" s="43">
        <v>24.08</v>
      </c>
      <c r="L1435" s="43">
        <v>25.998999999999999</v>
      </c>
      <c r="M1435" s="887"/>
    </row>
    <row r="1436" spans="1:13" hidden="1" outlineLevel="1" x14ac:dyDescent="0.2">
      <c r="A1436" s="22" t="s">
        <v>1238</v>
      </c>
      <c r="B1436" s="2" t="s">
        <v>73</v>
      </c>
      <c r="C1436" s="2" t="s">
        <v>1240</v>
      </c>
      <c r="D1436" s="710">
        <f t="shared" si="243"/>
        <v>0</v>
      </c>
      <c r="E1436" s="4" t="s">
        <v>20</v>
      </c>
      <c r="F1436" s="43">
        <v>92.323999999999998</v>
      </c>
      <c r="G1436" s="43">
        <v>107.251</v>
      </c>
      <c r="H1436" s="43">
        <v>126.869</v>
      </c>
      <c r="I1436" s="43">
        <v>126.953</v>
      </c>
      <c r="J1436" s="43">
        <v>153.88399999999999</v>
      </c>
      <c r="K1436" s="43">
        <v>178.48500000000001</v>
      </c>
      <c r="L1436" s="43">
        <v>199.00299999999999</v>
      </c>
      <c r="M1436" s="887"/>
    </row>
    <row r="1437" spans="1:13" hidden="1" outlineLevel="1" x14ac:dyDescent="0.2">
      <c r="A1437" s="22" t="s">
        <v>1238</v>
      </c>
      <c r="B1437" s="2" t="s">
        <v>73</v>
      </c>
      <c r="C1437" s="2" t="s">
        <v>1240</v>
      </c>
      <c r="D1437" s="710">
        <f t="shared" si="243"/>
        <v>0</v>
      </c>
      <c r="E1437" s="4" t="s">
        <v>21</v>
      </c>
      <c r="F1437" s="43">
        <v>2.6259999999999999</v>
      </c>
      <c r="G1437" s="43">
        <v>2.9359999999999999</v>
      </c>
      <c r="H1437" s="43">
        <v>3.5329999999999999</v>
      </c>
      <c r="I1437" s="43">
        <v>3.8759999999999999</v>
      </c>
      <c r="J1437" s="43">
        <v>4.367</v>
      </c>
      <c r="K1437" s="43">
        <v>4.3040000000000003</v>
      </c>
      <c r="L1437" s="43">
        <v>4.7380000000000004</v>
      </c>
      <c r="M1437" s="887"/>
    </row>
    <row r="1438" spans="1:13" hidden="1" outlineLevel="1" x14ac:dyDescent="0.2">
      <c r="A1438" s="22" t="s">
        <v>1238</v>
      </c>
      <c r="B1438" s="2" t="s">
        <v>73</v>
      </c>
      <c r="C1438" s="2" t="s">
        <v>1240</v>
      </c>
      <c r="D1438" s="710">
        <f t="shared" si="243"/>
        <v>0</v>
      </c>
      <c r="E1438" s="4" t="s">
        <v>1096</v>
      </c>
      <c r="F1438" s="43">
        <v>18.369</v>
      </c>
      <c r="G1438" s="43">
        <v>21.641999999999999</v>
      </c>
      <c r="H1438" s="43">
        <v>27.87</v>
      </c>
      <c r="I1438" s="43">
        <v>19.175000000000001</v>
      </c>
      <c r="J1438" s="43">
        <v>20.593</v>
      </c>
      <c r="K1438" s="43">
        <v>23.585999999999999</v>
      </c>
      <c r="L1438" s="43">
        <v>25.277000000000001</v>
      </c>
      <c r="M1438" s="887"/>
    </row>
    <row r="1439" spans="1:13" hidden="1" outlineLevel="1" x14ac:dyDescent="0.2">
      <c r="A1439" s="22" t="s">
        <v>1238</v>
      </c>
      <c r="B1439" s="2" t="s">
        <v>73</v>
      </c>
      <c r="C1439" s="2" t="s">
        <v>1240</v>
      </c>
      <c r="D1439" s="710">
        <f t="shared" si="243"/>
        <v>0</v>
      </c>
      <c r="E1439" s="4" t="s">
        <v>22</v>
      </c>
      <c r="F1439" s="43">
        <v>19.579000000000001</v>
      </c>
      <c r="G1439" s="43">
        <v>23.411000000000001</v>
      </c>
      <c r="H1439" s="43">
        <v>30.366</v>
      </c>
      <c r="I1439" s="43">
        <v>30.497</v>
      </c>
      <c r="J1439" s="43">
        <v>39.411999999999999</v>
      </c>
      <c r="K1439" s="43">
        <v>46.71</v>
      </c>
      <c r="L1439" s="43">
        <v>49.404000000000003</v>
      </c>
      <c r="M1439" s="887"/>
    </row>
    <row r="1440" spans="1:13" hidden="1" outlineLevel="1" x14ac:dyDescent="0.2">
      <c r="A1440" s="91" t="s">
        <v>1238</v>
      </c>
      <c r="B1440" s="3" t="s">
        <v>73</v>
      </c>
      <c r="C1440" s="3" t="s">
        <v>1240</v>
      </c>
      <c r="D1440" s="711">
        <f t="shared" si="243"/>
        <v>0</v>
      </c>
      <c r="E1440" s="469" t="s">
        <v>23</v>
      </c>
      <c r="F1440" s="46">
        <v>183.47800000000001</v>
      </c>
      <c r="G1440" s="46">
        <v>230.364</v>
      </c>
      <c r="H1440" s="46">
        <v>315.60000000000002</v>
      </c>
      <c r="I1440" s="46">
        <v>329.41899999999998</v>
      </c>
      <c r="J1440" s="46">
        <v>393.80700000000002</v>
      </c>
      <c r="K1440" s="374">
        <v>316.48200000000003</v>
      </c>
      <c r="L1440" s="374">
        <v>382.42399999999998</v>
      </c>
      <c r="M1440" s="918"/>
    </row>
    <row r="1441" spans="1:13" hidden="1" outlineLevel="1" x14ac:dyDescent="0.2">
      <c r="A1441" s="92" t="s">
        <v>1238</v>
      </c>
      <c r="B1441" s="81" t="s">
        <v>1541</v>
      </c>
      <c r="C1441" s="81" t="s">
        <v>1237</v>
      </c>
      <c r="D1441" s="709">
        <f t="shared" si="243"/>
        <v>0</v>
      </c>
      <c r="E1441" s="468" t="s">
        <v>4</v>
      </c>
      <c r="F1441" s="377">
        <v>38.354999999999997</v>
      </c>
      <c r="G1441" s="88">
        <v>38.787999999999997</v>
      </c>
      <c r="H1441" s="88">
        <v>39.225999999999999</v>
      </c>
      <c r="I1441" s="88">
        <v>39.668999999999997</v>
      </c>
      <c r="J1441" s="88">
        <v>40.116999999999997</v>
      </c>
      <c r="K1441" s="377">
        <v>40.57</v>
      </c>
      <c r="L1441" s="377">
        <v>41.027999999999999</v>
      </c>
      <c r="M1441" s="888"/>
    </row>
    <row r="1442" spans="1:13" hidden="1" outlineLevel="1" x14ac:dyDescent="0.2">
      <c r="A1442" s="22" t="s">
        <v>1238</v>
      </c>
      <c r="B1442" s="2" t="s">
        <v>1541</v>
      </c>
      <c r="C1442" s="2" t="s">
        <v>1237</v>
      </c>
      <c r="D1442" s="710">
        <f t="shared" si="243"/>
        <v>0</v>
      </c>
      <c r="E1442" s="4" t="s">
        <v>5</v>
      </c>
      <c r="F1442" s="43">
        <v>0.32900000000000001</v>
      </c>
      <c r="G1442" s="43">
        <v>0.33300000000000002</v>
      </c>
      <c r="H1442" s="43">
        <v>0.33700000000000002</v>
      </c>
      <c r="I1442" s="43">
        <v>0.34100000000000003</v>
      </c>
      <c r="J1442" s="43">
        <v>0.34499999999999997</v>
      </c>
      <c r="K1442" s="43">
        <v>0.34799999999999998</v>
      </c>
      <c r="L1442" s="43">
        <v>0.35199999999999998</v>
      </c>
      <c r="M1442" s="887"/>
    </row>
    <row r="1443" spans="1:13" hidden="1" outlineLevel="1" x14ac:dyDescent="0.2">
      <c r="A1443" s="22" t="s">
        <v>1238</v>
      </c>
      <c r="B1443" s="2" t="s">
        <v>1541</v>
      </c>
      <c r="C1443" s="2" t="s">
        <v>1237</v>
      </c>
      <c r="D1443" s="710">
        <f t="shared" si="243"/>
        <v>0</v>
      </c>
      <c r="E1443" s="4" t="s">
        <v>6</v>
      </c>
      <c r="F1443" s="43">
        <v>0.27400000000000002</v>
      </c>
      <c r="G1443" s="43">
        <v>0.27500000000000002</v>
      </c>
      <c r="H1443" s="43">
        <v>0.27500000000000002</v>
      </c>
      <c r="I1443" s="43">
        <v>0.27600000000000002</v>
      </c>
      <c r="J1443" s="43">
        <v>0.27700000000000002</v>
      </c>
      <c r="K1443" s="43">
        <v>0.27700000000000002</v>
      </c>
      <c r="L1443" s="43">
        <v>0.27800000000000002</v>
      </c>
      <c r="M1443" s="887"/>
    </row>
    <row r="1444" spans="1:13" hidden="1" outlineLevel="1" x14ac:dyDescent="0.2">
      <c r="A1444" s="22" t="s">
        <v>1238</v>
      </c>
      <c r="B1444" s="2" t="s">
        <v>1541</v>
      </c>
      <c r="C1444" s="2" t="s">
        <v>1237</v>
      </c>
      <c r="D1444" s="710">
        <f t="shared" si="243"/>
        <v>0</v>
      </c>
      <c r="E1444" s="4" t="s">
        <v>143</v>
      </c>
      <c r="F1444" s="43">
        <v>0.3</v>
      </c>
      <c r="G1444" s="43">
        <v>0.314</v>
      </c>
      <c r="H1444" s="43">
        <v>0.32200000000000001</v>
      </c>
      <c r="I1444" s="43">
        <v>0.32700000000000001</v>
      </c>
      <c r="J1444" s="43">
        <v>0.33200000000000002</v>
      </c>
      <c r="K1444" s="43">
        <v>0.33700000000000002</v>
      </c>
      <c r="L1444" s="43">
        <v>0.34300000000000003</v>
      </c>
      <c r="M1444" s="887"/>
    </row>
    <row r="1445" spans="1:13" hidden="1" outlineLevel="1" x14ac:dyDescent="0.2">
      <c r="A1445" s="22" t="s">
        <v>1238</v>
      </c>
      <c r="B1445" s="2" t="s">
        <v>1541</v>
      </c>
      <c r="C1445" s="2" t="s">
        <v>1237</v>
      </c>
      <c r="D1445" s="710">
        <f t="shared" si="243"/>
        <v>0</v>
      </c>
      <c r="E1445" s="4" t="s">
        <v>7</v>
      </c>
      <c r="F1445" s="43">
        <v>9.6270000000000007</v>
      </c>
      <c r="G1445" s="43">
        <v>9.8279999999999994</v>
      </c>
      <c r="H1445" s="43">
        <v>10.028</v>
      </c>
      <c r="I1445" s="43">
        <v>10.227</v>
      </c>
      <c r="J1445" s="43">
        <v>10.426</v>
      </c>
      <c r="K1445" s="43">
        <v>10.629</v>
      </c>
      <c r="L1445" s="43">
        <v>10.831</v>
      </c>
      <c r="M1445" s="887"/>
    </row>
    <row r="1446" spans="1:13" hidden="1" outlineLevel="1" x14ac:dyDescent="0.2">
      <c r="A1446" s="22" t="s">
        <v>1238</v>
      </c>
      <c r="B1446" s="2" t="s">
        <v>1541</v>
      </c>
      <c r="C1446" s="2" t="s">
        <v>1237</v>
      </c>
      <c r="D1446" s="710">
        <f t="shared" si="243"/>
        <v>0</v>
      </c>
      <c r="E1446" s="4" t="s">
        <v>31</v>
      </c>
      <c r="F1446" s="43">
        <v>187.958</v>
      </c>
      <c r="G1446" s="43">
        <v>189.798</v>
      </c>
      <c r="H1446" s="43">
        <v>191.54300000000001</v>
      </c>
      <c r="I1446" s="43">
        <v>193.24700000000001</v>
      </c>
      <c r="J1446" s="43">
        <v>194.947</v>
      </c>
      <c r="K1446" s="43">
        <v>196.655</v>
      </c>
      <c r="L1446" s="43">
        <v>198.36099999999999</v>
      </c>
      <c r="M1446" s="887"/>
    </row>
    <row r="1447" spans="1:13" hidden="1" outlineLevel="1" x14ac:dyDescent="0.2">
      <c r="A1447" s="22" t="s">
        <v>1238</v>
      </c>
      <c r="B1447" s="2" t="s">
        <v>1541</v>
      </c>
      <c r="C1447" s="2" t="s">
        <v>1237</v>
      </c>
      <c r="D1447" s="710">
        <f t="shared" si="243"/>
        <v>0</v>
      </c>
      <c r="E1447" s="4" t="s">
        <v>8</v>
      </c>
      <c r="F1447" s="43">
        <v>16.433</v>
      </c>
      <c r="G1447" s="43">
        <v>16.597999999999999</v>
      </c>
      <c r="H1447" s="43">
        <v>16.763000000000002</v>
      </c>
      <c r="I1447" s="43">
        <v>16.928999999999998</v>
      </c>
      <c r="J1447" s="43">
        <v>17.094000000000001</v>
      </c>
      <c r="K1447" s="43">
        <v>17.248000000000001</v>
      </c>
      <c r="L1447" s="43">
        <v>17.402999999999999</v>
      </c>
      <c r="M1447" s="887"/>
    </row>
    <row r="1448" spans="1:13" hidden="1" outlineLevel="1" x14ac:dyDescent="0.2">
      <c r="A1448" s="22" t="s">
        <v>1238</v>
      </c>
      <c r="B1448" s="2" t="s">
        <v>1541</v>
      </c>
      <c r="C1448" s="2" t="s">
        <v>1237</v>
      </c>
      <c r="D1448" s="710">
        <f t="shared" si="243"/>
        <v>0</v>
      </c>
      <c r="E1448" s="4" t="s">
        <v>9</v>
      </c>
      <c r="F1448" s="43">
        <v>43.405000000000001</v>
      </c>
      <c r="G1448" s="43">
        <v>43.926000000000002</v>
      </c>
      <c r="H1448" s="43">
        <v>44.45</v>
      </c>
      <c r="I1448" s="43">
        <v>44.978000000000002</v>
      </c>
      <c r="J1448" s="43">
        <v>45.512</v>
      </c>
      <c r="K1448" s="43">
        <v>46.052</v>
      </c>
      <c r="L1448" s="43">
        <v>46.597999999999999</v>
      </c>
      <c r="M1448" s="887"/>
    </row>
    <row r="1449" spans="1:13" hidden="1" outlineLevel="1" x14ac:dyDescent="0.2">
      <c r="A1449" s="22" t="s">
        <v>1238</v>
      </c>
      <c r="B1449" s="2" t="s">
        <v>1541</v>
      </c>
      <c r="C1449" s="2" t="s">
        <v>1237</v>
      </c>
      <c r="D1449" s="710">
        <f t="shared" si="243"/>
        <v>0</v>
      </c>
      <c r="E1449" s="4" t="s">
        <v>10</v>
      </c>
      <c r="F1449" s="43">
        <v>4.3540000000000001</v>
      </c>
      <c r="G1449" s="43">
        <v>4.4429999999999996</v>
      </c>
      <c r="H1449" s="43">
        <v>4.5330000000000004</v>
      </c>
      <c r="I1449" s="43">
        <v>4.62</v>
      </c>
      <c r="J1449" s="43">
        <v>4.5620000000000003</v>
      </c>
      <c r="K1449" s="43">
        <v>4.6139999999999999</v>
      </c>
      <c r="L1449" s="43">
        <v>4.6660000000000004</v>
      </c>
      <c r="M1449" s="887"/>
    </row>
    <row r="1450" spans="1:13" hidden="1" outlineLevel="1" x14ac:dyDescent="0.2">
      <c r="A1450" s="22" t="s">
        <v>1238</v>
      </c>
      <c r="B1450" s="2" t="s">
        <v>1541</v>
      </c>
      <c r="C1450" s="2" t="s">
        <v>1237</v>
      </c>
      <c r="D1450" s="710">
        <f t="shared" si="243"/>
        <v>0</v>
      </c>
      <c r="E1450" s="4" t="s">
        <v>11</v>
      </c>
      <c r="F1450" s="43">
        <v>9.1950000000000003</v>
      </c>
      <c r="G1450" s="43">
        <v>9.3610000000000007</v>
      </c>
      <c r="H1450" s="43">
        <v>9.5299999999999994</v>
      </c>
      <c r="I1450" s="43">
        <v>9.702</v>
      </c>
      <c r="J1450" s="43">
        <v>9.8770000000000007</v>
      </c>
      <c r="K1450" s="43">
        <v>10.055999999999999</v>
      </c>
      <c r="L1450" s="43">
        <v>10.237</v>
      </c>
      <c r="M1450" s="887"/>
    </row>
    <row r="1451" spans="1:13" hidden="1" outlineLevel="1" x14ac:dyDescent="0.2">
      <c r="A1451" s="22" t="s">
        <v>1238</v>
      </c>
      <c r="B1451" s="2" t="s">
        <v>1541</v>
      </c>
      <c r="C1451" s="2" t="s">
        <v>1237</v>
      </c>
      <c r="D1451" s="710">
        <f t="shared" si="243"/>
        <v>0</v>
      </c>
      <c r="E1451" s="4" t="s">
        <v>12</v>
      </c>
      <c r="F1451" s="43">
        <v>13.94</v>
      </c>
      <c r="G1451" s="43">
        <v>14.148</v>
      </c>
      <c r="H1451" s="43">
        <v>14.359</v>
      </c>
      <c r="I1451" s="43">
        <v>14.573</v>
      </c>
      <c r="J1451" s="43">
        <v>14.792</v>
      </c>
      <c r="K1451" s="43">
        <v>15.013999999999999</v>
      </c>
      <c r="L1451" s="43">
        <v>15.239000000000001</v>
      </c>
      <c r="M1451" s="887"/>
    </row>
    <row r="1452" spans="1:13" hidden="1" outlineLevel="1" x14ac:dyDescent="0.2">
      <c r="A1452" s="22" t="s">
        <v>1238</v>
      </c>
      <c r="B1452" s="2" t="s">
        <v>1541</v>
      </c>
      <c r="C1452" s="2" t="s">
        <v>1237</v>
      </c>
      <c r="D1452" s="710">
        <f t="shared" si="243"/>
        <v>0</v>
      </c>
      <c r="E1452" s="4" t="s">
        <v>1</v>
      </c>
      <c r="F1452" s="43">
        <v>6.07</v>
      </c>
      <c r="G1452" s="43">
        <v>6.1</v>
      </c>
      <c r="H1452" s="43">
        <v>6.13</v>
      </c>
      <c r="I1452" s="43">
        <v>6.1539999999999999</v>
      </c>
      <c r="J1452" s="43">
        <v>6.1779999999999999</v>
      </c>
      <c r="K1452" s="43">
        <v>6.2030000000000003</v>
      </c>
      <c r="L1452" s="43">
        <v>6.2290000000000001</v>
      </c>
      <c r="M1452" s="887"/>
    </row>
    <row r="1453" spans="1:13" hidden="1" outlineLevel="1" x14ac:dyDescent="0.2">
      <c r="A1453" s="22" t="s">
        <v>1238</v>
      </c>
      <c r="B1453" s="2" t="s">
        <v>1541</v>
      </c>
      <c r="C1453" s="2" t="s">
        <v>1237</v>
      </c>
      <c r="D1453" s="710">
        <f t="shared" si="243"/>
        <v>0</v>
      </c>
      <c r="E1453" s="4" t="s">
        <v>13</v>
      </c>
      <c r="F1453" s="43">
        <v>13.029</v>
      </c>
      <c r="G1453" s="43">
        <v>13.353999999999999</v>
      </c>
      <c r="H1453" s="43">
        <v>13.686</v>
      </c>
      <c r="I1453" s="43">
        <v>14.026999999999999</v>
      </c>
      <c r="J1453" s="43">
        <v>14.377000000000001</v>
      </c>
      <c r="K1453" s="43">
        <v>14.736000000000001</v>
      </c>
      <c r="L1453" s="43">
        <v>15.105</v>
      </c>
      <c r="M1453" s="887"/>
    </row>
    <row r="1454" spans="1:13" hidden="1" outlineLevel="1" x14ac:dyDescent="0.2">
      <c r="A1454" s="22" t="s">
        <v>1238</v>
      </c>
      <c r="B1454" s="2" t="s">
        <v>1541</v>
      </c>
      <c r="C1454" s="2" t="s">
        <v>1237</v>
      </c>
      <c r="D1454" s="710">
        <f t="shared" si="243"/>
        <v>0</v>
      </c>
      <c r="E1454" s="4" t="s">
        <v>14</v>
      </c>
      <c r="F1454" s="43">
        <v>0.76200000000000001</v>
      </c>
      <c r="G1454" s="43">
        <v>0.76400000000000001</v>
      </c>
      <c r="H1454" s="43">
        <v>0.76700000000000002</v>
      </c>
      <c r="I1454" s="43">
        <v>0.76800000000000002</v>
      </c>
      <c r="J1454" s="43">
        <v>0.77100000000000002</v>
      </c>
      <c r="K1454" s="43">
        <v>0.77300000000000002</v>
      </c>
      <c r="L1454" s="43">
        <v>0.77500000000000002</v>
      </c>
      <c r="M1454" s="887"/>
    </row>
    <row r="1455" spans="1:13" hidden="1" outlineLevel="1" x14ac:dyDescent="0.2">
      <c r="A1455" s="22" t="s">
        <v>1238</v>
      </c>
      <c r="B1455" s="2" t="s">
        <v>1541</v>
      </c>
      <c r="C1455" s="2" t="s">
        <v>1237</v>
      </c>
      <c r="D1455" s="710">
        <f t="shared" si="243"/>
        <v>0</v>
      </c>
      <c r="E1455" s="4" t="s">
        <v>15</v>
      </c>
      <c r="F1455" s="43">
        <v>9.4450000000000003</v>
      </c>
      <c r="G1455" s="43">
        <v>9.6020000000000003</v>
      </c>
      <c r="H1455" s="43">
        <v>9.7620000000000005</v>
      </c>
      <c r="I1455" s="43">
        <v>9.923</v>
      </c>
      <c r="J1455" s="43">
        <v>9.8550000000000004</v>
      </c>
      <c r="K1455" s="43">
        <v>10.013</v>
      </c>
      <c r="L1455" s="43">
        <v>10.413</v>
      </c>
      <c r="M1455" s="887"/>
    </row>
    <row r="1456" spans="1:13" hidden="1" outlineLevel="1" x14ac:dyDescent="0.2">
      <c r="A1456" s="22" t="s">
        <v>1238</v>
      </c>
      <c r="B1456" s="2" t="s">
        <v>1541</v>
      </c>
      <c r="C1456" s="2" t="s">
        <v>1237</v>
      </c>
      <c r="D1456" s="710">
        <f t="shared" si="243"/>
        <v>0</v>
      </c>
      <c r="E1456" s="4" t="s">
        <v>16</v>
      </c>
      <c r="F1456" s="43">
        <v>7.2460000000000004</v>
      </c>
      <c r="G1456" s="43">
        <v>7.3970000000000002</v>
      </c>
      <c r="H1456" s="43">
        <v>7.5510000000000002</v>
      </c>
      <c r="I1456" s="43">
        <v>7.7080000000000002</v>
      </c>
      <c r="J1456" s="43">
        <v>7.8689999999999998</v>
      </c>
      <c r="K1456" s="43">
        <v>8.0329999999999995</v>
      </c>
      <c r="L1456" s="43">
        <v>8.2010000000000005</v>
      </c>
      <c r="M1456" s="887"/>
    </row>
    <row r="1457" spans="1:22" hidden="1" outlineLevel="1" x14ac:dyDescent="0.2">
      <c r="A1457" s="22" t="s">
        <v>1238</v>
      </c>
      <c r="B1457" s="2" t="s">
        <v>1541</v>
      </c>
      <c r="C1457" s="2" t="s">
        <v>1237</v>
      </c>
      <c r="D1457" s="710">
        <f t="shared" si="243"/>
        <v>0</v>
      </c>
      <c r="E1457" s="4" t="s">
        <v>17</v>
      </c>
      <c r="F1457" s="43">
        <v>2.6829999999999998</v>
      </c>
      <c r="G1457" s="43">
        <v>2.6960000000000002</v>
      </c>
      <c r="H1457" s="43">
        <v>2.7080000000000002</v>
      </c>
      <c r="I1457" s="43">
        <v>2.7189999999999999</v>
      </c>
      <c r="J1457" s="43">
        <v>2.73</v>
      </c>
      <c r="K1457" s="43">
        <v>2.7410000000000001</v>
      </c>
      <c r="L1457" s="43">
        <v>2.7519999999999998</v>
      </c>
      <c r="M1457" s="887"/>
    </row>
    <row r="1458" spans="1:22" hidden="1" outlineLevel="1" x14ac:dyDescent="0.2">
      <c r="A1458" s="22" t="s">
        <v>1238</v>
      </c>
      <c r="B1458" s="2" t="s">
        <v>1541</v>
      </c>
      <c r="C1458" s="2" t="s">
        <v>1237</v>
      </c>
      <c r="D1458" s="710">
        <f t="shared" si="243"/>
        <v>0</v>
      </c>
      <c r="E1458" s="4" t="s">
        <v>18</v>
      </c>
      <c r="F1458" s="43">
        <v>105.363</v>
      </c>
      <c r="G1458" s="43">
        <v>107.09399999999999</v>
      </c>
      <c r="H1458" s="43">
        <v>108.854</v>
      </c>
      <c r="I1458" s="43">
        <v>110.642</v>
      </c>
      <c r="J1458" s="43">
        <v>112.31699999999999</v>
      </c>
      <c r="K1458" s="43">
        <v>113.735</v>
      </c>
      <c r="L1458" s="43">
        <v>114.872</v>
      </c>
      <c r="M1458" s="887"/>
    </row>
    <row r="1459" spans="1:22" hidden="1" outlineLevel="1" x14ac:dyDescent="0.2">
      <c r="A1459" s="22" t="s">
        <v>1238</v>
      </c>
      <c r="B1459" s="2" t="s">
        <v>1541</v>
      </c>
      <c r="C1459" s="2" t="s">
        <v>1237</v>
      </c>
      <c r="D1459" s="710">
        <f t="shared" si="243"/>
        <v>0</v>
      </c>
      <c r="E1459" s="4" t="s">
        <v>2</v>
      </c>
      <c r="F1459" s="43">
        <v>5.5590000000000002</v>
      </c>
      <c r="G1459" s="43">
        <v>5.601</v>
      </c>
      <c r="H1459" s="43">
        <v>5.6749999999999998</v>
      </c>
      <c r="I1459" s="43">
        <v>5.7480000000000002</v>
      </c>
      <c r="J1459" s="43">
        <v>5.8170000000000002</v>
      </c>
      <c r="K1459" s="43">
        <v>5.8890000000000002</v>
      </c>
      <c r="L1459" s="43">
        <v>5.9809999999999999</v>
      </c>
      <c r="M1459" s="887"/>
    </row>
    <row r="1460" spans="1:22" hidden="1" outlineLevel="1" x14ac:dyDescent="0.2">
      <c r="A1460" s="22" t="s">
        <v>1238</v>
      </c>
      <c r="B1460" s="2" t="s">
        <v>1541</v>
      </c>
      <c r="C1460" s="2" t="s">
        <v>1237</v>
      </c>
      <c r="D1460" s="710">
        <f t="shared" si="243"/>
        <v>0</v>
      </c>
      <c r="E1460" s="4" t="s">
        <v>19</v>
      </c>
      <c r="F1460" s="43">
        <v>3.2839999999999998</v>
      </c>
      <c r="G1460" s="43">
        <v>3.343</v>
      </c>
      <c r="H1460" s="43">
        <v>3.403</v>
      </c>
      <c r="I1460" s="43">
        <v>3.4649999999999999</v>
      </c>
      <c r="J1460" s="43">
        <v>3.5270000000000001</v>
      </c>
      <c r="K1460" s="43">
        <v>3.59</v>
      </c>
      <c r="L1460" s="43">
        <v>3.6549999999999998</v>
      </c>
      <c r="M1460" s="887"/>
    </row>
    <row r="1461" spans="1:22" hidden="1" outlineLevel="1" x14ac:dyDescent="0.2">
      <c r="A1461" s="22" t="s">
        <v>1238</v>
      </c>
      <c r="B1461" s="2" t="s">
        <v>1541</v>
      </c>
      <c r="C1461" s="2" t="s">
        <v>1237</v>
      </c>
      <c r="D1461" s="710">
        <f t="shared" si="243"/>
        <v>0</v>
      </c>
      <c r="E1461" s="4" t="s">
        <v>3</v>
      </c>
      <c r="F1461" s="43">
        <v>5.915</v>
      </c>
      <c r="G1461" s="43">
        <v>6.0330000000000004</v>
      </c>
      <c r="H1461" s="43">
        <v>6.1539999999999999</v>
      </c>
      <c r="I1461" s="43">
        <v>6.2770000000000001</v>
      </c>
      <c r="J1461" s="43">
        <v>6.4020000000000001</v>
      </c>
      <c r="K1461" s="43">
        <v>6.53</v>
      </c>
      <c r="L1461" s="43">
        <v>6.6609999999999996</v>
      </c>
      <c r="M1461" s="887"/>
    </row>
    <row r="1462" spans="1:22" hidden="1" outlineLevel="1" x14ac:dyDescent="0.2">
      <c r="A1462" s="22" t="s">
        <v>1238</v>
      </c>
      <c r="B1462" s="2" t="s">
        <v>1541</v>
      </c>
      <c r="C1462" s="2" t="s">
        <v>1237</v>
      </c>
      <c r="D1462" s="710">
        <f t="shared" si="243"/>
        <v>0</v>
      </c>
      <c r="E1462" s="4" t="s">
        <v>20</v>
      </c>
      <c r="F1462" s="43">
        <v>27.64</v>
      </c>
      <c r="G1462" s="43">
        <v>28.221</v>
      </c>
      <c r="H1462" s="43">
        <v>28.657</v>
      </c>
      <c r="I1462" s="43">
        <v>29.100999999999999</v>
      </c>
      <c r="J1462" s="43">
        <v>29.552</v>
      </c>
      <c r="K1462" s="43">
        <v>30.009</v>
      </c>
      <c r="L1462" s="43">
        <v>30.474</v>
      </c>
      <c r="M1462" s="887"/>
    </row>
    <row r="1463" spans="1:22" hidden="1" outlineLevel="1" x14ac:dyDescent="0.2">
      <c r="A1463" s="22" t="s">
        <v>1238</v>
      </c>
      <c r="B1463" s="2" t="s">
        <v>1541</v>
      </c>
      <c r="C1463" s="2" t="s">
        <v>1237</v>
      </c>
      <c r="D1463" s="710">
        <f t="shared" si="243"/>
        <v>0</v>
      </c>
      <c r="E1463" s="4" t="s">
        <v>21</v>
      </c>
      <c r="F1463" s="43">
        <v>0.504</v>
      </c>
      <c r="G1463" s="43">
        <v>0.51</v>
      </c>
      <c r="H1463" s="43">
        <v>0.51700000000000002</v>
      </c>
      <c r="I1463" s="43">
        <v>0.52400000000000002</v>
      </c>
      <c r="J1463" s="43">
        <v>0.53100000000000003</v>
      </c>
      <c r="K1463" s="43">
        <v>0.53800000000000003</v>
      </c>
      <c r="L1463" s="43">
        <v>0.54600000000000004</v>
      </c>
      <c r="M1463" s="887"/>
    </row>
    <row r="1464" spans="1:22" hidden="1" outlineLevel="1" x14ac:dyDescent="0.2">
      <c r="A1464" s="22" t="s">
        <v>1238</v>
      </c>
      <c r="B1464" s="2" t="s">
        <v>1541</v>
      </c>
      <c r="C1464" s="2" t="s">
        <v>1237</v>
      </c>
      <c r="D1464" s="710">
        <f t="shared" si="243"/>
        <v>0</v>
      </c>
      <c r="E1464" s="4" t="s">
        <v>1096</v>
      </c>
      <c r="F1464" s="43">
        <v>1.298</v>
      </c>
      <c r="G1464" s="43">
        <v>1.3029999999999999</v>
      </c>
      <c r="H1464" s="43">
        <v>1.3089999999999999</v>
      </c>
      <c r="I1464" s="43">
        <v>1.31</v>
      </c>
      <c r="J1464" s="43">
        <v>1.3180000000000001</v>
      </c>
      <c r="K1464" s="43">
        <v>1.323</v>
      </c>
      <c r="L1464" s="43">
        <v>1.329</v>
      </c>
      <c r="M1464" s="887"/>
    </row>
    <row r="1465" spans="1:22" hidden="1" outlineLevel="1" x14ac:dyDescent="0.2">
      <c r="A1465" s="22" t="s">
        <v>1238</v>
      </c>
      <c r="B1465" s="2" t="s">
        <v>1541</v>
      </c>
      <c r="C1465" s="2" t="s">
        <v>1237</v>
      </c>
      <c r="D1465" s="710">
        <f t="shared" si="243"/>
        <v>0</v>
      </c>
      <c r="E1465" s="4" t="s">
        <v>22</v>
      </c>
      <c r="F1465" s="43">
        <v>3.3140000000000001</v>
      </c>
      <c r="G1465" s="43">
        <v>3.3239999999999998</v>
      </c>
      <c r="H1465" s="43">
        <v>3.3340000000000001</v>
      </c>
      <c r="I1465" s="43">
        <v>3.3450000000000002</v>
      </c>
      <c r="J1465" s="43">
        <v>3.3570000000000002</v>
      </c>
      <c r="K1465" s="43">
        <v>3.3690000000000002</v>
      </c>
      <c r="L1465" s="43">
        <v>3.3809999999999998</v>
      </c>
      <c r="M1465" s="887"/>
    </row>
    <row r="1466" spans="1:22" hidden="1" outlineLevel="1" x14ac:dyDescent="0.2">
      <c r="A1466" s="22" t="s">
        <v>1238</v>
      </c>
      <c r="B1466" s="2" t="s">
        <v>1541</v>
      </c>
      <c r="C1466" s="2" t="s">
        <v>1237</v>
      </c>
      <c r="D1466" s="916">
        <f t="shared" si="243"/>
        <v>0</v>
      </c>
      <c r="E1466" s="4" t="s">
        <v>23</v>
      </c>
      <c r="F1466" s="43">
        <v>26.835000000000001</v>
      </c>
      <c r="G1466" s="43">
        <v>27.283999999999999</v>
      </c>
      <c r="H1466" s="43">
        <v>27.733000000000001</v>
      </c>
      <c r="I1466" s="43">
        <v>28.181999999999999</v>
      </c>
      <c r="J1466" s="43">
        <v>28.631</v>
      </c>
      <c r="K1466" s="43">
        <v>29.071999999999999</v>
      </c>
      <c r="L1466" s="43">
        <v>29.516999999999999</v>
      </c>
      <c r="M1466" s="887"/>
    </row>
    <row r="1467" spans="1:22" collapsed="1" x14ac:dyDescent="0.2">
      <c r="A1467" s="909" t="s">
        <v>1545</v>
      </c>
      <c r="B1467" s="910"/>
      <c r="C1467" s="910"/>
      <c r="D1467" s="911"/>
      <c r="E1467" s="910"/>
      <c r="F1467" s="912"/>
      <c r="G1467" s="912"/>
      <c r="H1467" s="912"/>
      <c r="I1467" s="912"/>
      <c r="J1467" s="912"/>
      <c r="K1467" s="912"/>
      <c r="L1467" s="912"/>
      <c r="M1467" s="891"/>
    </row>
    <row r="1468" spans="1:22" hidden="1" outlineLevel="1" x14ac:dyDescent="0.2">
      <c r="A1468" s="22" t="s">
        <v>1545</v>
      </c>
      <c r="B1468" s="2" t="s">
        <v>252</v>
      </c>
      <c r="C1468" s="2" t="s">
        <v>1251</v>
      </c>
      <c r="D1468" s="718">
        <v>1</v>
      </c>
      <c r="E1468" s="4" t="s">
        <v>4</v>
      </c>
      <c r="F1468" s="47">
        <f>G1468</f>
        <v>0</v>
      </c>
      <c r="G1468" s="47">
        <f t="shared" ref="G1468:I1468" si="244">H1468</f>
        <v>0</v>
      </c>
      <c r="H1468" s="47">
        <f t="shared" si="244"/>
        <v>0</v>
      </c>
      <c r="I1468" s="47">
        <f t="shared" si="244"/>
        <v>0</v>
      </c>
      <c r="J1468" s="47">
        <f>K1468</f>
        <v>0</v>
      </c>
      <c r="K1468" s="47">
        <v>0</v>
      </c>
      <c r="L1468" s="47">
        <v>0</v>
      </c>
      <c r="M1468" s="893"/>
      <c r="N1468" s="16"/>
      <c r="O1468" s="16"/>
      <c r="P1468" s="16"/>
      <c r="Q1468" s="16"/>
      <c r="R1468" s="16"/>
      <c r="S1468" s="16"/>
      <c r="T1468" s="16"/>
      <c r="U1468" s="16"/>
      <c r="V1468" s="16"/>
    </row>
    <row r="1469" spans="1:22" hidden="1" outlineLevel="1" x14ac:dyDescent="0.2">
      <c r="A1469" s="22" t="s">
        <v>1545</v>
      </c>
      <c r="B1469" s="2" t="s">
        <v>252</v>
      </c>
      <c r="C1469" s="2" t="s">
        <v>1251</v>
      </c>
      <c r="D1469" s="716">
        <v>1</v>
      </c>
      <c r="E1469" s="4" t="s">
        <v>5</v>
      </c>
      <c r="F1469" s="47">
        <f>G1469</f>
        <v>0</v>
      </c>
      <c r="G1469" s="47">
        <f t="shared" ref="G1469:I1469" si="245">H1469</f>
        <v>0</v>
      </c>
      <c r="H1469" s="47">
        <f t="shared" si="245"/>
        <v>0</v>
      </c>
      <c r="I1469" s="47">
        <f t="shared" si="245"/>
        <v>0</v>
      </c>
      <c r="J1469" s="47">
        <f t="shared" ref="J1469:J1532" si="246">K1469</f>
        <v>0</v>
      </c>
      <c r="K1469" s="47">
        <v>0</v>
      </c>
      <c r="L1469" s="47">
        <v>0</v>
      </c>
      <c r="M1469" s="893"/>
      <c r="N1469" s="16"/>
      <c r="O1469" s="16"/>
      <c r="P1469" s="16"/>
      <c r="Q1469" s="16"/>
      <c r="R1469" s="16"/>
    </row>
    <row r="1470" spans="1:22" hidden="1" outlineLevel="1" x14ac:dyDescent="0.2">
      <c r="A1470" s="22" t="s">
        <v>1545</v>
      </c>
      <c r="B1470" s="2" t="s">
        <v>252</v>
      </c>
      <c r="C1470" s="2" t="s">
        <v>1251</v>
      </c>
      <c r="D1470" s="716">
        <v>1</v>
      </c>
      <c r="E1470" s="4" t="s">
        <v>6</v>
      </c>
      <c r="F1470" s="47">
        <f t="shared" ref="F1470:I1470" si="247">G1470</f>
        <v>0</v>
      </c>
      <c r="G1470" s="47">
        <f t="shared" si="247"/>
        <v>0</v>
      </c>
      <c r="H1470" s="47">
        <f t="shared" si="247"/>
        <v>0</v>
      </c>
      <c r="I1470" s="47">
        <f t="shared" si="247"/>
        <v>0</v>
      </c>
      <c r="J1470" s="47">
        <f t="shared" si="246"/>
        <v>0</v>
      </c>
      <c r="K1470" s="47">
        <v>0</v>
      </c>
      <c r="L1470" s="47">
        <v>0</v>
      </c>
      <c r="M1470" s="893"/>
      <c r="N1470" s="16"/>
      <c r="O1470" s="16"/>
      <c r="P1470" s="16"/>
      <c r="Q1470" s="16"/>
      <c r="R1470" s="16"/>
    </row>
    <row r="1471" spans="1:22" hidden="1" outlineLevel="1" x14ac:dyDescent="0.2">
      <c r="A1471" s="22" t="s">
        <v>1545</v>
      </c>
      <c r="B1471" s="2" t="s">
        <v>252</v>
      </c>
      <c r="C1471" s="2" t="s">
        <v>1251</v>
      </c>
      <c r="D1471" s="716">
        <v>1</v>
      </c>
      <c r="E1471" s="4" t="s">
        <v>143</v>
      </c>
      <c r="F1471" s="47">
        <f t="shared" ref="F1471:I1471" si="248">G1471</f>
        <v>0</v>
      </c>
      <c r="G1471" s="47">
        <f t="shared" si="248"/>
        <v>0</v>
      </c>
      <c r="H1471" s="47">
        <f t="shared" si="248"/>
        <v>0</v>
      </c>
      <c r="I1471" s="47">
        <f t="shared" si="248"/>
        <v>0</v>
      </c>
      <c r="J1471" s="47">
        <f t="shared" si="246"/>
        <v>0</v>
      </c>
      <c r="K1471" s="47">
        <v>0</v>
      </c>
      <c r="L1471" s="47">
        <v>0</v>
      </c>
      <c r="M1471" s="893"/>
      <c r="N1471" s="16"/>
      <c r="O1471" s="16"/>
      <c r="P1471" s="16"/>
      <c r="Q1471" s="16"/>
      <c r="R1471" s="16"/>
    </row>
    <row r="1472" spans="1:22" hidden="1" outlineLevel="1" x14ac:dyDescent="0.2">
      <c r="A1472" s="22" t="s">
        <v>1545</v>
      </c>
      <c r="B1472" s="2" t="s">
        <v>252</v>
      </c>
      <c r="C1472" s="2" t="s">
        <v>1251</v>
      </c>
      <c r="D1472" s="716">
        <v>1</v>
      </c>
      <c r="E1472" s="4" t="s">
        <v>7</v>
      </c>
      <c r="F1472" s="47">
        <f t="shared" ref="F1472:I1472" si="249">G1472</f>
        <v>0</v>
      </c>
      <c r="G1472" s="47">
        <f t="shared" si="249"/>
        <v>0</v>
      </c>
      <c r="H1472" s="47">
        <f t="shared" si="249"/>
        <v>0</v>
      </c>
      <c r="I1472" s="47">
        <f t="shared" si="249"/>
        <v>0</v>
      </c>
      <c r="J1472" s="47">
        <f t="shared" si="246"/>
        <v>0</v>
      </c>
      <c r="K1472" s="47">
        <v>0</v>
      </c>
      <c r="L1472" s="47">
        <v>0</v>
      </c>
      <c r="M1472" s="893"/>
      <c r="N1472" s="16"/>
      <c r="O1472" s="16"/>
      <c r="P1472" s="16"/>
      <c r="Q1472" s="16"/>
      <c r="R1472" s="16"/>
    </row>
    <row r="1473" spans="1:18" hidden="1" outlineLevel="1" x14ac:dyDescent="0.2">
      <c r="A1473" s="22" t="s">
        <v>1545</v>
      </c>
      <c r="B1473" s="2" t="s">
        <v>252</v>
      </c>
      <c r="C1473" s="2" t="s">
        <v>1251</v>
      </c>
      <c r="D1473" s="716">
        <v>1</v>
      </c>
      <c r="E1473" s="4" t="s">
        <v>31</v>
      </c>
      <c r="F1473" s="47">
        <f t="shared" ref="F1473:I1473" si="250">G1473</f>
        <v>0</v>
      </c>
      <c r="G1473" s="47">
        <f t="shared" si="250"/>
        <v>0</v>
      </c>
      <c r="H1473" s="47">
        <f t="shared" si="250"/>
        <v>0</v>
      </c>
      <c r="I1473" s="47">
        <f t="shared" si="250"/>
        <v>0</v>
      </c>
      <c r="J1473" s="47">
        <f t="shared" si="246"/>
        <v>0</v>
      </c>
      <c r="K1473" s="47">
        <v>0</v>
      </c>
      <c r="L1473" s="47">
        <v>0</v>
      </c>
      <c r="M1473" s="893"/>
      <c r="N1473" s="16"/>
      <c r="O1473" s="16"/>
      <c r="P1473" s="16"/>
      <c r="Q1473" s="16"/>
      <c r="R1473" s="16"/>
    </row>
    <row r="1474" spans="1:18" hidden="1" outlineLevel="1" x14ac:dyDescent="0.2">
      <c r="A1474" s="22" t="s">
        <v>1545</v>
      </c>
      <c r="B1474" s="2" t="s">
        <v>252</v>
      </c>
      <c r="C1474" s="2" t="s">
        <v>1251</v>
      </c>
      <c r="D1474" s="716">
        <v>1</v>
      </c>
      <c r="E1474" s="4" t="s">
        <v>8</v>
      </c>
      <c r="F1474" s="47">
        <f t="shared" ref="F1474:I1474" si="251">G1474</f>
        <v>0</v>
      </c>
      <c r="G1474" s="47">
        <f t="shared" si="251"/>
        <v>0</v>
      </c>
      <c r="H1474" s="47">
        <f t="shared" si="251"/>
        <v>0</v>
      </c>
      <c r="I1474" s="47">
        <f t="shared" si="251"/>
        <v>0</v>
      </c>
      <c r="J1474" s="47">
        <f t="shared" si="246"/>
        <v>0</v>
      </c>
      <c r="K1474" s="47">
        <v>0</v>
      </c>
      <c r="L1474" s="47">
        <v>0</v>
      </c>
      <c r="M1474" s="893"/>
      <c r="N1474" s="16"/>
      <c r="O1474" s="16"/>
      <c r="P1474" s="16"/>
      <c r="Q1474" s="16"/>
      <c r="R1474" s="16"/>
    </row>
    <row r="1475" spans="1:18" hidden="1" outlineLevel="1" x14ac:dyDescent="0.2">
      <c r="A1475" s="22" t="s">
        <v>1545</v>
      </c>
      <c r="B1475" s="2" t="s">
        <v>252</v>
      </c>
      <c r="C1475" s="2" t="s">
        <v>1251</v>
      </c>
      <c r="D1475" s="716">
        <v>1</v>
      </c>
      <c r="E1475" s="4" t="s">
        <v>9</v>
      </c>
      <c r="F1475" s="47">
        <f t="shared" ref="F1475:I1475" si="252">G1475</f>
        <v>0</v>
      </c>
      <c r="G1475" s="47">
        <f t="shared" si="252"/>
        <v>0</v>
      </c>
      <c r="H1475" s="47">
        <f t="shared" si="252"/>
        <v>0</v>
      </c>
      <c r="I1475" s="47">
        <f t="shared" si="252"/>
        <v>0</v>
      </c>
      <c r="J1475" s="47">
        <f t="shared" si="246"/>
        <v>0</v>
      </c>
      <c r="K1475" s="47">
        <v>0</v>
      </c>
      <c r="L1475" s="47">
        <v>0</v>
      </c>
      <c r="M1475" s="893"/>
      <c r="N1475" s="16"/>
      <c r="O1475" s="16"/>
      <c r="P1475" s="16"/>
      <c r="Q1475" s="16"/>
      <c r="R1475" s="16"/>
    </row>
    <row r="1476" spans="1:18" hidden="1" outlineLevel="1" x14ac:dyDescent="0.2">
      <c r="A1476" s="22" t="s">
        <v>1545</v>
      </c>
      <c r="B1476" s="2" t="s">
        <v>252</v>
      </c>
      <c r="C1476" s="2" t="s">
        <v>1251</v>
      </c>
      <c r="D1476" s="716">
        <v>1</v>
      </c>
      <c r="E1476" s="4" t="s">
        <v>10</v>
      </c>
      <c r="F1476" s="47">
        <f t="shared" ref="F1476:I1476" si="253">G1476</f>
        <v>0</v>
      </c>
      <c r="G1476" s="47">
        <f t="shared" si="253"/>
        <v>0</v>
      </c>
      <c r="H1476" s="47">
        <f t="shared" si="253"/>
        <v>0</v>
      </c>
      <c r="I1476" s="47">
        <f t="shared" si="253"/>
        <v>0</v>
      </c>
      <c r="J1476" s="47">
        <f t="shared" si="246"/>
        <v>0</v>
      </c>
      <c r="K1476" s="47">
        <v>0</v>
      </c>
      <c r="L1476" s="47">
        <v>0</v>
      </c>
      <c r="M1476" s="893"/>
      <c r="N1476" s="16"/>
      <c r="O1476" s="16"/>
      <c r="P1476" s="16"/>
      <c r="Q1476" s="16"/>
      <c r="R1476" s="16"/>
    </row>
    <row r="1477" spans="1:18" hidden="1" outlineLevel="1" x14ac:dyDescent="0.2">
      <c r="A1477" s="22" t="s">
        <v>1545</v>
      </c>
      <c r="B1477" s="2" t="s">
        <v>252</v>
      </c>
      <c r="C1477" s="2" t="s">
        <v>1251</v>
      </c>
      <c r="D1477" s="716">
        <v>1</v>
      </c>
      <c r="E1477" s="4" t="s">
        <v>11</v>
      </c>
      <c r="F1477" s="47">
        <f t="shared" ref="F1477:I1477" si="254">G1477</f>
        <v>0</v>
      </c>
      <c r="G1477" s="47">
        <f t="shared" si="254"/>
        <v>0</v>
      </c>
      <c r="H1477" s="47">
        <f t="shared" si="254"/>
        <v>0</v>
      </c>
      <c r="I1477" s="47">
        <f t="shared" si="254"/>
        <v>0</v>
      </c>
      <c r="J1477" s="47">
        <f t="shared" si="246"/>
        <v>0</v>
      </c>
      <c r="K1477" s="47">
        <v>0</v>
      </c>
      <c r="L1477" s="47">
        <v>0</v>
      </c>
      <c r="M1477" s="893"/>
      <c r="N1477" s="16"/>
      <c r="O1477" s="16"/>
      <c r="P1477" s="16"/>
      <c r="Q1477" s="16"/>
      <c r="R1477" s="16"/>
    </row>
    <row r="1478" spans="1:18" hidden="1" outlineLevel="1" x14ac:dyDescent="0.2">
      <c r="A1478" s="22" t="s">
        <v>1545</v>
      </c>
      <c r="B1478" s="2" t="s">
        <v>252</v>
      </c>
      <c r="C1478" s="2" t="s">
        <v>1251</v>
      </c>
      <c r="D1478" s="716">
        <v>1</v>
      </c>
      <c r="E1478" s="4" t="s">
        <v>12</v>
      </c>
      <c r="F1478" s="47">
        <f t="shared" ref="F1478:I1478" si="255">G1478</f>
        <v>0</v>
      </c>
      <c r="G1478" s="47">
        <f t="shared" si="255"/>
        <v>0</v>
      </c>
      <c r="H1478" s="47">
        <f t="shared" si="255"/>
        <v>0</v>
      </c>
      <c r="I1478" s="47">
        <f t="shared" si="255"/>
        <v>0</v>
      </c>
      <c r="J1478" s="47">
        <f t="shared" si="246"/>
        <v>0</v>
      </c>
      <c r="K1478" s="47">
        <v>0</v>
      </c>
      <c r="L1478" s="47">
        <v>0</v>
      </c>
      <c r="M1478" s="893"/>
      <c r="N1478" s="16"/>
      <c r="O1478" s="16"/>
      <c r="P1478" s="16"/>
      <c r="Q1478" s="16"/>
      <c r="R1478" s="16"/>
    </row>
    <row r="1479" spans="1:18" hidden="1" outlineLevel="1" x14ac:dyDescent="0.2">
      <c r="A1479" s="22" t="s">
        <v>1545</v>
      </c>
      <c r="B1479" s="2" t="s">
        <v>252</v>
      </c>
      <c r="C1479" s="2" t="s">
        <v>1251</v>
      </c>
      <c r="D1479" s="716">
        <v>1</v>
      </c>
      <c r="E1479" s="4" t="s">
        <v>1</v>
      </c>
      <c r="F1479" s="47">
        <f t="shared" ref="F1479:I1479" si="256">G1479</f>
        <v>0</v>
      </c>
      <c r="G1479" s="47">
        <f t="shared" si="256"/>
        <v>0</v>
      </c>
      <c r="H1479" s="47">
        <f t="shared" si="256"/>
        <v>0</v>
      </c>
      <c r="I1479" s="47">
        <f t="shared" si="256"/>
        <v>0</v>
      </c>
      <c r="J1479" s="47">
        <f t="shared" si="246"/>
        <v>0</v>
      </c>
      <c r="K1479" s="47">
        <v>0</v>
      </c>
      <c r="L1479" s="47">
        <v>0</v>
      </c>
      <c r="M1479" s="893"/>
      <c r="N1479" s="16"/>
      <c r="O1479" s="16"/>
      <c r="P1479" s="16"/>
      <c r="Q1479" s="16"/>
      <c r="R1479" s="16"/>
    </row>
    <row r="1480" spans="1:18" hidden="1" outlineLevel="1" x14ac:dyDescent="0.2">
      <c r="A1480" s="22" t="s">
        <v>1545</v>
      </c>
      <c r="B1480" s="2" t="s">
        <v>252</v>
      </c>
      <c r="C1480" s="2" t="s">
        <v>1251</v>
      </c>
      <c r="D1480" s="716">
        <v>1</v>
      </c>
      <c r="E1480" s="4" t="s">
        <v>13</v>
      </c>
      <c r="F1480" s="47">
        <f t="shared" ref="F1480:I1480" si="257">G1480</f>
        <v>0</v>
      </c>
      <c r="G1480" s="47">
        <f t="shared" si="257"/>
        <v>0</v>
      </c>
      <c r="H1480" s="47">
        <f t="shared" si="257"/>
        <v>0</v>
      </c>
      <c r="I1480" s="47">
        <f t="shared" si="257"/>
        <v>0</v>
      </c>
      <c r="J1480" s="47">
        <f t="shared" si="246"/>
        <v>0</v>
      </c>
      <c r="K1480" s="47">
        <v>0</v>
      </c>
      <c r="L1480" s="47">
        <v>0</v>
      </c>
      <c r="M1480" s="893"/>
      <c r="N1480" s="16"/>
      <c r="O1480" s="16"/>
      <c r="P1480" s="16"/>
      <c r="Q1480" s="16"/>
      <c r="R1480" s="16"/>
    </row>
    <row r="1481" spans="1:18" hidden="1" outlineLevel="1" x14ac:dyDescent="0.2">
      <c r="A1481" s="22" t="s">
        <v>1545</v>
      </c>
      <c r="B1481" s="2" t="s">
        <v>252</v>
      </c>
      <c r="C1481" s="2" t="s">
        <v>1251</v>
      </c>
      <c r="D1481" s="716">
        <v>1</v>
      </c>
      <c r="E1481" s="4" t="s">
        <v>14</v>
      </c>
      <c r="F1481" s="47">
        <f t="shared" ref="F1481:I1481" si="258">G1481</f>
        <v>0</v>
      </c>
      <c r="G1481" s="47">
        <f t="shared" si="258"/>
        <v>0</v>
      </c>
      <c r="H1481" s="47">
        <f t="shared" si="258"/>
        <v>0</v>
      </c>
      <c r="I1481" s="47">
        <f t="shared" si="258"/>
        <v>0</v>
      </c>
      <c r="J1481" s="47">
        <f t="shared" si="246"/>
        <v>0</v>
      </c>
      <c r="K1481" s="47">
        <v>0</v>
      </c>
      <c r="L1481" s="47">
        <v>0</v>
      </c>
      <c r="M1481" s="893"/>
      <c r="N1481" s="16"/>
      <c r="O1481" s="16"/>
      <c r="P1481" s="16"/>
      <c r="Q1481" s="16"/>
      <c r="R1481" s="16"/>
    </row>
    <row r="1482" spans="1:18" hidden="1" outlineLevel="1" x14ac:dyDescent="0.2">
      <c r="A1482" s="22" t="s">
        <v>1545</v>
      </c>
      <c r="B1482" s="2" t="s">
        <v>252</v>
      </c>
      <c r="C1482" s="2" t="s">
        <v>1251</v>
      </c>
      <c r="D1482" s="716">
        <v>1</v>
      </c>
      <c r="E1482" s="4" t="s">
        <v>15</v>
      </c>
      <c r="F1482" s="47">
        <f t="shared" ref="F1482:I1482" si="259">G1482</f>
        <v>0</v>
      </c>
      <c r="G1482" s="47">
        <f t="shared" si="259"/>
        <v>0</v>
      </c>
      <c r="H1482" s="47">
        <f t="shared" si="259"/>
        <v>0</v>
      </c>
      <c r="I1482" s="47">
        <f t="shared" si="259"/>
        <v>0</v>
      </c>
      <c r="J1482" s="47">
        <f t="shared" si="246"/>
        <v>0</v>
      </c>
      <c r="K1482" s="47">
        <v>0</v>
      </c>
      <c r="L1482" s="47">
        <v>0</v>
      </c>
      <c r="M1482" s="893"/>
      <c r="N1482" s="16"/>
      <c r="O1482" s="16"/>
      <c r="P1482" s="16"/>
      <c r="Q1482" s="16"/>
      <c r="R1482" s="16"/>
    </row>
    <row r="1483" spans="1:18" hidden="1" outlineLevel="1" x14ac:dyDescent="0.2">
      <c r="A1483" s="22" t="s">
        <v>1545</v>
      </c>
      <c r="B1483" s="2" t="s">
        <v>252</v>
      </c>
      <c r="C1483" s="2" t="s">
        <v>1251</v>
      </c>
      <c r="D1483" s="716">
        <v>1</v>
      </c>
      <c r="E1483" s="4" t="s">
        <v>16</v>
      </c>
      <c r="F1483" s="47">
        <f t="shared" ref="F1483:I1483" si="260">G1483</f>
        <v>0</v>
      </c>
      <c r="G1483" s="47">
        <f t="shared" si="260"/>
        <v>0</v>
      </c>
      <c r="H1483" s="47">
        <f t="shared" si="260"/>
        <v>0</v>
      </c>
      <c r="I1483" s="47">
        <f t="shared" si="260"/>
        <v>0</v>
      </c>
      <c r="J1483" s="47">
        <f t="shared" si="246"/>
        <v>0</v>
      </c>
      <c r="K1483" s="47">
        <v>0</v>
      </c>
      <c r="L1483" s="47">
        <v>0</v>
      </c>
      <c r="M1483" s="893"/>
      <c r="N1483" s="16"/>
      <c r="O1483" s="16"/>
      <c r="P1483" s="16"/>
      <c r="Q1483" s="16"/>
      <c r="R1483" s="16"/>
    </row>
    <row r="1484" spans="1:18" hidden="1" outlineLevel="1" x14ac:dyDescent="0.2">
      <c r="A1484" s="22" t="s">
        <v>1545</v>
      </c>
      <c r="B1484" s="2" t="s">
        <v>252</v>
      </c>
      <c r="C1484" s="2" t="s">
        <v>1251</v>
      </c>
      <c r="D1484" s="716">
        <v>1</v>
      </c>
      <c r="E1484" s="4" t="s">
        <v>17</v>
      </c>
      <c r="F1484" s="47">
        <f t="shared" ref="F1484:I1484" si="261">G1484</f>
        <v>0</v>
      </c>
      <c r="G1484" s="47">
        <f t="shared" si="261"/>
        <v>0</v>
      </c>
      <c r="H1484" s="47">
        <f t="shared" si="261"/>
        <v>0</v>
      </c>
      <c r="I1484" s="47">
        <f t="shared" si="261"/>
        <v>0</v>
      </c>
      <c r="J1484" s="47">
        <f t="shared" si="246"/>
        <v>0</v>
      </c>
      <c r="K1484" s="47">
        <v>0</v>
      </c>
      <c r="L1484" s="47">
        <v>0</v>
      </c>
      <c r="M1484" s="893"/>
      <c r="N1484" s="16"/>
      <c r="O1484" s="16"/>
      <c r="P1484" s="16"/>
      <c r="Q1484" s="16"/>
      <c r="R1484" s="16"/>
    </row>
    <row r="1485" spans="1:18" hidden="1" outlineLevel="1" x14ac:dyDescent="0.2">
      <c r="A1485" s="22" t="s">
        <v>1545</v>
      </c>
      <c r="B1485" s="2" t="s">
        <v>252</v>
      </c>
      <c r="C1485" s="2" t="s">
        <v>1251</v>
      </c>
      <c r="D1485" s="716">
        <v>1</v>
      </c>
      <c r="E1485" s="4" t="s">
        <v>18</v>
      </c>
      <c r="F1485" s="47">
        <f t="shared" ref="F1485:I1485" si="262">G1485</f>
        <v>0</v>
      </c>
      <c r="G1485" s="47">
        <f t="shared" si="262"/>
        <v>0</v>
      </c>
      <c r="H1485" s="47">
        <f t="shared" si="262"/>
        <v>0</v>
      </c>
      <c r="I1485" s="47">
        <f t="shared" si="262"/>
        <v>0</v>
      </c>
      <c r="J1485" s="47">
        <f t="shared" si="246"/>
        <v>0</v>
      </c>
      <c r="K1485" s="47">
        <v>0</v>
      </c>
      <c r="L1485" s="47">
        <v>0</v>
      </c>
      <c r="M1485" s="893"/>
      <c r="N1485" s="16"/>
      <c r="O1485" s="16"/>
      <c r="P1485" s="16"/>
      <c r="Q1485" s="16"/>
      <c r="R1485" s="16"/>
    </row>
    <row r="1486" spans="1:18" hidden="1" outlineLevel="1" x14ac:dyDescent="0.2">
      <c r="A1486" s="22" t="s">
        <v>1545</v>
      </c>
      <c r="B1486" s="2" t="s">
        <v>252</v>
      </c>
      <c r="C1486" s="2" t="s">
        <v>1251</v>
      </c>
      <c r="D1486" s="716">
        <v>1</v>
      </c>
      <c r="E1486" s="4" t="s">
        <v>2</v>
      </c>
      <c r="F1486" s="47">
        <f t="shared" ref="F1486:I1486" si="263">G1486</f>
        <v>0</v>
      </c>
      <c r="G1486" s="47">
        <f t="shared" si="263"/>
        <v>0</v>
      </c>
      <c r="H1486" s="47">
        <f t="shared" si="263"/>
        <v>0</v>
      </c>
      <c r="I1486" s="47">
        <f t="shared" si="263"/>
        <v>0</v>
      </c>
      <c r="J1486" s="47">
        <f t="shared" si="246"/>
        <v>0</v>
      </c>
      <c r="K1486" s="47">
        <v>0</v>
      </c>
      <c r="L1486" s="47">
        <v>0</v>
      </c>
      <c r="M1486" s="893"/>
      <c r="N1486" s="16"/>
      <c r="O1486" s="16"/>
      <c r="P1486" s="16"/>
      <c r="Q1486" s="16"/>
      <c r="R1486" s="16"/>
    </row>
    <row r="1487" spans="1:18" hidden="1" outlineLevel="1" x14ac:dyDescent="0.2">
      <c r="A1487" s="22" t="s">
        <v>1545</v>
      </c>
      <c r="B1487" s="2" t="s">
        <v>252</v>
      </c>
      <c r="C1487" s="2" t="s">
        <v>1251</v>
      </c>
      <c r="D1487" s="716">
        <v>1</v>
      </c>
      <c r="E1487" s="4" t="s">
        <v>19</v>
      </c>
      <c r="F1487" s="47">
        <f t="shared" ref="F1487:I1487" si="264">G1487</f>
        <v>0</v>
      </c>
      <c r="G1487" s="47">
        <f t="shared" si="264"/>
        <v>0</v>
      </c>
      <c r="H1487" s="47">
        <f t="shared" si="264"/>
        <v>0</v>
      </c>
      <c r="I1487" s="47">
        <f t="shared" si="264"/>
        <v>0</v>
      </c>
      <c r="J1487" s="47">
        <f t="shared" si="246"/>
        <v>0</v>
      </c>
      <c r="K1487" s="47">
        <v>0</v>
      </c>
      <c r="L1487" s="47">
        <v>0</v>
      </c>
      <c r="M1487" s="893"/>
      <c r="N1487" s="16"/>
      <c r="O1487" s="16"/>
      <c r="P1487" s="16"/>
      <c r="Q1487" s="16"/>
      <c r="R1487" s="16"/>
    </row>
    <row r="1488" spans="1:18" hidden="1" outlineLevel="1" x14ac:dyDescent="0.2">
      <c r="A1488" s="22" t="s">
        <v>1545</v>
      </c>
      <c r="B1488" s="2" t="s">
        <v>252</v>
      </c>
      <c r="C1488" s="2" t="s">
        <v>1251</v>
      </c>
      <c r="D1488" s="716">
        <v>1</v>
      </c>
      <c r="E1488" s="4" t="s">
        <v>3</v>
      </c>
      <c r="F1488" s="47">
        <f t="shared" ref="F1488:I1488" si="265">G1488</f>
        <v>0</v>
      </c>
      <c r="G1488" s="47">
        <f t="shared" si="265"/>
        <v>0</v>
      </c>
      <c r="H1488" s="47">
        <f t="shared" si="265"/>
        <v>0</v>
      </c>
      <c r="I1488" s="47">
        <f t="shared" si="265"/>
        <v>0</v>
      </c>
      <c r="J1488" s="47">
        <f t="shared" si="246"/>
        <v>0</v>
      </c>
      <c r="K1488" s="47">
        <v>0</v>
      </c>
      <c r="L1488" s="47">
        <v>0</v>
      </c>
      <c r="M1488" s="893"/>
      <c r="N1488" s="16"/>
      <c r="O1488" s="16"/>
      <c r="P1488" s="16"/>
      <c r="Q1488" s="16"/>
      <c r="R1488" s="16"/>
    </row>
    <row r="1489" spans="1:18" hidden="1" outlineLevel="1" x14ac:dyDescent="0.2">
      <c r="A1489" s="22" t="s">
        <v>1545</v>
      </c>
      <c r="B1489" s="2" t="s">
        <v>252</v>
      </c>
      <c r="C1489" s="2" t="s">
        <v>1251</v>
      </c>
      <c r="D1489" s="716">
        <v>1</v>
      </c>
      <c r="E1489" s="4" t="s">
        <v>20</v>
      </c>
      <c r="F1489" s="47">
        <f t="shared" ref="F1489:I1489" si="266">G1489</f>
        <v>0</v>
      </c>
      <c r="G1489" s="47">
        <f t="shared" si="266"/>
        <v>0</v>
      </c>
      <c r="H1489" s="47">
        <f t="shared" si="266"/>
        <v>0</v>
      </c>
      <c r="I1489" s="47">
        <f t="shared" si="266"/>
        <v>0</v>
      </c>
      <c r="J1489" s="47">
        <f t="shared" si="246"/>
        <v>0</v>
      </c>
      <c r="K1489" s="47">
        <v>0</v>
      </c>
      <c r="L1489" s="47">
        <v>0</v>
      </c>
      <c r="M1489" s="893"/>
      <c r="N1489" s="16"/>
      <c r="O1489" s="16"/>
      <c r="P1489" s="16"/>
      <c r="Q1489" s="16"/>
      <c r="R1489" s="16"/>
    </row>
    <row r="1490" spans="1:18" hidden="1" outlineLevel="1" x14ac:dyDescent="0.2">
      <c r="A1490" s="22" t="s">
        <v>1545</v>
      </c>
      <c r="B1490" s="2" t="s">
        <v>252</v>
      </c>
      <c r="C1490" s="2" t="s">
        <v>1251</v>
      </c>
      <c r="D1490" s="716">
        <v>1</v>
      </c>
      <c r="E1490" s="4" t="s">
        <v>21</v>
      </c>
      <c r="F1490" s="47">
        <f t="shared" ref="F1490:I1490" si="267">G1490</f>
        <v>0</v>
      </c>
      <c r="G1490" s="47">
        <f t="shared" si="267"/>
        <v>0</v>
      </c>
      <c r="H1490" s="47">
        <f t="shared" si="267"/>
        <v>0</v>
      </c>
      <c r="I1490" s="47">
        <f t="shared" si="267"/>
        <v>0</v>
      </c>
      <c r="J1490" s="47">
        <f t="shared" si="246"/>
        <v>0</v>
      </c>
      <c r="K1490" s="47">
        <v>0</v>
      </c>
      <c r="L1490" s="47">
        <v>0</v>
      </c>
      <c r="M1490" s="893"/>
      <c r="N1490" s="16"/>
      <c r="O1490" s="16"/>
      <c r="P1490" s="16"/>
      <c r="Q1490" s="16"/>
      <c r="R1490" s="16"/>
    </row>
    <row r="1491" spans="1:18" hidden="1" outlineLevel="1" x14ac:dyDescent="0.2">
      <c r="A1491" s="22" t="s">
        <v>1545</v>
      </c>
      <c r="B1491" s="2" t="s">
        <v>252</v>
      </c>
      <c r="C1491" s="2" t="s">
        <v>1251</v>
      </c>
      <c r="D1491" s="716">
        <v>1</v>
      </c>
      <c r="E1491" s="4" t="s">
        <v>1096</v>
      </c>
      <c r="F1491" s="47">
        <f t="shared" ref="F1491:I1491" si="268">G1491</f>
        <v>0</v>
      </c>
      <c r="G1491" s="47">
        <f t="shared" si="268"/>
        <v>0</v>
      </c>
      <c r="H1491" s="47">
        <f t="shared" si="268"/>
        <v>0</v>
      </c>
      <c r="I1491" s="47">
        <f t="shared" si="268"/>
        <v>0</v>
      </c>
      <c r="J1491" s="47">
        <f t="shared" si="246"/>
        <v>0</v>
      </c>
      <c r="K1491" s="47">
        <v>0</v>
      </c>
      <c r="L1491" s="47">
        <v>0</v>
      </c>
      <c r="M1491" s="893"/>
      <c r="N1491" s="16"/>
      <c r="O1491" s="16"/>
      <c r="P1491" s="16"/>
      <c r="Q1491" s="16"/>
      <c r="R1491" s="16"/>
    </row>
    <row r="1492" spans="1:18" hidden="1" outlineLevel="1" x14ac:dyDescent="0.2">
      <c r="A1492" s="22" t="s">
        <v>1545</v>
      </c>
      <c r="B1492" s="2" t="s">
        <v>252</v>
      </c>
      <c r="C1492" s="2" t="s">
        <v>1251</v>
      </c>
      <c r="D1492" s="716">
        <v>1</v>
      </c>
      <c r="E1492" s="4" t="s">
        <v>22</v>
      </c>
      <c r="F1492" s="47">
        <f t="shared" ref="F1492:I1492" si="269">G1492</f>
        <v>0</v>
      </c>
      <c r="G1492" s="47">
        <f t="shared" si="269"/>
        <v>0</v>
      </c>
      <c r="H1492" s="47">
        <f t="shared" si="269"/>
        <v>0</v>
      </c>
      <c r="I1492" s="47">
        <f t="shared" si="269"/>
        <v>0</v>
      </c>
      <c r="J1492" s="47">
        <f t="shared" si="246"/>
        <v>0</v>
      </c>
      <c r="K1492" s="47">
        <v>0</v>
      </c>
      <c r="L1492" s="47">
        <v>0</v>
      </c>
      <c r="M1492" s="893"/>
      <c r="N1492" s="16"/>
      <c r="O1492" s="16"/>
      <c r="P1492" s="16"/>
      <c r="Q1492" s="16"/>
      <c r="R1492" s="16"/>
    </row>
    <row r="1493" spans="1:18" hidden="1" outlineLevel="1" x14ac:dyDescent="0.2">
      <c r="A1493" s="91" t="s">
        <v>1545</v>
      </c>
      <c r="B1493" s="3" t="s">
        <v>252</v>
      </c>
      <c r="C1493" s="3" t="s">
        <v>1251</v>
      </c>
      <c r="D1493" s="717">
        <v>1</v>
      </c>
      <c r="E1493" s="469" t="s">
        <v>23</v>
      </c>
      <c r="F1493" s="48">
        <f t="shared" ref="F1493:I1493" si="270">G1493</f>
        <v>0</v>
      </c>
      <c r="G1493" s="48">
        <f t="shared" si="270"/>
        <v>0</v>
      </c>
      <c r="H1493" s="48">
        <f t="shared" si="270"/>
        <v>0</v>
      </c>
      <c r="I1493" s="48">
        <f t="shared" si="270"/>
        <v>0</v>
      </c>
      <c r="J1493" s="48">
        <f t="shared" si="246"/>
        <v>0</v>
      </c>
      <c r="K1493" s="363">
        <v>0</v>
      </c>
      <c r="L1493" s="363">
        <v>0</v>
      </c>
      <c r="M1493" s="920"/>
      <c r="N1493" s="16"/>
      <c r="O1493" s="16"/>
      <c r="P1493" s="16"/>
      <c r="Q1493" s="16"/>
      <c r="R1493" s="16"/>
    </row>
    <row r="1494" spans="1:18" hidden="1" outlineLevel="1" x14ac:dyDescent="0.2">
      <c r="A1494" s="92" t="s">
        <v>1545</v>
      </c>
      <c r="B1494" s="81" t="s">
        <v>252</v>
      </c>
      <c r="C1494" s="81" t="s">
        <v>1252</v>
      </c>
      <c r="D1494" s="715">
        <v>1</v>
      </c>
      <c r="E1494" s="468" t="s">
        <v>4</v>
      </c>
      <c r="F1494" s="380">
        <f t="shared" ref="F1494:I1494" si="271">G1494</f>
        <v>0</v>
      </c>
      <c r="G1494" s="89">
        <f t="shared" si="271"/>
        <v>0</v>
      </c>
      <c r="H1494" s="89">
        <f t="shared" si="271"/>
        <v>0</v>
      </c>
      <c r="I1494" s="89">
        <f t="shared" si="271"/>
        <v>0</v>
      </c>
      <c r="J1494" s="89">
        <f t="shared" si="246"/>
        <v>0</v>
      </c>
      <c r="K1494" s="380">
        <v>0</v>
      </c>
      <c r="L1494" s="380">
        <v>0</v>
      </c>
      <c r="M1494" s="892"/>
      <c r="N1494" s="16"/>
      <c r="O1494" s="16"/>
      <c r="P1494" s="16"/>
      <c r="Q1494" s="16"/>
      <c r="R1494" s="16"/>
    </row>
    <row r="1495" spans="1:18" hidden="1" outlineLevel="1" x14ac:dyDescent="0.2">
      <c r="A1495" s="22" t="s">
        <v>1545</v>
      </c>
      <c r="B1495" s="2" t="s">
        <v>252</v>
      </c>
      <c r="C1495" s="2" t="s">
        <v>1252</v>
      </c>
      <c r="D1495" s="716">
        <v>1</v>
      </c>
      <c r="E1495" s="4" t="s">
        <v>5</v>
      </c>
      <c r="F1495" s="47">
        <f t="shared" ref="F1495:I1495" si="272">G1495</f>
        <v>0</v>
      </c>
      <c r="G1495" s="47">
        <f t="shared" si="272"/>
        <v>0</v>
      </c>
      <c r="H1495" s="47">
        <f t="shared" si="272"/>
        <v>0</v>
      </c>
      <c r="I1495" s="47">
        <f t="shared" si="272"/>
        <v>0</v>
      </c>
      <c r="J1495" s="47">
        <f t="shared" si="246"/>
        <v>0</v>
      </c>
      <c r="K1495" s="47">
        <v>0</v>
      </c>
      <c r="L1495" s="47">
        <v>0</v>
      </c>
      <c r="M1495" s="893"/>
      <c r="N1495" s="16"/>
      <c r="O1495" s="16"/>
      <c r="P1495" s="16"/>
      <c r="Q1495" s="16"/>
      <c r="R1495" s="16"/>
    </row>
    <row r="1496" spans="1:18" hidden="1" outlineLevel="1" x14ac:dyDescent="0.2">
      <c r="A1496" s="22" t="s">
        <v>1545</v>
      </c>
      <c r="B1496" s="2" t="s">
        <v>252</v>
      </c>
      <c r="C1496" s="2" t="s">
        <v>1252</v>
      </c>
      <c r="D1496" s="716">
        <v>1</v>
      </c>
      <c r="E1496" s="4" t="s">
        <v>6</v>
      </c>
      <c r="F1496" s="47">
        <f t="shared" ref="F1496:I1496" si="273">G1496</f>
        <v>0</v>
      </c>
      <c r="G1496" s="47">
        <f t="shared" si="273"/>
        <v>0</v>
      </c>
      <c r="H1496" s="47">
        <f t="shared" si="273"/>
        <v>0</v>
      </c>
      <c r="I1496" s="47">
        <f t="shared" si="273"/>
        <v>0</v>
      </c>
      <c r="J1496" s="47">
        <f t="shared" si="246"/>
        <v>0</v>
      </c>
      <c r="K1496" s="47">
        <v>0</v>
      </c>
      <c r="L1496" s="47">
        <v>0</v>
      </c>
      <c r="M1496" s="893"/>
      <c r="N1496" s="16"/>
      <c r="O1496" s="16"/>
      <c r="P1496" s="16"/>
      <c r="Q1496" s="16"/>
      <c r="R1496" s="16"/>
    </row>
    <row r="1497" spans="1:18" hidden="1" outlineLevel="1" x14ac:dyDescent="0.2">
      <c r="A1497" s="22" t="s">
        <v>1545</v>
      </c>
      <c r="B1497" s="2" t="s">
        <v>252</v>
      </c>
      <c r="C1497" s="2" t="s">
        <v>1252</v>
      </c>
      <c r="D1497" s="716">
        <v>1</v>
      </c>
      <c r="E1497" s="4" t="s">
        <v>143</v>
      </c>
      <c r="F1497" s="47">
        <f t="shared" ref="F1497:I1497" si="274">G1497</f>
        <v>0</v>
      </c>
      <c r="G1497" s="47">
        <f t="shared" si="274"/>
        <v>0</v>
      </c>
      <c r="H1497" s="47">
        <f t="shared" si="274"/>
        <v>0</v>
      </c>
      <c r="I1497" s="47">
        <f t="shared" si="274"/>
        <v>0</v>
      </c>
      <c r="J1497" s="47">
        <f t="shared" si="246"/>
        <v>0</v>
      </c>
      <c r="K1497" s="47">
        <v>0</v>
      </c>
      <c r="L1497" s="47">
        <v>0</v>
      </c>
      <c r="M1497" s="893"/>
      <c r="N1497" s="16"/>
      <c r="O1497" s="16"/>
      <c r="P1497" s="16"/>
      <c r="Q1497" s="16"/>
      <c r="R1497" s="16"/>
    </row>
    <row r="1498" spans="1:18" hidden="1" outlineLevel="1" x14ac:dyDescent="0.2">
      <c r="A1498" s="22" t="s">
        <v>1545</v>
      </c>
      <c r="B1498" s="2" t="s">
        <v>252</v>
      </c>
      <c r="C1498" s="2" t="s">
        <v>1252</v>
      </c>
      <c r="D1498" s="716">
        <v>1</v>
      </c>
      <c r="E1498" s="4" t="s">
        <v>7</v>
      </c>
      <c r="F1498" s="47">
        <f t="shared" ref="F1498:I1498" si="275">G1498</f>
        <v>0</v>
      </c>
      <c r="G1498" s="47">
        <f t="shared" si="275"/>
        <v>0</v>
      </c>
      <c r="H1498" s="47">
        <f t="shared" si="275"/>
        <v>0</v>
      </c>
      <c r="I1498" s="47">
        <f t="shared" si="275"/>
        <v>0</v>
      </c>
      <c r="J1498" s="47">
        <f t="shared" si="246"/>
        <v>0</v>
      </c>
      <c r="K1498" s="47">
        <v>0</v>
      </c>
      <c r="L1498" s="47">
        <v>0</v>
      </c>
      <c r="M1498" s="893"/>
      <c r="N1498" s="16"/>
      <c r="O1498" s="16"/>
      <c r="P1498" s="16"/>
      <c r="Q1498" s="16"/>
      <c r="R1498" s="16"/>
    </row>
    <row r="1499" spans="1:18" hidden="1" outlineLevel="1" x14ac:dyDescent="0.2">
      <c r="A1499" s="22" t="s">
        <v>1545</v>
      </c>
      <c r="B1499" s="2" t="s">
        <v>252</v>
      </c>
      <c r="C1499" s="2" t="s">
        <v>1252</v>
      </c>
      <c r="D1499" s="716">
        <v>1</v>
      </c>
      <c r="E1499" s="4" t="s">
        <v>31</v>
      </c>
      <c r="F1499" s="47">
        <f t="shared" ref="F1499:I1499" si="276">G1499</f>
        <v>1</v>
      </c>
      <c r="G1499" s="47">
        <f t="shared" si="276"/>
        <v>1</v>
      </c>
      <c r="H1499" s="47">
        <f t="shared" si="276"/>
        <v>1</v>
      </c>
      <c r="I1499" s="47">
        <f t="shared" si="276"/>
        <v>1</v>
      </c>
      <c r="J1499" s="47">
        <f t="shared" si="246"/>
        <v>1</v>
      </c>
      <c r="K1499" s="47">
        <v>1</v>
      </c>
      <c r="L1499" s="47">
        <v>1</v>
      </c>
      <c r="M1499" s="893"/>
      <c r="N1499" s="16"/>
      <c r="O1499" s="16"/>
      <c r="P1499" s="16"/>
      <c r="Q1499" s="16"/>
      <c r="R1499" s="16"/>
    </row>
    <row r="1500" spans="1:18" hidden="1" outlineLevel="1" x14ac:dyDescent="0.2">
      <c r="A1500" s="22" t="s">
        <v>1545</v>
      </c>
      <c r="B1500" s="2" t="s">
        <v>252</v>
      </c>
      <c r="C1500" s="2" t="s">
        <v>1252</v>
      </c>
      <c r="D1500" s="716">
        <v>1</v>
      </c>
      <c r="E1500" s="4" t="s">
        <v>8</v>
      </c>
      <c r="F1500" s="47">
        <f t="shared" ref="F1500:I1500" si="277">G1500</f>
        <v>0</v>
      </c>
      <c r="G1500" s="47">
        <f t="shared" si="277"/>
        <v>0</v>
      </c>
      <c r="H1500" s="47">
        <f t="shared" si="277"/>
        <v>0</v>
      </c>
      <c r="I1500" s="47">
        <f t="shared" si="277"/>
        <v>0</v>
      </c>
      <c r="J1500" s="47">
        <f t="shared" si="246"/>
        <v>0</v>
      </c>
      <c r="K1500" s="47">
        <v>0</v>
      </c>
      <c r="L1500" s="47">
        <v>0</v>
      </c>
      <c r="M1500" s="893"/>
      <c r="N1500" s="16"/>
      <c r="O1500" s="16"/>
      <c r="P1500" s="16"/>
      <c r="Q1500" s="16"/>
      <c r="R1500" s="16"/>
    </row>
    <row r="1501" spans="1:18" hidden="1" outlineLevel="1" x14ac:dyDescent="0.2">
      <c r="A1501" s="22" t="s">
        <v>1545</v>
      </c>
      <c r="B1501" s="2" t="s">
        <v>252</v>
      </c>
      <c r="C1501" s="2" t="s">
        <v>1252</v>
      </c>
      <c r="D1501" s="716">
        <v>1</v>
      </c>
      <c r="E1501" s="4" t="s">
        <v>9</v>
      </c>
      <c r="F1501" s="47">
        <f t="shared" ref="F1501:I1501" si="278">G1501</f>
        <v>0</v>
      </c>
      <c r="G1501" s="47">
        <f t="shared" si="278"/>
        <v>0</v>
      </c>
      <c r="H1501" s="47">
        <f t="shared" si="278"/>
        <v>0</v>
      </c>
      <c r="I1501" s="47">
        <f t="shared" si="278"/>
        <v>0</v>
      </c>
      <c r="J1501" s="47">
        <f t="shared" si="246"/>
        <v>0</v>
      </c>
      <c r="K1501" s="47">
        <v>0</v>
      </c>
      <c r="L1501" s="47">
        <v>0</v>
      </c>
      <c r="M1501" s="893"/>
      <c r="N1501" s="16"/>
      <c r="O1501" s="16"/>
      <c r="P1501" s="16"/>
      <c r="Q1501" s="16"/>
      <c r="R1501" s="16"/>
    </row>
    <row r="1502" spans="1:18" hidden="1" outlineLevel="1" x14ac:dyDescent="0.2">
      <c r="A1502" s="22" t="s">
        <v>1545</v>
      </c>
      <c r="B1502" s="2" t="s">
        <v>252</v>
      </c>
      <c r="C1502" s="2" t="s">
        <v>1252</v>
      </c>
      <c r="D1502" s="716">
        <v>1</v>
      </c>
      <c r="E1502" s="4" t="s">
        <v>10</v>
      </c>
      <c r="F1502" s="47">
        <f t="shared" ref="F1502:I1502" si="279">G1502</f>
        <v>0</v>
      </c>
      <c r="G1502" s="47">
        <f t="shared" si="279"/>
        <v>0</v>
      </c>
      <c r="H1502" s="47">
        <f t="shared" si="279"/>
        <v>0</v>
      </c>
      <c r="I1502" s="47">
        <f t="shared" si="279"/>
        <v>0</v>
      </c>
      <c r="J1502" s="47">
        <f t="shared" si="246"/>
        <v>0</v>
      </c>
      <c r="K1502" s="47">
        <v>0</v>
      </c>
      <c r="L1502" s="47">
        <v>0</v>
      </c>
      <c r="M1502" s="893"/>
      <c r="N1502" s="16"/>
      <c r="O1502" s="16"/>
      <c r="P1502" s="16"/>
      <c r="Q1502" s="16"/>
      <c r="R1502" s="16"/>
    </row>
    <row r="1503" spans="1:18" hidden="1" outlineLevel="1" x14ac:dyDescent="0.2">
      <c r="A1503" s="22" t="s">
        <v>1545</v>
      </c>
      <c r="B1503" s="2" t="s">
        <v>252</v>
      </c>
      <c r="C1503" s="2" t="s">
        <v>1252</v>
      </c>
      <c r="D1503" s="716">
        <v>1</v>
      </c>
      <c r="E1503" s="4" t="s">
        <v>11</v>
      </c>
      <c r="F1503" s="47">
        <f t="shared" ref="F1503:I1503" si="280">G1503</f>
        <v>0</v>
      </c>
      <c r="G1503" s="47">
        <f t="shared" si="280"/>
        <v>0</v>
      </c>
      <c r="H1503" s="47">
        <f t="shared" si="280"/>
        <v>0</v>
      </c>
      <c r="I1503" s="47">
        <f t="shared" si="280"/>
        <v>0</v>
      </c>
      <c r="J1503" s="47">
        <f t="shared" si="246"/>
        <v>0</v>
      </c>
      <c r="K1503" s="47">
        <v>0</v>
      </c>
      <c r="L1503" s="47">
        <v>0</v>
      </c>
      <c r="M1503" s="893"/>
      <c r="N1503" s="16"/>
      <c r="O1503" s="16"/>
      <c r="P1503" s="16"/>
      <c r="Q1503" s="16"/>
      <c r="R1503" s="16"/>
    </row>
    <row r="1504" spans="1:18" hidden="1" outlineLevel="1" x14ac:dyDescent="0.2">
      <c r="A1504" s="22" t="s">
        <v>1545</v>
      </c>
      <c r="B1504" s="2" t="s">
        <v>252</v>
      </c>
      <c r="C1504" s="2" t="s">
        <v>1252</v>
      </c>
      <c r="D1504" s="716">
        <v>1</v>
      </c>
      <c r="E1504" s="4" t="s">
        <v>12</v>
      </c>
      <c r="F1504" s="47">
        <f t="shared" ref="F1504:I1504" si="281">G1504</f>
        <v>0</v>
      </c>
      <c r="G1504" s="47">
        <f t="shared" si="281"/>
        <v>0</v>
      </c>
      <c r="H1504" s="47">
        <f t="shared" si="281"/>
        <v>0</v>
      </c>
      <c r="I1504" s="47">
        <f t="shared" si="281"/>
        <v>0</v>
      </c>
      <c r="J1504" s="47">
        <f t="shared" si="246"/>
        <v>0</v>
      </c>
      <c r="K1504" s="47">
        <v>0</v>
      </c>
      <c r="L1504" s="47">
        <v>0</v>
      </c>
      <c r="M1504" s="893"/>
      <c r="N1504" s="16"/>
      <c r="O1504" s="16"/>
      <c r="P1504" s="16"/>
      <c r="Q1504" s="16"/>
      <c r="R1504" s="16"/>
    </row>
    <row r="1505" spans="1:18" hidden="1" outlineLevel="1" x14ac:dyDescent="0.2">
      <c r="A1505" s="22" t="s">
        <v>1545</v>
      </c>
      <c r="B1505" s="2" t="s">
        <v>252</v>
      </c>
      <c r="C1505" s="2" t="s">
        <v>1252</v>
      </c>
      <c r="D1505" s="716">
        <v>1</v>
      </c>
      <c r="E1505" s="4" t="s">
        <v>1</v>
      </c>
      <c r="F1505" s="47">
        <f t="shared" ref="F1505:I1505" si="282">G1505</f>
        <v>0</v>
      </c>
      <c r="G1505" s="47">
        <f t="shared" si="282"/>
        <v>0</v>
      </c>
      <c r="H1505" s="47">
        <f t="shared" si="282"/>
        <v>0</v>
      </c>
      <c r="I1505" s="47">
        <f t="shared" si="282"/>
        <v>0</v>
      </c>
      <c r="J1505" s="47">
        <f t="shared" si="246"/>
        <v>0</v>
      </c>
      <c r="K1505" s="47">
        <v>0</v>
      </c>
      <c r="L1505" s="47">
        <v>0</v>
      </c>
      <c r="M1505" s="893"/>
      <c r="N1505" s="16"/>
      <c r="O1505" s="16"/>
      <c r="P1505" s="16"/>
      <c r="Q1505" s="16"/>
      <c r="R1505" s="16"/>
    </row>
    <row r="1506" spans="1:18" hidden="1" outlineLevel="1" x14ac:dyDescent="0.2">
      <c r="A1506" s="22" t="s">
        <v>1545</v>
      </c>
      <c r="B1506" s="2" t="s">
        <v>252</v>
      </c>
      <c r="C1506" s="2" t="s">
        <v>1252</v>
      </c>
      <c r="D1506" s="716">
        <v>1</v>
      </c>
      <c r="E1506" s="4" t="s">
        <v>13</v>
      </c>
      <c r="F1506" s="47">
        <f t="shared" ref="F1506:I1506" si="283">G1506</f>
        <v>0</v>
      </c>
      <c r="G1506" s="47">
        <f t="shared" si="283"/>
        <v>0</v>
      </c>
      <c r="H1506" s="47">
        <f t="shared" si="283"/>
        <v>0</v>
      </c>
      <c r="I1506" s="47">
        <f t="shared" si="283"/>
        <v>0</v>
      </c>
      <c r="J1506" s="47">
        <f t="shared" si="246"/>
        <v>0</v>
      </c>
      <c r="K1506" s="47">
        <v>0</v>
      </c>
      <c r="L1506" s="47">
        <v>0</v>
      </c>
      <c r="M1506" s="893"/>
      <c r="N1506" s="16"/>
      <c r="O1506" s="16"/>
      <c r="P1506" s="16"/>
      <c r="Q1506" s="16"/>
      <c r="R1506" s="16"/>
    </row>
    <row r="1507" spans="1:18" hidden="1" outlineLevel="1" x14ac:dyDescent="0.2">
      <c r="A1507" s="22" t="s">
        <v>1545</v>
      </c>
      <c r="B1507" s="2" t="s">
        <v>252</v>
      </c>
      <c r="C1507" s="2" t="s">
        <v>1252</v>
      </c>
      <c r="D1507" s="716">
        <v>1</v>
      </c>
      <c r="E1507" s="4" t="s">
        <v>14</v>
      </c>
      <c r="F1507" s="47">
        <f t="shared" ref="F1507:I1507" si="284">G1507</f>
        <v>0</v>
      </c>
      <c r="G1507" s="47">
        <f t="shared" si="284"/>
        <v>0</v>
      </c>
      <c r="H1507" s="47">
        <f t="shared" si="284"/>
        <v>0</v>
      </c>
      <c r="I1507" s="47">
        <f t="shared" si="284"/>
        <v>0</v>
      </c>
      <c r="J1507" s="47">
        <f t="shared" si="246"/>
        <v>0</v>
      </c>
      <c r="K1507" s="47">
        <v>0</v>
      </c>
      <c r="L1507" s="47">
        <v>0</v>
      </c>
      <c r="M1507" s="893"/>
      <c r="N1507" s="16"/>
      <c r="O1507" s="16"/>
      <c r="P1507" s="16"/>
      <c r="Q1507" s="16"/>
      <c r="R1507" s="16"/>
    </row>
    <row r="1508" spans="1:18" hidden="1" outlineLevel="1" x14ac:dyDescent="0.2">
      <c r="A1508" s="22" t="s">
        <v>1545</v>
      </c>
      <c r="B1508" s="2" t="s">
        <v>252</v>
      </c>
      <c r="C1508" s="2" t="s">
        <v>1252</v>
      </c>
      <c r="D1508" s="716">
        <v>1</v>
      </c>
      <c r="E1508" s="4" t="s">
        <v>15</v>
      </c>
      <c r="F1508" s="47">
        <f t="shared" ref="F1508:I1508" si="285">G1508</f>
        <v>0</v>
      </c>
      <c r="G1508" s="47">
        <f t="shared" si="285"/>
        <v>0</v>
      </c>
      <c r="H1508" s="47">
        <f t="shared" si="285"/>
        <v>0</v>
      </c>
      <c r="I1508" s="47">
        <f t="shared" si="285"/>
        <v>0</v>
      </c>
      <c r="J1508" s="47">
        <f t="shared" si="246"/>
        <v>0</v>
      </c>
      <c r="K1508" s="47">
        <v>0</v>
      </c>
      <c r="L1508" s="47">
        <v>0</v>
      </c>
      <c r="M1508" s="893"/>
      <c r="N1508" s="16"/>
      <c r="O1508" s="16"/>
      <c r="P1508" s="16"/>
      <c r="Q1508" s="16"/>
      <c r="R1508" s="16"/>
    </row>
    <row r="1509" spans="1:18" hidden="1" outlineLevel="1" x14ac:dyDescent="0.2">
      <c r="A1509" s="22" t="s">
        <v>1545</v>
      </c>
      <c r="B1509" s="2" t="s">
        <v>252</v>
      </c>
      <c r="C1509" s="2" t="s">
        <v>1252</v>
      </c>
      <c r="D1509" s="716">
        <v>1</v>
      </c>
      <c r="E1509" s="4" t="s">
        <v>16</v>
      </c>
      <c r="F1509" s="47">
        <f t="shared" ref="F1509:I1509" si="286">G1509</f>
        <v>0</v>
      </c>
      <c r="G1509" s="47">
        <f t="shared" si="286"/>
        <v>0</v>
      </c>
      <c r="H1509" s="47">
        <f t="shared" si="286"/>
        <v>0</v>
      </c>
      <c r="I1509" s="47">
        <f t="shared" si="286"/>
        <v>0</v>
      </c>
      <c r="J1509" s="47">
        <f t="shared" si="246"/>
        <v>0</v>
      </c>
      <c r="K1509" s="47">
        <v>0</v>
      </c>
      <c r="L1509" s="47">
        <v>0</v>
      </c>
      <c r="M1509" s="893"/>
      <c r="N1509" s="16"/>
      <c r="O1509" s="16"/>
      <c r="P1509" s="16"/>
      <c r="Q1509" s="16"/>
      <c r="R1509" s="16"/>
    </row>
    <row r="1510" spans="1:18" hidden="1" outlineLevel="1" x14ac:dyDescent="0.2">
      <c r="A1510" s="22" t="s">
        <v>1545</v>
      </c>
      <c r="B1510" s="2" t="s">
        <v>252</v>
      </c>
      <c r="C1510" s="2" t="s">
        <v>1252</v>
      </c>
      <c r="D1510" s="716">
        <v>1</v>
      </c>
      <c r="E1510" s="4" t="s">
        <v>17</v>
      </c>
      <c r="F1510" s="47">
        <f t="shared" ref="F1510:I1510" si="287">G1510</f>
        <v>0</v>
      </c>
      <c r="G1510" s="47">
        <f t="shared" si="287"/>
        <v>0</v>
      </c>
      <c r="H1510" s="47">
        <f t="shared" si="287"/>
        <v>0</v>
      </c>
      <c r="I1510" s="47">
        <f t="shared" si="287"/>
        <v>0</v>
      </c>
      <c r="J1510" s="47">
        <f t="shared" si="246"/>
        <v>0</v>
      </c>
      <c r="K1510" s="47">
        <v>0</v>
      </c>
      <c r="L1510" s="47">
        <v>0</v>
      </c>
      <c r="M1510" s="893"/>
      <c r="N1510" s="16"/>
      <c r="O1510" s="16"/>
      <c r="P1510" s="16"/>
      <c r="Q1510" s="16"/>
      <c r="R1510" s="16"/>
    </row>
    <row r="1511" spans="1:18" hidden="1" outlineLevel="1" x14ac:dyDescent="0.2">
      <c r="A1511" s="22" t="s">
        <v>1545</v>
      </c>
      <c r="B1511" s="2" t="s">
        <v>252</v>
      </c>
      <c r="C1511" s="2" t="s">
        <v>1252</v>
      </c>
      <c r="D1511" s="716">
        <v>1</v>
      </c>
      <c r="E1511" s="4" t="s">
        <v>18</v>
      </c>
      <c r="F1511" s="47">
        <f t="shared" ref="F1511:I1511" si="288">G1511</f>
        <v>0</v>
      </c>
      <c r="G1511" s="47">
        <f t="shared" si="288"/>
        <v>0</v>
      </c>
      <c r="H1511" s="47">
        <f t="shared" si="288"/>
        <v>0</v>
      </c>
      <c r="I1511" s="47">
        <f t="shared" si="288"/>
        <v>0</v>
      </c>
      <c r="J1511" s="47">
        <f t="shared" si="246"/>
        <v>0</v>
      </c>
      <c r="K1511" s="47">
        <v>0</v>
      </c>
      <c r="L1511" s="47">
        <v>0</v>
      </c>
      <c r="M1511" s="893"/>
      <c r="N1511" s="16"/>
      <c r="O1511" s="16"/>
      <c r="P1511" s="16"/>
      <c r="Q1511" s="16"/>
      <c r="R1511" s="16"/>
    </row>
    <row r="1512" spans="1:18" hidden="1" outlineLevel="1" x14ac:dyDescent="0.2">
      <c r="A1512" s="22" t="s">
        <v>1545</v>
      </c>
      <c r="B1512" s="2" t="s">
        <v>252</v>
      </c>
      <c r="C1512" s="2" t="s">
        <v>1252</v>
      </c>
      <c r="D1512" s="716">
        <v>1</v>
      </c>
      <c r="E1512" s="4" t="s">
        <v>2</v>
      </c>
      <c r="F1512" s="47">
        <f t="shared" ref="F1512:I1512" si="289">G1512</f>
        <v>0</v>
      </c>
      <c r="G1512" s="47">
        <f t="shared" si="289"/>
        <v>0</v>
      </c>
      <c r="H1512" s="47">
        <f t="shared" si="289"/>
        <v>0</v>
      </c>
      <c r="I1512" s="47">
        <f t="shared" si="289"/>
        <v>0</v>
      </c>
      <c r="J1512" s="47">
        <f t="shared" si="246"/>
        <v>0</v>
      </c>
      <c r="K1512" s="47">
        <v>0</v>
      </c>
      <c r="L1512" s="47">
        <v>0</v>
      </c>
      <c r="M1512" s="893"/>
      <c r="N1512" s="16"/>
      <c r="O1512" s="16"/>
      <c r="P1512" s="16"/>
      <c r="Q1512" s="16"/>
      <c r="R1512" s="16"/>
    </row>
    <row r="1513" spans="1:18" hidden="1" outlineLevel="1" x14ac:dyDescent="0.2">
      <c r="A1513" s="22" t="s">
        <v>1545</v>
      </c>
      <c r="B1513" s="2" t="s">
        <v>252</v>
      </c>
      <c r="C1513" s="2" t="s">
        <v>1252</v>
      </c>
      <c r="D1513" s="716">
        <v>1</v>
      </c>
      <c r="E1513" s="4" t="s">
        <v>19</v>
      </c>
      <c r="F1513" s="47">
        <f t="shared" ref="F1513:I1513" si="290">G1513</f>
        <v>0</v>
      </c>
      <c r="G1513" s="47">
        <f t="shared" si="290"/>
        <v>0</v>
      </c>
      <c r="H1513" s="47">
        <f t="shared" si="290"/>
        <v>0</v>
      </c>
      <c r="I1513" s="47">
        <f t="shared" si="290"/>
        <v>0</v>
      </c>
      <c r="J1513" s="47">
        <f t="shared" si="246"/>
        <v>0</v>
      </c>
      <c r="K1513" s="47">
        <v>0</v>
      </c>
      <c r="L1513" s="47">
        <v>0</v>
      </c>
      <c r="M1513" s="893"/>
      <c r="N1513" s="16"/>
      <c r="O1513" s="16"/>
      <c r="P1513" s="16"/>
      <c r="Q1513" s="16"/>
      <c r="R1513" s="16"/>
    </row>
    <row r="1514" spans="1:18" hidden="1" outlineLevel="1" x14ac:dyDescent="0.2">
      <c r="A1514" s="22" t="s">
        <v>1545</v>
      </c>
      <c r="B1514" s="2" t="s">
        <v>252</v>
      </c>
      <c r="C1514" s="2" t="s">
        <v>1252</v>
      </c>
      <c r="D1514" s="716">
        <v>1</v>
      </c>
      <c r="E1514" s="4" t="s">
        <v>3</v>
      </c>
      <c r="F1514" s="47">
        <f t="shared" ref="F1514:I1514" si="291">G1514</f>
        <v>0</v>
      </c>
      <c r="G1514" s="47">
        <f t="shared" si="291"/>
        <v>0</v>
      </c>
      <c r="H1514" s="47">
        <f t="shared" si="291"/>
        <v>0</v>
      </c>
      <c r="I1514" s="47">
        <f t="shared" si="291"/>
        <v>0</v>
      </c>
      <c r="J1514" s="47">
        <f t="shared" si="246"/>
        <v>0</v>
      </c>
      <c r="K1514" s="47">
        <v>0</v>
      </c>
      <c r="L1514" s="47">
        <v>0</v>
      </c>
      <c r="M1514" s="893"/>
      <c r="N1514" s="16"/>
      <c r="O1514" s="16"/>
      <c r="P1514" s="16"/>
      <c r="Q1514" s="16"/>
      <c r="R1514" s="16"/>
    </row>
    <row r="1515" spans="1:18" hidden="1" outlineLevel="1" x14ac:dyDescent="0.2">
      <c r="A1515" s="22" t="s">
        <v>1545</v>
      </c>
      <c r="B1515" s="2" t="s">
        <v>252</v>
      </c>
      <c r="C1515" s="2" t="s">
        <v>1252</v>
      </c>
      <c r="D1515" s="716">
        <v>1</v>
      </c>
      <c r="E1515" s="4" t="s">
        <v>20</v>
      </c>
      <c r="F1515" s="47">
        <f t="shared" ref="F1515:I1515" si="292">G1515</f>
        <v>0</v>
      </c>
      <c r="G1515" s="47">
        <f t="shared" si="292"/>
        <v>0</v>
      </c>
      <c r="H1515" s="47">
        <f t="shared" si="292"/>
        <v>0</v>
      </c>
      <c r="I1515" s="47">
        <f t="shared" si="292"/>
        <v>0</v>
      </c>
      <c r="J1515" s="47">
        <f t="shared" si="246"/>
        <v>0</v>
      </c>
      <c r="K1515" s="47">
        <v>0</v>
      </c>
      <c r="L1515" s="47">
        <v>0</v>
      </c>
      <c r="M1515" s="893"/>
      <c r="N1515" s="16"/>
      <c r="O1515" s="16"/>
      <c r="P1515" s="16"/>
      <c r="Q1515" s="16"/>
      <c r="R1515" s="16"/>
    </row>
    <row r="1516" spans="1:18" hidden="1" outlineLevel="1" x14ac:dyDescent="0.2">
      <c r="A1516" s="22" t="s">
        <v>1545</v>
      </c>
      <c r="B1516" s="2" t="s">
        <v>252</v>
      </c>
      <c r="C1516" s="2" t="s">
        <v>1252</v>
      </c>
      <c r="D1516" s="716">
        <v>1</v>
      </c>
      <c r="E1516" s="4" t="s">
        <v>21</v>
      </c>
      <c r="F1516" s="47">
        <f t="shared" ref="F1516:I1516" si="293">G1516</f>
        <v>0</v>
      </c>
      <c r="G1516" s="47">
        <f t="shared" si="293"/>
        <v>0</v>
      </c>
      <c r="H1516" s="47">
        <f t="shared" si="293"/>
        <v>0</v>
      </c>
      <c r="I1516" s="47">
        <f t="shared" si="293"/>
        <v>0</v>
      </c>
      <c r="J1516" s="47">
        <f t="shared" si="246"/>
        <v>0</v>
      </c>
      <c r="K1516" s="47">
        <v>0</v>
      </c>
      <c r="L1516" s="47">
        <v>0</v>
      </c>
      <c r="M1516" s="893"/>
      <c r="N1516" s="16"/>
      <c r="O1516" s="16"/>
      <c r="P1516" s="16"/>
      <c r="Q1516" s="16"/>
      <c r="R1516" s="16"/>
    </row>
    <row r="1517" spans="1:18" hidden="1" outlineLevel="1" x14ac:dyDescent="0.2">
      <c r="A1517" s="22" t="s">
        <v>1545</v>
      </c>
      <c r="B1517" s="2" t="s">
        <v>252</v>
      </c>
      <c r="C1517" s="2" t="s">
        <v>1252</v>
      </c>
      <c r="D1517" s="716">
        <v>1</v>
      </c>
      <c r="E1517" s="4" t="s">
        <v>1096</v>
      </c>
      <c r="F1517" s="47">
        <f t="shared" ref="F1517:I1517" si="294">G1517</f>
        <v>0</v>
      </c>
      <c r="G1517" s="47">
        <f t="shared" si="294"/>
        <v>0</v>
      </c>
      <c r="H1517" s="47">
        <f t="shared" si="294"/>
        <v>0</v>
      </c>
      <c r="I1517" s="47">
        <f t="shared" si="294"/>
        <v>0</v>
      </c>
      <c r="J1517" s="47">
        <f t="shared" si="246"/>
        <v>0</v>
      </c>
      <c r="K1517" s="47">
        <v>0</v>
      </c>
      <c r="L1517" s="47">
        <v>0</v>
      </c>
      <c r="M1517" s="893"/>
      <c r="N1517" s="16"/>
      <c r="O1517" s="16"/>
      <c r="P1517" s="16"/>
      <c r="Q1517" s="16"/>
      <c r="R1517" s="16"/>
    </row>
    <row r="1518" spans="1:18" hidden="1" outlineLevel="1" x14ac:dyDescent="0.2">
      <c r="A1518" s="22" t="s">
        <v>1545</v>
      </c>
      <c r="B1518" s="2" t="s">
        <v>252</v>
      </c>
      <c r="C1518" s="2" t="s">
        <v>1252</v>
      </c>
      <c r="D1518" s="716">
        <v>1</v>
      </c>
      <c r="E1518" s="4" t="s">
        <v>22</v>
      </c>
      <c r="F1518" s="47">
        <f t="shared" ref="F1518:I1518" si="295">G1518</f>
        <v>0</v>
      </c>
      <c r="G1518" s="47">
        <f t="shared" si="295"/>
        <v>0</v>
      </c>
      <c r="H1518" s="47">
        <f t="shared" si="295"/>
        <v>0</v>
      </c>
      <c r="I1518" s="47">
        <f t="shared" si="295"/>
        <v>0</v>
      </c>
      <c r="J1518" s="47">
        <f t="shared" si="246"/>
        <v>0</v>
      </c>
      <c r="K1518" s="47">
        <v>0</v>
      </c>
      <c r="L1518" s="47">
        <v>0</v>
      </c>
      <c r="M1518" s="893"/>
      <c r="N1518" s="16"/>
      <c r="O1518" s="16"/>
      <c r="P1518" s="16"/>
      <c r="Q1518" s="16"/>
      <c r="R1518" s="16"/>
    </row>
    <row r="1519" spans="1:18" hidden="1" outlineLevel="1" x14ac:dyDescent="0.2">
      <c r="A1519" s="22" t="s">
        <v>1545</v>
      </c>
      <c r="B1519" s="2" t="s">
        <v>252</v>
      </c>
      <c r="C1519" s="2" t="s">
        <v>1252</v>
      </c>
      <c r="D1519" s="717">
        <v>1</v>
      </c>
      <c r="E1519" s="469" t="s">
        <v>23</v>
      </c>
      <c r="F1519" s="48">
        <f t="shared" ref="F1519:I1519" si="296">G1519</f>
        <v>0</v>
      </c>
      <c r="G1519" s="48">
        <f t="shared" si="296"/>
        <v>0</v>
      </c>
      <c r="H1519" s="48">
        <f t="shared" si="296"/>
        <v>0</v>
      </c>
      <c r="I1519" s="48">
        <f t="shared" si="296"/>
        <v>0</v>
      </c>
      <c r="J1519" s="48">
        <f t="shared" si="246"/>
        <v>0</v>
      </c>
      <c r="K1519" s="363">
        <v>0</v>
      </c>
      <c r="L1519" s="363">
        <v>0</v>
      </c>
      <c r="M1519" s="920"/>
      <c r="N1519" s="16"/>
      <c r="O1519" s="16"/>
      <c r="P1519" s="16"/>
      <c r="Q1519" s="16"/>
      <c r="R1519" s="16"/>
    </row>
    <row r="1520" spans="1:18" hidden="1" outlineLevel="1" x14ac:dyDescent="0.2">
      <c r="A1520" s="92" t="s">
        <v>1545</v>
      </c>
      <c r="B1520" s="81" t="s">
        <v>252</v>
      </c>
      <c r="C1520" s="81" t="s">
        <v>1253</v>
      </c>
      <c r="D1520" s="715">
        <v>1</v>
      </c>
      <c r="E1520" s="468" t="s">
        <v>4</v>
      </c>
      <c r="F1520" s="380">
        <f t="shared" ref="F1520:I1520" si="297">G1520</f>
        <v>1</v>
      </c>
      <c r="G1520" s="89">
        <f t="shared" si="297"/>
        <v>1</v>
      </c>
      <c r="H1520" s="89">
        <f t="shared" si="297"/>
        <v>1</v>
      </c>
      <c r="I1520" s="89">
        <f t="shared" si="297"/>
        <v>1</v>
      </c>
      <c r="J1520" s="89">
        <f t="shared" si="246"/>
        <v>1</v>
      </c>
      <c r="K1520" s="380">
        <v>1</v>
      </c>
      <c r="L1520" s="380">
        <v>1</v>
      </c>
      <c r="M1520" s="892"/>
      <c r="N1520" s="16"/>
      <c r="O1520" s="16"/>
      <c r="P1520" s="16"/>
      <c r="Q1520" s="16"/>
      <c r="R1520" s="16"/>
    </row>
    <row r="1521" spans="1:18" hidden="1" outlineLevel="1" x14ac:dyDescent="0.2">
      <c r="A1521" s="22" t="s">
        <v>1545</v>
      </c>
      <c r="B1521" s="2" t="s">
        <v>252</v>
      </c>
      <c r="C1521" s="2" t="s">
        <v>1253</v>
      </c>
      <c r="D1521" s="716">
        <v>1</v>
      </c>
      <c r="E1521" s="4" t="s">
        <v>5</v>
      </c>
      <c r="F1521" s="47">
        <f t="shared" ref="F1521:I1521" si="298">G1521</f>
        <v>0</v>
      </c>
      <c r="G1521" s="47">
        <f t="shared" si="298"/>
        <v>0</v>
      </c>
      <c r="H1521" s="47">
        <f t="shared" si="298"/>
        <v>0</v>
      </c>
      <c r="I1521" s="47">
        <f t="shared" si="298"/>
        <v>0</v>
      </c>
      <c r="J1521" s="47">
        <f t="shared" si="246"/>
        <v>0</v>
      </c>
      <c r="K1521" s="47">
        <v>0</v>
      </c>
      <c r="L1521" s="47">
        <v>0</v>
      </c>
      <c r="M1521" s="893"/>
      <c r="N1521" s="16"/>
      <c r="O1521" s="16"/>
      <c r="P1521" s="16"/>
      <c r="Q1521" s="16"/>
      <c r="R1521" s="16"/>
    </row>
    <row r="1522" spans="1:18" hidden="1" outlineLevel="1" x14ac:dyDescent="0.2">
      <c r="A1522" s="22" t="s">
        <v>1545</v>
      </c>
      <c r="B1522" s="2" t="s">
        <v>252</v>
      </c>
      <c r="C1522" s="2" t="s">
        <v>1253</v>
      </c>
      <c r="D1522" s="716">
        <v>1</v>
      </c>
      <c r="E1522" s="4" t="s">
        <v>6</v>
      </c>
      <c r="F1522" s="47">
        <f t="shared" ref="F1522:I1522" si="299">G1522</f>
        <v>0</v>
      </c>
      <c r="G1522" s="47">
        <f t="shared" si="299"/>
        <v>0</v>
      </c>
      <c r="H1522" s="47">
        <f t="shared" si="299"/>
        <v>0</v>
      </c>
      <c r="I1522" s="47">
        <f t="shared" si="299"/>
        <v>0</v>
      </c>
      <c r="J1522" s="47">
        <f t="shared" si="246"/>
        <v>0</v>
      </c>
      <c r="K1522" s="47">
        <v>0</v>
      </c>
      <c r="L1522" s="47">
        <v>0</v>
      </c>
      <c r="M1522" s="893"/>
      <c r="N1522" s="16"/>
      <c r="O1522" s="16"/>
      <c r="P1522" s="16"/>
      <c r="Q1522" s="16"/>
      <c r="R1522" s="16"/>
    </row>
    <row r="1523" spans="1:18" hidden="1" outlineLevel="1" x14ac:dyDescent="0.2">
      <c r="A1523" s="22" t="s">
        <v>1545</v>
      </c>
      <c r="B1523" s="2" t="s">
        <v>252</v>
      </c>
      <c r="C1523" s="2" t="s">
        <v>1253</v>
      </c>
      <c r="D1523" s="716">
        <v>1</v>
      </c>
      <c r="E1523" s="4" t="s">
        <v>143</v>
      </c>
      <c r="F1523" s="47">
        <f t="shared" ref="F1523:I1523" si="300">G1523</f>
        <v>0</v>
      </c>
      <c r="G1523" s="47">
        <f t="shared" si="300"/>
        <v>0</v>
      </c>
      <c r="H1523" s="47">
        <f t="shared" si="300"/>
        <v>0</v>
      </c>
      <c r="I1523" s="47">
        <f t="shared" si="300"/>
        <v>0</v>
      </c>
      <c r="J1523" s="47">
        <f t="shared" si="246"/>
        <v>0</v>
      </c>
      <c r="K1523" s="47">
        <v>0</v>
      </c>
      <c r="L1523" s="47">
        <v>0</v>
      </c>
      <c r="M1523" s="893"/>
      <c r="N1523" s="16"/>
      <c r="O1523" s="16"/>
      <c r="P1523" s="16"/>
      <c r="Q1523" s="16"/>
      <c r="R1523" s="16"/>
    </row>
    <row r="1524" spans="1:18" hidden="1" outlineLevel="1" x14ac:dyDescent="0.2">
      <c r="A1524" s="22" t="s">
        <v>1545</v>
      </c>
      <c r="B1524" s="2" t="s">
        <v>252</v>
      </c>
      <c r="C1524" s="2" t="s">
        <v>1253</v>
      </c>
      <c r="D1524" s="716">
        <v>1</v>
      </c>
      <c r="E1524" s="4" t="s">
        <v>7</v>
      </c>
      <c r="F1524" s="47">
        <f t="shared" ref="F1524:I1524" si="301">G1524</f>
        <v>0</v>
      </c>
      <c r="G1524" s="47">
        <f t="shared" si="301"/>
        <v>0</v>
      </c>
      <c r="H1524" s="47">
        <f t="shared" si="301"/>
        <v>0</v>
      </c>
      <c r="I1524" s="47">
        <f t="shared" si="301"/>
        <v>0</v>
      </c>
      <c r="J1524" s="47">
        <f t="shared" si="246"/>
        <v>0</v>
      </c>
      <c r="K1524" s="47">
        <v>0</v>
      </c>
      <c r="L1524" s="47">
        <v>0</v>
      </c>
      <c r="M1524" s="893"/>
      <c r="N1524" s="16"/>
      <c r="O1524" s="16"/>
      <c r="P1524" s="16"/>
      <c r="Q1524" s="16"/>
      <c r="R1524" s="16"/>
    </row>
    <row r="1525" spans="1:18" hidden="1" outlineLevel="1" x14ac:dyDescent="0.2">
      <c r="A1525" s="22" t="s">
        <v>1545</v>
      </c>
      <c r="B1525" s="2" t="s">
        <v>252</v>
      </c>
      <c r="C1525" s="2" t="s">
        <v>1253</v>
      </c>
      <c r="D1525" s="716">
        <v>1</v>
      </c>
      <c r="E1525" s="4" t="s">
        <v>31</v>
      </c>
      <c r="F1525" s="47">
        <f t="shared" ref="F1525:I1525" si="302">G1525</f>
        <v>1</v>
      </c>
      <c r="G1525" s="47">
        <f t="shared" si="302"/>
        <v>1</v>
      </c>
      <c r="H1525" s="47">
        <f t="shared" si="302"/>
        <v>1</v>
      </c>
      <c r="I1525" s="47">
        <f t="shared" si="302"/>
        <v>1</v>
      </c>
      <c r="J1525" s="47">
        <f t="shared" si="246"/>
        <v>1</v>
      </c>
      <c r="K1525" s="47">
        <v>1</v>
      </c>
      <c r="L1525" s="47">
        <v>1</v>
      </c>
      <c r="M1525" s="893"/>
      <c r="N1525" s="16"/>
      <c r="O1525" s="16"/>
      <c r="P1525" s="16"/>
      <c r="Q1525" s="16"/>
      <c r="R1525" s="16"/>
    </row>
    <row r="1526" spans="1:18" hidden="1" outlineLevel="1" x14ac:dyDescent="0.2">
      <c r="A1526" s="22" t="s">
        <v>1545</v>
      </c>
      <c r="B1526" s="2" t="s">
        <v>252</v>
      </c>
      <c r="C1526" s="2" t="s">
        <v>1253</v>
      </c>
      <c r="D1526" s="716">
        <v>1</v>
      </c>
      <c r="E1526" s="4" t="s">
        <v>8</v>
      </c>
      <c r="F1526" s="47">
        <f t="shared" ref="F1526:I1526" si="303">G1526</f>
        <v>0</v>
      </c>
      <c r="G1526" s="47">
        <f t="shared" si="303"/>
        <v>0</v>
      </c>
      <c r="H1526" s="47">
        <f t="shared" si="303"/>
        <v>0</v>
      </c>
      <c r="I1526" s="47">
        <f t="shared" si="303"/>
        <v>0</v>
      </c>
      <c r="J1526" s="47">
        <f t="shared" si="246"/>
        <v>0</v>
      </c>
      <c r="K1526" s="47">
        <v>0</v>
      </c>
      <c r="L1526" s="47">
        <v>0</v>
      </c>
      <c r="M1526" s="893"/>
      <c r="N1526" s="16"/>
      <c r="O1526" s="16"/>
      <c r="P1526" s="16"/>
      <c r="Q1526" s="16"/>
      <c r="R1526" s="16"/>
    </row>
    <row r="1527" spans="1:18" hidden="1" outlineLevel="1" x14ac:dyDescent="0.2">
      <c r="A1527" s="22" t="s">
        <v>1545</v>
      </c>
      <c r="B1527" s="2" t="s">
        <v>252</v>
      </c>
      <c r="C1527" s="2" t="s">
        <v>1253</v>
      </c>
      <c r="D1527" s="716">
        <v>1</v>
      </c>
      <c r="E1527" s="4" t="s">
        <v>9</v>
      </c>
      <c r="F1527" s="47">
        <f t="shared" ref="F1527:I1527" si="304">G1527</f>
        <v>0</v>
      </c>
      <c r="G1527" s="47">
        <f t="shared" si="304"/>
        <v>0</v>
      </c>
      <c r="H1527" s="47">
        <f t="shared" si="304"/>
        <v>0</v>
      </c>
      <c r="I1527" s="47">
        <f t="shared" si="304"/>
        <v>0</v>
      </c>
      <c r="J1527" s="47">
        <f t="shared" si="246"/>
        <v>0</v>
      </c>
      <c r="K1527" s="47">
        <v>0</v>
      </c>
      <c r="L1527" s="47">
        <v>0</v>
      </c>
      <c r="M1527" s="893"/>
      <c r="N1527" s="16"/>
      <c r="O1527" s="16"/>
      <c r="P1527" s="16"/>
      <c r="Q1527" s="16"/>
      <c r="R1527" s="16"/>
    </row>
    <row r="1528" spans="1:18" hidden="1" outlineLevel="1" x14ac:dyDescent="0.2">
      <c r="A1528" s="22" t="s">
        <v>1545</v>
      </c>
      <c r="B1528" s="2" t="s">
        <v>252</v>
      </c>
      <c r="C1528" s="2" t="s">
        <v>1253</v>
      </c>
      <c r="D1528" s="716">
        <v>1</v>
      </c>
      <c r="E1528" s="4" t="s">
        <v>10</v>
      </c>
      <c r="F1528" s="47">
        <f t="shared" ref="F1528:I1528" si="305">G1528</f>
        <v>0</v>
      </c>
      <c r="G1528" s="47">
        <f t="shared" si="305"/>
        <v>0</v>
      </c>
      <c r="H1528" s="47">
        <f t="shared" si="305"/>
        <v>0</v>
      </c>
      <c r="I1528" s="47">
        <f t="shared" si="305"/>
        <v>0</v>
      </c>
      <c r="J1528" s="47">
        <f t="shared" si="246"/>
        <v>0</v>
      </c>
      <c r="K1528" s="47">
        <v>0</v>
      </c>
      <c r="L1528" s="47">
        <v>0</v>
      </c>
      <c r="M1528" s="893"/>
      <c r="N1528" s="16"/>
      <c r="O1528" s="16"/>
      <c r="P1528" s="16"/>
      <c r="Q1528" s="16"/>
      <c r="R1528" s="16"/>
    </row>
    <row r="1529" spans="1:18" hidden="1" outlineLevel="1" x14ac:dyDescent="0.2">
      <c r="A1529" s="22" t="s">
        <v>1545</v>
      </c>
      <c r="B1529" s="2" t="s">
        <v>252</v>
      </c>
      <c r="C1529" s="2" t="s">
        <v>1253</v>
      </c>
      <c r="D1529" s="716">
        <v>1</v>
      </c>
      <c r="E1529" s="4" t="s">
        <v>11</v>
      </c>
      <c r="F1529" s="47">
        <f t="shared" ref="F1529:I1529" si="306">G1529</f>
        <v>0</v>
      </c>
      <c r="G1529" s="47">
        <f t="shared" si="306"/>
        <v>0</v>
      </c>
      <c r="H1529" s="47">
        <f t="shared" si="306"/>
        <v>0</v>
      </c>
      <c r="I1529" s="47">
        <f t="shared" si="306"/>
        <v>0</v>
      </c>
      <c r="J1529" s="47">
        <f t="shared" si="246"/>
        <v>0</v>
      </c>
      <c r="K1529" s="47">
        <v>0</v>
      </c>
      <c r="L1529" s="47">
        <v>0</v>
      </c>
      <c r="M1529" s="893"/>
      <c r="N1529" s="16"/>
      <c r="O1529" s="16"/>
      <c r="P1529" s="16"/>
      <c r="Q1529" s="16"/>
      <c r="R1529" s="16"/>
    </row>
    <row r="1530" spans="1:18" hidden="1" outlineLevel="1" x14ac:dyDescent="0.2">
      <c r="A1530" s="22" t="s">
        <v>1545</v>
      </c>
      <c r="B1530" s="2" t="s">
        <v>252</v>
      </c>
      <c r="C1530" s="2" t="s">
        <v>1253</v>
      </c>
      <c r="D1530" s="716">
        <v>1</v>
      </c>
      <c r="E1530" s="4" t="s">
        <v>12</v>
      </c>
      <c r="F1530" s="47">
        <f t="shared" ref="F1530:I1530" si="307">G1530</f>
        <v>0</v>
      </c>
      <c r="G1530" s="47">
        <f t="shared" si="307"/>
        <v>0</v>
      </c>
      <c r="H1530" s="47">
        <f t="shared" si="307"/>
        <v>0</v>
      </c>
      <c r="I1530" s="47">
        <f t="shared" si="307"/>
        <v>0</v>
      </c>
      <c r="J1530" s="47">
        <f t="shared" si="246"/>
        <v>0</v>
      </c>
      <c r="K1530" s="47">
        <v>0</v>
      </c>
      <c r="L1530" s="47">
        <v>0</v>
      </c>
      <c r="M1530" s="893"/>
      <c r="N1530" s="16"/>
      <c r="O1530" s="16"/>
      <c r="P1530" s="16"/>
      <c r="Q1530" s="16"/>
      <c r="R1530" s="16"/>
    </row>
    <row r="1531" spans="1:18" hidden="1" outlineLevel="1" x14ac:dyDescent="0.2">
      <c r="A1531" s="22" t="s">
        <v>1545</v>
      </c>
      <c r="B1531" s="2" t="s">
        <v>252</v>
      </c>
      <c r="C1531" s="2" t="s">
        <v>1253</v>
      </c>
      <c r="D1531" s="716">
        <v>1</v>
      </c>
      <c r="E1531" s="4" t="s">
        <v>1</v>
      </c>
      <c r="F1531" s="47">
        <f t="shared" ref="F1531:I1531" si="308">G1531</f>
        <v>0</v>
      </c>
      <c r="G1531" s="47">
        <f t="shared" si="308"/>
        <v>0</v>
      </c>
      <c r="H1531" s="47">
        <f t="shared" si="308"/>
        <v>0</v>
      </c>
      <c r="I1531" s="47">
        <f t="shared" si="308"/>
        <v>0</v>
      </c>
      <c r="J1531" s="47">
        <f t="shared" si="246"/>
        <v>0</v>
      </c>
      <c r="K1531" s="47">
        <v>0</v>
      </c>
      <c r="L1531" s="47">
        <v>0</v>
      </c>
      <c r="M1531" s="893"/>
      <c r="N1531" s="16"/>
      <c r="O1531" s="16"/>
      <c r="P1531" s="16"/>
      <c r="Q1531" s="16"/>
      <c r="R1531" s="16"/>
    </row>
    <row r="1532" spans="1:18" hidden="1" outlineLevel="1" x14ac:dyDescent="0.2">
      <c r="A1532" s="22" t="s">
        <v>1545</v>
      </c>
      <c r="B1532" s="2" t="s">
        <v>252</v>
      </c>
      <c r="C1532" s="2" t="s">
        <v>1253</v>
      </c>
      <c r="D1532" s="716">
        <v>1</v>
      </c>
      <c r="E1532" s="4" t="s">
        <v>13</v>
      </c>
      <c r="F1532" s="47">
        <f t="shared" ref="F1532:I1532" si="309">G1532</f>
        <v>0</v>
      </c>
      <c r="G1532" s="47">
        <f t="shared" si="309"/>
        <v>0</v>
      </c>
      <c r="H1532" s="47">
        <f t="shared" si="309"/>
        <v>0</v>
      </c>
      <c r="I1532" s="47">
        <f t="shared" si="309"/>
        <v>0</v>
      </c>
      <c r="J1532" s="47">
        <f t="shared" si="246"/>
        <v>0</v>
      </c>
      <c r="K1532" s="47">
        <v>0</v>
      </c>
      <c r="L1532" s="47">
        <v>0</v>
      </c>
      <c r="M1532" s="893"/>
      <c r="N1532" s="16"/>
      <c r="O1532" s="16"/>
      <c r="P1532" s="16"/>
      <c r="Q1532" s="16"/>
      <c r="R1532" s="16"/>
    </row>
    <row r="1533" spans="1:18" hidden="1" outlineLevel="1" x14ac:dyDescent="0.2">
      <c r="A1533" s="22" t="s">
        <v>1545</v>
      </c>
      <c r="B1533" s="2" t="s">
        <v>252</v>
      </c>
      <c r="C1533" s="2" t="s">
        <v>1253</v>
      </c>
      <c r="D1533" s="716">
        <v>1</v>
      </c>
      <c r="E1533" s="4" t="s">
        <v>14</v>
      </c>
      <c r="F1533" s="47">
        <f t="shared" ref="F1533:I1533" si="310">G1533</f>
        <v>0</v>
      </c>
      <c r="G1533" s="47">
        <f t="shared" si="310"/>
        <v>0</v>
      </c>
      <c r="H1533" s="47">
        <f t="shared" si="310"/>
        <v>0</v>
      </c>
      <c r="I1533" s="47">
        <f t="shared" si="310"/>
        <v>0</v>
      </c>
      <c r="J1533" s="47">
        <f t="shared" ref="J1533:J1596" si="311">K1533</f>
        <v>0</v>
      </c>
      <c r="K1533" s="47">
        <v>0</v>
      </c>
      <c r="L1533" s="47">
        <v>0</v>
      </c>
      <c r="M1533" s="893"/>
      <c r="N1533" s="16"/>
      <c r="O1533" s="16"/>
      <c r="P1533" s="16"/>
      <c r="Q1533" s="16"/>
      <c r="R1533" s="16"/>
    </row>
    <row r="1534" spans="1:18" hidden="1" outlineLevel="1" x14ac:dyDescent="0.2">
      <c r="A1534" s="22" t="s">
        <v>1545</v>
      </c>
      <c r="B1534" s="2" t="s">
        <v>252</v>
      </c>
      <c r="C1534" s="2" t="s">
        <v>1253</v>
      </c>
      <c r="D1534" s="716">
        <v>1</v>
      </c>
      <c r="E1534" s="4" t="s">
        <v>15</v>
      </c>
      <c r="F1534" s="47">
        <f t="shared" ref="F1534:I1534" si="312">G1534</f>
        <v>0</v>
      </c>
      <c r="G1534" s="47">
        <f t="shared" si="312"/>
        <v>0</v>
      </c>
      <c r="H1534" s="47">
        <f t="shared" si="312"/>
        <v>0</v>
      </c>
      <c r="I1534" s="47">
        <f t="shared" si="312"/>
        <v>0</v>
      </c>
      <c r="J1534" s="47">
        <f t="shared" si="311"/>
        <v>0</v>
      </c>
      <c r="K1534" s="47">
        <v>0</v>
      </c>
      <c r="L1534" s="47">
        <v>0</v>
      </c>
      <c r="M1534" s="893"/>
      <c r="N1534" s="16"/>
      <c r="O1534" s="16"/>
      <c r="P1534" s="16"/>
      <c r="Q1534" s="16"/>
      <c r="R1534" s="16"/>
    </row>
    <row r="1535" spans="1:18" hidden="1" outlineLevel="1" x14ac:dyDescent="0.2">
      <c r="A1535" s="22" t="s">
        <v>1545</v>
      </c>
      <c r="B1535" s="2" t="s">
        <v>252</v>
      </c>
      <c r="C1535" s="2" t="s">
        <v>1253</v>
      </c>
      <c r="D1535" s="716">
        <v>1</v>
      </c>
      <c r="E1535" s="4" t="s">
        <v>16</v>
      </c>
      <c r="F1535" s="47">
        <f t="shared" ref="F1535:I1535" si="313">G1535</f>
        <v>0</v>
      </c>
      <c r="G1535" s="47">
        <f t="shared" si="313"/>
        <v>0</v>
      </c>
      <c r="H1535" s="47">
        <f t="shared" si="313"/>
        <v>0</v>
      </c>
      <c r="I1535" s="47">
        <f t="shared" si="313"/>
        <v>0</v>
      </c>
      <c r="J1535" s="47">
        <f t="shared" si="311"/>
        <v>0</v>
      </c>
      <c r="K1535" s="47">
        <v>0</v>
      </c>
      <c r="L1535" s="47">
        <v>0</v>
      </c>
      <c r="M1535" s="893"/>
      <c r="N1535" s="16"/>
      <c r="O1535" s="16"/>
      <c r="P1535" s="16"/>
      <c r="Q1535" s="16"/>
      <c r="R1535" s="16"/>
    </row>
    <row r="1536" spans="1:18" hidden="1" outlineLevel="1" x14ac:dyDescent="0.2">
      <c r="A1536" s="22" t="s">
        <v>1545</v>
      </c>
      <c r="B1536" s="2" t="s">
        <v>252</v>
      </c>
      <c r="C1536" s="2" t="s">
        <v>1253</v>
      </c>
      <c r="D1536" s="716">
        <v>1</v>
      </c>
      <c r="E1536" s="4" t="s">
        <v>17</v>
      </c>
      <c r="F1536" s="47">
        <f t="shared" ref="F1536:I1536" si="314">G1536</f>
        <v>0</v>
      </c>
      <c r="G1536" s="47">
        <f t="shared" si="314"/>
        <v>0</v>
      </c>
      <c r="H1536" s="47">
        <f t="shared" si="314"/>
        <v>0</v>
      </c>
      <c r="I1536" s="47">
        <f t="shared" si="314"/>
        <v>0</v>
      </c>
      <c r="J1536" s="47">
        <f t="shared" si="311"/>
        <v>0</v>
      </c>
      <c r="K1536" s="47">
        <v>0</v>
      </c>
      <c r="L1536" s="47">
        <v>0</v>
      </c>
      <c r="M1536" s="893"/>
      <c r="N1536" s="16"/>
      <c r="O1536" s="16"/>
      <c r="P1536" s="16"/>
      <c r="Q1536" s="16"/>
      <c r="R1536" s="16"/>
    </row>
    <row r="1537" spans="1:18" hidden="1" outlineLevel="1" x14ac:dyDescent="0.2">
      <c r="A1537" s="22" t="s">
        <v>1545</v>
      </c>
      <c r="B1537" s="2" t="s">
        <v>252</v>
      </c>
      <c r="C1537" s="2" t="s">
        <v>1253</v>
      </c>
      <c r="D1537" s="716">
        <v>1</v>
      </c>
      <c r="E1537" s="4" t="s">
        <v>18</v>
      </c>
      <c r="F1537" s="47">
        <f t="shared" ref="F1537:I1537" si="315">G1537</f>
        <v>1</v>
      </c>
      <c r="G1537" s="47">
        <f t="shared" si="315"/>
        <v>1</v>
      </c>
      <c r="H1537" s="47">
        <f t="shared" si="315"/>
        <v>1</v>
      </c>
      <c r="I1537" s="47">
        <f t="shared" si="315"/>
        <v>1</v>
      </c>
      <c r="J1537" s="47">
        <f t="shared" si="311"/>
        <v>1</v>
      </c>
      <c r="K1537" s="47">
        <v>1</v>
      </c>
      <c r="L1537" s="47">
        <v>1</v>
      </c>
      <c r="M1537" s="893"/>
      <c r="N1537" s="16"/>
      <c r="O1537" s="16"/>
      <c r="P1537" s="16"/>
      <c r="Q1537" s="16"/>
      <c r="R1537" s="16"/>
    </row>
    <row r="1538" spans="1:18" hidden="1" outlineLevel="1" x14ac:dyDescent="0.2">
      <c r="A1538" s="22" t="s">
        <v>1545</v>
      </c>
      <c r="B1538" s="2" t="s">
        <v>252</v>
      </c>
      <c r="C1538" s="2" t="s">
        <v>1253</v>
      </c>
      <c r="D1538" s="716">
        <v>1</v>
      </c>
      <c r="E1538" s="4" t="s">
        <v>2</v>
      </c>
      <c r="F1538" s="47">
        <f t="shared" ref="F1538:I1538" si="316">G1538</f>
        <v>0</v>
      </c>
      <c r="G1538" s="47">
        <f t="shared" si="316"/>
        <v>0</v>
      </c>
      <c r="H1538" s="47">
        <f t="shared" si="316"/>
        <v>0</v>
      </c>
      <c r="I1538" s="47">
        <f t="shared" si="316"/>
        <v>0</v>
      </c>
      <c r="J1538" s="47">
        <f t="shared" si="311"/>
        <v>0</v>
      </c>
      <c r="K1538" s="47">
        <v>0</v>
      </c>
      <c r="L1538" s="47">
        <v>0</v>
      </c>
      <c r="M1538" s="893"/>
      <c r="N1538" s="16"/>
      <c r="O1538" s="16"/>
      <c r="P1538" s="16"/>
      <c r="Q1538" s="16"/>
      <c r="R1538" s="16"/>
    </row>
    <row r="1539" spans="1:18" hidden="1" outlineLevel="1" x14ac:dyDescent="0.2">
      <c r="A1539" s="22" t="s">
        <v>1545</v>
      </c>
      <c r="B1539" s="2" t="s">
        <v>252</v>
      </c>
      <c r="C1539" s="2" t="s">
        <v>1253</v>
      </c>
      <c r="D1539" s="716">
        <v>1</v>
      </c>
      <c r="E1539" s="4" t="s">
        <v>19</v>
      </c>
      <c r="F1539" s="47">
        <f t="shared" ref="F1539:I1539" si="317">G1539</f>
        <v>1</v>
      </c>
      <c r="G1539" s="47">
        <f t="shared" si="317"/>
        <v>1</v>
      </c>
      <c r="H1539" s="47">
        <f t="shared" si="317"/>
        <v>1</v>
      </c>
      <c r="I1539" s="47">
        <f t="shared" si="317"/>
        <v>1</v>
      </c>
      <c r="J1539" s="47">
        <f t="shared" si="311"/>
        <v>1</v>
      </c>
      <c r="K1539" s="47">
        <v>1</v>
      </c>
      <c r="L1539" s="47">
        <v>1</v>
      </c>
      <c r="M1539" s="893"/>
      <c r="N1539" s="16"/>
      <c r="O1539" s="16"/>
      <c r="P1539" s="16"/>
      <c r="Q1539" s="16"/>
      <c r="R1539" s="16"/>
    </row>
    <row r="1540" spans="1:18" hidden="1" outlineLevel="1" x14ac:dyDescent="0.2">
      <c r="A1540" s="22" t="s">
        <v>1545</v>
      </c>
      <c r="B1540" s="2" t="s">
        <v>252</v>
      </c>
      <c r="C1540" s="2" t="s">
        <v>1253</v>
      </c>
      <c r="D1540" s="716">
        <v>1</v>
      </c>
      <c r="E1540" s="4" t="s">
        <v>3</v>
      </c>
      <c r="F1540" s="47">
        <f t="shared" ref="F1540:I1540" si="318">G1540</f>
        <v>0</v>
      </c>
      <c r="G1540" s="47">
        <f t="shared" si="318"/>
        <v>0</v>
      </c>
      <c r="H1540" s="47">
        <f t="shared" si="318"/>
        <v>0</v>
      </c>
      <c r="I1540" s="47">
        <f t="shared" si="318"/>
        <v>0</v>
      </c>
      <c r="J1540" s="47">
        <f t="shared" si="311"/>
        <v>0</v>
      </c>
      <c r="K1540" s="47">
        <v>0</v>
      </c>
      <c r="L1540" s="47">
        <v>0</v>
      </c>
      <c r="M1540" s="893"/>
      <c r="N1540" s="16"/>
      <c r="O1540" s="16"/>
      <c r="P1540" s="16"/>
      <c r="Q1540" s="16"/>
      <c r="R1540" s="16"/>
    </row>
    <row r="1541" spans="1:18" hidden="1" outlineLevel="1" x14ac:dyDescent="0.2">
      <c r="A1541" s="22" t="s">
        <v>1545</v>
      </c>
      <c r="B1541" s="2" t="s">
        <v>252</v>
      </c>
      <c r="C1541" s="2" t="s">
        <v>1253</v>
      </c>
      <c r="D1541" s="716">
        <v>1</v>
      </c>
      <c r="E1541" s="4" t="s">
        <v>20</v>
      </c>
      <c r="F1541" s="47">
        <f t="shared" ref="F1541:I1541" si="319">G1541</f>
        <v>0</v>
      </c>
      <c r="G1541" s="47">
        <f t="shared" si="319"/>
        <v>0</v>
      </c>
      <c r="H1541" s="47">
        <f t="shared" si="319"/>
        <v>0</v>
      </c>
      <c r="I1541" s="47">
        <f t="shared" si="319"/>
        <v>0</v>
      </c>
      <c r="J1541" s="47">
        <f t="shared" si="311"/>
        <v>0</v>
      </c>
      <c r="K1541" s="47">
        <v>0</v>
      </c>
      <c r="L1541" s="47">
        <v>0</v>
      </c>
      <c r="M1541" s="893"/>
      <c r="N1541" s="16"/>
      <c r="O1541" s="16"/>
      <c r="P1541" s="16"/>
      <c r="Q1541" s="16"/>
      <c r="R1541" s="16"/>
    </row>
    <row r="1542" spans="1:18" hidden="1" outlineLevel="1" x14ac:dyDescent="0.2">
      <c r="A1542" s="22" t="s">
        <v>1545</v>
      </c>
      <c r="B1542" s="2" t="s">
        <v>252</v>
      </c>
      <c r="C1542" s="2" t="s">
        <v>1253</v>
      </c>
      <c r="D1542" s="716">
        <v>1</v>
      </c>
      <c r="E1542" s="4" t="s">
        <v>21</v>
      </c>
      <c r="F1542" s="47">
        <f t="shared" ref="F1542:I1542" si="320">G1542</f>
        <v>0</v>
      </c>
      <c r="G1542" s="47">
        <f t="shared" si="320"/>
        <v>0</v>
      </c>
      <c r="H1542" s="47">
        <f t="shared" si="320"/>
        <v>0</v>
      </c>
      <c r="I1542" s="47">
        <f t="shared" si="320"/>
        <v>0</v>
      </c>
      <c r="J1542" s="47">
        <f t="shared" si="311"/>
        <v>0</v>
      </c>
      <c r="K1542" s="47">
        <v>0</v>
      </c>
      <c r="L1542" s="47">
        <v>0</v>
      </c>
      <c r="M1542" s="893"/>
      <c r="N1542" s="16"/>
      <c r="O1542" s="16"/>
      <c r="P1542" s="16"/>
      <c r="Q1542" s="16"/>
      <c r="R1542" s="16"/>
    </row>
    <row r="1543" spans="1:18" hidden="1" outlineLevel="1" x14ac:dyDescent="0.2">
      <c r="A1543" s="22" t="s">
        <v>1545</v>
      </c>
      <c r="B1543" s="2" t="s">
        <v>252</v>
      </c>
      <c r="C1543" s="2" t="s">
        <v>1253</v>
      </c>
      <c r="D1543" s="716">
        <v>1</v>
      </c>
      <c r="E1543" s="4" t="s">
        <v>1096</v>
      </c>
      <c r="F1543" s="47">
        <f t="shared" ref="F1543:I1543" si="321">G1543</f>
        <v>0</v>
      </c>
      <c r="G1543" s="47">
        <f t="shared" si="321"/>
        <v>0</v>
      </c>
      <c r="H1543" s="47">
        <f t="shared" si="321"/>
        <v>0</v>
      </c>
      <c r="I1543" s="47">
        <f t="shared" si="321"/>
        <v>0</v>
      </c>
      <c r="J1543" s="47">
        <f t="shared" si="311"/>
        <v>0</v>
      </c>
      <c r="K1543" s="47">
        <v>0</v>
      </c>
      <c r="L1543" s="47">
        <v>0</v>
      </c>
      <c r="M1543" s="893"/>
      <c r="N1543" s="16"/>
      <c r="O1543" s="16"/>
      <c r="P1543" s="16"/>
      <c r="Q1543" s="16"/>
      <c r="R1543" s="16"/>
    </row>
    <row r="1544" spans="1:18" hidden="1" outlineLevel="1" x14ac:dyDescent="0.2">
      <c r="A1544" s="22" t="s">
        <v>1545</v>
      </c>
      <c r="B1544" s="2" t="s">
        <v>252</v>
      </c>
      <c r="C1544" s="2" t="s">
        <v>1253</v>
      </c>
      <c r="D1544" s="716">
        <v>1</v>
      </c>
      <c r="E1544" s="4" t="s">
        <v>22</v>
      </c>
      <c r="F1544" s="47">
        <f t="shared" ref="F1544:I1544" si="322">G1544</f>
        <v>0</v>
      </c>
      <c r="G1544" s="47">
        <f t="shared" si="322"/>
        <v>0</v>
      </c>
      <c r="H1544" s="47">
        <f t="shared" si="322"/>
        <v>0</v>
      </c>
      <c r="I1544" s="47">
        <f t="shared" si="322"/>
        <v>0</v>
      </c>
      <c r="J1544" s="47">
        <f t="shared" si="311"/>
        <v>0</v>
      </c>
      <c r="K1544" s="47">
        <v>0</v>
      </c>
      <c r="L1544" s="47">
        <v>0</v>
      </c>
      <c r="M1544" s="893"/>
      <c r="N1544" s="16"/>
      <c r="O1544" s="16"/>
      <c r="P1544" s="16"/>
      <c r="Q1544" s="16"/>
      <c r="R1544" s="16"/>
    </row>
    <row r="1545" spans="1:18" hidden="1" outlineLevel="1" x14ac:dyDescent="0.2">
      <c r="A1545" s="22" t="s">
        <v>1545</v>
      </c>
      <c r="B1545" s="2" t="s">
        <v>252</v>
      </c>
      <c r="C1545" s="2" t="s">
        <v>1253</v>
      </c>
      <c r="D1545" s="717">
        <v>1</v>
      </c>
      <c r="E1545" s="469" t="s">
        <v>23</v>
      </c>
      <c r="F1545" s="48">
        <f t="shared" ref="F1545:I1545" si="323">G1545</f>
        <v>0</v>
      </c>
      <c r="G1545" s="48">
        <f t="shared" si="323"/>
        <v>0</v>
      </c>
      <c r="H1545" s="48">
        <f t="shared" si="323"/>
        <v>0</v>
      </c>
      <c r="I1545" s="48">
        <f t="shared" si="323"/>
        <v>0</v>
      </c>
      <c r="J1545" s="48">
        <f t="shared" si="311"/>
        <v>0</v>
      </c>
      <c r="K1545" s="363">
        <v>0</v>
      </c>
      <c r="L1545" s="363">
        <v>0</v>
      </c>
      <c r="M1545" s="920"/>
      <c r="N1545" s="16"/>
      <c r="O1545" s="16"/>
      <c r="P1545" s="16"/>
      <c r="Q1545" s="16"/>
      <c r="R1545" s="16"/>
    </row>
    <row r="1546" spans="1:18" hidden="1" outlineLevel="1" x14ac:dyDescent="0.2">
      <c r="A1546" s="92" t="s">
        <v>1545</v>
      </c>
      <c r="B1546" s="81" t="s">
        <v>252</v>
      </c>
      <c r="C1546" s="81" t="s">
        <v>1254</v>
      </c>
      <c r="D1546" s="715">
        <v>1</v>
      </c>
      <c r="E1546" s="468" t="s">
        <v>4</v>
      </c>
      <c r="F1546" s="380">
        <f t="shared" ref="F1546:I1546" si="324">G1546</f>
        <v>0</v>
      </c>
      <c r="G1546" s="89">
        <f t="shared" si="324"/>
        <v>0</v>
      </c>
      <c r="H1546" s="89">
        <f t="shared" si="324"/>
        <v>0</v>
      </c>
      <c r="I1546" s="89">
        <f t="shared" si="324"/>
        <v>0</v>
      </c>
      <c r="J1546" s="89">
        <f t="shared" si="311"/>
        <v>0</v>
      </c>
      <c r="K1546" s="380">
        <v>0</v>
      </c>
      <c r="L1546" s="380">
        <v>0</v>
      </c>
      <c r="M1546" s="892"/>
      <c r="N1546" s="16"/>
      <c r="O1546" s="16"/>
      <c r="P1546" s="16"/>
      <c r="Q1546" s="16"/>
      <c r="R1546" s="16"/>
    </row>
    <row r="1547" spans="1:18" hidden="1" outlineLevel="1" x14ac:dyDescent="0.2">
      <c r="A1547" s="22" t="s">
        <v>1545</v>
      </c>
      <c r="B1547" s="2" t="s">
        <v>252</v>
      </c>
      <c r="C1547" s="2" t="s">
        <v>1254</v>
      </c>
      <c r="D1547" s="716">
        <v>1</v>
      </c>
      <c r="E1547" s="4" t="s">
        <v>5</v>
      </c>
      <c r="F1547" s="47">
        <f t="shared" ref="F1547:I1547" si="325">G1547</f>
        <v>0</v>
      </c>
      <c r="G1547" s="47">
        <f t="shared" si="325"/>
        <v>0</v>
      </c>
      <c r="H1547" s="47">
        <f t="shared" si="325"/>
        <v>0</v>
      </c>
      <c r="I1547" s="47">
        <f t="shared" si="325"/>
        <v>0</v>
      </c>
      <c r="J1547" s="47">
        <f t="shared" si="311"/>
        <v>0</v>
      </c>
      <c r="K1547" s="47">
        <v>0</v>
      </c>
      <c r="L1547" s="47">
        <v>0</v>
      </c>
      <c r="M1547" s="893"/>
      <c r="N1547" s="16"/>
      <c r="O1547" s="16"/>
      <c r="P1547" s="16"/>
      <c r="Q1547" s="16"/>
      <c r="R1547" s="16"/>
    </row>
    <row r="1548" spans="1:18" hidden="1" outlineLevel="1" x14ac:dyDescent="0.2">
      <c r="A1548" s="22" t="s">
        <v>1545</v>
      </c>
      <c r="B1548" s="2" t="s">
        <v>252</v>
      </c>
      <c r="C1548" s="2" t="s">
        <v>1254</v>
      </c>
      <c r="D1548" s="716">
        <v>1</v>
      </c>
      <c r="E1548" s="4" t="s">
        <v>6</v>
      </c>
      <c r="F1548" s="47">
        <f t="shared" ref="F1548:I1548" si="326">G1548</f>
        <v>0</v>
      </c>
      <c r="G1548" s="47">
        <f t="shared" si="326"/>
        <v>0</v>
      </c>
      <c r="H1548" s="47">
        <f t="shared" si="326"/>
        <v>0</v>
      </c>
      <c r="I1548" s="47">
        <f t="shared" si="326"/>
        <v>0</v>
      </c>
      <c r="J1548" s="47">
        <f t="shared" si="311"/>
        <v>0</v>
      </c>
      <c r="K1548" s="47">
        <v>0</v>
      </c>
      <c r="L1548" s="47">
        <v>0</v>
      </c>
      <c r="M1548" s="893"/>
      <c r="N1548" s="16"/>
      <c r="O1548" s="16"/>
      <c r="P1548" s="16"/>
      <c r="Q1548" s="16"/>
      <c r="R1548" s="16"/>
    </row>
    <row r="1549" spans="1:18" hidden="1" outlineLevel="1" x14ac:dyDescent="0.2">
      <c r="A1549" s="22" t="s">
        <v>1545</v>
      </c>
      <c r="B1549" s="2" t="s">
        <v>252</v>
      </c>
      <c r="C1549" s="2" t="s">
        <v>1254</v>
      </c>
      <c r="D1549" s="716">
        <v>1</v>
      </c>
      <c r="E1549" s="4" t="s">
        <v>143</v>
      </c>
      <c r="F1549" s="47">
        <f t="shared" ref="F1549:I1549" si="327">G1549</f>
        <v>0</v>
      </c>
      <c r="G1549" s="47">
        <f t="shared" si="327"/>
        <v>0</v>
      </c>
      <c r="H1549" s="47">
        <f t="shared" si="327"/>
        <v>0</v>
      </c>
      <c r="I1549" s="47">
        <f t="shared" si="327"/>
        <v>0</v>
      </c>
      <c r="J1549" s="47">
        <f t="shared" si="311"/>
        <v>0</v>
      </c>
      <c r="K1549" s="47">
        <v>0</v>
      </c>
      <c r="L1549" s="47">
        <v>0</v>
      </c>
      <c r="M1549" s="893"/>
      <c r="N1549" s="16"/>
      <c r="O1549" s="16"/>
      <c r="P1549" s="16"/>
      <c r="Q1549" s="16"/>
      <c r="R1549" s="16"/>
    </row>
    <row r="1550" spans="1:18" hidden="1" outlineLevel="1" x14ac:dyDescent="0.2">
      <c r="A1550" s="22" t="s">
        <v>1545</v>
      </c>
      <c r="B1550" s="2" t="s">
        <v>252</v>
      </c>
      <c r="C1550" s="2" t="s">
        <v>1254</v>
      </c>
      <c r="D1550" s="716">
        <v>1</v>
      </c>
      <c r="E1550" s="4" t="s">
        <v>7</v>
      </c>
      <c r="F1550" s="47">
        <f t="shared" ref="F1550:I1550" si="328">G1550</f>
        <v>0</v>
      </c>
      <c r="G1550" s="47">
        <f t="shared" si="328"/>
        <v>0</v>
      </c>
      <c r="H1550" s="47">
        <f t="shared" si="328"/>
        <v>0</v>
      </c>
      <c r="I1550" s="47">
        <f t="shared" si="328"/>
        <v>0</v>
      </c>
      <c r="J1550" s="47">
        <f t="shared" si="311"/>
        <v>0</v>
      </c>
      <c r="K1550" s="47">
        <v>0</v>
      </c>
      <c r="L1550" s="47">
        <v>0</v>
      </c>
      <c r="M1550" s="893"/>
      <c r="N1550" s="16"/>
      <c r="O1550" s="16"/>
      <c r="P1550" s="16"/>
      <c r="Q1550" s="16"/>
      <c r="R1550" s="16"/>
    </row>
    <row r="1551" spans="1:18" hidden="1" outlineLevel="1" x14ac:dyDescent="0.2">
      <c r="A1551" s="22" t="s">
        <v>1545</v>
      </c>
      <c r="B1551" s="2" t="s">
        <v>252</v>
      </c>
      <c r="C1551" s="2" t="s">
        <v>1254</v>
      </c>
      <c r="D1551" s="716">
        <v>1</v>
      </c>
      <c r="E1551" s="4" t="s">
        <v>31</v>
      </c>
      <c r="F1551" s="47">
        <f t="shared" ref="F1551:I1551" si="329">G1551</f>
        <v>1</v>
      </c>
      <c r="G1551" s="47">
        <f t="shared" si="329"/>
        <v>1</v>
      </c>
      <c r="H1551" s="47">
        <f t="shared" si="329"/>
        <v>1</v>
      </c>
      <c r="I1551" s="47">
        <f t="shared" si="329"/>
        <v>1</v>
      </c>
      <c r="J1551" s="47">
        <f t="shared" si="311"/>
        <v>1</v>
      </c>
      <c r="K1551" s="47">
        <v>1</v>
      </c>
      <c r="L1551" s="47">
        <v>1</v>
      </c>
      <c r="M1551" s="893"/>
      <c r="N1551" s="16"/>
      <c r="O1551" s="16"/>
      <c r="P1551" s="16"/>
      <c r="Q1551" s="16"/>
      <c r="R1551" s="16"/>
    </row>
    <row r="1552" spans="1:18" hidden="1" outlineLevel="1" x14ac:dyDescent="0.2">
      <c r="A1552" s="22" t="s">
        <v>1545</v>
      </c>
      <c r="B1552" s="2" t="s">
        <v>252</v>
      </c>
      <c r="C1552" s="2" t="s">
        <v>1254</v>
      </c>
      <c r="D1552" s="716">
        <v>1</v>
      </c>
      <c r="E1552" s="4" t="s">
        <v>8</v>
      </c>
      <c r="F1552" s="47">
        <f t="shared" ref="F1552:I1552" si="330">G1552</f>
        <v>1</v>
      </c>
      <c r="G1552" s="47">
        <f t="shared" si="330"/>
        <v>1</v>
      </c>
      <c r="H1552" s="47">
        <f t="shared" si="330"/>
        <v>1</v>
      </c>
      <c r="I1552" s="47">
        <f t="shared" si="330"/>
        <v>1</v>
      </c>
      <c r="J1552" s="47">
        <f t="shared" si="311"/>
        <v>1</v>
      </c>
      <c r="K1552" s="47">
        <v>1</v>
      </c>
      <c r="L1552" s="47">
        <v>1</v>
      </c>
      <c r="M1552" s="893"/>
      <c r="N1552" s="16"/>
      <c r="O1552" s="16"/>
      <c r="P1552" s="16"/>
      <c r="Q1552" s="16"/>
      <c r="R1552" s="16"/>
    </row>
    <row r="1553" spans="1:18" hidden="1" outlineLevel="1" x14ac:dyDescent="0.2">
      <c r="A1553" s="22" t="s">
        <v>1545</v>
      </c>
      <c r="B1553" s="2" t="s">
        <v>252</v>
      </c>
      <c r="C1553" s="2" t="s">
        <v>1254</v>
      </c>
      <c r="D1553" s="716">
        <v>1</v>
      </c>
      <c r="E1553" s="4" t="s">
        <v>9</v>
      </c>
      <c r="F1553" s="47">
        <f t="shared" ref="F1553:I1553" si="331">G1553</f>
        <v>0</v>
      </c>
      <c r="G1553" s="47">
        <f t="shared" si="331"/>
        <v>0</v>
      </c>
      <c r="H1553" s="47">
        <f t="shared" si="331"/>
        <v>0</v>
      </c>
      <c r="I1553" s="47">
        <f t="shared" si="331"/>
        <v>0</v>
      </c>
      <c r="J1553" s="47">
        <f t="shared" si="311"/>
        <v>0</v>
      </c>
      <c r="K1553" s="47">
        <v>0</v>
      </c>
      <c r="L1553" s="47">
        <v>0</v>
      </c>
      <c r="M1553" s="893"/>
      <c r="N1553" s="16"/>
      <c r="O1553" s="16"/>
      <c r="P1553" s="16"/>
      <c r="Q1553" s="16"/>
      <c r="R1553" s="16"/>
    </row>
    <row r="1554" spans="1:18" hidden="1" outlineLevel="1" x14ac:dyDescent="0.2">
      <c r="A1554" s="22" t="s">
        <v>1545</v>
      </c>
      <c r="B1554" s="2" t="s">
        <v>252</v>
      </c>
      <c r="C1554" s="2" t="s">
        <v>1254</v>
      </c>
      <c r="D1554" s="716">
        <v>1</v>
      </c>
      <c r="E1554" s="4" t="s">
        <v>10</v>
      </c>
      <c r="F1554" s="47">
        <f t="shared" ref="F1554:I1554" si="332">G1554</f>
        <v>0</v>
      </c>
      <c r="G1554" s="47">
        <f t="shared" si="332"/>
        <v>0</v>
      </c>
      <c r="H1554" s="47">
        <f t="shared" si="332"/>
        <v>0</v>
      </c>
      <c r="I1554" s="47">
        <f t="shared" si="332"/>
        <v>0</v>
      </c>
      <c r="J1554" s="47">
        <f t="shared" si="311"/>
        <v>0</v>
      </c>
      <c r="K1554" s="47">
        <v>0</v>
      </c>
      <c r="L1554" s="47">
        <v>0</v>
      </c>
      <c r="M1554" s="893"/>
      <c r="N1554" s="16"/>
      <c r="O1554" s="16"/>
      <c r="P1554" s="16"/>
      <c r="Q1554" s="16"/>
      <c r="R1554" s="16"/>
    </row>
    <row r="1555" spans="1:18" hidden="1" outlineLevel="1" x14ac:dyDescent="0.2">
      <c r="A1555" s="22" t="s">
        <v>1545</v>
      </c>
      <c r="B1555" s="2" t="s">
        <v>252</v>
      </c>
      <c r="C1555" s="2" t="s">
        <v>1254</v>
      </c>
      <c r="D1555" s="716">
        <v>1</v>
      </c>
      <c r="E1555" s="4" t="s">
        <v>11</v>
      </c>
      <c r="F1555" s="47">
        <f t="shared" ref="F1555:I1555" si="333">G1555</f>
        <v>0</v>
      </c>
      <c r="G1555" s="47">
        <f t="shared" si="333"/>
        <v>0</v>
      </c>
      <c r="H1555" s="47">
        <f t="shared" si="333"/>
        <v>0</v>
      </c>
      <c r="I1555" s="47">
        <f t="shared" si="333"/>
        <v>0</v>
      </c>
      <c r="J1555" s="47">
        <f t="shared" si="311"/>
        <v>0</v>
      </c>
      <c r="K1555" s="47">
        <v>0</v>
      </c>
      <c r="L1555" s="47">
        <v>0</v>
      </c>
      <c r="M1555" s="893"/>
      <c r="N1555" s="16"/>
      <c r="O1555" s="16"/>
      <c r="P1555" s="16"/>
      <c r="Q1555" s="16"/>
      <c r="R1555" s="16"/>
    </row>
    <row r="1556" spans="1:18" hidden="1" outlineLevel="1" x14ac:dyDescent="0.2">
      <c r="A1556" s="22" t="s">
        <v>1545</v>
      </c>
      <c r="B1556" s="2" t="s">
        <v>252</v>
      </c>
      <c r="C1556" s="2" t="s">
        <v>1254</v>
      </c>
      <c r="D1556" s="716">
        <v>1</v>
      </c>
      <c r="E1556" s="4" t="s">
        <v>12</v>
      </c>
      <c r="F1556" s="47">
        <f t="shared" ref="F1556:I1556" si="334">G1556</f>
        <v>0</v>
      </c>
      <c r="G1556" s="47">
        <f t="shared" si="334"/>
        <v>0</v>
      </c>
      <c r="H1556" s="47">
        <f t="shared" si="334"/>
        <v>0</v>
      </c>
      <c r="I1556" s="47">
        <f t="shared" si="334"/>
        <v>0</v>
      </c>
      <c r="J1556" s="47">
        <f t="shared" si="311"/>
        <v>0</v>
      </c>
      <c r="K1556" s="47">
        <v>0</v>
      </c>
      <c r="L1556" s="47">
        <v>0</v>
      </c>
      <c r="M1556" s="893"/>
      <c r="N1556" s="16"/>
      <c r="O1556" s="16"/>
      <c r="P1556" s="16"/>
      <c r="Q1556" s="16"/>
      <c r="R1556" s="16"/>
    </row>
    <row r="1557" spans="1:18" hidden="1" outlineLevel="1" x14ac:dyDescent="0.2">
      <c r="A1557" s="22" t="s">
        <v>1545</v>
      </c>
      <c r="B1557" s="2" t="s">
        <v>252</v>
      </c>
      <c r="C1557" s="2" t="s">
        <v>1254</v>
      </c>
      <c r="D1557" s="716">
        <v>1</v>
      </c>
      <c r="E1557" s="4" t="s">
        <v>1</v>
      </c>
      <c r="F1557" s="47">
        <f t="shared" ref="F1557:I1557" si="335">G1557</f>
        <v>0</v>
      </c>
      <c r="G1557" s="47">
        <f t="shared" si="335"/>
        <v>0</v>
      </c>
      <c r="H1557" s="47">
        <f t="shared" si="335"/>
        <v>0</v>
      </c>
      <c r="I1557" s="47">
        <f t="shared" si="335"/>
        <v>0</v>
      </c>
      <c r="J1557" s="47">
        <f t="shared" si="311"/>
        <v>0</v>
      </c>
      <c r="K1557" s="47">
        <v>0</v>
      </c>
      <c r="L1557" s="47">
        <v>0</v>
      </c>
      <c r="M1557" s="893"/>
      <c r="N1557" s="16"/>
      <c r="O1557" s="16"/>
      <c r="P1557" s="16"/>
      <c r="Q1557" s="16"/>
      <c r="R1557" s="16"/>
    </row>
    <row r="1558" spans="1:18" hidden="1" outlineLevel="1" x14ac:dyDescent="0.2">
      <c r="A1558" s="22" t="s">
        <v>1545</v>
      </c>
      <c r="B1558" s="2" t="s">
        <v>252</v>
      </c>
      <c r="C1558" s="2" t="s">
        <v>1254</v>
      </c>
      <c r="D1558" s="716">
        <v>1</v>
      </c>
      <c r="E1558" s="4" t="s">
        <v>13</v>
      </c>
      <c r="F1558" s="47">
        <f t="shared" ref="F1558:I1558" si="336">G1558</f>
        <v>0</v>
      </c>
      <c r="G1558" s="47">
        <f t="shared" si="336"/>
        <v>0</v>
      </c>
      <c r="H1558" s="47">
        <f t="shared" si="336"/>
        <v>0</v>
      </c>
      <c r="I1558" s="47">
        <f t="shared" si="336"/>
        <v>0</v>
      </c>
      <c r="J1558" s="47">
        <f t="shared" si="311"/>
        <v>0</v>
      </c>
      <c r="K1558" s="47">
        <v>0</v>
      </c>
      <c r="L1558" s="47">
        <v>0</v>
      </c>
      <c r="M1558" s="893"/>
      <c r="N1558" s="16"/>
      <c r="O1558" s="16"/>
      <c r="P1558" s="16"/>
      <c r="Q1558" s="16"/>
      <c r="R1558" s="16"/>
    </row>
    <row r="1559" spans="1:18" hidden="1" outlineLevel="1" x14ac:dyDescent="0.2">
      <c r="A1559" s="22" t="s">
        <v>1545</v>
      </c>
      <c r="B1559" s="2" t="s">
        <v>252</v>
      </c>
      <c r="C1559" s="2" t="s">
        <v>1254</v>
      </c>
      <c r="D1559" s="716">
        <v>1</v>
      </c>
      <c r="E1559" s="4" t="s">
        <v>14</v>
      </c>
      <c r="F1559" s="47">
        <f t="shared" ref="F1559:I1559" si="337">G1559</f>
        <v>0</v>
      </c>
      <c r="G1559" s="47">
        <f t="shared" si="337"/>
        <v>0</v>
      </c>
      <c r="H1559" s="47">
        <f t="shared" si="337"/>
        <v>0</v>
      </c>
      <c r="I1559" s="47">
        <f t="shared" si="337"/>
        <v>0</v>
      </c>
      <c r="J1559" s="47">
        <f t="shared" si="311"/>
        <v>0</v>
      </c>
      <c r="K1559" s="47">
        <v>0</v>
      </c>
      <c r="L1559" s="47">
        <v>0</v>
      </c>
      <c r="M1559" s="893"/>
      <c r="N1559" s="16"/>
      <c r="O1559" s="16"/>
      <c r="P1559" s="16"/>
      <c r="Q1559" s="16"/>
      <c r="R1559" s="16"/>
    </row>
    <row r="1560" spans="1:18" hidden="1" outlineLevel="1" x14ac:dyDescent="0.2">
      <c r="A1560" s="22" t="s">
        <v>1545</v>
      </c>
      <c r="B1560" s="2" t="s">
        <v>252</v>
      </c>
      <c r="C1560" s="2" t="s">
        <v>1254</v>
      </c>
      <c r="D1560" s="716">
        <v>1</v>
      </c>
      <c r="E1560" s="4" t="s">
        <v>15</v>
      </c>
      <c r="F1560" s="47">
        <f t="shared" ref="F1560:I1560" si="338">G1560</f>
        <v>0</v>
      </c>
      <c r="G1560" s="47">
        <f t="shared" si="338"/>
        <v>0</v>
      </c>
      <c r="H1560" s="47">
        <f t="shared" si="338"/>
        <v>0</v>
      </c>
      <c r="I1560" s="47">
        <f t="shared" si="338"/>
        <v>0</v>
      </c>
      <c r="J1560" s="47">
        <f t="shared" si="311"/>
        <v>0</v>
      </c>
      <c r="K1560" s="47">
        <v>0</v>
      </c>
      <c r="L1560" s="47">
        <v>0</v>
      </c>
      <c r="M1560" s="893"/>
      <c r="N1560" s="16"/>
      <c r="O1560" s="16"/>
      <c r="P1560" s="16"/>
      <c r="Q1560" s="16"/>
      <c r="R1560" s="16"/>
    </row>
    <row r="1561" spans="1:18" hidden="1" outlineLevel="1" x14ac:dyDescent="0.2">
      <c r="A1561" s="22" t="s">
        <v>1545</v>
      </c>
      <c r="B1561" s="2" t="s">
        <v>252</v>
      </c>
      <c r="C1561" s="2" t="s">
        <v>1254</v>
      </c>
      <c r="D1561" s="716">
        <v>1</v>
      </c>
      <c r="E1561" s="4" t="s">
        <v>16</v>
      </c>
      <c r="F1561" s="47">
        <f t="shared" ref="F1561:I1561" si="339">G1561</f>
        <v>0</v>
      </c>
      <c r="G1561" s="47">
        <f t="shared" si="339"/>
        <v>0</v>
      </c>
      <c r="H1561" s="47">
        <f t="shared" si="339"/>
        <v>0</v>
      </c>
      <c r="I1561" s="47">
        <f t="shared" si="339"/>
        <v>0</v>
      </c>
      <c r="J1561" s="47">
        <f t="shared" si="311"/>
        <v>0</v>
      </c>
      <c r="K1561" s="47">
        <v>0</v>
      </c>
      <c r="L1561" s="47">
        <v>0</v>
      </c>
      <c r="M1561" s="893"/>
      <c r="N1561" s="16"/>
      <c r="O1561" s="16"/>
      <c r="P1561" s="16"/>
      <c r="Q1561" s="16"/>
      <c r="R1561" s="16"/>
    </row>
    <row r="1562" spans="1:18" hidden="1" outlineLevel="1" x14ac:dyDescent="0.2">
      <c r="A1562" s="22" t="s">
        <v>1545</v>
      </c>
      <c r="B1562" s="2" t="s">
        <v>252</v>
      </c>
      <c r="C1562" s="2" t="s">
        <v>1254</v>
      </c>
      <c r="D1562" s="716">
        <v>1</v>
      </c>
      <c r="E1562" s="4" t="s">
        <v>17</v>
      </c>
      <c r="F1562" s="47">
        <f t="shared" ref="F1562:I1562" si="340">G1562</f>
        <v>0</v>
      </c>
      <c r="G1562" s="47">
        <f t="shared" si="340"/>
        <v>0</v>
      </c>
      <c r="H1562" s="47">
        <f t="shared" si="340"/>
        <v>0</v>
      </c>
      <c r="I1562" s="47">
        <f t="shared" si="340"/>
        <v>0</v>
      </c>
      <c r="J1562" s="47">
        <f t="shared" si="311"/>
        <v>0</v>
      </c>
      <c r="K1562" s="47">
        <v>0</v>
      </c>
      <c r="L1562" s="47">
        <v>0</v>
      </c>
      <c r="M1562" s="893"/>
      <c r="N1562" s="16"/>
      <c r="O1562" s="16"/>
      <c r="P1562" s="16"/>
      <c r="Q1562" s="16"/>
      <c r="R1562" s="16"/>
    </row>
    <row r="1563" spans="1:18" hidden="1" outlineLevel="1" x14ac:dyDescent="0.2">
      <c r="A1563" s="22" t="s">
        <v>1545</v>
      </c>
      <c r="B1563" s="2" t="s">
        <v>252</v>
      </c>
      <c r="C1563" s="2" t="s">
        <v>1254</v>
      </c>
      <c r="D1563" s="716">
        <v>1</v>
      </c>
      <c r="E1563" s="4" t="s">
        <v>18</v>
      </c>
      <c r="F1563" s="47">
        <f t="shared" ref="F1563:I1563" si="341">G1563</f>
        <v>1</v>
      </c>
      <c r="G1563" s="47">
        <f t="shared" si="341"/>
        <v>1</v>
      </c>
      <c r="H1563" s="47">
        <f t="shared" si="341"/>
        <v>1</v>
      </c>
      <c r="I1563" s="47">
        <f t="shared" si="341"/>
        <v>1</v>
      </c>
      <c r="J1563" s="47">
        <f t="shared" si="311"/>
        <v>1</v>
      </c>
      <c r="K1563" s="47">
        <v>1</v>
      </c>
      <c r="L1563" s="47">
        <v>1</v>
      </c>
      <c r="M1563" s="893"/>
      <c r="N1563" s="16"/>
      <c r="O1563" s="16"/>
      <c r="P1563" s="16"/>
      <c r="Q1563" s="16"/>
      <c r="R1563" s="16"/>
    </row>
    <row r="1564" spans="1:18" hidden="1" outlineLevel="1" x14ac:dyDescent="0.2">
      <c r="A1564" s="22" t="s">
        <v>1545</v>
      </c>
      <c r="B1564" s="2" t="s">
        <v>252</v>
      </c>
      <c r="C1564" s="2" t="s">
        <v>1254</v>
      </c>
      <c r="D1564" s="716">
        <v>1</v>
      </c>
      <c r="E1564" s="4" t="s">
        <v>2</v>
      </c>
      <c r="F1564" s="47">
        <f t="shared" ref="F1564:I1564" si="342">G1564</f>
        <v>0</v>
      </c>
      <c r="G1564" s="47">
        <f t="shared" si="342"/>
        <v>0</v>
      </c>
      <c r="H1564" s="47">
        <f t="shared" si="342"/>
        <v>0</v>
      </c>
      <c r="I1564" s="47">
        <f t="shared" si="342"/>
        <v>0</v>
      </c>
      <c r="J1564" s="47">
        <f t="shared" si="311"/>
        <v>0</v>
      </c>
      <c r="K1564" s="47">
        <v>0</v>
      </c>
      <c r="L1564" s="47">
        <v>0</v>
      </c>
      <c r="M1564" s="893"/>
      <c r="N1564" s="16"/>
      <c r="O1564" s="16"/>
      <c r="P1564" s="16"/>
      <c r="Q1564" s="16"/>
      <c r="R1564" s="16"/>
    </row>
    <row r="1565" spans="1:18" hidden="1" outlineLevel="1" x14ac:dyDescent="0.2">
      <c r="A1565" s="22" t="s">
        <v>1545</v>
      </c>
      <c r="B1565" s="2" t="s">
        <v>252</v>
      </c>
      <c r="C1565" s="2" t="s">
        <v>1254</v>
      </c>
      <c r="D1565" s="716">
        <v>1</v>
      </c>
      <c r="E1565" s="4" t="s">
        <v>19</v>
      </c>
      <c r="F1565" s="47">
        <f t="shared" ref="F1565:I1565" si="343">G1565</f>
        <v>0</v>
      </c>
      <c r="G1565" s="47">
        <f t="shared" si="343"/>
        <v>0</v>
      </c>
      <c r="H1565" s="47">
        <f t="shared" si="343"/>
        <v>0</v>
      </c>
      <c r="I1565" s="47">
        <f t="shared" si="343"/>
        <v>0</v>
      </c>
      <c r="J1565" s="47">
        <f t="shared" si="311"/>
        <v>0</v>
      </c>
      <c r="K1565" s="47">
        <v>0</v>
      </c>
      <c r="L1565" s="47">
        <v>0</v>
      </c>
      <c r="M1565" s="893"/>
      <c r="N1565" s="16"/>
      <c r="O1565" s="16"/>
      <c r="P1565" s="16"/>
      <c r="Q1565" s="16"/>
      <c r="R1565" s="16"/>
    </row>
    <row r="1566" spans="1:18" hidden="1" outlineLevel="1" x14ac:dyDescent="0.2">
      <c r="A1566" s="22" t="s">
        <v>1545</v>
      </c>
      <c r="B1566" s="2" t="s">
        <v>252</v>
      </c>
      <c r="C1566" s="2" t="s">
        <v>1254</v>
      </c>
      <c r="D1566" s="716">
        <v>1</v>
      </c>
      <c r="E1566" s="4" t="s">
        <v>3</v>
      </c>
      <c r="F1566" s="47">
        <f t="shared" ref="F1566:I1566" si="344">G1566</f>
        <v>0</v>
      </c>
      <c r="G1566" s="47">
        <f t="shared" si="344"/>
        <v>0</v>
      </c>
      <c r="H1566" s="47">
        <f t="shared" si="344"/>
        <v>0</v>
      </c>
      <c r="I1566" s="47">
        <f t="shared" si="344"/>
        <v>0</v>
      </c>
      <c r="J1566" s="47">
        <f t="shared" si="311"/>
        <v>0</v>
      </c>
      <c r="K1566" s="47">
        <v>0</v>
      </c>
      <c r="L1566" s="47">
        <v>0</v>
      </c>
      <c r="M1566" s="893"/>
      <c r="N1566" s="16"/>
      <c r="O1566" s="16"/>
      <c r="P1566" s="16"/>
      <c r="Q1566" s="16"/>
      <c r="R1566" s="16"/>
    </row>
    <row r="1567" spans="1:18" hidden="1" outlineLevel="1" x14ac:dyDescent="0.2">
      <c r="A1567" s="22" t="s">
        <v>1545</v>
      </c>
      <c r="B1567" s="2" t="s">
        <v>252</v>
      </c>
      <c r="C1567" s="2" t="s">
        <v>1254</v>
      </c>
      <c r="D1567" s="716">
        <v>1</v>
      </c>
      <c r="E1567" s="4" t="s">
        <v>20</v>
      </c>
      <c r="F1567" s="47">
        <f t="shared" ref="F1567:I1567" si="345">G1567</f>
        <v>0</v>
      </c>
      <c r="G1567" s="47">
        <f t="shared" si="345"/>
        <v>0</v>
      </c>
      <c r="H1567" s="47">
        <f t="shared" si="345"/>
        <v>0</v>
      </c>
      <c r="I1567" s="47">
        <f t="shared" si="345"/>
        <v>0</v>
      </c>
      <c r="J1567" s="47">
        <f t="shared" si="311"/>
        <v>0</v>
      </c>
      <c r="K1567" s="47">
        <v>0</v>
      </c>
      <c r="L1567" s="47">
        <v>0</v>
      </c>
      <c r="M1567" s="893"/>
      <c r="N1567" s="16"/>
      <c r="O1567" s="16"/>
      <c r="P1567" s="16"/>
      <c r="Q1567" s="16"/>
      <c r="R1567" s="16"/>
    </row>
    <row r="1568" spans="1:18" hidden="1" outlineLevel="1" x14ac:dyDescent="0.2">
      <c r="A1568" s="22" t="s">
        <v>1545</v>
      </c>
      <c r="B1568" s="2" t="s">
        <v>252</v>
      </c>
      <c r="C1568" s="2" t="s">
        <v>1254</v>
      </c>
      <c r="D1568" s="716">
        <v>1</v>
      </c>
      <c r="E1568" s="4" t="s">
        <v>21</v>
      </c>
      <c r="F1568" s="47">
        <f t="shared" ref="F1568:I1568" si="346">G1568</f>
        <v>0</v>
      </c>
      <c r="G1568" s="47">
        <f t="shared" si="346"/>
        <v>0</v>
      </c>
      <c r="H1568" s="47">
        <f t="shared" si="346"/>
        <v>0</v>
      </c>
      <c r="I1568" s="47">
        <f t="shared" si="346"/>
        <v>0</v>
      </c>
      <c r="J1568" s="47">
        <f t="shared" si="311"/>
        <v>0</v>
      </c>
      <c r="K1568" s="47">
        <v>0</v>
      </c>
      <c r="L1568" s="47">
        <v>0</v>
      </c>
      <c r="M1568" s="893"/>
      <c r="N1568" s="16"/>
      <c r="O1568" s="16"/>
      <c r="P1568" s="16"/>
      <c r="Q1568" s="16"/>
      <c r="R1568" s="16"/>
    </row>
    <row r="1569" spans="1:18" hidden="1" outlineLevel="1" x14ac:dyDescent="0.2">
      <c r="A1569" s="22" t="s">
        <v>1545</v>
      </c>
      <c r="B1569" s="2" t="s">
        <v>252</v>
      </c>
      <c r="C1569" s="2" t="s">
        <v>1254</v>
      </c>
      <c r="D1569" s="716">
        <v>1</v>
      </c>
      <c r="E1569" s="4" t="s">
        <v>1096</v>
      </c>
      <c r="F1569" s="47">
        <f t="shared" ref="F1569:I1569" si="347">G1569</f>
        <v>0</v>
      </c>
      <c r="G1569" s="47">
        <f t="shared" si="347"/>
        <v>0</v>
      </c>
      <c r="H1569" s="47">
        <f t="shared" si="347"/>
        <v>0</v>
      </c>
      <c r="I1569" s="47">
        <f t="shared" si="347"/>
        <v>0</v>
      </c>
      <c r="J1569" s="47">
        <f t="shared" si="311"/>
        <v>0</v>
      </c>
      <c r="K1569" s="47">
        <v>0</v>
      </c>
      <c r="L1569" s="47">
        <v>0</v>
      </c>
      <c r="M1569" s="893"/>
      <c r="N1569" s="16"/>
      <c r="O1569" s="16"/>
      <c r="P1569" s="16"/>
      <c r="Q1569" s="16"/>
      <c r="R1569" s="16"/>
    </row>
    <row r="1570" spans="1:18" hidden="1" outlineLevel="1" x14ac:dyDescent="0.2">
      <c r="A1570" s="22" t="s">
        <v>1545</v>
      </c>
      <c r="B1570" s="2" t="s">
        <v>252</v>
      </c>
      <c r="C1570" s="2" t="s">
        <v>1254</v>
      </c>
      <c r="D1570" s="716">
        <v>1</v>
      </c>
      <c r="E1570" s="4" t="s">
        <v>22</v>
      </c>
      <c r="F1570" s="47">
        <f t="shared" ref="F1570:I1570" si="348">G1570</f>
        <v>0</v>
      </c>
      <c r="G1570" s="47">
        <f t="shared" si="348"/>
        <v>0</v>
      </c>
      <c r="H1570" s="47">
        <f t="shared" si="348"/>
        <v>0</v>
      </c>
      <c r="I1570" s="47">
        <f t="shared" si="348"/>
        <v>0</v>
      </c>
      <c r="J1570" s="47">
        <f t="shared" si="311"/>
        <v>0</v>
      </c>
      <c r="K1570" s="47">
        <v>0</v>
      </c>
      <c r="L1570" s="47">
        <v>0</v>
      </c>
      <c r="M1570" s="893"/>
      <c r="N1570" s="16"/>
      <c r="O1570" s="16"/>
      <c r="P1570" s="16"/>
      <c r="Q1570" s="16"/>
      <c r="R1570" s="16"/>
    </row>
    <row r="1571" spans="1:18" hidden="1" outlineLevel="1" x14ac:dyDescent="0.2">
      <c r="A1571" s="22" t="s">
        <v>1545</v>
      </c>
      <c r="B1571" s="2" t="s">
        <v>252</v>
      </c>
      <c r="C1571" s="2" t="s">
        <v>1254</v>
      </c>
      <c r="D1571" s="717">
        <v>1</v>
      </c>
      <c r="E1571" s="469" t="s">
        <v>23</v>
      </c>
      <c r="F1571" s="48">
        <f t="shared" ref="F1571:I1571" si="349">G1571</f>
        <v>0</v>
      </c>
      <c r="G1571" s="48">
        <f t="shared" si="349"/>
        <v>0</v>
      </c>
      <c r="H1571" s="48">
        <f t="shared" si="349"/>
        <v>0</v>
      </c>
      <c r="I1571" s="48">
        <f t="shared" si="349"/>
        <v>0</v>
      </c>
      <c r="J1571" s="48">
        <f t="shared" si="311"/>
        <v>0</v>
      </c>
      <c r="K1571" s="363">
        <v>0</v>
      </c>
      <c r="L1571" s="363">
        <v>0</v>
      </c>
      <c r="M1571" s="920"/>
      <c r="N1571" s="16"/>
      <c r="O1571" s="16"/>
      <c r="P1571" s="16"/>
      <c r="Q1571" s="16"/>
      <c r="R1571" s="16"/>
    </row>
    <row r="1572" spans="1:18" hidden="1" outlineLevel="1" x14ac:dyDescent="0.2">
      <c r="A1572" s="92" t="s">
        <v>1545</v>
      </c>
      <c r="B1572" s="81" t="s">
        <v>252</v>
      </c>
      <c r="C1572" s="81" t="s">
        <v>1283</v>
      </c>
      <c r="D1572" s="715">
        <v>1</v>
      </c>
      <c r="E1572" s="468" t="s">
        <v>4</v>
      </c>
      <c r="F1572" s="380">
        <f t="shared" ref="F1572:I1572" si="350">G1572</f>
        <v>1</v>
      </c>
      <c r="G1572" s="89">
        <f t="shared" si="350"/>
        <v>1</v>
      </c>
      <c r="H1572" s="89">
        <f t="shared" si="350"/>
        <v>1</v>
      </c>
      <c r="I1572" s="89">
        <f t="shared" si="350"/>
        <v>1</v>
      </c>
      <c r="J1572" s="89">
        <f t="shared" si="311"/>
        <v>1</v>
      </c>
      <c r="K1572" s="380">
        <v>1</v>
      </c>
      <c r="L1572" s="380">
        <v>1</v>
      </c>
      <c r="M1572" s="892"/>
      <c r="N1572" s="16"/>
      <c r="O1572" s="16"/>
      <c r="P1572" s="16"/>
      <c r="Q1572" s="16"/>
      <c r="R1572" s="16"/>
    </row>
    <row r="1573" spans="1:18" hidden="1" outlineLevel="1" x14ac:dyDescent="0.2">
      <c r="A1573" s="22" t="s">
        <v>1545</v>
      </c>
      <c r="B1573" s="2" t="s">
        <v>252</v>
      </c>
      <c r="C1573" s="2" t="s">
        <v>1283</v>
      </c>
      <c r="D1573" s="716">
        <v>1</v>
      </c>
      <c r="E1573" s="4" t="s">
        <v>5</v>
      </c>
      <c r="F1573" s="47">
        <f t="shared" ref="F1573:I1573" si="351">G1573</f>
        <v>0</v>
      </c>
      <c r="G1573" s="47">
        <f t="shared" si="351"/>
        <v>0</v>
      </c>
      <c r="H1573" s="47">
        <f t="shared" si="351"/>
        <v>0</v>
      </c>
      <c r="I1573" s="47">
        <f t="shared" si="351"/>
        <v>0</v>
      </c>
      <c r="J1573" s="47">
        <f t="shared" si="311"/>
        <v>0</v>
      </c>
      <c r="K1573" s="47">
        <v>0</v>
      </c>
      <c r="L1573" s="47">
        <v>0</v>
      </c>
      <c r="M1573" s="893"/>
      <c r="N1573" s="16"/>
      <c r="O1573" s="16"/>
      <c r="P1573" s="16"/>
      <c r="Q1573" s="16"/>
      <c r="R1573" s="16"/>
    </row>
    <row r="1574" spans="1:18" hidden="1" outlineLevel="1" x14ac:dyDescent="0.2">
      <c r="A1574" s="22" t="s">
        <v>1545</v>
      </c>
      <c r="B1574" s="2" t="s">
        <v>252</v>
      </c>
      <c r="C1574" s="2" t="s">
        <v>1283</v>
      </c>
      <c r="D1574" s="716">
        <v>1</v>
      </c>
      <c r="E1574" s="4" t="s">
        <v>6</v>
      </c>
      <c r="F1574" s="47">
        <f t="shared" ref="F1574:I1574" si="352">G1574</f>
        <v>0</v>
      </c>
      <c r="G1574" s="47">
        <f t="shared" si="352"/>
        <v>0</v>
      </c>
      <c r="H1574" s="47">
        <f t="shared" si="352"/>
        <v>0</v>
      </c>
      <c r="I1574" s="47">
        <f t="shared" si="352"/>
        <v>0</v>
      </c>
      <c r="J1574" s="47">
        <f t="shared" si="311"/>
        <v>0</v>
      </c>
      <c r="K1574" s="47">
        <v>0</v>
      </c>
      <c r="L1574" s="47">
        <v>0</v>
      </c>
      <c r="M1574" s="893"/>
      <c r="N1574" s="16"/>
      <c r="O1574" s="16"/>
      <c r="P1574" s="16"/>
      <c r="Q1574" s="16"/>
      <c r="R1574" s="16"/>
    </row>
    <row r="1575" spans="1:18" hidden="1" outlineLevel="1" x14ac:dyDescent="0.2">
      <c r="A1575" s="22" t="s">
        <v>1545</v>
      </c>
      <c r="B1575" s="2" t="s">
        <v>252</v>
      </c>
      <c r="C1575" s="2" t="s">
        <v>1283</v>
      </c>
      <c r="D1575" s="716">
        <v>1</v>
      </c>
      <c r="E1575" s="4" t="s">
        <v>143</v>
      </c>
      <c r="F1575" s="47">
        <f t="shared" ref="F1575:I1575" si="353">G1575</f>
        <v>0</v>
      </c>
      <c r="G1575" s="47">
        <f t="shared" si="353"/>
        <v>0</v>
      </c>
      <c r="H1575" s="47">
        <f t="shared" si="353"/>
        <v>0</v>
      </c>
      <c r="I1575" s="47">
        <f t="shared" si="353"/>
        <v>0</v>
      </c>
      <c r="J1575" s="47">
        <f t="shared" si="311"/>
        <v>0</v>
      </c>
      <c r="K1575" s="47">
        <v>0</v>
      </c>
      <c r="L1575" s="47">
        <v>0</v>
      </c>
      <c r="M1575" s="893"/>
      <c r="N1575" s="16"/>
      <c r="O1575" s="16"/>
      <c r="P1575" s="16"/>
      <c r="Q1575" s="16"/>
      <c r="R1575" s="16"/>
    </row>
    <row r="1576" spans="1:18" hidden="1" outlineLevel="1" x14ac:dyDescent="0.2">
      <c r="A1576" s="22" t="s">
        <v>1545</v>
      </c>
      <c r="B1576" s="2" t="s">
        <v>252</v>
      </c>
      <c r="C1576" s="2" t="s">
        <v>1283</v>
      </c>
      <c r="D1576" s="716">
        <v>1</v>
      </c>
      <c r="E1576" s="4" t="s">
        <v>7</v>
      </c>
      <c r="F1576" s="47">
        <f t="shared" ref="F1576:I1576" si="354">G1576</f>
        <v>0</v>
      </c>
      <c r="G1576" s="47">
        <f t="shared" si="354"/>
        <v>0</v>
      </c>
      <c r="H1576" s="47">
        <f t="shared" si="354"/>
        <v>0</v>
      </c>
      <c r="I1576" s="47">
        <f t="shared" si="354"/>
        <v>0</v>
      </c>
      <c r="J1576" s="47">
        <f t="shared" si="311"/>
        <v>0</v>
      </c>
      <c r="K1576" s="47">
        <v>0</v>
      </c>
      <c r="L1576" s="47">
        <v>0</v>
      </c>
      <c r="M1576" s="893"/>
      <c r="N1576" s="16"/>
      <c r="O1576" s="16"/>
      <c r="P1576" s="16"/>
      <c r="Q1576" s="16"/>
      <c r="R1576" s="16"/>
    </row>
    <row r="1577" spans="1:18" hidden="1" outlineLevel="1" x14ac:dyDescent="0.2">
      <c r="A1577" s="22" t="s">
        <v>1545</v>
      </c>
      <c r="B1577" s="2" t="s">
        <v>252</v>
      </c>
      <c r="C1577" s="2" t="s">
        <v>1283</v>
      </c>
      <c r="D1577" s="716">
        <v>1</v>
      </c>
      <c r="E1577" s="4" t="s">
        <v>31</v>
      </c>
      <c r="F1577" s="47">
        <f t="shared" ref="F1577:I1577" si="355">G1577</f>
        <v>1</v>
      </c>
      <c r="G1577" s="47">
        <f t="shared" si="355"/>
        <v>1</v>
      </c>
      <c r="H1577" s="47">
        <f t="shared" si="355"/>
        <v>1</v>
      </c>
      <c r="I1577" s="47">
        <f t="shared" si="355"/>
        <v>1</v>
      </c>
      <c r="J1577" s="47">
        <f t="shared" si="311"/>
        <v>1</v>
      </c>
      <c r="K1577" s="47">
        <v>1</v>
      </c>
      <c r="L1577" s="47">
        <v>1</v>
      </c>
      <c r="M1577" s="893"/>
      <c r="N1577" s="16"/>
      <c r="O1577" s="16"/>
      <c r="P1577" s="16"/>
      <c r="Q1577" s="16"/>
      <c r="R1577" s="16"/>
    </row>
    <row r="1578" spans="1:18" hidden="1" outlineLevel="1" x14ac:dyDescent="0.2">
      <c r="A1578" s="22" t="s">
        <v>1545</v>
      </c>
      <c r="B1578" s="2" t="s">
        <v>252</v>
      </c>
      <c r="C1578" s="2" t="s">
        <v>1283</v>
      </c>
      <c r="D1578" s="716">
        <v>1</v>
      </c>
      <c r="E1578" s="4" t="s">
        <v>8</v>
      </c>
      <c r="F1578" s="47">
        <f t="shared" ref="F1578:I1578" si="356">G1578</f>
        <v>1</v>
      </c>
      <c r="G1578" s="47">
        <f t="shared" si="356"/>
        <v>1</v>
      </c>
      <c r="H1578" s="47">
        <f t="shared" si="356"/>
        <v>1</v>
      </c>
      <c r="I1578" s="47">
        <f t="shared" si="356"/>
        <v>1</v>
      </c>
      <c r="J1578" s="47">
        <f t="shared" si="311"/>
        <v>1</v>
      </c>
      <c r="K1578" s="47">
        <v>1</v>
      </c>
      <c r="L1578" s="47">
        <v>1</v>
      </c>
      <c r="M1578" s="893"/>
      <c r="N1578" s="16"/>
      <c r="O1578" s="16"/>
      <c r="P1578" s="16"/>
      <c r="Q1578" s="16"/>
      <c r="R1578" s="16"/>
    </row>
    <row r="1579" spans="1:18" hidden="1" outlineLevel="1" x14ac:dyDescent="0.2">
      <c r="A1579" s="22" t="s">
        <v>1545</v>
      </c>
      <c r="B1579" s="2" t="s">
        <v>252</v>
      </c>
      <c r="C1579" s="2" t="s">
        <v>1283</v>
      </c>
      <c r="D1579" s="716">
        <v>1</v>
      </c>
      <c r="E1579" s="4" t="s">
        <v>9</v>
      </c>
      <c r="F1579" s="47">
        <f t="shared" ref="F1579:I1579" si="357">G1579</f>
        <v>0</v>
      </c>
      <c r="G1579" s="47">
        <f t="shared" si="357"/>
        <v>0</v>
      </c>
      <c r="H1579" s="47">
        <f t="shared" si="357"/>
        <v>0</v>
      </c>
      <c r="I1579" s="47">
        <f t="shared" si="357"/>
        <v>0</v>
      </c>
      <c r="J1579" s="47">
        <f t="shared" si="311"/>
        <v>0</v>
      </c>
      <c r="K1579" s="47">
        <v>0</v>
      </c>
      <c r="L1579" s="47">
        <v>0</v>
      </c>
      <c r="M1579" s="893"/>
      <c r="N1579" s="16"/>
      <c r="O1579" s="16"/>
      <c r="P1579" s="16"/>
      <c r="Q1579" s="16"/>
      <c r="R1579" s="16"/>
    </row>
    <row r="1580" spans="1:18" hidden="1" outlineLevel="1" x14ac:dyDescent="0.2">
      <c r="A1580" s="22" t="s">
        <v>1545</v>
      </c>
      <c r="B1580" s="2" t="s">
        <v>252</v>
      </c>
      <c r="C1580" s="2" t="s">
        <v>1283</v>
      </c>
      <c r="D1580" s="716">
        <v>1</v>
      </c>
      <c r="E1580" s="4" t="s">
        <v>10</v>
      </c>
      <c r="F1580" s="47">
        <f t="shared" ref="F1580:I1580" si="358">G1580</f>
        <v>0</v>
      </c>
      <c r="G1580" s="47">
        <f t="shared" si="358"/>
        <v>0</v>
      </c>
      <c r="H1580" s="47">
        <f t="shared" si="358"/>
        <v>0</v>
      </c>
      <c r="I1580" s="47">
        <f t="shared" si="358"/>
        <v>0</v>
      </c>
      <c r="J1580" s="47">
        <f t="shared" si="311"/>
        <v>0</v>
      </c>
      <c r="K1580" s="47">
        <v>0</v>
      </c>
      <c r="L1580" s="47">
        <v>0</v>
      </c>
      <c r="M1580" s="893"/>
      <c r="N1580" s="16"/>
      <c r="O1580" s="16"/>
      <c r="P1580" s="16"/>
      <c r="Q1580" s="16"/>
      <c r="R1580" s="16"/>
    </row>
    <row r="1581" spans="1:18" hidden="1" outlineLevel="1" x14ac:dyDescent="0.2">
      <c r="A1581" s="22" t="s">
        <v>1545</v>
      </c>
      <c r="B1581" s="2" t="s">
        <v>252</v>
      </c>
      <c r="C1581" s="2" t="s">
        <v>1283</v>
      </c>
      <c r="D1581" s="716">
        <v>1</v>
      </c>
      <c r="E1581" s="4" t="s">
        <v>11</v>
      </c>
      <c r="F1581" s="47">
        <f t="shared" ref="F1581:I1581" si="359">G1581</f>
        <v>0</v>
      </c>
      <c r="G1581" s="47">
        <f t="shared" si="359"/>
        <v>0</v>
      </c>
      <c r="H1581" s="47">
        <f t="shared" si="359"/>
        <v>0</v>
      </c>
      <c r="I1581" s="47">
        <f t="shared" si="359"/>
        <v>0</v>
      </c>
      <c r="J1581" s="47">
        <f t="shared" si="311"/>
        <v>0</v>
      </c>
      <c r="K1581" s="47">
        <v>0</v>
      </c>
      <c r="L1581" s="47">
        <v>0</v>
      </c>
      <c r="M1581" s="893"/>
      <c r="N1581" s="16"/>
      <c r="O1581" s="16"/>
      <c r="P1581" s="16"/>
      <c r="Q1581" s="16"/>
      <c r="R1581" s="16"/>
    </row>
    <row r="1582" spans="1:18" hidden="1" outlineLevel="1" x14ac:dyDescent="0.2">
      <c r="A1582" s="22" t="s">
        <v>1545</v>
      </c>
      <c r="B1582" s="2" t="s">
        <v>252</v>
      </c>
      <c r="C1582" s="2" t="s">
        <v>1283</v>
      </c>
      <c r="D1582" s="716">
        <v>1</v>
      </c>
      <c r="E1582" s="4" t="s">
        <v>12</v>
      </c>
      <c r="F1582" s="47">
        <f t="shared" ref="F1582:I1582" si="360">G1582</f>
        <v>1</v>
      </c>
      <c r="G1582" s="47">
        <f t="shared" si="360"/>
        <v>1</v>
      </c>
      <c r="H1582" s="47">
        <f t="shared" si="360"/>
        <v>1</v>
      </c>
      <c r="I1582" s="47">
        <f t="shared" si="360"/>
        <v>1</v>
      </c>
      <c r="J1582" s="47">
        <f t="shared" si="311"/>
        <v>1</v>
      </c>
      <c r="K1582" s="47">
        <v>1</v>
      </c>
      <c r="L1582" s="47">
        <v>1</v>
      </c>
      <c r="M1582" s="893"/>
      <c r="N1582" s="16"/>
      <c r="O1582" s="16"/>
      <c r="P1582" s="16"/>
      <c r="Q1582" s="16"/>
      <c r="R1582" s="16"/>
    </row>
    <row r="1583" spans="1:18" hidden="1" outlineLevel="1" x14ac:dyDescent="0.2">
      <c r="A1583" s="22" t="s">
        <v>1545</v>
      </c>
      <c r="B1583" s="2" t="s">
        <v>252</v>
      </c>
      <c r="C1583" s="2" t="s">
        <v>1283</v>
      </c>
      <c r="D1583" s="716">
        <v>1</v>
      </c>
      <c r="E1583" s="4" t="s">
        <v>1</v>
      </c>
      <c r="F1583" s="47">
        <f t="shared" ref="F1583:I1583" si="361">G1583</f>
        <v>0</v>
      </c>
      <c r="G1583" s="47">
        <f t="shared" si="361"/>
        <v>0</v>
      </c>
      <c r="H1583" s="47">
        <f t="shared" si="361"/>
        <v>0</v>
      </c>
      <c r="I1583" s="47">
        <f t="shared" si="361"/>
        <v>0</v>
      </c>
      <c r="J1583" s="47">
        <f t="shared" si="311"/>
        <v>0</v>
      </c>
      <c r="K1583" s="47">
        <v>0</v>
      </c>
      <c r="L1583" s="47">
        <v>0</v>
      </c>
      <c r="M1583" s="893"/>
      <c r="N1583" s="16"/>
      <c r="O1583" s="16"/>
      <c r="P1583" s="16"/>
      <c r="Q1583" s="16"/>
      <c r="R1583" s="16"/>
    </row>
    <row r="1584" spans="1:18" hidden="1" outlineLevel="1" x14ac:dyDescent="0.2">
      <c r="A1584" s="22" t="s">
        <v>1545</v>
      </c>
      <c r="B1584" s="2" t="s">
        <v>252</v>
      </c>
      <c r="C1584" s="2" t="s">
        <v>1283</v>
      </c>
      <c r="D1584" s="716">
        <v>1</v>
      </c>
      <c r="E1584" s="4" t="s">
        <v>13</v>
      </c>
      <c r="F1584" s="47">
        <f t="shared" ref="F1584:I1584" si="362">G1584</f>
        <v>0</v>
      </c>
      <c r="G1584" s="47">
        <f t="shared" si="362"/>
        <v>0</v>
      </c>
      <c r="H1584" s="47">
        <f t="shared" si="362"/>
        <v>0</v>
      </c>
      <c r="I1584" s="47">
        <f t="shared" si="362"/>
        <v>0</v>
      </c>
      <c r="J1584" s="47">
        <f t="shared" si="311"/>
        <v>0</v>
      </c>
      <c r="K1584" s="47">
        <v>0</v>
      </c>
      <c r="L1584" s="47">
        <v>0</v>
      </c>
      <c r="M1584" s="893"/>
      <c r="N1584" s="16"/>
      <c r="O1584" s="16"/>
      <c r="P1584" s="16"/>
      <c r="Q1584" s="16"/>
      <c r="R1584" s="16"/>
    </row>
    <row r="1585" spans="1:18" hidden="1" outlineLevel="1" x14ac:dyDescent="0.2">
      <c r="A1585" s="22" t="s">
        <v>1545</v>
      </c>
      <c r="B1585" s="2" t="s">
        <v>252</v>
      </c>
      <c r="C1585" s="2" t="s">
        <v>1283</v>
      </c>
      <c r="D1585" s="716">
        <v>1</v>
      </c>
      <c r="E1585" s="4" t="s">
        <v>14</v>
      </c>
      <c r="F1585" s="47">
        <f t="shared" ref="F1585:I1585" si="363">G1585</f>
        <v>0</v>
      </c>
      <c r="G1585" s="47">
        <f t="shared" si="363"/>
        <v>0</v>
      </c>
      <c r="H1585" s="47">
        <f t="shared" si="363"/>
        <v>0</v>
      </c>
      <c r="I1585" s="47">
        <f t="shared" si="363"/>
        <v>0</v>
      </c>
      <c r="J1585" s="47">
        <f t="shared" si="311"/>
        <v>0</v>
      </c>
      <c r="K1585" s="47">
        <v>0</v>
      </c>
      <c r="L1585" s="47">
        <v>0</v>
      </c>
      <c r="M1585" s="893"/>
      <c r="N1585" s="16"/>
      <c r="O1585" s="16"/>
      <c r="P1585" s="16"/>
      <c r="Q1585" s="16"/>
      <c r="R1585" s="16"/>
    </row>
    <row r="1586" spans="1:18" hidden="1" outlineLevel="1" x14ac:dyDescent="0.2">
      <c r="A1586" s="22" t="s">
        <v>1545</v>
      </c>
      <c r="B1586" s="2" t="s">
        <v>252</v>
      </c>
      <c r="C1586" s="2" t="s">
        <v>1283</v>
      </c>
      <c r="D1586" s="716">
        <v>1</v>
      </c>
      <c r="E1586" s="4" t="s">
        <v>15</v>
      </c>
      <c r="F1586" s="47">
        <f t="shared" ref="F1586:I1586" si="364">G1586</f>
        <v>0</v>
      </c>
      <c r="G1586" s="47">
        <f t="shared" si="364"/>
        <v>0</v>
      </c>
      <c r="H1586" s="47">
        <f t="shared" si="364"/>
        <v>0</v>
      </c>
      <c r="I1586" s="47">
        <f t="shared" si="364"/>
        <v>0</v>
      </c>
      <c r="J1586" s="47">
        <f t="shared" si="311"/>
        <v>0</v>
      </c>
      <c r="K1586" s="47">
        <v>0</v>
      </c>
      <c r="L1586" s="47">
        <v>0</v>
      </c>
      <c r="M1586" s="893"/>
      <c r="N1586" s="16"/>
      <c r="O1586" s="16"/>
      <c r="P1586" s="16"/>
      <c r="Q1586" s="16"/>
      <c r="R1586" s="16"/>
    </row>
    <row r="1587" spans="1:18" hidden="1" outlineLevel="1" x14ac:dyDescent="0.2">
      <c r="A1587" s="22" t="s">
        <v>1545</v>
      </c>
      <c r="B1587" s="2" t="s">
        <v>252</v>
      </c>
      <c r="C1587" s="2" t="s">
        <v>1283</v>
      </c>
      <c r="D1587" s="716">
        <v>1</v>
      </c>
      <c r="E1587" s="4" t="s">
        <v>16</v>
      </c>
      <c r="F1587" s="47">
        <f t="shared" ref="F1587:I1587" si="365">G1587</f>
        <v>0</v>
      </c>
      <c r="G1587" s="47">
        <f t="shared" si="365"/>
        <v>0</v>
      </c>
      <c r="H1587" s="47">
        <f t="shared" si="365"/>
        <v>0</v>
      </c>
      <c r="I1587" s="47">
        <f t="shared" si="365"/>
        <v>0</v>
      </c>
      <c r="J1587" s="47">
        <f t="shared" si="311"/>
        <v>0</v>
      </c>
      <c r="K1587" s="47">
        <v>0</v>
      </c>
      <c r="L1587" s="47">
        <v>0</v>
      </c>
      <c r="M1587" s="893"/>
      <c r="N1587" s="16"/>
      <c r="O1587" s="16"/>
      <c r="P1587" s="16"/>
      <c r="Q1587" s="16"/>
      <c r="R1587" s="16"/>
    </row>
    <row r="1588" spans="1:18" hidden="1" outlineLevel="1" x14ac:dyDescent="0.2">
      <c r="A1588" s="22" t="s">
        <v>1545</v>
      </c>
      <c r="B1588" s="2" t="s">
        <v>252</v>
      </c>
      <c r="C1588" s="2" t="s">
        <v>1283</v>
      </c>
      <c r="D1588" s="716">
        <v>1</v>
      </c>
      <c r="E1588" s="4" t="s">
        <v>17</v>
      </c>
      <c r="F1588" s="47">
        <f t="shared" ref="F1588:I1588" si="366">G1588</f>
        <v>0</v>
      </c>
      <c r="G1588" s="47">
        <f t="shared" si="366"/>
        <v>0</v>
      </c>
      <c r="H1588" s="47">
        <f t="shared" si="366"/>
        <v>0</v>
      </c>
      <c r="I1588" s="47">
        <f t="shared" si="366"/>
        <v>0</v>
      </c>
      <c r="J1588" s="47">
        <f t="shared" si="311"/>
        <v>0</v>
      </c>
      <c r="K1588" s="47">
        <v>0</v>
      </c>
      <c r="L1588" s="47">
        <v>0</v>
      </c>
      <c r="M1588" s="893"/>
      <c r="N1588" s="16"/>
      <c r="O1588" s="16"/>
      <c r="P1588" s="16"/>
      <c r="Q1588" s="16"/>
      <c r="R1588" s="16"/>
    </row>
    <row r="1589" spans="1:18" hidden="1" outlineLevel="1" x14ac:dyDescent="0.2">
      <c r="A1589" s="22" t="s">
        <v>1545</v>
      </c>
      <c r="B1589" s="2" t="s">
        <v>252</v>
      </c>
      <c r="C1589" s="2" t="s">
        <v>1283</v>
      </c>
      <c r="D1589" s="716">
        <v>1</v>
      </c>
      <c r="E1589" s="4" t="s">
        <v>18</v>
      </c>
      <c r="F1589" s="47">
        <f t="shared" ref="F1589:I1589" si="367">G1589</f>
        <v>1</v>
      </c>
      <c r="G1589" s="47">
        <f t="shared" si="367"/>
        <v>1</v>
      </c>
      <c r="H1589" s="47">
        <f t="shared" si="367"/>
        <v>1</v>
      </c>
      <c r="I1589" s="47">
        <f t="shared" si="367"/>
        <v>1</v>
      </c>
      <c r="J1589" s="47">
        <f t="shared" si="311"/>
        <v>1</v>
      </c>
      <c r="K1589" s="47">
        <v>1</v>
      </c>
      <c r="L1589" s="47">
        <v>0</v>
      </c>
      <c r="M1589" s="893"/>
      <c r="N1589" s="16"/>
      <c r="O1589" s="16"/>
      <c r="P1589" s="16"/>
      <c r="Q1589" s="16"/>
      <c r="R1589" s="16"/>
    </row>
    <row r="1590" spans="1:18" hidden="1" outlineLevel="1" x14ac:dyDescent="0.2">
      <c r="A1590" s="22" t="s">
        <v>1545</v>
      </c>
      <c r="B1590" s="2" t="s">
        <v>252</v>
      </c>
      <c r="C1590" s="2" t="s">
        <v>1283</v>
      </c>
      <c r="D1590" s="716">
        <v>1</v>
      </c>
      <c r="E1590" s="4" t="s">
        <v>2</v>
      </c>
      <c r="F1590" s="47">
        <f t="shared" ref="F1590:I1590" si="368">G1590</f>
        <v>0</v>
      </c>
      <c r="G1590" s="47">
        <f t="shared" si="368"/>
        <v>0</v>
      </c>
      <c r="H1590" s="47">
        <f t="shared" si="368"/>
        <v>0</v>
      </c>
      <c r="I1590" s="47">
        <f t="shared" si="368"/>
        <v>0</v>
      </c>
      <c r="J1590" s="47">
        <f t="shared" si="311"/>
        <v>0</v>
      </c>
      <c r="K1590" s="47">
        <v>0</v>
      </c>
      <c r="L1590" s="47">
        <v>0</v>
      </c>
      <c r="M1590" s="893"/>
      <c r="N1590" s="16"/>
      <c r="O1590" s="16"/>
      <c r="P1590" s="16"/>
      <c r="Q1590" s="16"/>
      <c r="R1590" s="16"/>
    </row>
    <row r="1591" spans="1:18" hidden="1" outlineLevel="1" x14ac:dyDescent="0.2">
      <c r="A1591" s="22" t="s">
        <v>1545</v>
      </c>
      <c r="B1591" s="2" t="s">
        <v>252</v>
      </c>
      <c r="C1591" s="2" t="s">
        <v>1283</v>
      </c>
      <c r="D1591" s="716">
        <v>1</v>
      </c>
      <c r="E1591" s="4" t="s">
        <v>19</v>
      </c>
      <c r="F1591" s="47">
        <f t="shared" ref="F1591:I1591" si="369">G1591</f>
        <v>0</v>
      </c>
      <c r="G1591" s="47">
        <f t="shared" si="369"/>
        <v>0</v>
      </c>
      <c r="H1591" s="47">
        <f t="shared" si="369"/>
        <v>0</v>
      </c>
      <c r="I1591" s="47">
        <f t="shared" si="369"/>
        <v>0</v>
      </c>
      <c r="J1591" s="47">
        <f t="shared" si="311"/>
        <v>0</v>
      </c>
      <c r="K1591" s="47">
        <v>0</v>
      </c>
      <c r="L1591" s="47">
        <v>0</v>
      </c>
      <c r="M1591" s="893"/>
      <c r="N1591" s="16"/>
      <c r="O1591" s="16"/>
      <c r="P1591" s="16"/>
      <c r="Q1591" s="16"/>
      <c r="R1591" s="16"/>
    </row>
    <row r="1592" spans="1:18" hidden="1" outlineLevel="1" x14ac:dyDescent="0.2">
      <c r="A1592" s="22" t="s">
        <v>1545</v>
      </c>
      <c r="B1592" s="2" t="s">
        <v>252</v>
      </c>
      <c r="C1592" s="2" t="s">
        <v>1283</v>
      </c>
      <c r="D1592" s="716">
        <v>1</v>
      </c>
      <c r="E1592" s="4" t="s">
        <v>3</v>
      </c>
      <c r="F1592" s="47">
        <f t="shared" ref="F1592:I1592" si="370">G1592</f>
        <v>0</v>
      </c>
      <c r="G1592" s="47">
        <f t="shared" si="370"/>
        <v>0</v>
      </c>
      <c r="H1592" s="47">
        <f t="shared" si="370"/>
        <v>0</v>
      </c>
      <c r="I1592" s="47">
        <f t="shared" si="370"/>
        <v>0</v>
      </c>
      <c r="J1592" s="47">
        <f t="shared" si="311"/>
        <v>0</v>
      </c>
      <c r="K1592" s="47">
        <v>0</v>
      </c>
      <c r="L1592" s="47">
        <v>0</v>
      </c>
      <c r="M1592" s="893"/>
      <c r="N1592" s="16"/>
      <c r="O1592" s="16"/>
      <c r="P1592" s="16"/>
      <c r="Q1592" s="16"/>
      <c r="R1592" s="16"/>
    </row>
    <row r="1593" spans="1:18" hidden="1" outlineLevel="1" x14ac:dyDescent="0.2">
      <c r="A1593" s="22" t="s">
        <v>1545</v>
      </c>
      <c r="B1593" s="2" t="s">
        <v>252</v>
      </c>
      <c r="C1593" s="2" t="s">
        <v>1283</v>
      </c>
      <c r="D1593" s="716">
        <v>1</v>
      </c>
      <c r="E1593" s="4" t="s">
        <v>20</v>
      </c>
      <c r="F1593" s="47">
        <f t="shared" ref="F1593:I1593" si="371">G1593</f>
        <v>0</v>
      </c>
      <c r="G1593" s="47">
        <f t="shared" si="371"/>
        <v>0</v>
      </c>
      <c r="H1593" s="47">
        <f t="shared" si="371"/>
        <v>0</v>
      </c>
      <c r="I1593" s="47">
        <f t="shared" si="371"/>
        <v>0</v>
      </c>
      <c r="J1593" s="47">
        <f t="shared" si="311"/>
        <v>0</v>
      </c>
      <c r="K1593" s="47">
        <v>0</v>
      </c>
      <c r="L1593" s="47">
        <v>0</v>
      </c>
      <c r="M1593" s="893"/>
      <c r="N1593" s="16"/>
      <c r="O1593" s="16"/>
      <c r="P1593" s="16"/>
      <c r="Q1593" s="16"/>
      <c r="R1593" s="16"/>
    </row>
    <row r="1594" spans="1:18" hidden="1" outlineLevel="1" x14ac:dyDescent="0.2">
      <c r="A1594" s="22" t="s">
        <v>1545</v>
      </c>
      <c r="B1594" s="2" t="s">
        <v>252</v>
      </c>
      <c r="C1594" s="2" t="s">
        <v>1283</v>
      </c>
      <c r="D1594" s="716">
        <v>1</v>
      </c>
      <c r="E1594" s="4" t="s">
        <v>21</v>
      </c>
      <c r="F1594" s="47">
        <f t="shared" ref="F1594:I1594" si="372">G1594</f>
        <v>0</v>
      </c>
      <c r="G1594" s="47">
        <f t="shared" si="372"/>
        <v>0</v>
      </c>
      <c r="H1594" s="47">
        <f t="shared" si="372"/>
        <v>0</v>
      </c>
      <c r="I1594" s="47">
        <f t="shared" si="372"/>
        <v>0</v>
      </c>
      <c r="J1594" s="47">
        <f t="shared" si="311"/>
        <v>0</v>
      </c>
      <c r="K1594" s="47">
        <v>0</v>
      </c>
      <c r="L1594" s="47">
        <v>0</v>
      </c>
      <c r="M1594" s="893"/>
      <c r="N1594" s="16"/>
      <c r="O1594" s="16"/>
      <c r="P1594" s="16"/>
      <c r="Q1594" s="16"/>
      <c r="R1594" s="16"/>
    </row>
    <row r="1595" spans="1:18" hidden="1" outlineLevel="1" x14ac:dyDescent="0.2">
      <c r="A1595" s="22" t="s">
        <v>1545</v>
      </c>
      <c r="B1595" s="2" t="s">
        <v>252</v>
      </c>
      <c r="C1595" s="2" t="s">
        <v>1283</v>
      </c>
      <c r="D1595" s="716">
        <v>1</v>
      </c>
      <c r="E1595" s="4" t="s">
        <v>1096</v>
      </c>
      <c r="F1595" s="47">
        <f t="shared" ref="F1595:I1595" si="373">G1595</f>
        <v>0</v>
      </c>
      <c r="G1595" s="47">
        <f t="shared" si="373"/>
        <v>0</v>
      </c>
      <c r="H1595" s="47">
        <f t="shared" si="373"/>
        <v>0</v>
      </c>
      <c r="I1595" s="47">
        <f t="shared" si="373"/>
        <v>0</v>
      </c>
      <c r="J1595" s="47">
        <f t="shared" si="311"/>
        <v>0</v>
      </c>
      <c r="K1595" s="47">
        <v>0</v>
      </c>
      <c r="L1595" s="47">
        <v>0</v>
      </c>
      <c r="M1595" s="893"/>
      <c r="N1595" s="16"/>
      <c r="O1595" s="16"/>
      <c r="P1595" s="16"/>
      <c r="Q1595" s="16"/>
      <c r="R1595" s="16"/>
    </row>
    <row r="1596" spans="1:18" hidden="1" outlineLevel="1" x14ac:dyDescent="0.2">
      <c r="A1596" s="22" t="s">
        <v>1545</v>
      </c>
      <c r="B1596" s="2" t="s">
        <v>252</v>
      </c>
      <c r="C1596" s="2" t="s">
        <v>1283</v>
      </c>
      <c r="D1596" s="716">
        <v>1</v>
      </c>
      <c r="E1596" s="4" t="s">
        <v>22</v>
      </c>
      <c r="F1596" s="47">
        <f t="shared" ref="F1596:I1596" si="374">G1596</f>
        <v>0</v>
      </c>
      <c r="G1596" s="47">
        <f t="shared" si="374"/>
        <v>0</v>
      </c>
      <c r="H1596" s="47">
        <f t="shared" si="374"/>
        <v>0</v>
      </c>
      <c r="I1596" s="47">
        <f t="shared" si="374"/>
        <v>0</v>
      </c>
      <c r="J1596" s="47">
        <f t="shared" si="311"/>
        <v>0</v>
      </c>
      <c r="K1596" s="47">
        <v>0</v>
      </c>
      <c r="L1596" s="47">
        <v>0</v>
      </c>
      <c r="M1596" s="893"/>
      <c r="N1596" s="16"/>
      <c r="O1596" s="16"/>
      <c r="P1596" s="16"/>
      <c r="Q1596" s="16"/>
      <c r="R1596" s="16"/>
    </row>
    <row r="1597" spans="1:18" hidden="1" outlineLevel="1" x14ac:dyDescent="0.2">
      <c r="A1597" s="22" t="s">
        <v>1545</v>
      </c>
      <c r="B1597" s="2" t="s">
        <v>252</v>
      </c>
      <c r="C1597" s="2" t="s">
        <v>1283</v>
      </c>
      <c r="D1597" s="717">
        <v>1</v>
      </c>
      <c r="E1597" s="469" t="s">
        <v>23</v>
      </c>
      <c r="F1597" s="48">
        <f t="shared" ref="F1597:I1597" si="375">G1597</f>
        <v>0</v>
      </c>
      <c r="G1597" s="48">
        <f t="shared" si="375"/>
        <v>0</v>
      </c>
      <c r="H1597" s="48">
        <f t="shared" si="375"/>
        <v>0</v>
      </c>
      <c r="I1597" s="48">
        <f t="shared" si="375"/>
        <v>0</v>
      </c>
      <c r="J1597" s="48">
        <f t="shared" ref="J1597:J1660" si="376">K1597</f>
        <v>0</v>
      </c>
      <c r="K1597" s="363">
        <v>0</v>
      </c>
      <c r="L1597" s="363">
        <v>0</v>
      </c>
      <c r="M1597" s="920"/>
      <c r="N1597" s="16"/>
      <c r="O1597" s="16"/>
      <c r="P1597" s="16"/>
      <c r="Q1597" s="16"/>
      <c r="R1597" s="16"/>
    </row>
    <row r="1598" spans="1:18" hidden="1" outlineLevel="1" x14ac:dyDescent="0.2">
      <c r="A1598" s="92" t="s">
        <v>1545</v>
      </c>
      <c r="B1598" s="81" t="s">
        <v>252</v>
      </c>
      <c r="C1598" s="81" t="s">
        <v>1255</v>
      </c>
      <c r="D1598" s="715">
        <v>1</v>
      </c>
      <c r="E1598" s="468" t="s">
        <v>4</v>
      </c>
      <c r="F1598" s="380">
        <f t="shared" ref="F1598:I1598" si="377">G1598</f>
        <v>1</v>
      </c>
      <c r="G1598" s="89">
        <f t="shared" si="377"/>
        <v>1</v>
      </c>
      <c r="H1598" s="89">
        <f t="shared" si="377"/>
        <v>1</v>
      </c>
      <c r="I1598" s="89">
        <f t="shared" si="377"/>
        <v>1</v>
      </c>
      <c r="J1598" s="89">
        <f t="shared" si="376"/>
        <v>1</v>
      </c>
      <c r="K1598" s="380">
        <v>1</v>
      </c>
      <c r="L1598" s="380">
        <v>1</v>
      </c>
      <c r="M1598" s="892"/>
      <c r="N1598" s="16"/>
      <c r="O1598" s="16"/>
      <c r="P1598" s="16"/>
      <c r="Q1598" s="16"/>
      <c r="R1598" s="16"/>
    </row>
    <row r="1599" spans="1:18" hidden="1" outlineLevel="1" x14ac:dyDescent="0.2">
      <c r="A1599" s="22" t="s">
        <v>1545</v>
      </c>
      <c r="B1599" s="2" t="s">
        <v>252</v>
      </c>
      <c r="C1599" s="2" t="s">
        <v>1255</v>
      </c>
      <c r="D1599" s="716">
        <v>1</v>
      </c>
      <c r="E1599" s="4" t="s">
        <v>5</v>
      </c>
      <c r="F1599" s="47">
        <f t="shared" ref="F1599:I1599" si="378">G1599</f>
        <v>1</v>
      </c>
      <c r="G1599" s="47">
        <f t="shared" si="378"/>
        <v>1</v>
      </c>
      <c r="H1599" s="47">
        <f t="shared" si="378"/>
        <v>1</v>
      </c>
      <c r="I1599" s="47">
        <f t="shared" si="378"/>
        <v>1</v>
      </c>
      <c r="J1599" s="47">
        <f t="shared" si="376"/>
        <v>1</v>
      </c>
      <c r="K1599" s="47">
        <v>1</v>
      </c>
      <c r="L1599" s="47">
        <v>1</v>
      </c>
      <c r="M1599" s="893"/>
      <c r="N1599" s="16"/>
      <c r="O1599" s="16"/>
      <c r="P1599" s="16"/>
      <c r="Q1599" s="16"/>
      <c r="R1599" s="16"/>
    </row>
    <row r="1600" spans="1:18" hidden="1" outlineLevel="1" x14ac:dyDescent="0.2">
      <c r="A1600" s="22" t="s">
        <v>1545</v>
      </c>
      <c r="B1600" s="2" t="s">
        <v>252</v>
      </c>
      <c r="C1600" s="2" t="s">
        <v>1255</v>
      </c>
      <c r="D1600" s="716">
        <v>1</v>
      </c>
      <c r="E1600" s="4" t="s">
        <v>6</v>
      </c>
      <c r="F1600" s="47">
        <f t="shared" ref="F1600:I1600" si="379">G1600</f>
        <v>0</v>
      </c>
      <c r="G1600" s="47">
        <f t="shared" si="379"/>
        <v>0</v>
      </c>
      <c r="H1600" s="47">
        <f t="shared" si="379"/>
        <v>0</v>
      </c>
      <c r="I1600" s="47">
        <f t="shared" si="379"/>
        <v>0</v>
      </c>
      <c r="J1600" s="47">
        <f t="shared" si="376"/>
        <v>0</v>
      </c>
      <c r="K1600" s="47">
        <v>0</v>
      </c>
      <c r="L1600" s="47">
        <v>0</v>
      </c>
      <c r="M1600" s="893"/>
      <c r="N1600" s="16"/>
      <c r="O1600" s="16"/>
      <c r="P1600" s="16"/>
      <c r="Q1600" s="16"/>
      <c r="R1600" s="16"/>
    </row>
    <row r="1601" spans="1:18" hidden="1" outlineLevel="1" x14ac:dyDescent="0.2">
      <c r="A1601" s="22" t="s">
        <v>1545</v>
      </c>
      <c r="B1601" s="2" t="s">
        <v>252</v>
      </c>
      <c r="C1601" s="2" t="s">
        <v>1255</v>
      </c>
      <c r="D1601" s="716">
        <v>1</v>
      </c>
      <c r="E1601" s="4" t="s">
        <v>143</v>
      </c>
      <c r="F1601" s="47">
        <f t="shared" ref="F1601:I1601" si="380">G1601</f>
        <v>0</v>
      </c>
      <c r="G1601" s="47">
        <f t="shared" si="380"/>
        <v>0</v>
      </c>
      <c r="H1601" s="47">
        <f t="shared" si="380"/>
        <v>0</v>
      </c>
      <c r="I1601" s="47">
        <f t="shared" si="380"/>
        <v>0</v>
      </c>
      <c r="J1601" s="47">
        <f t="shared" si="376"/>
        <v>0</v>
      </c>
      <c r="K1601" s="47">
        <v>0</v>
      </c>
      <c r="L1601" s="47">
        <v>0</v>
      </c>
      <c r="M1601" s="893"/>
      <c r="N1601" s="16"/>
      <c r="O1601" s="16"/>
      <c r="P1601" s="16"/>
      <c r="Q1601" s="16"/>
      <c r="R1601" s="16"/>
    </row>
    <row r="1602" spans="1:18" hidden="1" outlineLevel="1" x14ac:dyDescent="0.2">
      <c r="A1602" s="22" t="s">
        <v>1545</v>
      </c>
      <c r="B1602" s="2" t="s">
        <v>252</v>
      </c>
      <c r="C1602" s="2" t="s">
        <v>1255</v>
      </c>
      <c r="D1602" s="716">
        <v>1</v>
      </c>
      <c r="E1602" s="4" t="s">
        <v>7</v>
      </c>
      <c r="F1602" s="47">
        <f t="shared" ref="F1602:I1602" si="381">G1602</f>
        <v>0</v>
      </c>
      <c r="G1602" s="47">
        <f t="shared" si="381"/>
        <v>0</v>
      </c>
      <c r="H1602" s="47">
        <f t="shared" si="381"/>
        <v>0</v>
      </c>
      <c r="I1602" s="47">
        <f t="shared" si="381"/>
        <v>0</v>
      </c>
      <c r="J1602" s="47">
        <f t="shared" si="376"/>
        <v>0</v>
      </c>
      <c r="K1602" s="47">
        <v>0</v>
      </c>
      <c r="L1602" s="47">
        <v>0</v>
      </c>
      <c r="M1602" s="893"/>
      <c r="N1602" s="16"/>
      <c r="O1602" s="16"/>
      <c r="P1602" s="16"/>
      <c r="Q1602" s="16"/>
      <c r="R1602" s="16"/>
    </row>
    <row r="1603" spans="1:18" hidden="1" outlineLevel="1" x14ac:dyDescent="0.2">
      <c r="A1603" s="22" t="s">
        <v>1545</v>
      </c>
      <c r="B1603" s="2" t="s">
        <v>252</v>
      </c>
      <c r="C1603" s="2" t="s">
        <v>1255</v>
      </c>
      <c r="D1603" s="716">
        <v>1</v>
      </c>
      <c r="E1603" s="4" t="s">
        <v>31</v>
      </c>
      <c r="F1603" s="47">
        <f t="shared" ref="F1603:I1603" si="382">G1603</f>
        <v>1</v>
      </c>
      <c r="G1603" s="47">
        <f t="shared" si="382"/>
        <v>1</v>
      </c>
      <c r="H1603" s="47">
        <f t="shared" si="382"/>
        <v>1</v>
      </c>
      <c r="I1603" s="47">
        <f t="shared" si="382"/>
        <v>1</v>
      </c>
      <c r="J1603" s="47">
        <f t="shared" si="376"/>
        <v>1</v>
      </c>
      <c r="K1603" s="47">
        <v>1</v>
      </c>
      <c r="L1603" s="47">
        <v>1</v>
      </c>
      <c r="M1603" s="893"/>
      <c r="N1603" s="16"/>
      <c r="O1603" s="16"/>
      <c r="P1603" s="16"/>
      <c r="Q1603" s="16"/>
      <c r="R1603" s="16"/>
    </row>
    <row r="1604" spans="1:18" hidden="1" outlineLevel="1" x14ac:dyDescent="0.2">
      <c r="A1604" s="22" t="s">
        <v>1545</v>
      </c>
      <c r="B1604" s="2" t="s">
        <v>252</v>
      </c>
      <c r="C1604" s="2" t="s">
        <v>1255</v>
      </c>
      <c r="D1604" s="716">
        <v>1</v>
      </c>
      <c r="E1604" s="4" t="s">
        <v>8</v>
      </c>
      <c r="F1604" s="47">
        <f t="shared" ref="F1604:I1604" si="383">G1604</f>
        <v>1</v>
      </c>
      <c r="G1604" s="47">
        <f t="shared" si="383"/>
        <v>1</v>
      </c>
      <c r="H1604" s="47">
        <f t="shared" si="383"/>
        <v>1</v>
      </c>
      <c r="I1604" s="47">
        <f t="shared" si="383"/>
        <v>1</v>
      </c>
      <c r="J1604" s="47">
        <f t="shared" si="376"/>
        <v>1</v>
      </c>
      <c r="K1604" s="47">
        <v>1</v>
      </c>
      <c r="L1604" s="47">
        <v>1</v>
      </c>
      <c r="M1604" s="893"/>
      <c r="N1604" s="16"/>
      <c r="O1604" s="16"/>
      <c r="P1604" s="16"/>
      <c r="Q1604" s="16"/>
      <c r="R1604" s="16"/>
    </row>
    <row r="1605" spans="1:18" hidden="1" outlineLevel="1" x14ac:dyDescent="0.2">
      <c r="A1605" s="22" t="s">
        <v>1545</v>
      </c>
      <c r="B1605" s="2" t="s">
        <v>252</v>
      </c>
      <c r="C1605" s="2" t="s">
        <v>1255</v>
      </c>
      <c r="D1605" s="716">
        <v>1</v>
      </c>
      <c r="E1605" s="4" t="s">
        <v>9</v>
      </c>
      <c r="F1605" s="47">
        <f t="shared" ref="F1605:I1605" si="384">G1605</f>
        <v>1</v>
      </c>
      <c r="G1605" s="47">
        <f t="shared" si="384"/>
        <v>1</v>
      </c>
      <c r="H1605" s="47">
        <f t="shared" si="384"/>
        <v>1</v>
      </c>
      <c r="I1605" s="47">
        <f t="shared" si="384"/>
        <v>1</v>
      </c>
      <c r="J1605" s="47">
        <f t="shared" si="376"/>
        <v>1</v>
      </c>
      <c r="K1605" s="47">
        <v>1</v>
      </c>
      <c r="L1605" s="47">
        <v>1</v>
      </c>
      <c r="M1605" s="893"/>
      <c r="N1605" s="16"/>
      <c r="O1605" s="16"/>
      <c r="P1605" s="16"/>
      <c r="Q1605" s="16"/>
      <c r="R1605" s="16"/>
    </row>
    <row r="1606" spans="1:18" hidden="1" outlineLevel="1" x14ac:dyDescent="0.2">
      <c r="A1606" s="22" t="s">
        <v>1545</v>
      </c>
      <c r="B1606" s="2" t="s">
        <v>252</v>
      </c>
      <c r="C1606" s="2" t="s">
        <v>1255</v>
      </c>
      <c r="D1606" s="716">
        <v>1</v>
      </c>
      <c r="E1606" s="4" t="s">
        <v>10</v>
      </c>
      <c r="F1606" s="47">
        <f t="shared" ref="F1606:I1606" si="385">G1606</f>
        <v>1</v>
      </c>
      <c r="G1606" s="47">
        <f t="shared" si="385"/>
        <v>1</v>
      </c>
      <c r="H1606" s="47">
        <f t="shared" si="385"/>
        <v>1</v>
      </c>
      <c r="I1606" s="47">
        <f t="shared" si="385"/>
        <v>1</v>
      </c>
      <c r="J1606" s="47">
        <f t="shared" si="376"/>
        <v>1</v>
      </c>
      <c r="K1606" s="47">
        <v>1</v>
      </c>
      <c r="L1606" s="47">
        <v>1</v>
      </c>
      <c r="M1606" s="893"/>
      <c r="N1606" s="16"/>
      <c r="O1606" s="16"/>
      <c r="P1606" s="16"/>
      <c r="Q1606" s="16"/>
      <c r="R1606" s="16"/>
    </row>
    <row r="1607" spans="1:18" hidden="1" outlineLevel="1" x14ac:dyDescent="0.2">
      <c r="A1607" s="22" t="s">
        <v>1545</v>
      </c>
      <c r="B1607" s="2" t="s">
        <v>252</v>
      </c>
      <c r="C1607" s="2" t="s">
        <v>1255</v>
      </c>
      <c r="D1607" s="716">
        <v>1</v>
      </c>
      <c r="E1607" s="4" t="s">
        <v>11</v>
      </c>
      <c r="F1607" s="47">
        <f t="shared" ref="F1607:I1607" si="386">G1607</f>
        <v>1</v>
      </c>
      <c r="G1607" s="47">
        <f t="shared" si="386"/>
        <v>1</v>
      </c>
      <c r="H1607" s="47">
        <f t="shared" si="386"/>
        <v>1</v>
      </c>
      <c r="I1607" s="47">
        <f t="shared" si="386"/>
        <v>1</v>
      </c>
      <c r="J1607" s="47">
        <f t="shared" si="376"/>
        <v>1</v>
      </c>
      <c r="K1607" s="47">
        <v>1</v>
      </c>
      <c r="L1607" s="47">
        <v>1</v>
      </c>
      <c r="M1607" s="893"/>
      <c r="N1607" s="16"/>
      <c r="O1607" s="16"/>
      <c r="P1607" s="16"/>
      <c r="Q1607" s="16"/>
      <c r="R1607" s="16"/>
    </row>
    <row r="1608" spans="1:18" hidden="1" outlineLevel="1" x14ac:dyDescent="0.2">
      <c r="A1608" s="22" t="s">
        <v>1545</v>
      </c>
      <c r="B1608" s="2" t="s">
        <v>252</v>
      </c>
      <c r="C1608" s="2" t="s">
        <v>1255</v>
      </c>
      <c r="D1608" s="716">
        <v>1</v>
      </c>
      <c r="E1608" s="4" t="s">
        <v>12</v>
      </c>
      <c r="F1608" s="47">
        <f t="shared" ref="F1608:I1608" si="387">G1608</f>
        <v>1</v>
      </c>
      <c r="G1608" s="47">
        <f t="shared" si="387"/>
        <v>1</v>
      </c>
      <c r="H1608" s="47">
        <f t="shared" si="387"/>
        <v>1</v>
      </c>
      <c r="I1608" s="47">
        <f t="shared" si="387"/>
        <v>1</v>
      </c>
      <c r="J1608" s="47">
        <f t="shared" si="376"/>
        <v>1</v>
      </c>
      <c r="K1608" s="47">
        <v>1</v>
      </c>
      <c r="L1608" s="47">
        <v>1</v>
      </c>
      <c r="M1608" s="893"/>
      <c r="N1608" s="16"/>
      <c r="O1608" s="16"/>
      <c r="P1608" s="16"/>
      <c r="Q1608" s="16"/>
      <c r="R1608" s="16"/>
    </row>
    <row r="1609" spans="1:18" hidden="1" outlineLevel="1" x14ac:dyDescent="0.2">
      <c r="A1609" s="22" t="s">
        <v>1545</v>
      </c>
      <c r="B1609" s="2" t="s">
        <v>252</v>
      </c>
      <c r="C1609" s="2" t="s">
        <v>1255</v>
      </c>
      <c r="D1609" s="716">
        <v>1</v>
      </c>
      <c r="E1609" s="4" t="s">
        <v>1</v>
      </c>
      <c r="F1609" s="47">
        <f t="shared" ref="F1609:I1609" si="388">G1609</f>
        <v>1</v>
      </c>
      <c r="G1609" s="47">
        <f t="shared" si="388"/>
        <v>1</v>
      </c>
      <c r="H1609" s="47">
        <f t="shared" si="388"/>
        <v>1</v>
      </c>
      <c r="I1609" s="47">
        <f t="shared" si="388"/>
        <v>1</v>
      </c>
      <c r="J1609" s="47">
        <f t="shared" si="376"/>
        <v>1</v>
      </c>
      <c r="K1609" s="47">
        <v>1</v>
      </c>
      <c r="L1609" s="47">
        <v>1</v>
      </c>
      <c r="M1609" s="893"/>
      <c r="N1609" s="16"/>
      <c r="O1609" s="16"/>
      <c r="P1609" s="16"/>
      <c r="Q1609" s="16"/>
      <c r="R1609" s="16"/>
    </row>
    <row r="1610" spans="1:18" hidden="1" outlineLevel="1" x14ac:dyDescent="0.2">
      <c r="A1610" s="22" t="s">
        <v>1545</v>
      </c>
      <c r="B1610" s="2" t="s">
        <v>252</v>
      </c>
      <c r="C1610" s="2" t="s">
        <v>1255</v>
      </c>
      <c r="D1610" s="716">
        <v>1</v>
      </c>
      <c r="E1610" s="4" t="s">
        <v>13</v>
      </c>
      <c r="F1610" s="47">
        <f t="shared" ref="F1610:I1610" si="389">G1610</f>
        <v>1</v>
      </c>
      <c r="G1610" s="47">
        <f t="shared" si="389"/>
        <v>1</v>
      </c>
      <c r="H1610" s="47">
        <f t="shared" si="389"/>
        <v>1</v>
      </c>
      <c r="I1610" s="47">
        <f t="shared" si="389"/>
        <v>1</v>
      </c>
      <c r="J1610" s="47">
        <f t="shared" si="376"/>
        <v>1</v>
      </c>
      <c r="K1610" s="47">
        <v>1</v>
      </c>
      <c r="L1610" s="47">
        <v>1</v>
      </c>
      <c r="M1610" s="893"/>
      <c r="N1610" s="16"/>
      <c r="O1610" s="16"/>
      <c r="P1610" s="16"/>
      <c r="Q1610" s="16"/>
      <c r="R1610" s="16"/>
    </row>
    <row r="1611" spans="1:18" hidden="1" outlineLevel="1" x14ac:dyDescent="0.2">
      <c r="A1611" s="22" t="s">
        <v>1545</v>
      </c>
      <c r="B1611" s="2" t="s">
        <v>252</v>
      </c>
      <c r="C1611" s="2" t="s">
        <v>1255</v>
      </c>
      <c r="D1611" s="716">
        <v>1</v>
      </c>
      <c r="E1611" s="4" t="s">
        <v>14</v>
      </c>
      <c r="F1611" s="47">
        <f t="shared" ref="F1611:I1611" si="390">G1611</f>
        <v>0</v>
      </c>
      <c r="G1611" s="47">
        <f t="shared" si="390"/>
        <v>0</v>
      </c>
      <c r="H1611" s="47">
        <f t="shared" si="390"/>
        <v>0</v>
      </c>
      <c r="I1611" s="47">
        <f t="shared" si="390"/>
        <v>0</v>
      </c>
      <c r="J1611" s="47">
        <f t="shared" si="376"/>
        <v>0</v>
      </c>
      <c r="K1611" s="47">
        <v>0</v>
      </c>
      <c r="L1611" s="47">
        <v>0</v>
      </c>
      <c r="M1611" s="893"/>
      <c r="N1611" s="16"/>
      <c r="O1611" s="16"/>
      <c r="P1611" s="16"/>
      <c r="Q1611" s="16"/>
      <c r="R1611" s="16"/>
    </row>
    <row r="1612" spans="1:18" hidden="1" outlineLevel="1" x14ac:dyDescent="0.2">
      <c r="A1612" s="22" t="s">
        <v>1545</v>
      </c>
      <c r="B1612" s="2" t="s">
        <v>252</v>
      </c>
      <c r="C1612" s="2" t="s">
        <v>1255</v>
      </c>
      <c r="D1612" s="716">
        <v>1</v>
      </c>
      <c r="E1612" s="4" t="s">
        <v>15</v>
      </c>
      <c r="F1612" s="47">
        <f t="shared" ref="F1612:I1612" si="391">G1612</f>
        <v>0</v>
      </c>
      <c r="G1612" s="47">
        <f t="shared" si="391"/>
        <v>0</v>
      </c>
      <c r="H1612" s="47">
        <f t="shared" si="391"/>
        <v>0</v>
      </c>
      <c r="I1612" s="47">
        <f t="shared" si="391"/>
        <v>0</v>
      </c>
      <c r="J1612" s="47">
        <f t="shared" si="376"/>
        <v>0</v>
      </c>
      <c r="K1612" s="47">
        <v>0</v>
      </c>
      <c r="L1612" s="47">
        <v>0</v>
      </c>
      <c r="M1612" s="893"/>
      <c r="N1612" s="16"/>
      <c r="O1612" s="16"/>
      <c r="P1612" s="16"/>
      <c r="Q1612" s="16"/>
      <c r="R1612" s="16"/>
    </row>
    <row r="1613" spans="1:18" hidden="1" outlineLevel="1" x14ac:dyDescent="0.2">
      <c r="A1613" s="22" t="s">
        <v>1545</v>
      </c>
      <c r="B1613" s="2" t="s">
        <v>252</v>
      </c>
      <c r="C1613" s="2" t="s">
        <v>1255</v>
      </c>
      <c r="D1613" s="716">
        <v>1</v>
      </c>
      <c r="E1613" s="4" t="s">
        <v>16</v>
      </c>
      <c r="F1613" s="47">
        <f t="shared" ref="F1613:I1613" si="392">G1613</f>
        <v>1</v>
      </c>
      <c r="G1613" s="47">
        <f t="shared" si="392"/>
        <v>1</v>
      </c>
      <c r="H1613" s="47">
        <f t="shared" si="392"/>
        <v>1</v>
      </c>
      <c r="I1613" s="47">
        <f t="shared" si="392"/>
        <v>1</v>
      </c>
      <c r="J1613" s="47">
        <f t="shared" si="376"/>
        <v>1</v>
      </c>
      <c r="K1613" s="47">
        <v>1</v>
      </c>
      <c r="L1613" s="47">
        <v>1</v>
      </c>
      <c r="M1613" s="893"/>
      <c r="N1613" s="16"/>
      <c r="O1613" s="16"/>
      <c r="P1613" s="16"/>
      <c r="Q1613" s="16"/>
      <c r="R1613" s="16"/>
    </row>
    <row r="1614" spans="1:18" hidden="1" outlineLevel="1" x14ac:dyDescent="0.2">
      <c r="A1614" s="22" t="s">
        <v>1545</v>
      </c>
      <c r="B1614" s="2" t="s">
        <v>252</v>
      </c>
      <c r="C1614" s="2" t="s">
        <v>1255</v>
      </c>
      <c r="D1614" s="716">
        <v>1</v>
      </c>
      <c r="E1614" s="4" t="s">
        <v>17</v>
      </c>
      <c r="F1614" s="47">
        <f t="shared" ref="F1614:I1614" si="393">G1614</f>
        <v>1</v>
      </c>
      <c r="G1614" s="47">
        <f t="shared" si="393"/>
        <v>1</v>
      </c>
      <c r="H1614" s="47">
        <f t="shared" si="393"/>
        <v>1</v>
      </c>
      <c r="I1614" s="47">
        <f t="shared" si="393"/>
        <v>1</v>
      </c>
      <c r="J1614" s="47">
        <f t="shared" si="376"/>
        <v>1</v>
      </c>
      <c r="K1614" s="47">
        <v>1</v>
      </c>
      <c r="L1614" s="47">
        <v>1</v>
      </c>
      <c r="M1614" s="893"/>
      <c r="N1614" s="16"/>
      <c r="O1614" s="16"/>
      <c r="P1614" s="16"/>
      <c r="Q1614" s="16"/>
      <c r="R1614" s="16"/>
    </row>
    <row r="1615" spans="1:18" hidden="1" outlineLevel="1" x14ac:dyDescent="0.2">
      <c r="A1615" s="22" t="s">
        <v>1545</v>
      </c>
      <c r="B1615" s="2" t="s">
        <v>252</v>
      </c>
      <c r="C1615" s="2" t="s">
        <v>1255</v>
      </c>
      <c r="D1615" s="716">
        <v>1</v>
      </c>
      <c r="E1615" s="4" t="s">
        <v>18</v>
      </c>
      <c r="F1615" s="47">
        <f t="shared" ref="F1615:I1615" si="394">G1615</f>
        <v>1</v>
      </c>
      <c r="G1615" s="47">
        <f t="shared" si="394"/>
        <v>1</v>
      </c>
      <c r="H1615" s="47">
        <f t="shared" si="394"/>
        <v>1</v>
      </c>
      <c r="I1615" s="47">
        <f t="shared" si="394"/>
        <v>1</v>
      </c>
      <c r="J1615" s="47">
        <f t="shared" si="376"/>
        <v>1</v>
      </c>
      <c r="K1615" s="47">
        <v>1</v>
      </c>
      <c r="L1615" s="47">
        <v>1</v>
      </c>
      <c r="M1615" s="893"/>
      <c r="N1615" s="16"/>
      <c r="O1615" s="16"/>
      <c r="P1615" s="16"/>
      <c r="Q1615" s="16"/>
      <c r="R1615" s="16"/>
    </row>
    <row r="1616" spans="1:18" hidden="1" outlineLevel="1" x14ac:dyDescent="0.2">
      <c r="A1616" s="22" t="s">
        <v>1545</v>
      </c>
      <c r="B1616" s="2" t="s">
        <v>252</v>
      </c>
      <c r="C1616" s="2" t="s">
        <v>1255</v>
      </c>
      <c r="D1616" s="716">
        <v>1</v>
      </c>
      <c r="E1616" s="4" t="s">
        <v>2</v>
      </c>
      <c r="F1616" s="47">
        <f t="shared" ref="F1616:I1616" si="395">G1616</f>
        <v>1</v>
      </c>
      <c r="G1616" s="47">
        <f t="shared" si="395"/>
        <v>1</v>
      </c>
      <c r="H1616" s="47">
        <f t="shared" si="395"/>
        <v>1</v>
      </c>
      <c r="I1616" s="47">
        <f t="shared" si="395"/>
        <v>1</v>
      </c>
      <c r="J1616" s="47">
        <f t="shared" si="376"/>
        <v>1</v>
      </c>
      <c r="K1616" s="47">
        <v>1</v>
      </c>
      <c r="L1616" s="47">
        <v>1</v>
      </c>
      <c r="M1616" s="893"/>
      <c r="N1616" s="16"/>
      <c r="O1616" s="16"/>
      <c r="P1616" s="16"/>
      <c r="Q1616" s="16"/>
      <c r="R1616" s="16"/>
    </row>
    <row r="1617" spans="1:18" hidden="1" outlineLevel="1" x14ac:dyDescent="0.2">
      <c r="A1617" s="22" t="s">
        <v>1545</v>
      </c>
      <c r="B1617" s="2" t="s">
        <v>252</v>
      </c>
      <c r="C1617" s="2" t="s">
        <v>1255</v>
      </c>
      <c r="D1617" s="716">
        <v>1</v>
      </c>
      <c r="E1617" s="4" t="s">
        <v>19</v>
      </c>
      <c r="F1617" s="47">
        <f t="shared" ref="F1617:I1617" si="396">G1617</f>
        <v>1</v>
      </c>
      <c r="G1617" s="47">
        <f t="shared" si="396"/>
        <v>1</v>
      </c>
      <c r="H1617" s="47">
        <f t="shared" si="396"/>
        <v>1</v>
      </c>
      <c r="I1617" s="47">
        <f t="shared" si="396"/>
        <v>1</v>
      </c>
      <c r="J1617" s="47">
        <f t="shared" si="376"/>
        <v>1</v>
      </c>
      <c r="K1617" s="47">
        <v>1</v>
      </c>
      <c r="L1617" s="47">
        <v>1</v>
      </c>
      <c r="M1617" s="893"/>
      <c r="N1617" s="16"/>
      <c r="O1617" s="16"/>
      <c r="P1617" s="16"/>
      <c r="Q1617" s="16"/>
      <c r="R1617" s="16"/>
    </row>
    <row r="1618" spans="1:18" hidden="1" outlineLevel="1" x14ac:dyDescent="0.2">
      <c r="A1618" s="22" t="s">
        <v>1545</v>
      </c>
      <c r="B1618" s="2" t="s">
        <v>252</v>
      </c>
      <c r="C1618" s="2" t="s">
        <v>1255</v>
      </c>
      <c r="D1618" s="716">
        <v>1</v>
      </c>
      <c r="E1618" s="4" t="s">
        <v>3</v>
      </c>
      <c r="F1618" s="47">
        <f t="shared" ref="F1618:I1618" si="397">G1618</f>
        <v>0</v>
      </c>
      <c r="G1618" s="47">
        <f t="shared" si="397"/>
        <v>0</v>
      </c>
      <c r="H1618" s="47">
        <f t="shared" si="397"/>
        <v>0</v>
      </c>
      <c r="I1618" s="47">
        <f t="shared" si="397"/>
        <v>0</v>
      </c>
      <c r="J1618" s="47">
        <f t="shared" si="376"/>
        <v>0</v>
      </c>
      <c r="K1618" s="47">
        <v>0</v>
      </c>
      <c r="L1618" s="47">
        <v>0</v>
      </c>
      <c r="M1618" s="893"/>
      <c r="N1618" s="16"/>
      <c r="O1618" s="16"/>
      <c r="P1618" s="16"/>
      <c r="Q1618" s="16"/>
      <c r="R1618" s="16"/>
    </row>
    <row r="1619" spans="1:18" hidden="1" outlineLevel="1" x14ac:dyDescent="0.2">
      <c r="A1619" s="22" t="s">
        <v>1545</v>
      </c>
      <c r="B1619" s="2" t="s">
        <v>252</v>
      </c>
      <c r="C1619" s="2" t="s">
        <v>1255</v>
      </c>
      <c r="D1619" s="716">
        <v>1</v>
      </c>
      <c r="E1619" s="4" t="s">
        <v>20</v>
      </c>
      <c r="F1619" s="47">
        <f t="shared" ref="F1619:I1619" si="398">G1619</f>
        <v>1</v>
      </c>
      <c r="G1619" s="47">
        <f t="shared" si="398"/>
        <v>1</v>
      </c>
      <c r="H1619" s="47">
        <f t="shared" si="398"/>
        <v>1</v>
      </c>
      <c r="I1619" s="47">
        <f t="shared" si="398"/>
        <v>1</v>
      </c>
      <c r="J1619" s="47">
        <f t="shared" si="376"/>
        <v>1</v>
      </c>
      <c r="K1619" s="47">
        <v>1</v>
      </c>
      <c r="L1619" s="47">
        <v>1</v>
      </c>
      <c r="M1619" s="893"/>
      <c r="N1619" s="16"/>
      <c r="O1619" s="16"/>
      <c r="P1619" s="16"/>
      <c r="Q1619" s="16"/>
      <c r="R1619" s="16"/>
    </row>
    <row r="1620" spans="1:18" hidden="1" outlineLevel="1" x14ac:dyDescent="0.2">
      <c r="A1620" s="22" t="s">
        <v>1545</v>
      </c>
      <c r="B1620" s="2" t="s">
        <v>252</v>
      </c>
      <c r="C1620" s="2" t="s">
        <v>1255</v>
      </c>
      <c r="D1620" s="716">
        <v>1</v>
      </c>
      <c r="E1620" s="4" t="s">
        <v>21</v>
      </c>
      <c r="F1620" s="47">
        <f t="shared" ref="F1620:I1620" si="399">G1620</f>
        <v>0</v>
      </c>
      <c r="G1620" s="47">
        <f t="shared" si="399"/>
        <v>0</v>
      </c>
      <c r="H1620" s="47">
        <f t="shared" si="399"/>
        <v>0</v>
      </c>
      <c r="I1620" s="47">
        <f t="shared" si="399"/>
        <v>0</v>
      </c>
      <c r="J1620" s="47">
        <f t="shared" si="376"/>
        <v>0</v>
      </c>
      <c r="K1620" s="47">
        <v>0</v>
      </c>
      <c r="L1620" s="47">
        <v>0</v>
      </c>
      <c r="M1620" s="893"/>
      <c r="N1620" s="16"/>
      <c r="O1620" s="16"/>
      <c r="P1620" s="16"/>
      <c r="Q1620" s="16"/>
      <c r="R1620" s="16"/>
    </row>
    <row r="1621" spans="1:18" hidden="1" outlineLevel="1" x14ac:dyDescent="0.2">
      <c r="A1621" s="22" t="s">
        <v>1545</v>
      </c>
      <c r="B1621" s="2" t="s">
        <v>252</v>
      </c>
      <c r="C1621" s="2" t="s">
        <v>1255</v>
      </c>
      <c r="D1621" s="716">
        <v>1</v>
      </c>
      <c r="E1621" s="4" t="s">
        <v>1096</v>
      </c>
      <c r="F1621" s="47">
        <f t="shared" ref="F1621:I1621" si="400">G1621</f>
        <v>0</v>
      </c>
      <c r="G1621" s="47">
        <f t="shared" si="400"/>
        <v>0</v>
      </c>
      <c r="H1621" s="47">
        <f t="shared" si="400"/>
        <v>0</v>
      </c>
      <c r="I1621" s="47">
        <f t="shared" si="400"/>
        <v>0</v>
      </c>
      <c r="J1621" s="47">
        <f t="shared" si="376"/>
        <v>0</v>
      </c>
      <c r="K1621" s="47">
        <v>0</v>
      </c>
      <c r="L1621" s="47">
        <v>0</v>
      </c>
      <c r="M1621" s="893"/>
      <c r="N1621" s="16"/>
      <c r="O1621" s="16"/>
      <c r="P1621" s="16"/>
      <c r="Q1621" s="16"/>
      <c r="R1621" s="16"/>
    </row>
    <row r="1622" spans="1:18" hidden="1" outlineLevel="1" x14ac:dyDescent="0.2">
      <c r="A1622" s="22" t="s">
        <v>1545</v>
      </c>
      <c r="B1622" s="2" t="s">
        <v>252</v>
      </c>
      <c r="C1622" s="2" t="s">
        <v>1255</v>
      </c>
      <c r="D1622" s="716">
        <v>1</v>
      </c>
      <c r="E1622" s="4" t="s">
        <v>22</v>
      </c>
      <c r="F1622" s="47">
        <f t="shared" ref="F1622:I1622" si="401">G1622</f>
        <v>1</v>
      </c>
      <c r="G1622" s="47">
        <f t="shared" si="401"/>
        <v>1</v>
      </c>
      <c r="H1622" s="47">
        <f t="shared" si="401"/>
        <v>1</v>
      </c>
      <c r="I1622" s="47">
        <f t="shared" si="401"/>
        <v>1</v>
      </c>
      <c r="J1622" s="47">
        <f t="shared" si="376"/>
        <v>1</v>
      </c>
      <c r="K1622" s="47">
        <v>1</v>
      </c>
      <c r="L1622" s="47">
        <v>1</v>
      </c>
      <c r="M1622" s="893"/>
      <c r="N1622" s="16"/>
      <c r="O1622" s="16"/>
      <c r="P1622" s="16"/>
      <c r="Q1622" s="16"/>
      <c r="R1622" s="16"/>
    </row>
    <row r="1623" spans="1:18" hidden="1" outlineLevel="1" x14ac:dyDescent="0.2">
      <c r="A1623" s="22" t="s">
        <v>1545</v>
      </c>
      <c r="B1623" s="2" t="s">
        <v>252</v>
      </c>
      <c r="C1623" s="2" t="s">
        <v>1255</v>
      </c>
      <c r="D1623" s="717">
        <v>1</v>
      </c>
      <c r="E1623" s="469" t="s">
        <v>23</v>
      </c>
      <c r="F1623" s="48">
        <f t="shared" ref="F1623:I1623" si="402">G1623</f>
        <v>1</v>
      </c>
      <c r="G1623" s="48">
        <f t="shared" si="402"/>
        <v>1</v>
      </c>
      <c r="H1623" s="48">
        <f t="shared" si="402"/>
        <v>1</v>
      </c>
      <c r="I1623" s="48">
        <f t="shared" si="402"/>
        <v>1</v>
      </c>
      <c r="J1623" s="48">
        <f t="shared" si="376"/>
        <v>1</v>
      </c>
      <c r="K1623" s="363">
        <v>1</v>
      </c>
      <c r="L1623" s="363">
        <v>1</v>
      </c>
      <c r="M1623" s="920"/>
      <c r="N1623" s="16"/>
      <c r="O1623" s="16"/>
      <c r="P1623" s="16"/>
      <c r="Q1623" s="16"/>
      <c r="R1623" s="16"/>
    </row>
    <row r="1624" spans="1:18" hidden="1" outlineLevel="1" x14ac:dyDescent="0.2">
      <c r="A1624" s="92" t="s">
        <v>1545</v>
      </c>
      <c r="B1624" s="81" t="s">
        <v>252</v>
      </c>
      <c r="C1624" s="81" t="s">
        <v>1256</v>
      </c>
      <c r="D1624" s="715">
        <v>1</v>
      </c>
      <c r="E1624" s="468" t="s">
        <v>4</v>
      </c>
      <c r="F1624" s="380">
        <f t="shared" ref="F1624:I1624" si="403">G1624</f>
        <v>0</v>
      </c>
      <c r="G1624" s="89">
        <f t="shared" si="403"/>
        <v>0</v>
      </c>
      <c r="H1624" s="89">
        <f t="shared" si="403"/>
        <v>0</v>
      </c>
      <c r="I1624" s="89">
        <f t="shared" si="403"/>
        <v>0</v>
      </c>
      <c r="J1624" s="89">
        <f t="shared" si="376"/>
        <v>0</v>
      </c>
      <c r="K1624" s="380">
        <v>0</v>
      </c>
      <c r="L1624" s="380">
        <v>1</v>
      </c>
      <c r="M1624" s="892"/>
      <c r="N1624" s="16"/>
      <c r="O1624" s="16"/>
      <c r="P1624" s="16"/>
      <c r="Q1624" s="16"/>
      <c r="R1624" s="16"/>
    </row>
    <row r="1625" spans="1:18" hidden="1" outlineLevel="1" x14ac:dyDescent="0.2">
      <c r="A1625" s="22" t="s">
        <v>1545</v>
      </c>
      <c r="B1625" s="2" t="s">
        <v>252</v>
      </c>
      <c r="C1625" s="2" t="s">
        <v>1256</v>
      </c>
      <c r="D1625" s="716">
        <v>1</v>
      </c>
      <c r="E1625" s="4" t="s">
        <v>5</v>
      </c>
      <c r="F1625" s="47">
        <f t="shared" ref="F1625:I1625" si="404">G1625</f>
        <v>0</v>
      </c>
      <c r="G1625" s="47">
        <f t="shared" si="404"/>
        <v>0</v>
      </c>
      <c r="H1625" s="47">
        <f t="shared" si="404"/>
        <v>0</v>
      </c>
      <c r="I1625" s="47">
        <f t="shared" si="404"/>
        <v>0</v>
      </c>
      <c r="J1625" s="47">
        <f t="shared" si="376"/>
        <v>0</v>
      </c>
      <c r="K1625" s="47">
        <v>0</v>
      </c>
      <c r="L1625" s="47">
        <v>0</v>
      </c>
      <c r="M1625" s="893"/>
      <c r="N1625" s="16"/>
      <c r="O1625" s="16"/>
      <c r="P1625" s="16"/>
      <c r="Q1625" s="16"/>
      <c r="R1625" s="16"/>
    </row>
    <row r="1626" spans="1:18" hidden="1" outlineLevel="1" x14ac:dyDescent="0.2">
      <c r="A1626" s="22" t="s">
        <v>1545</v>
      </c>
      <c r="B1626" s="2" t="s">
        <v>252</v>
      </c>
      <c r="C1626" s="2" t="s">
        <v>1256</v>
      </c>
      <c r="D1626" s="716">
        <v>1</v>
      </c>
      <c r="E1626" s="4" t="s">
        <v>6</v>
      </c>
      <c r="F1626" s="47">
        <f t="shared" ref="F1626:I1626" si="405">G1626</f>
        <v>0</v>
      </c>
      <c r="G1626" s="47">
        <f t="shared" si="405"/>
        <v>0</v>
      </c>
      <c r="H1626" s="47">
        <f t="shared" si="405"/>
        <v>0</v>
      </c>
      <c r="I1626" s="47">
        <f t="shared" si="405"/>
        <v>0</v>
      </c>
      <c r="J1626" s="47">
        <f t="shared" si="376"/>
        <v>0</v>
      </c>
      <c r="K1626" s="47">
        <v>0</v>
      </c>
      <c r="L1626" s="47">
        <v>0</v>
      </c>
      <c r="M1626" s="893"/>
      <c r="N1626" s="16"/>
      <c r="O1626" s="16"/>
      <c r="P1626" s="16"/>
      <c r="Q1626" s="16"/>
      <c r="R1626" s="16"/>
    </row>
    <row r="1627" spans="1:18" hidden="1" outlineLevel="1" x14ac:dyDescent="0.2">
      <c r="A1627" s="22" t="s">
        <v>1545</v>
      </c>
      <c r="B1627" s="2" t="s">
        <v>252</v>
      </c>
      <c r="C1627" s="2" t="s">
        <v>1256</v>
      </c>
      <c r="D1627" s="716">
        <v>1</v>
      </c>
      <c r="E1627" s="4" t="s">
        <v>143</v>
      </c>
      <c r="F1627" s="47">
        <f t="shared" ref="F1627:I1627" si="406">G1627</f>
        <v>0</v>
      </c>
      <c r="G1627" s="47">
        <f t="shared" si="406"/>
        <v>0</v>
      </c>
      <c r="H1627" s="47">
        <f t="shared" si="406"/>
        <v>0</v>
      </c>
      <c r="I1627" s="47">
        <f t="shared" si="406"/>
        <v>0</v>
      </c>
      <c r="J1627" s="47">
        <f t="shared" si="376"/>
        <v>0</v>
      </c>
      <c r="K1627" s="47">
        <v>0</v>
      </c>
      <c r="L1627" s="47">
        <v>0</v>
      </c>
      <c r="M1627" s="893"/>
      <c r="N1627" s="16"/>
      <c r="O1627" s="16"/>
      <c r="P1627" s="16"/>
      <c r="Q1627" s="16"/>
      <c r="R1627" s="16"/>
    </row>
    <row r="1628" spans="1:18" hidden="1" outlineLevel="1" x14ac:dyDescent="0.2">
      <c r="A1628" s="22" t="s">
        <v>1545</v>
      </c>
      <c r="B1628" s="2" t="s">
        <v>252</v>
      </c>
      <c r="C1628" s="2" t="s">
        <v>1256</v>
      </c>
      <c r="D1628" s="716">
        <v>1</v>
      </c>
      <c r="E1628" s="4" t="s">
        <v>7</v>
      </c>
      <c r="F1628" s="47">
        <f t="shared" ref="F1628:I1628" si="407">G1628</f>
        <v>0</v>
      </c>
      <c r="G1628" s="47">
        <f t="shared" si="407"/>
        <v>0</v>
      </c>
      <c r="H1628" s="47">
        <f t="shared" si="407"/>
        <v>0</v>
      </c>
      <c r="I1628" s="47">
        <f t="shared" si="407"/>
        <v>0</v>
      </c>
      <c r="J1628" s="47">
        <f t="shared" si="376"/>
        <v>0</v>
      </c>
      <c r="K1628" s="47">
        <v>0</v>
      </c>
      <c r="L1628" s="47">
        <v>0</v>
      </c>
      <c r="M1628" s="893"/>
      <c r="N1628" s="16"/>
      <c r="O1628" s="16"/>
      <c r="P1628" s="16"/>
      <c r="Q1628" s="16"/>
      <c r="R1628" s="16"/>
    </row>
    <row r="1629" spans="1:18" hidden="1" outlineLevel="1" x14ac:dyDescent="0.2">
      <c r="A1629" s="22" t="s">
        <v>1545</v>
      </c>
      <c r="B1629" s="2" t="s">
        <v>252</v>
      </c>
      <c r="C1629" s="2" t="s">
        <v>1256</v>
      </c>
      <c r="D1629" s="716">
        <v>1</v>
      </c>
      <c r="E1629" s="4" t="s">
        <v>31</v>
      </c>
      <c r="F1629" s="47">
        <f t="shared" ref="F1629:I1629" si="408">G1629</f>
        <v>1</v>
      </c>
      <c r="G1629" s="47">
        <f t="shared" si="408"/>
        <v>1</v>
      </c>
      <c r="H1629" s="47">
        <f t="shared" si="408"/>
        <v>1</v>
      </c>
      <c r="I1629" s="47">
        <f t="shared" si="408"/>
        <v>1</v>
      </c>
      <c r="J1629" s="47">
        <f t="shared" si="376"/>
        <v>1</v>
      </c>
      <c r="K1629" s="47">
        <v>1</v>
      </c>
      <c r="L1629" s="47">
        <v>1</v>
      </c>
      <c r="M1629" s="893"/>
      <c r="N1629" s="16"/>
      <c r="O1629" s="16"/>
      <c r="P1629" s="16"/>
      <c r="Q1629" s="16"/>
      <c r="R1629" s="16"/>
    </row>
    <row r="1630" spans="1:18" hidden="1" outlineLevel="1" x14ac:dyDescent="0.2">
      <c r="A1630" s="22" t="s">
        <v>1545</v>
      </c>
      <c r="B1630" s="2" t="s">
        <v>252</v>
      </c>
      <c r="C1630" s="2" t="s">
        <v>1256</v>
      </c>
      <c r="D1630" s="716">
        <v>1</v>
      </c>
      <c r="E1630" s="4" t="s">
        <v>8</v>
      </c>
      <c r="F1630" s="47">
        <f t="shared" ref="F1630:I1630" si="409">G1630</f>
        <v>1</v>
      </c>
      <c r="G1630" s="47">
        <f t="shared" si="409"/>
        <v>1</v>
      </c>
      <c r="H1630" s="47">
        <f t="shared" si="409"/>
        <v>1</v>
      </c>
      <c r="I1630" s="47">
        <f t="shared" si="409"/>
        <v>1</v>
      </c>
      <c r="J1630" s="47">
        <f t="shared" si="376"/>
        <v>1</v>
      </c>
      <c r="K1630" s="47">
        <v>1</v>
      </c>
      <c r="L1630" s="47">
        <v>1</v>
      </c>
      <c r="M1630" s="893"/>
      <c r="N1630" s="16"/>
      <c r="O1630" s="16"/>
      <c r="P1630" s="16"/>
      <c r="Q1630" s="16"/>
      <c r="R1630" s="16"/>
    </row>
    <row r="1631" spans="1:18" hidden="1" outlineLevel="1" x14ac:dyDescent="0.2">
      <c r="A1631" s="22" t="s">
        <v>1545</v>
      </c>
      <c r="B1631" s="2" t="s">
        <v>252</v>
      </c>
      <c r="C1631" s="2" t="s">
        <v>1256</v>
      </c>
      <c r="D1631" s="716">
        <v>1</v>
      </c>
      <c r="E1631" s="4" t="s">
        <v>9</v>
      </c>
      <c r="F1631" s="47">
        <f t="shared" ref="F1631:I1631" si="410">G1631</f>
        <v>1</v>
      </c>
      <c r="G1631" s="47">
        <f t="shared" si="410"/>
        <v>1</v>
      </c>
      <c r="H1631" s="47">
        <f t="shared" si="410"/>
        <v>1</v>
      </c>
      <c r="I1631" s="47">
        <f t="shared" si="410"/>
        <v>1</v>
      </c>
      <c r="J1631" s="47">
        <f t="shared" si="376"/>
        <v>1</v>
      </c>
      <c r="K1631" s="47">
        <v>1</v>
      </c>
      <c r="L1631" s="47">
        <v>1</v>
      </c>
      <c r="M1631" s="893"/>
      <c r="N1631" s="16"/>
      <c r="O1631" s="16"/>
      <c r="P1631" s="16"/>
      <c r="Q1631" s="16"/>
      <c r="R1631" s="16"/>
    </row>
    <row r="1632" spans="1:18" hidden="1" outlineLevel="1" x14ac:dyDescent="0.2">
      <c r="A1632" s="22" t="s">
        <v>1545</v>
      </c>
      <c r="B1632" s="2" t="s">
        <v>252</v>
      </c>
      <c r="C1632" s="2" t="s">
        <v>1256</v>
      </c>
      <c r="D1632" s="716">
        <v>1</v>
      </c>
      <c r="E1632" s="4" t="s">
        <v>10</v>
      </c>
      <c r="F1632" s="47">
        <f t="shared" ref="F1632:I1632" si="411">G1632</f>
        <v>1</v>
      </c>
      <c r="G1632" s="47">
        <f t="shared" si="411"/>
        <v>1</v>
      </c>
      <c r="H1632" s="47">
        <f t="shared" si="411"/>
        <v>1</v>
      </c>
      <c r="I1632" s="47">
        <f t="shared" si="411"/>
        <v>1</v>
      </c>
      <c r="J1632" s="47">
        <f t="shared" si="376"/>
        <v>1</v>
      </c>
      <c r="K1632" s="47">
        <v>1</v>
      </c>
      <c r="L1632" s="47">
        <v>1</v>
      </c>
      <c r="M1632" s="893"/>
      <c r="N1632" s="16"/>
      <c r="O1632" s="16"/>
      <c r="P1632" s="16"/>
      <c r="Q1632" s="16"/>
      <c r="R1632" s="16"/>
    </row>
    <row r="1633" spans="1:18" hidden="1" outlineLevel="1" x14ac:dyDescent="0.2">
      <c r="A1633" s="22" t="s">
        <v>1545</v>
      </c>
      <c r="B1633" s="2" t="s">
        <v>252</v>
      </c>
      <c r="C1633" s="2" t="s">
        <v>1256</v>
      </c>
      <c r="D1633" s="716">
        <v>1</v>
      </c>
      <c r="E1633" s="4" t="s">
        <v>11</v>
      </c>
      <c r="F1633" s="47">
        <f t="shared" ref="F1633:I1633" si="412">G1633</f>
        <v>0</v>
      </c>
      <c r="G1633" s="47">
        <f t="shared" si="412"/>
        <v>0</v>
      </c>
      <c r="H1633" s="47">
        <f t="shared" si="412"/>
        <v>0</v>
      </c>
      <c r="I1633" s="47">
        <f t="shared" si="412"/>
        <v>0</v>
      </c>
      <c r="J1633" s="47">
        <f t="shared" si="376"/>
        <v>0</v>
      </c>
      <c r="K1633" s="47">
        <v>0</v>
      </c>
      <c r="L1633" s="47">
        <v>0</v>
      </c>
      <c r="M1633" s="893"/>
      <c r="N1633" s="16"/>
      <c r="O1633" s="16"/>
      <c r="P1633" s="16"/>
      <c r="Q1633" s="16"/>
      <c r="R1633" s="16"/>
    </row>
    <row r="1634" spans="1:18" hidden="1" outlineLevel="1" x14ac:dyDescent="0.2">
      <c r="A1634" s="22" t="s">
        <v>1545</v>
      </c>
      <c r="B1634" s="2" t="s">
        <v>252</v>
      </c>
      <c r="C1634" s="2" t="s">
        <v>1256</v>
      </c>
      <c r="D1634" s="716">
        <v>1</v>
      </c>
      <c r="E1634" s="4" t="s">
        <v>12</v>
      </c>
      <c r="F1634" s="47">
        <f t="shared" ref="F1634:I1634" si="413">G1634</f>
        <v>0</v>
      </c>
      <c r="G1634" s="47">
        <f t="shared" si="413"/>
        <v>0</v>
      </c>
      <c r="H1634" s="47">
        <f t="shared" si="413"/>
        <v>0</v>
      </c>
      <c r="I1634" s="47">
        <f t="shared" si="413"/>
        <v>0</v>
      </c>
      <c r="J1634" s="47">
        <f t="shared" si="376"/>
        <v>0</v>
      </c>
      <c r="K1634" s="47">
        <v>0</v>
      </c>
      <c r="L1634" s="47">
        <v>0</v>
      </c>
      <c r="M1634" s="893"/>
      <c r="N1634" s="16"/>
      <c r="O1634" s="16"/>
      <c r="P1634" s="16"/>
      <c r="Q1634" s="16"/>
      <c r="R1634" s="16"/>
    </row>
    <row r="1635" spans="1:18" hidden="1" outlineLevel="1" x14ac:dyDescent="0.2">
      <c r="A1635" s="22" t="s">
        <v>1545</v>
      </c>
      <c r="B1635" s="2" t="s">
        <v>252</v>
      </c>
      <c r="C1635" s="2" t="s">
        <v>1256</v>
      </c>
      <c r="D1635" s="716">
        <v>1</v>
      </c>
      <c r="E1635" s="4" t="s">
        <v>1</v>
      </c>
      <c r="F1635" s="47">
        <f t="shared" ref="F1635:I1635" si="414">G1635</f>
        <v>0</v>
      </c>
      <c r="G1635" s="47">
        <f t="shared" si="414"/>
        <v>0</v>
      </c>
      <c r="H1635" s="47">
        <f t="shared" si="414"/>
        <v>0</v>
      </c>
      <c r="I1635" s="47">
        <f t="shared" si="414"/>
        <v>0</v>
      </c>
      <c r="J1635" s="47">
        <f t="shared" si="376"/>
        <v>0</v>
      </c>
      <c r="K1635" s="47">
        <v>0</v>
      </c>
      <c r="L1635" s="47">
        <v>0</v>
      </c>
      <c r="M1635" s="893"/>
      <c r="N1635" s="16"/>
      <c r="O1635" s="16"/>
      <c r="P1635" s="16"/>
      <c r="Q1635" s="16"/>
      <c r="R1635" s="16"/>
    </row>
    <row r="1636" spans="1:18" hidden="1" outlineLevel="1" x14ac:dyDescent="0.2">
      <c r="A1636" s="22" t="s">
        <v>1545</v>
      </c>
      <c r="B1636" s="2" t="s">
        <v>252</v>
      </c>
      <c r="C1636" s="2" t="s">
        <v>1256</v>
      </c>
      <c r="D1636" s="716">
        <v>1</v>
      </c>
      <c r="E1636" s="4" t="s">
        <v>13</v>
      </c>
      <c r="F1636" s="47">
        <f t="shared" ref="F1636:I1636" si="415">G1636</f>
        <v>0</v>
      </c>
      <c r="G1636" s="47">
        <f t="shared" si="415"/>
        <v>0</v>
      </c>
      <c r="H1636" s="47">
        <f t="shared" si="415"/>
        <v>0</v>
      </c>
      <c r="I1636" s="47">
        <f t="shared" si="415"/>
        <v>0</v>
      </c>
      <c r="J1636" s="47">
        <f t="shared" si="376"/>
        <v>0</v>
      </c>
      <c r="K1636" s="47">
        <v>0</v>
      </c>
      <c r="L1636" s="47">
        <v>0</v>
      </c>
      <c r="M1636" s="893"/>
      <c r="N1636" s="16"/>
      <c r="O1636" s="16"/>
      <c r="P1636" s="16"/>
      <c r="Q1636" s="16"/>
      <c r="R1636" s="16"/>
    </row>
    <row r="1637" spans="1:18" hidden="1" outlineLevel="1" x14ac:dyDescent="0.2">
      <c r="A1637" s="22" t="s">
        <v>1545</v>
      </c>
      <c r="B1637" s="2" t="s">
        <v>252</v>
      </c>
      <c r="C1637" s="2" t="s">
        <v>1256</v>
      </c>
      <c r="D1637" s="716">
        <v>1</v>
      </c>
      <c r="E1637" s="4" t="s">
        <v>14</v>
      </c>
      <c r="F1637" s="47">
        <f t="shared" ref="F1637:I1637" si="416">G1637</f>
        <v>0</v>
      </c>
      <c r="G1637" s="47">
        <f t="shared" si="416"/>
        <v>0</v>
      </c>
      <c r="H1637" s="47">
        <f t="shared" si="416"/>
        <v>0</v>
      </c>
      <c r="I1637" s="47">
        <f t="shared" si="416"/>
        <v>0</v>
      </c>
      <c r="J1637" s="47">
        <f t="shared" si="376"/>
        <v>0</v>
      </c>
      <c r="K1637" s="47">
        <v>0</v>
      </c>
      <c r="L1637" s="47">
        <v>0</v>
      </c>
      <c r="M1637" s="893"/>
      <c r="N1637" s="16"/>
      <c r="O1637" s="16"/>
      <c r="P1637" s="16"/>
      <c r="Q1637" s="16"/>
      <c r="R1637" s="16"/>
    </row>
    <row r="1638" spans="1:18" hidden="1" outlineLevel="1" x14ac:dyDescent="0.2">
      <c r="A1638" s="22" t="s">
        <v>1545</v>
      </c>
      <c r="B1638" s="2" t="s">
        <v>252</v>
      </c>
      <c r="C1638" s="2" t="s">
        <v>1256</v>
      </c>
      <c r="D1638" s="716">
        <v>1</v>
      </c>
      <c r="E1638" s="4" t="s">
        <v>15</v>
      </c>
      <c r="F1638" s="47">
        <f t="shared" ref="F1638:I1638" si="417">G1638</f>
        <v>0</v>
      </c>
      <c r="G1638" s="47">
        <f t="shared" si="417"/>
        <v>0</v>
      </c>
      <c r="H1638" s="47">
        <f t="shared" si="417"/>
        <v>0</v>
      </c>
      <c r="I1638" s="47">
        <f t="shared" si="417"/>
        <v>0</v>
      </c>
      <c r="J1638" s="47">
        <f t="shared" si="376"/>
        <v>0</v>
      </c>
      <c r="K1638" s="47">
        <v>0</v>
      </c>
      <c r="L1638" s="47">
        <v>0</v>
      </c>
      <c r="M1638" s="893"/>
      <c r="N1638" s="16"/>
      <c r="O1638" s="16"/>
      <c r="P1638" s="16"/>
      <c r="Q1638" s="16"/>
      <c r="R1638" s="16"/>
    </row>
    <row r="1639" spans="1:18" hidden="1" outlineLevel="1" x14ac:dyDescent="0.2">
      <c r="A1639" s="22" t="s">
        <v>1545</v>
      </c>
      <c r="B1639" s="2" t="s">
        <v>252</v>
      </c>
      <c r="C1639" s="2" t="s">
        <v>1256</v>
      </c>
      <c r="D1639" s="716">
        <v>1</v>
      </c>
      <c r="E1639" s="4" t="s">
        <v>16</v>
      </c>
      <c r="F1639" s="47">
        <f t="shared" ref="F1639:I1639" si="418">G1639</f>
        <v>0</v>
      </c>
      <c r="G1639" s="47">
        <f t="shared" si="418"/>
        <v>0</v>
      </c>
      <c r="H1639" s="47">
        <f t="shared" si="418"/>
        <v>0</v>
      </c>
      <c r="I1639" s="47">
        <f t="shared" si="418"/>
        <v>0</v>
      </c>
      <c r="J1639" s="47">
        <f t="shared" si="376"/>
        <v>0</v>
      </c>
      <c r="K1639" s="47">
        <v>0</v>
      </c>
      <c r="L1639" s="47">
        <v>0</v>
      </c>
      <c r="M1639" s="893"/>
      <c r="N1639" s="16"/>
      <c r="O1639" s="16"/>
      <c r="P1639" s="16"/>
      <c r="Q1639" s="16"/>
      <c r="R1639" s="16"/>
    </row>
    <row r="1640" spans="1:18" hidden="1" outlineLevel="1" x14ac:dyDescent="0.2">
      <c r="A1640" s="22" t="s">
        <v>1545</v>
      </c>
      <c r="B1640" s="2" t="s">
        <v>252</v>
      </c>
      <c r="C1640" s="2" t="s">
        <v>1256</v>
      </c>
      <c r="D1640" s="716">
        <v>1</v>
      </c>
      <c r="E1640" s="4" t="s">
        <v>17</v>
      </c>
      <c r="F1640" s="47">
        <f t="shared" ref="F1640:I1640" si="419">G1640</f>
        <v>0</v>
      </c>
      <c r="G1640" s="47">
        <f t="shared" si="419"/>
        <v>0</v>
      </c>
      <c r="H1640" s="47">
        <f t="shared" si="419"/>
        <v>0</v>
      </c>
      <c r="I1640" s="47">
        <f t="shared" si="419"/>
        <v>0</v>
      </c>
      <c r="J1640" s="47">
        <f t="shared" si="376"/>
        <v>0</v>
      </c>
      <c r="K1640" s="47">
        <v>0</v>
      </c>
      <c r="L1640" s="47">
        <v>0</v>
      </c>
      <c r="M1640" s="893"/>
      <c r="N1640" s="16"/>
      <c r="O1640" s="16"/>
      <c r="P1640" s="16"/>
      <c r="Q1640" s="16"/>
      <c r="R1640" s="16"/>
    </row>
    <row r="1641" spans="1:18" hidden="1" outlineLevel="1" x14ac:dyDescent="0.2">
      <c r="A1641" s="22" t="s">
        <v>1545</v>
      </c>
      <c r="B1641" s="2" t="s">
        <v>252</v>
      </c>
      <c r="C1641" s="2" t="s">
        <v>1256</v>
      </c>
      <c r="D1641" s="716">
        <v>1</v>
      </c>
      <c r="E1641" s="4" t="s">
        <v>18</v>
      </c>
      <c r="F1641" s="47">
        <f t="shared" ref="F1641:I1641" si="420">G1641</f>
        <v>1</v>
      </c>
      <c r="G1641" s="47">
        <f t="shared" si="420"/>
        <v>1</v>
      </c>
      <c r="H1641" s="47">
        <f t="shared" si="420"/>
        <v>1</v>
      </c>
      <c r="I1641" s="47">
        <f t="shared" si="420"/>
        <v>1</v>
      </c>
      <c r="J1641" s="47">
        <f t="shared" si="376"/>
        <v>1</v>
      </c>
      <c r="K1641" s="47">
        <v>1</v>
      </c>
      <c r="L1641" s="47">
        <v>1</v>
      </c>
      <c r="M1641" s="893"/>
      <c r="N1641" s="16"/>
      <c r="O1641" s="16"/>
      <c r="P1641" s="16"/>
      <c r="Q1641" s="16"/>
      <c r="R1641" s="16"/>
    </row>
    <row r="1642" spans="1:18" hidden="1" outlineLevel="1" x14ac:dyDescent="0.2">
      <c r="A1642" s="22" t="s">
        <v>1545</v>
      </c>
      <c r="B1642" s="2" t="s">
        <v>252</v>
      </c>
      <c r="C1642" s="2" t="s">
        <v>1256</v>
      </c>
      <c r="D1642" s="716">
        <v>1</v>
      </c>
      <c r="E1642" s="4" t="s">
        <v>2</v>
      </c>
      <c r="F1642" s="47">
        <f t="shared" ref="F1642:I1642" si="421">G1642</f>
        <v>0</v>
      </c>
      <c r="G1642" s="47">
        <f t="shared" si="421"/>
        <v>0</v>
      </c>
      <c r="H1642" s="47">
        <f t="shared" si="421"/>
        <v>0</v>
      </c>
      <c r="I1642" s="47">
        <f t="shared" si="421"/>
        <v>0</v>
      </c>
      <c r="J1642" s="47">
        <f t="shared" si="376"/>
        <v>0</v>
      </c>
      <c r="K1642" s="47">
        <v>0</v>
      </c>
      <c r="L1642" s="47">
        <v>1</v>
      </c>
      <c r="M1642" s="893"/>
      <c r="N1642" s="16"/>
      <c r="O1642" s="16"/>
      <c r="P1642" s="16"/>
      <c r="Q1642" s="16"/>
      <c r="R1642" s="16"/>
    </row>
    <row r="1643" spans="1:18" hidden="1" outlineLevel="1" x14ac:dyDescent="0.2">
      <c r="A1643" s="22" t="s">
        <v>1545</v>
      </c>
      <c r="B1643" s="2" t="s">
        <v>252</v>
      </c>
      <c r="C1643" s="2" t="s">
        <v>1256</v>
      </c>
      <c r="D1643" s="716">
        <v>1</v>
      </c>
      <c r="E1643" s="4" t="s">
        <v>19</v>
      </c>
      <c r="F1643" s="47">
        <f t="shared" ref="F1643:I1643" si="422">G1643</f>
        <v>0</v>
      </c>
      <c r="G1643" s="47">
        <f t="shared" si="422"/>
        <v>0</v>
      </c>
      <c r="H1643" s="47">
        <f t="shared" si="422"/>
        <v>0</v>
      </c>
      <c r="I1643" s="47">
        <f t="shared" si="422"/>
        <v>0</v>
      </c>
      <c r="J1643" s="47">
        <f t="shared" si="376"/>
        <v>0</v>
      </c>
      <c r="K1643" s="47">
        <v>0</v>
      </c>
      <c r="L1643" s="47">
        <v>0</v>
      </c>
      <c r="M1643" s="893"/>
      <c r="N1643" s="16"/>
      <c r="O1643" s="16"/>
      <c r="P1643" s="16"/>
      <c r="Q1643" s="16"/>
      <c r="R1643" s="16"/>
    </row>
    <row r="1644" spans="1:18" hidden="1" outlineLevel="1" x14ac:dyDescent="0.2">
      <c r="A1644" s="22" t="s">
        <v>1545</v>
      </c>
      <c r="B1644" s="2" t="s">
        <v>252</v>
      </c>
      <c r="C1644" s="2" t="s">
        <v>1256</v>
      </c>
      <c r="D1644" s="716">
        <v>1</v>
      </c>
      <c r="E1644" s="4" t="s">
        <v>3</v>
      </c>
      <c r="F1644" s="47">
        <f t="shared" ref="F1644:I1644" si="423">G1644</f>
        <v>0</v>
      </c>
      <c r="G1644" s="47">
        <f t="shared" si="423"/>
        <v>0</v>
      </c>
      <c r="H1644" s="47">
        <f t="shared" si="423"/>
        <v>0</v>
      </c>
      <c r="I1644" s="47">
        <f t="shared" si="423"/>
        <v>0</v>
      </c>
      <c r="J1644" s="47">
        <f t="shared" si="376"/>
        <v>0</v>
      </c>
      <c r="K1644" s="47">
        <v>0</v>
      </c>
      <c r="L1644" s="47">
        <v>0</v>
      </c>
      <c r="M1644" s="893"/>
      <c r="N1644" s="16"/>
      <c r="O1644" s="16"/>
      <c r="P1644" s="16"/>
      <c r="Q1644" s="16"/>
      <c r="R1644" s="16"/>
    </row>
    <row r="1645" spans="1:18" hidden="1" outlineLevel="1" x14ac:dyDescent="0.2">
      <c r="A1645" s="22" t="s">
        <v>1545</v>
      </c>
      <c r="B1645" s="2" t="s">
        <v>252</v>
      </c>
      <c r="C1645" s="2" t="s">
        <v>1256</v>
      </c>
      <c r="D1645" s="716">
        <v>1</v>
      </c>
      <c r="E1645" s="4" t="s">
        <v>20</v>
      </c>
      <c r="F1645" s="47">
        <f t="shared" ref="F1645:I1645" si="424">G1645</f>
        <v>0</v>
      </c>
      <c r="G1645" s="47">
        <f t="shared" si="424"/>
        <v>0</v>
      </c>
      <c r="H1645" s="47">
        <f t="shared" si="424"/>
        <v>0</v>
      </c>
      <c r="I1645" s="47">
        <f t="shared" si="424"/>
        <v>0</v>
      </c>
      <c r="J1645" s="47">
        <f t="shared" si="376"/>
        <v>0</v>
      </c>
      <c r="K1645" s="47">
        <v>0</v>
      </c>
      <c r="L1645" s="47">
        <v>1</v>
      </c>
      <c r="M1645" s="893"/>
      <c r="N1645" s="16"/>
      <c r="O1645" s="16"/>
      <c r="P1645" s="16"/>
      <c r="Q1645" s="16"/>
      <c r="R1645" s="16"/>
    </row>
    <row r="1646" spans="1:18" hidden="1" outlineLevel="1" x14ac:dyDescent="0.2">
      <c r="A1646" s="22" t="s">
        <v>1545</v>
      </c>
      <c r="B1646" s="2" t="s">
        <v>252</v>
      </c>
      <c r="C1646" s="2" t="s">
        <v>1256</v>
      </c>
      <c r="D1646" s="716">
        <v>1</v>
      </c>
      <c r="E1646" s="4" t="s">
        <v>21</v>
      </c>
      <c r="F1646" s="47">
        <f t="shared" ref="F1646:I1646" si="425">G1646</f>
        <v>0</v>
      </c>
      <c r="G1646" s="47">
        <f t="shared" si="425"/>
        <v>0</v>
      </c>
      <c r="H1646" s="47">
        <f t="shared" si="425"/>
        <v>0</v>
      </c>
      <c r="I1646" s="47">
        <f t="shared" si="425"/>
        <v>0</v>
      </c>
      <c r="J1646" s="47">
        <f t="shared" si="376"/>
        <v>0</v>
      </c>
      <c r="K1646" s="47">
        <v>0</v>
      </c>
      <c r="L1646" s="47">
        <v>0</v>
      </c>
      <c r="M1646" s="893"/>
      <c r="N1646" s="16"/>
      <c r="O1646" s="16"/>
      <c r="P1646" s="16"/>
      <c r="Q1646" s="16"/>
      <c r="R1646" s="16"/>
    </row>
    <row r="1647" spans="1:18" hidden="1" outlineLevel="1" x14ac:dyDescent="0.2">
      <c r="A1647" s="22" t="s">
        <v>1545</v>
      </c>
      <c r="B1647" s="2" t="s">
        <v>252</v>
      </c>
      <c r="C1647" s="2" t="s">
        <v>1256</v>
      </c>
      <c r="D1647" s="716">
        <v>1</v>
      </c>
      <c r="E1647" s="4" t="s">
        <v>1096</v>
      </c>
      <c r="F1647" s="47">
        <f t="shared" ref="F1647:I1647" si="426">G1647</f>
        <v>0</v>
      </c>
      <c r="G1647" s="47">
        <f t="shared" si="426"/>
        <v>0</v>
      </c>
      <c r="H1647" s="47">
        <f t="shared" si="426"/>
        <v>0</v>
      </c>
      <c r="I1647" s="47">
        <f t="shared" si="426"/>
        <v>0</v>
      </c>
      <c r="J1647" s="47">
        <f t="shared" si="376"/>
        <v>0</v>
      </c>
      <c r="K1647" s="47">
        <v>0</v>
      </c>
      <c r="L1647" s="47">
        <v>0</v>
      </c>
      <c r="M1647" s="893"/>
      <c r="N1647" s="16"/>
      <c r="O1647" s="16"/>
      <c r="P1647" s="16"/>
      <c r="Q1647" s="16"/>
      <c r="R1647" s="16"/>
    </row>
    <row r="1648" spans="1:18" hidden="1" outlineLevel="1" x14ac:dyDescent="0.2">
      <c r="A1648" s="22" t="s">
        <v>1545</v>
      </c>
      <c r="B1648" s="2" t="s">
        <v>252</v>
      </c>
      <c r="C1648" s="2" t="s">
        <v>1256</v>
      </c>
      <c r="D1648" s="716">
        <v>1</v>
      </c>
      <c r="E1648" s="4" t="s">
        <v>22</v>
      </c>
      <c r="F1648" s="47">
        <f t="shared" ref="F1648:I1648" si="427">G1648</f>
        <v>1</v>
      </c>
      <c r="G1648" s="47">
        <f t="shared" si="427"/>
        <v>1</v>
      </c>
      <c r="H1648" s="47">
        <f t="shared" si="427"/>
        <v>1</v>
      </c>
      <c r="I1648" s="47">
        <f t="shared" si="427"/>
        <v>1</v>
      </c>
      <c r="J1648" s="47">
        <f t="shared" si="376"/>
        <v>1</v>
      </c>
      <c r="K1648" s="47">
        <v>1</v>
      </c>
      <c r="L1648" s="47">
        <v>1</v>
      </c>
      <c r="M1648" s="893"/>
      <c r="N1648" s="16"/>
      <c r="O1648" s="16"/>
      <c r="P1648" s="16"/>
      <c r="Q1648" s="16"/>
      <c r="R1648" s="16"/>
    </row>
    <row r="1649" spans="1:18" hidden="1" outlineLevel="1" x14ac:dyDescent="0.2">
      <c r="A1649" s="22" t="s">
        <v>1545</v>
      </c>
      <c r="B1649" s="2" t="s">
        <v>252</v>
      </c>
      <c r="C1649" s="2" t="s">
        <v>1256</v>
      </c>
      <c r="D1649" s="717">
        <v>1</v>
      </c>
      <c r="E1649" s="469" t="s">
        <v>23</v>
      </c>
      <c r="F1649" s="48">
        <f t="shared" ref="F1649:I1649" si="428">G1649</f>
        <v>0</v>
      </c>
      <c r="G1649" s="48">
        <f t="shared" si="428"/>
        <v>0</v>
      </c>
      <c r="H1649" s="48">
        <f t="shared" si="428"/>
        <v>0</v>
      </c>
      <c r="I1649" s="48">
        <f t="shared" si="428"/>
        <v>0</v>
      </c>
      <c r="J1649" s="48">
        <f t="shared" si="376"/>
        <v>0</v>
      </c>
      <c r="K1649" s="363">
        <v>0</v>
      </c>
      <c r="L1649" s="363">
        <v>0</v>
      </c>
      <c r="M1649" s="920"/>
      <c r="N1649" s="16"/>
      <c r="O1649" s="16"/>
      <c r="P1649" s="16"/>
      <c r="Q1649" s="16"/>
      <c r="R1649" s="16"/>
    </row>
    <row r="1650" spans="1:18" hidden="1" outlineLevel="1" x14ac:dyDescent="0.2">
      <c r="A1650" s="92" t="s">
        <v>1545</v>
      </c>
      <c r="B1650" s="81" t="s">
        <v>252</v>
      </c>
      <c r="C1650" s="81" t="s">
        <v>1257</v>
      </c>
      <c r="D1650" s="715">
        <v>1</v>
      </c>
      <c r="E1650" s="468" t="s">
        <v>4</v>
      </c>
      <c r="F1650" s="380">
        <f t="shared" ref="F1650:I1650" si="429">G1650</f>
        <v>1</v>
      </c>
      <c r="G1650" s="89">
        <f t="shared" si="429"/>
        <v>1</v>
      </c>
      <c r="H1650" s="89">
        <f t="shared" si="429"/>
        <v>1</v>
      </c>
      <c r="I1650" s="89">
        <f t="shared" si="429"/>
        <v>1</v>
      </c>
      <c r="J1650" s="89">
        <f t="shared" si="376"/>
        <v>1</v>
      </c>
      <c r="K1650" s="380">
        <v>1</v>
      </c>
      <c r="L1650" s="380">
        <v>1</v>
      </c>
      <c r="M1650" s="892"/>
      <c r="N1650" s="16"/>
      <c r="O1650" s="16"/>
      <c r="P1650" s="16"/>
      <c r="Q1650" s="16"/>
      <c r="R1650" s="16"/>
    </row>
    <row r="1651" spans="1:18" hidden="1" outlineLevel="1" x14ac:dyDescent="0.2">
      <c r="A1651" s="22" t="s">
        <v>1545</v>
      </c>
      <c r="B1651" s="2" t="s">
        <v>252</v>
      </c>
      <c r="C1651" s="2" t="s">
        <v>1257</v>
      </c>
      <c r="D1651" s="716">
        <v>1</v>
      </c>
      <c r="E1651" s="4" t="s">
        <v>5</v>
      </c>
      <c r="F1651" s="47">
        <f t="shared" ref="F1651:I1651" si="430">G1651</f>
        <v>0</v>
      </c>
      <c r="G1651" s="47">
        <f t="shared" si="430"/>
        <v>0</v>
      </c>
      <c r="H1651" s="47">
        <f t="shared" si="430"/>
        <v>0</v>
      </c>
      <c r="I1651" s="47">
        <f t="shared" si="430"/>
        <v>0</v>
      </c>
      <c r="J1651" s="47">
        <f t="shared" si="376"/>
        <v>0</v>
      </c>
      <c r="K1651" s="47">
        <v>0</v>
      </c>
      <c r="L1651" s="47">
        <v>0</v>
      </c>
      <c r="M1651" s="893"/>
      <c r="N1651" s="16"/>
      <c r="O1651" s="16"/>
      <c r="P1651" s="16"/>
      <c r="Q1651" s="16"/>
      <c r="R1651" s="16"/>
    </row>
    <row r="1652" spans="1:18" hidden="1" outlineLevel="1" x14ac:dyDescent="0.2">
      <c r="A1652" s="22" t="s">
        <v>1545</v>
      </c>
      <c r="B1652" s="2" t="s">
        <v>252</v>
      </c>
      <c r="C1652" s="2" t="s">
        <v>1257</v>
      </c>
      <c r="D1652" s="716">
        <v>1</v>
      </c>
      <c r="E1652" s="4" t="s">
        <v>6</v>
      </c>
      <c r="F1652" s="47">
        <f t="shared" ref="F1652:I1652" si="431">G1652</f>
        <v>0</v>
      </c>
      <c r="G1652" s="47">
        <f t="shared" si="431"/>
        <v>0</v>
      </c>
      <c r="H1652" s="47">
        <f t="shared" si="431"/>
        <v>0</v>
      </c>
      <c r="I1652" s="47">
        <f t="shared" si="431"/>
        <v>0</v>
      </c>
      <c r="J1652" s="47">
        <f t="shared" si="376"/>
        <v>0</v>
      </c>
      <c r="K1652" s="47">
        <v>0</v>
      </c>
      <c r="L1652" s="47">
        <v>0</v>
      </c>
      <c r="M1652" s="893"/>
      <c r="N1652" s="16"/>
      <c r="O1652" s="16"/>
      <c r="P1652" s="16"/>
      <c r="Q1652" s="16"/>
      <c r="R1652" s="16"/>
    </row>
    <row r="1653" spans="1:18" hidden="1" outlineLevel="1" x14ac:dyDescent="0.2">
      <c r="A1653" s="22" t="s">
        <v>1545</v>
      </c>
      <c r="B1653" s="2" t="s">
        <v>252</v>
      </c>
      <c r="C1653" s="2" t="s">
        <v>1257</v>
      </c>
      <c r="D1653" s="716">
        <v>1</v>
      </c>
      <c r="E1653" s="4" t="s">
        <v>143</v>
      </c>
      <c r="F1653" s="47">
        <f t="shared" ref="F1653:I1653" si="432">G1653</f>
        <v>0</v>
      </c>
      <c r="G1653" s="47">
        <f t="shared" si="432"/>
        <v>0</v>
      </c>
      <c r="H1653" s="47">
        <f t="shared" si="432"/>
        <v>0</v>
      </c>
      <c r="I1653" s="47">
        <f t="shared" si="432"/>
        <v>0</v>
      </c>
      <c r="J1653" s="47">
        <f t="shared" si="376"/>
        <v>0</v>
      </c>
      <c r="K1653" s="47">
        <v>0</v>
      </c>
      <c r="L1653" s="47">
        <v>0</v>
      </c>
      <c r="M1653" s="893"/>
      <c r="N1653" s="16"/>
      <c r="O1653" s="16"/>
      <c r="P1653" s="16"/>
      <c r="Q1653" s="16"/>
      <c r="R1653" s="16"/>
    </row>
    <row r="1654" spans="1:18" hidden="1" outlineLevel="1" x14ac:dyDescent="0.2">
      <c r="A1654" s="22" t="s">
        <v>1545</v>
      </c>
      <c r="B1654" s="2" t="s">
        <v>252</v>
      </c>
      <c r="C1654" s="2" t="s">
        <v>1257</v>
      </c>
      <c r="D1654" s="716">
        <v>1</v>
      </c>
      <c r="E1654" s="4" t="s">
        <v>7</v>
      </c>
      <c r="F1654" s="47">
        <f t="shared" ref="F1654:I1654" si="433">G1654</f>
        <v>0</v>
      </c>
      <c r="G1654" s="47">
        <f t="shared" si="433"/>
        <v>0</v>
      </c>
      <c r="H1654" s="47">
        <f t="shared" si="433"/>
        <v>0</v>
      </c>
      <c r="I1654" s="47">
        <f t="shared" si="433"/>
        <v>0</v>
      </c>
      <c r="J1654" s="47">
        <f t="shared" si="376"/>
        <v>0</v>
      </c>
      <c r="K1654" s="47">
        <v>0</v>
      </c>
      <c r="L1654" s="47">
        <v>0</v>
      </c>
      <c r="M1654" s="893"/>
      <c r="N1654" s="16"/>
      <c r="O1654" s="16"/>
      <c r="P1654" s="16"/>
      <c r="Q1654" s="16"/>
      <c r="R1654" s="16"/>
    </row>
    <row r="1655" spans="1:18" hidden="1" outlineLevel="1" x14ac:dyDescent="0.2">
      <c r="A1655" s="22" t="s">
        <v>1545</v>
      </c>
      <c r="B1655" s="2" t="s">
        <v>252</v>
      </c>
      <c r="C1655" s="2" t="s">
        <v>1257</v>
      </c>
      <c r="D1655" s="716">
        <v>1</v>
      </c>
      <c r="E1655" s="4" t="s">
        <v>31</v>
      </c>
      <c r="F1655" s="47">
        <f t="shared" ref="F1655:I1655" si="434">G1655</f>
        <v>1</v>
      </c>
      <c r="G1655" s="47">
        <f t="shared" si="434"/>
        <v>1</v>
      </c>
      <c r="H1655" s="47">
        <f t="shared" si="434"/>
        <v>1</v>
      </c>
      <c r="I1655" s="47">
        <f t="shared" si="434"/>
        <v>1</v>
      </c>
      <c r="J1655" s="47">
        <f t="shared" si="376"/>
        <v>1</v>
      </c>
      <c r="K1655" s="47">
        <v>1</v>
      </c>
      <c r="L1655" s="47">
        <v>1</v>
      </c>
      <c r="M1655" s="893"/>
      <c r="N1655" s="16"/>
      <c r="O1655" s="16"/>
      <c r="P1655" s="16"/>
      <c r="Q1655" s="16"/>
      <c r="R1655" s="16"/>
    </row>
    <row r="1656" spans="1:18" hidden="1" outlineLevel="1" x14ac:dyDescent="0.2">
      <c r="A1656" s="22" t="s">
        <v>1545</v>
      </c>
      <c r="B1656" s="2" t="s">
        <v>252</v>
      </c>
      <c r="C1656" s="2" t="s">
        <v>1257</v>
      </c>
      <c r="D1656" s="716">
        <v>1</v>
      </c>
      <c r="E1656" s="4" t="s">
        <v>8</v>
      </c>
      <c r="F1656" s="47">
        <f t="shared" ref="F1656:I1656" si="435">G1656</f>
        <v>1</v>
      </c>
      <c r="G1656" s="47">
        <f t="shared" si="435"/>
        <v>1</v>
      </c>
      <c r="H1656" s="47">
        <f t="shared" si="435"/>
        <v>1</v>
      </c>
      <c r="I1656" s="47">
        <f t="shared" si="435"/>
        <v>1</v>
      </c>
      <c r="J1656" s="47">
        <f t="shared" si="376"/>
        <v>1</v>
      </c>
      <c r="K1656" s="47">
        <v>1</v>
      </c>
      <c r="L1656" s="47">
        <v>1</v>
      </c>
      <c r="M1656" s="893"/>
      <c r="N1656" s="16"/>
      <c r="O1656" s="16"/>
      <c r="P1656" s="16"/>
      <c r="Q1656" s="16"/>
      <c r="R1656" s="16"/>
    </row>
    <row r="1657" spans="1:18" hidden="1" outlineLevel="1" x14ac:dyDescent="0.2">
      <c r="A1657" s="22" t="s">
        <v>1545</v>
      </c>
      <c r="B1657" s="2" t="s">
        <v>252</v>
      </c>
      <c r="C1657" s="2" t="s">
        <v>1257</v>
      </c>
      <c r="D1657" s="716">
        <v>1</v>
      </c>
      <c r="E1657" s="4" t="s">
        <v>9</v>
      </c>
      <c r="F1657" s="47">
        <f t="shared" ref="F1657:I1657" si="436">G1657</f>
        <v>1</v>
      </c>
      <c r="G1657" s="47">
        <f t="shared" si="436"/>
        <v>1</v>
      </c>
      <c r="H1657" s="47">
        <f t="shared" si="436"/>
        <v>1</v>
      </c>
      <c r="I1657" s="47">
        <f t="shared" si="436"/>
        <v>1</v>
      </c>
      <c r="J1657" s="47">
        <f t="shared" si="376"/>
        <v>1</v>
      </c>
      <c r="K1657" s="47">
        <v>1</v>
      </c>
      <c r="L1657" s="47">
        <v>1</v>
      </c>
      <c r="M1657" s="893"/>
      <c r="N1657" s="16"/>
      <c r="O1657" s="16"/>
      <c r="P1657" s="16"/>
      <c r="Q1657" s="16"/>
      <c r="R1657" s="16"/>
    </row>
    <row r="1658" spans="1:18" hidden="1" outlineLevel="1" x14ac:dyDescent="0.2">
      <c r="A1658" s="22" t="s">
        <v>1545</v>
      </c>
      <c r="B1658" s="2" t="s">
        <v>252</v>
      </c>
      <c r="C1658" s="2" t="s">
        <v>1257</v>
      </c>
      <c r="D1658" s="716">
        <v>1</v>
      </c>
      <c r="E1658" s="4" t="s">
        <v>10</v>
      </c>
      <c r="F1658" s="47">
        <f t="shared" ref="F1658:I1658" si="437">G1658</f>
        <v>1</v>
      </c>
      <c r="G1658" s="47">
        <f t="shared" si="437"/>
        <v>1</v>
      </c>
      <c r="H1658" s="47">
        <f t="shared" si="437"/>
        <v>1</v>
      </c>
      <c r="I1658" s="47">
        <f t="shared" si="437"/>
        <v>1</v>
      </c>
      <c r="J1658" s="47">
        <f t="shared" si="376"/>
        <v>1</v>
      </c>
      <c r="K1658" s="47">
        <v>1</v>
      </c>
      <c r="L1658" s="47">
        <v>1</v>
      </c>
      <c r="M1658" s="893"/>
      <c r="N1658" s="16"/>
      <c r="O1658" s="16"/>
      <c r="P1658" s="16"/>
      <c r="Q1658" s="16"/>
      <c r="R1658" s="16"/>
    </row>
    <row r="1659" spans="1:18" hidden="1" outlineLevel="1" x14ac:dyDescent="0.2">
      <c r="A1659" s="22" t="s">
        <v>1545</v>
      </c>
      <c r="B1659" s="2" t="s">
        <v>252</v>
      </c>
      <c r="C1659" s="2" t="s">
        <v>1257</v>
      </c>
      <c r="D1659" s="716">
        <v>1</v>
      </c>
      <c r="E1659" s="4" t="s">
        <v>11</v>
      </c>
      <c r="F1659" s="47">
        <f t="shared" ref="F1659:I1659" si="438">G1659</f>
        <v>0</v>
      </c>
      <c r="G1659" s="47">
        <f t="shared" si="438"/>
        <v>0</v>
      </c>
      <c r="H1659" s="47">
        <f t="shared" si="438"/>
        <v>0</v>
      </c>
      <c r="I1659" s="47">
        <f t="shared" si="438"/>
        <v>0</v>
      </c>
      <c r="J1659" s="47">
        <f t="shared" si="376"/>
        <v>0</v>
      </c>
      <c r="K1659" s="47">
        <v>0</v>
      </c>
      <c r="L1659" s="47">
        <v>1</v>
      </c>
      <c r="M1659" s="893"/>
      <c r="N1659" s="16"/>
      <c r="O1659" s="16"/>
      <c r="P1659" s="16"/>
      <c r="Q1659" s="16"/>
      <c r="R1659" s="16"/>
    </row>
    <row r="1660" spans="1:18" hidden="1" outlineLevel="1" x14ac:dyDescent="0.2">
      <c r="A1660" s="22" t="s">
        <v>1545</v>
      </c>
      <c r="B1660" s="2" t="s">
        <v>252</v>
      </c>
      <c r="C1660" s="2" t="s">
        <v>1257</v>
      </c>
      <c r="D1660" s="716">
        <v>1</v>
      </c>
      <c r="E1660" s="4" t="s">
        <v>12</v>
      </c>
      <c r="F1660" s="47">
        <f t="shared" ref="F1660:I1660" si="439">G1660</f>
        <v>1</v>
      </c>
      <c r="G1660" s="47">
        <f t="shared" si="439"/>
        <v>1</v>
      </c>
      <c r="H1660" s="47">
        <f t="shared" si="439"/>
        <v>1</v>
      </c>
      <c r="I1660" s="47">
        <f t="shared" si="439"/>
        <v>1</v>
      </c>
      <c r="J1660" s="47">
        <f t="shared" si="376"/>
        <v>1</v>
      </c>
      <c r="K1660" s="47">
        <v>1</v>
      </c>
      <c r="L1660" s="47">
        <v>1</v>
      </c>
      <c r="M1660" s="893"/>
      <c r="N1660" s="16"/>
      <c r="O1660" s="16"/>
      <c r="P1660" s="16"/>
      <c r="Q1660" s="16"/>
      <c r="R1660" s="16"/>
    </row>
    <row r="1661" spans="1:18" hidden="1" outlineLevel="1" x14ac:dyDescent="0.2">
      <c r="A1661" s="22" t="s">
        <v>1545</v>
      </c>
      <c r="B1661" s="2" t="s">
        <v>252</v>
      </c>
      <c r="C1661" s="2" t="s">
        <v>1257</v>
      </c>
      <c r="D1661" s="716">
        <v>1</v>
      </c>
      <c r="E1661" s="4" t="s">
        <v>1</v>
      </c>
      <c r="F1661" s="47">
        <f t="shared" ref="F1661:I1661" si="440">G1661</f>
        <v>1</v>
      </c>
      <c r="G1661" s="47">
        <f t="shared" si="440"/>
        <v>1</v>
      </c>
      <c r="H1661" s="47">
        <f t="shared" si="440"/>
        <v>1</v>
      </c>
      <c r="I1661" s="47">
        <f t="shared" si="440"/>
        <v>1</v>
      </c>
      <c r="J1661" s="47">
        <f t="shared" ref="J1661:J1724" si="441">K1661</f>
        <v>1</v>
      </c>
      <c r="K1661" s="47">
        <v>1</v>
      </c>
      <c r="L1661" s="47">
        <v>1</v>
      </c>
      <c r="M1661" s="893"/>
      <c r="N1661" s="16"/>
      <c r="O1661" s="16"/>
      <c r="P1661" s="16"/>
      <c r="Q1661" s="16"/>
      <c r="R1661" s="16"/>
    </row>
    <row r="1662" spans="1:18" hidden="1" outlineLevel="1" x14ac:dyDescent="0.2">
      <c r="A1662" s="22" t="s">
        <v>1545</v>
      </c>
      <c r="B1662" s="2" t="s">
        <v>252</v>
      </c>
      <c r="C1662" s="2" t="s">
        <v>1257</v>
      </c>
      <c r="D1662" s="716">
        <v>1</v>
      </c>
      <c r="E1662" s="4" t="s">
        <v>13</v>
      </c>
      <c r="F1662" s="47">
        <f t="shared" ref="F1662:I1662" si="442">G1662</f>
        <v>1</v>
      </c>
      <c r="G1662" s="47">
        <f t="shared" si="442"/>
        <v>1</v>
      </c>
      <c r="H1662" s="47">
        <f t="shared" si="442"/>
        <v>1</v>
      </c>
      <c r="I1662" s="47">
        <f t="shared" si="442"/>
        <v>1</v>
      </c>
      <c r="J1662" s="47">
        <f t="shared" si="441"/>
        <v>1</v>
      </c>
      <c r="K1662" s="47">
        <v>1</v>
      </c>
      <c r="L1662" s="47">
        <v>1</v>
      </c>
      <c r="M1662" s="893"/>
      <c r="N1662" s="16"/>
      <c r="O1662" s="16"/>
      <c r="P1662" s="16"/>
      <c r="Q1662" s="16"/>
      <c r="R1662" s="16"/>
    </row>
    <row r="1663" spans="1:18" hidden="1" outlineLevel="1" x14ac:dyDescent="0.2">
      <c r="A1663" s="22" t="s">
        <v>1545</v>
      </c>
      <c r="B1663" s="2" t="s">
        <v>252</v>
      </c>
      <c r="C1663" s="2" t="s">
        <v>1257</v>
      </c>
      <c r="D1663" s="716">
        <v>1</v>
      </c>
      <c r="E1663" s="4" t="s">
        <v>14</v>
      </c>
      <c r="F1663" s="47">
        <f t="shared" ref="F1663:I1663" si="443">G1663</f>
        <v>0</v>
      </c>
      <c r="G1663" s="47">
        <f t="shared" si="443"/>
        <v>0</v>
      </c>
      <c r="H1663" s="47">
        <f t="shared" si="443"/>
        <v>0</v>
      </c>
      <c r="I1663" s="47">
        <f t="shared" si="443"/>
        <v>0</v>
      </c>
      <c r="J1663" s="47">
        <f t="shared" si="441"/>
        <v>0</v>
      </c>
      <c r="K1663" s="47">
        <v>0</v>
      </c>
      <c r="L1663" s="47">
        <v>0</v>
      </c>
      <c r="M1663" s="893"/>
      <c r="N1663" s="16"/>
      <c r="O1663" s="16"/>
      <c r="P1663" s="16"/>
      <c r="Q1663" s="16"/>
      <c r="R1663" s="16"/>
    </row>
    <row r="1664" spans="1:18" hidden="1" outlineLevel="1" x14ac:dyDescent="0.2">
      <c r="A1664" s="22" t="s">
        <v>1545</v>
      </c>
      <c r="B1664" s="2" t="s">
        <v>252</v>
      </c>
      <c r="C1664" s="2" t="s">
        <v>1257</v>
      </c>
      <c r="D1664" s="716">
        <v>1</v>
      </c>
      <c r="E1664" s="4" t="s">
        <v>15</v>
      </c>
      <c r="F1664" s="47">
        <f t="shared" ref="F1664:I1664" si="444">G1664</f>
        <v>0</v>
      </c>
      <c r="G1664" s="47">
        <f t="shared" si="444"/>
        <v>0</v>
      </c>
      <c r="H1664" s="47">
        <f t="shared" si="444"/>
        <v>0</v>
      </c>
      <c r="I1664" s="47">
        <f t="shared" si="444"/>
        <v>0</v>
      </c>
      <c r="J1664" s="47">
        <f t="shared" si="441"/>
        <v>0</v>
      </c>
      <c r="K1664" s="47">
        <v>0</v>
      </c>
      <c r="L1664" s="47">
        <v>0</v>
      </c>
      <c r="M1664" s="893"/>
      <c r="N1664" s="16"/>
      <c r="O1664" s="16"/>
      <c r="P1664" s="16"/>
      <c r="Q1664" s="16"/>
      <c r="R1664" s="16"/>
    </row>
    <row r="1665" spans="1:18" hidden="1" outlineLevel="1" x14ac:dyDescent="0.2">
      <c r="A1665" s="22" t="s">
        <v>1545</v>
      </c>
      <c r="B1665" s="2" t="s">
        <v>252</v>
      </c>
      <c r="C1665" s="2" t="s">
        <v>1257</v>
      </c>
      <c r="D1665" s="716">
        <v>1</v>
      </c>
      <c r="E1665" s="4" t="s">
        <v>16</v>
      </c>
      <c r="F1665" s="47">
        <f t="shared" ref="F1665:I1665" si="445">G1665</f>
        <v>1</v>
      </c>
      <c r="G1665" s="47">
        <f t="shared" si="445"/>
        <v>1</v>
      </c>
      <c r="H1665" s="47">
        <f t="shared" si="445"/>
        <v>1</v>
      </c>
      <c r="I1665" s="47">
        <f t="shared" si="445"/>
        <v>1</v>
      </c>
      <c r="J1665" s="47">
        <f t="shared" si="441"/>
        <v>1</v>
      </c>
      <c r="K1665" s="47">
        <v>1</v>
      </c>
      <c r="L1665" s="47">
        <v>1</v>
      </c>
      <c r="M1665" s="893"/>
      <c r="N1665" s="16"/>
      <c r="O1665" s="16"/>
      <c r="P1665" s="16"/>
      <c r="Q1665" s="16"/>
      <c r="R1665" s="16"/>
    </row>
    <row r="1666" spans="1:18" hidden="1" outlineLevel="1" x14ac:dyDescent="0.2">
      <c r="A1666" s="22" t="s">
        <v>1545</v>
      </c>
      <c r="B1666" s="2" t="s">
        <v>252</v>
      </c>
      <c r="C1666" s="2" t="s">
        <v>1257</v>
      </c>
      <c r="D1666" s="716">
        <v>1</v>
      </c>
      <c r="E1666" s="4" t="s">
        <v>17</v>
      </c>
      <c r="F1666" s="47">
        <f t="shared" ref="F1666:I1666" si="446">G1666</f>
        <v>1</v>
      </c>
      <c r="G1666" s="47">
        <f t="shared" si="446"/>
        <v>1</v>
      </c>
      <c r="H1666" s="47">
        <f t="shared" si="446"/>
        <v>1</v>
      </c>
      <c r="I1666" s="47">
        <f t="shared" si="446"/>
        <v>1</v>
      </c>
      <c r="J1666" s="47">
        <f t="shared" si="441"/>
        <v>1</v>
      </c>
      <c r="K1666" s="47">
        <v>1</v>
      </c>
      <c r="L1666" s="47">
        <v>1</v>
      </c>
      <c r="M1666" s="893"/>
      <c r="N1666" s="16"/>
      <c r="O1666" s="16"/>
      <c r="P1666" s="16"/>
      <c r="Q1666" s="16"/>
      <c r="R1666" s="16"/>
    </row>
    <row r="1667" spans="1:18" hidden="1" outlineLevel="1" x14ac:dyDescent="0.2">
      <c r="A1667" s="22" t="s">
        <v>1545</v>
      </c>
      <c r="B1667" s="2" t="s">
        <v>252</v>
      </c>
      <c r="C1667" s="2" t="s">
        <v>1257</v>
      </c>
      <c r="D1667" s="716">
        <v>1</v>
      </c>
      <c r="E1667" s="4" t="s">
        <v>18</v>
      </c>
      <c r="F1667" s="47">
        <f t="shared" ref="F1667:I1667" si="447">G1667</f>
        <v>1</v>
      </c>
      <c r="G1667" s="47">
        <f t="shared" si="447"/>
        <v>1</v>
      </c>
      <c r="H1667" s="47">
        <f t="shared" si="447"/>
        <v>1</v>
      </c>
      <c r="I1667" s="47">
        <f t="shared" si="447"/>
        <v>1</v>
      </c>
      <c r="J1667" s="47">
        <f t="shared" si="441"/>
        <v>1</v>
      </c>
      <c r="K1667" s="47">
        <v>1</v>
      </c>
      <c r="L1667" s="47">
        <v>1</v>
      </c>
      <c r="M1667" s="893"/>
      <c r="N1667" s="16"/>
      <c r="O1667" s="16"/>
      <c r="P1667" s="16"/>
      <c r="Q1667" s="16"/>
      <c r="R1667" s="16"/>
    </row>
    <row r="1668" spans="1:18" hidden="1" outlineLevel="1" x14ac:dyDescent="0.2">
      <c r="A1668" s="22" t="s">
        <v>1545</v>
      </c>
      <c r="B1668" s="2" t="s">
        <v>252</v>
      </c>
      <c r="C1668" s="2" t="s">
        <v>1257</v>
      </c>
      <c r="D1668" s="716">
        <v>1</v>
      </c>
      <c r="E1668" s="4" t="s">
        <v>2</v>
      </c>
      <c r="F1668" s="47">
        <f t="shared" ref="F1668:I1668" si="448">G1668</f>
        <v>0</v>
      </c>
      <c r="G1668" s="47">
        <f t="shared" si="448"/>
        <v>0</v>
      </c>
      <c r="H1668" s="47">
        <f t="shared" si="448"/>
        <v>0</v>
      </c>
      <c r="I1668" s="47">
        <f t="shared" si="448"/>
        <v>0</v>
      </c>
      <c r="J1668" s="47">
        <f t="shared" si="441"/>
        <v>0</v>
      </c>
      <c r="K1668" s="47">
        <v>0</v>
      </c>
      <c r="L1668" s="47">
        <v>1</v>
      </c>
      <c r="M1668" s="893"/>
      <c r="N1668" s="16"/>
      <c r="O1668" s="16"/>
      <c r="P1668" s="16"/>
      <c r="Q1668" s="16"/>
      <c r="R1668" s="16"/>
    </row>
    <row r="1669" spans="1:18" hidden="1" outlineLevel="1" x14ac:dyDescent="0.2">
      <c r="A1669" s="22" t="s">
        <v>1545</v>
      </c>
      <c r="B1669" s="2" t="s">
        <v>252</v>
      </c>
      <c r="C1669" s="2" t="s">
        <v>1257</v>
      </c>
      <c r="D1669" s="716">
        <v>1</v>
      </c>
      <c r="E1669" s="4" t="s">
        <v>19</v>
      </c>
      <c r="F1669" s="47">
        <f t="shared" ref="F1669:I1669" si="449">G1669</f>
        <v>0</v>
      </c>
      <c r="G1669" s="47">
        <f t="shared" si="449"/>
        <v>0</v>
      </c>
      <c r="H1669" s="47">
        <f t="shared" si="449"/>
        <v>0</v>
      </c>
      <c r="I1669" s="47">
        <f t="shared" si="449"/>
        <v>0</v>
      </c>
      <c r="J1669" s="47">
        <f t="shared" si="441"/>
        <v>0</v>
      </c>
      <c r="K1669" s="47">
        <v>0</v>
      </c>
      <c r="L1669" s="47">
        <v>0</v>
      </c>
      <c r="M1669" s="893"/>
      <c r="N1669" s="16"/>
      <c r="O1669" s="16"/>
      <c r="P1669" s="16"/>
      <c r="Q1669" s="16"/>
      <c r="R1669" s="16"/>
    </row>
    <row r="1670" spans="1:18" hidden="1" outlineLevel="1" x14ac:dyDescent="0.2">
      <c r="A1670" s="22" t="s">
        <v>1545</v>
      </c>
      <c r="B1670" s="2" t="s">
        <v>252</v>
      </c>
      <c r="C1670" s="2" t="s">
        <v>1257</v>
      </c>
      <c r="D1670" s="716">
        <v>1</v>
      </c>
      <c r="E1670" s="4" t="s">
        <v>3</v>
      </c>
      <c r="F1670" s="47">
        <f t="shared" ref="F1670:I1670" si="450">G1670</f>
        <v>0</v>
      </c>
      <c r="G1670" s="47">
        <f t="shared" si="450"/>
        <v>0</v>
      </c>
      <c r="H1670" s="47">
        <f t="shared" si="450"/>
        <v>0</v>
      </c>
      <c r="I1670" s="47">
        <f t="shared" si="450"/>
        <v>0</v>
      </c>
      <c r="J1670" s="47">
        <f t="shared" si="441"/>
        <v>0</v>
      </c>
      <c r="K1670" s="47">
        <v>0</v>
      </c>
      <c r="L1670" s="47">
        <v>0</v>
      </c>
      <c r="M1670" s="893"/>
      <c r="N1670" s="16"/>
      <c r="O1670" s="16"/>
      <c r="P1670" s="16"/>
      <c r="Q1670" s="16"/>
      <c r="R1670" s="16"/>
    </row>
    <row r="1671" spans="1:18" hidden="1" outlineLevel="1" x14ac:dyDescent="0.2">
      <c r="A1671" s="22" t="s">
        <v>1545</v>
      </c>
      <c r="B1671" s="2" t="s">
        <v>252</v>
      </c>
      <c r="C1671" s="2" t="s">
        <v>1257</v>
      </c>
      <c r="D1671" s="716">
        <v>1</v>
      </c>
      <c r="E1671" s="4" t="s">
        <v>20</v>
      </c>
      <c r="F1671" s="47">
        <f t="shared" ref="F1671:I1671" si="451">G1671</f>
        <v>1</v>
      </c>
      <c r="G1671" s="47">
        <f t="shared" si="451"/>
        <v>1</v>
      </c>
      <c r="H1671" s="47">
        <f t="shared" si="451"/>
        <v>1</v>
      </c>
      <c r="I1671" s="47">
        <f t="shared" si="451"/>
        <v>1</v>
      </c>
      <c r="J1671" s="47">
        <f t="shared" si="441"/>
        <v>1</v>
      </c>
      <c r="K1671" s="47">
        <v>1</v>
      </c>
      <c r="L1671" s="47">
        <v>1</v>
      </c>
      <c r="M1671" s="893"/>
      <c r="N1671" s="16"/>
      <c r="O1671" s="16"/>
      <c r="P1671" s="16"/>
      <c r="Q1671" s="16"/>
      <c r="R1671" s="16"/>
    </row>
    <row r="1672" spans="1:18" hidden="1" outlineLevel="1" x14ac:dyDescent="0.2">
      <c r="A1672" s="22" t="s">
        <v>1545</v>
      </c>
      <c r="B1672" s="2" t="s">
        <v>252</v>
      </c>
      <c r="C1672" s="2" t="s">
        <v>1257</v>
      </c>
      <c r="D1672" s="716">
        <v>1</v>
      </c>
      <c r="E1672" s="4" t="s">
        <v>21</v>
      </c>
      <c r="F1672" s="47">
        <f t="shared" ref="F1672:I1672" si="452">G1672</f>
        <v>0</v>
      </c>
      <c r="G1672" s="47">
        <f t="shared" si="452"/>
        <v>0</v>
      </c>
      <c r="H1672" s="47">
        <f t="shared" si="452"/>
        <v>0</v>
      </c>
      <c r="I1672" s="47">
        <f t="shared" si="452"/>
        <v>0</v>
      </c>
      <c r="J1672" s="47">
        <f t="shared" si="441"/>
        <v>0</v>
      </c>
      <c r="K1672" s="47">
        <v>0</v>
      </c>
      <c r="L1672" s="47">
        <v>0</v>
      </c>
      <c r="M1672" s="893"/>
      <c r="N1672" s="16"/>
      <c r="O1672" s="16"/>
      <c r="P1672" s="16"/>
      <c r="Q1672" s="16"/>
      <c r="R1672" s="16"/>
    </row>
    <row r="1673" spans="1:18" hidden="1" outlineLevel="1" x14ac:dyDescent="0.2">
      <c r="A1673" s="22" t="s">
        <v>1545</v>
      </c>
      <c r="B1673" s="2" t="s">
        <v>252</v>
      </c>
      <c r="C1673" s="2" t="s">
        <v>1257</v>
      </c>
      <c r="D1673" s="716">
        <v>1</v>
      </c>
      <c r="E1673" s="4" t="s">
        <v>1096</v>
      </c>
      <c r="F1673" s="47">
        <f t="shared" ref="F1673:I1673" si="453">G1673</f>
        <v>0</v>
      </c>
      <c r="G1673" s="47">
        <f t="shared" si="453"/>
        <v>0</v>
      </c>
      <c r="H1673" s="47">
        <f t="shared" si="453"/>
        <v>0</v>
      </c>
      <c r="I1673" s="47">
        <f t="shared" si="453"/>
        <v>0</v>
      </c>
      <c r="J1673" s="47">
        <f t="shared" si="441"/>
        <v>0</v>
      </c>
      <c r="K1673" s="47">
        <v>0</v>
      </c>
      <c r="L1673" s="47">
        <v>0</v>
      </c>
      <c r="M1673" s="893"/>
      <c r="N1673" s="16"/>
      <c r="O1673" s="16"/>
      <c r="P1673" s="16"/>
      <c r="Q1673" s="16"/>
      <c r="R1673" s="16"/>
    </row>
    <row r="1674" spans="1:18" hidden="1" outlineLevel="1" x14ac:dyDescent="0.2">
      <c r="A1674" s="22" t="s">
        <v>1545</v>
      </c>
      <c r="B1674" s="2" t="s">
        <v>252</v>
      </c>
      <c r="C1674" s="2" t="s">
        <v>1257</v>
      </c>
      <c r="D1674" s="716">
        <v>1</v>
      </c>
      <c r="E1674" s="4" t="s">
        <v>22</v>
      </c>
      <c r="F1674" s="47">
        <f t="shared" ref="F1674:I1674" si="454">G1674</f>
        <v>1</v>
      </c>
      <c r="G1674" s="47">
        <f t="shared" si="454"/>
        <v>1</v>
      </c>
      <c r="H1674" s="47">
        <f t="shared" si="454"/>
        <v>1</v>
      </c>
      <c r="I1674" s="47">
        <f t="shared" si="454"/>
        <v>1</v>
      </c>
      <c r="J1674" s="47">
        <f t="shared" si="441"/>
        <v>1</v>
      </c>
      <c r="K1674" s="47">
        <v>1</v>
      </c>
      <c r="L1674" s="47">
        <v>1</v>
      </c>
      <c r="M1674" s="893"/>
      <c r="N1674" s="16"/>
      <c r="O1674" s="16"/>
      <c r="P1674" s="16"/>
      <c r="Q1674" s="16"/>
      <c r="R1674" s="16"/>
    </row>
    <row r="1675" spans="1:18" hidden="1" outlineLevel="1" x14ac:dyDescent="0.2">
      <c r="A1675" s="22" t="s">
        <v>1545</v>
      </c>
      <c r="B1675" s="2" t="s">
        <v>252</v>
      </c>
      <c r="C1675" s="2" t="s">
        <v>1257</v>
      </c>
      <c r="D1675" s="717">
        <v>1</v>
      </c>
      <c r="E1675" s="469" t="s">
        <v>23</v>
      </c>
      <c r="F1675" s="48">
        <f t="shared" ref="F1675:I1675" si="455">G1675</f>
        <v>0</v>
      </c>
      <c r="G1675" s="48">
        <f t="shared" si="455"/>
        <v>0</v>
      </c>
      <c r="H1675" s="48">
        <f t="shared" si="455"/>
        <v>0</v>
      </c>
      <c r="I1675" s="48">
        <f t="shared" si="455"/>
        <v>0</v>
      </c>
      <c r="J1675" s="48">
        <f t="shared" si="441"/>
        <v>0</v>
      </c>
      <c r="K1675" s="363">
        <v>0</v>
      </c>
      <c r="L1675" s="363">
        <v>1</v>
      </c>
      <c r="M1675" s="920"/>
      <c r="N1675" s="16"/>
      <c r="O1675" s="16"/>
      <c r="P1675" s="16"/>
      <c r="Q1675" s="16"/>
      <c r="R1675" s="16"/>
    </row>
    <row r="1676" spans="1:18" hidden="1" outlineLevel="1" x14ac:dyDescent="0.2">
      <c r="A1676" s="92" t="s">
        <v>1545</v>
      </c>
      <c r="B1676" s="81" t="s">
        <v>252</v>
      </c>
      <c r="C1676" s="81" t="s">
        <v>1735</v>
      </c>
      <c r="D1676" s="715">
        <v>1</v>
      </c>
      <c r="E1676" s="468" t="s">
        <v>4</v>
      </c>
      <c r="F1676" s="380">
        <f t="shared" ref="F1676:I1676" si="456">G1676</f>
        <v>1</v>
      </c>
      <c r="G1676" s="89">
        <f t="shared" si="456"/>
        <v>1</v>
      </c>
      <c r="H1676" s="89">
        <f t="shared" si="456"/>
        <v>1</v>
      </c>
      <c r="I1676" s="89">
        <f t="shared" si="456"/>
        <v>1</v>
      </c>
      <c r="J1676" s="89">
        <f t="shared" si="441"/>
        <v>1</v>
      </c>
      <c r="K1676" s="380">
        <v>1</v>
      </c>
      <c r="L1676" s="380">
        <v>1</v>
      </c>
      <c r="M1676" s="892"/>
      <c r="N1676" s="16"/>
      <c r="O1676" s="16"/>
      <c r="P1676" s="16"/>
      <c r="Q1676" s="16"/>
      <c r="R1676" s="16"/>
    </row>
    <row r="1677" spans="1:18" hidden="1" outlineLevel="1" x14ac:dyDescent="0.2">
      <c r="A1677" s="22" t="s">
        <v>1545</v>
      </c>
      <c r="B1677" s="2" t="s">
        <v>252</v>
      </c>
      <c r="C1677" s="2" t="s">
        <v>1735</v>
      </c>
      <c r="D1677" s="716">
        <v>1</v>
      </c>
      <c r="E1677" s="4" t="s">
        <v>5</v>
      </c>
      <c r="F1677" s="47">
        <f t="shared" ref="F1677:I1677" si="457">G1677</f>
        <v>0</v>
      </c>
      <c r="G1677" s="47">
        <f t="shared" si="457"/>
        <v>0</v>
      </c>
      <c r="H1677" s="47">
        <f t="shared" si="457"/>
        <v>0</v>
      </c>
      <c r="I1677" s="47">
        <f t="shared" si="457"/>
        <v>0</v>
      </c>
      <c r="J1677" s="47">
        <f t="shared" si="441"/>
        <v>0</v>
      </c>
      <c r="K1677" s="47">
        <v>0</v>
      </c>
      <c r="L1677" s="47">
        <v>0</v>
      </c>
      <c r="M1677" s="893"/>
      <c r="N1677" s="16"/>
      <c r="O1677" s="16"/>
      <c r="P1677" s="16"/>
      <c r="Q1677" s="16"/>
      <c r="R1677" s="16"/>
    </row>
    <row r="1678" spans="1:18" hidden="1" outlineLevel="1" x14ac:dyDescent="0.2">
      <c r="A1678" s="22" t="s">
        <v>1545</v>
      </c>
      <c r="B1678" s="2" t="s">
        <v>252</v>
      </c>
      <c r="C1678" s="2" t="s">
        <v>1735</v>
      </c>
      <c r="D1678" s="716">
        <v>1</v>
      </c>
      <c r="E1678" s="4" t="s">
        <v>6</v>
      </c>
      <c r="F1678" s="47">
        <f t="shared" ref="F1678:I1678" si="458">G1678</f>
        <v>0</v>
      </c>
      <c r="G1678" s="47">
        <f t="shared" si="458"/>
        <v>0</v>
      </c>
      <c r="H1678" s="47">
        <f t="shared" si="458"/>
        <v>0</v>
      </c>
      <c r="I1678" s="47">
        <f t="shared" si="458"/>
        <v>0</v>
      </c>
      <c r="J1678" s="47">
        <f t="shared" si="441"/>
        <v>0</v>
      </c>
      <c r="K1678" s="47">
        <v>0</v>
      </c>
      <c r="L1678" s="47">
        <v>0</v>
      </c>
      <c r="M1678" s="893"/>
      <c r="N1678" s="16"/>
      <c r="O1678" s="16"/>
      <c r="P1678" s="16"/>
      <c r="Q1678" s="16"/>
      <c r="R1678" s="16"/>
    </row>
    <row r="1679" spans="1:18" hidden="1" outlineLevel="1" x14ac:dyDescent="0.2">
      <c r="A1679" s="22" t="s">
        <v>1545</v>
      </c>
      <c r="B1679" s="2" t="s">
        <v>252</v>
      </c>
      <c r="C1679" s="2" t="s">
        <v>1735</v>
      </c>
      <c r="D1679" s="716">
        <v>1</v>
      </c>
      <c r="E1679" s="4" t="s">
        <v>143</v>
      </c>
      <c r="F1679" s="47">
        <f t="shared" ref="F1679:I1679" si="459">G1679</f>
        <v>0</v>
      </c>
      <c r="G1679" s="47">
        <f t="shared" si="459"/>
        <v>0</v>
      </c>
      <c r="H1679" s="47">
        <f t="shared" si="459"/>
        <v>0</v>
      </c>
      <c r="I1679" s="47">
        <f t="shared" si="459"/>
        <v>0</v>
      </c>
      <c r="J1679" s="47">
        <f t="shared" si="441"/>
        <v>0</v>
      </c>
      <c r="K1679" s="47">
        <v>0</v>
      </c>
      <c r="L1679" s="47">
        <v>0</v>
      </c>
      <c r="M1679" s="893"/>
      <c r="N1679" s="16"/>
      <c r="O1679" s="16"/>
      <c r="P1679" s="16"/>
      <c r="Q1679" s="16"/>
      <c r="R1679" s="16"/>
    </row>
    <row r="1680" spans="1:18" hidden="1" outlineLevel="1" x14ac:dyDescent="0.2">
      <c r="A1680" s="22" t="s">
        <v>1545</v>
      </c>
      <c r="B1680" s="2" t="s">
        <v>252</v>
      </c>
      <c r="C1680" s="2" t="s">
        <v>1735</v>
      </c>
      <c r="D1680" s="716">
        <v>1</v>
      </c>
      <c r="E1680" s="4" t="s">
        <v>7</v>
      </c>
      <c r="F1680" s="47">
        <f t="shared" ref="F1680:I1680" si="460">G1680</f>
        <v>0</v>
      </c>
      <c r="G1680" s="47">
        <f t="shared" si="460"/>
        <v>0</v>
      </c>
      <c r="H1680" s="47">
        <f t="shared" si="460"/>
        <v>0</v>
      </c>
      <c r="I1680" s="47">
        <f t="shared" si="460"/>
        <v>0</v>
      </c>
      <c r="J1680" s="47">
        <f t="shared" si="441"/>
        <v>0</v>
      </c>
      <c r="K1680" s="47">
        <v>0</v>
      </c>
      <c r="L1680" s="47">
        <v>0</v>
      </c>
      <c r="M1680" s="893"/>
      <c r="N1680" s="16"/>
      <c r="O1680" s="16"/>
      <c r="P1680" s="16"/>
      <c r="Q1680" s="16"/>
      <c r="R1680" s="16"/>
    </row>
    <row r="1681" spans="1:18" hidden="1" outlineLevel="1" x14ac:dyDescent="0.2">
      <c r="A1681" s="22" t="s">
        <v>1545</v>
      </c>
      <c r="B1681" s="2" t="s">
        <v>252</v>
      </c>
      <c r="C1681" s="2" t="s">
        <v>1735</v>
      </c>
      <c r="D1681" s="716">
        <v>1</v>
      </c>
      <c r="E1681" s="4" t="s">
        <v>31</v>
      </c>
      <c r="F1681" s="47">
        <f t="shared" ref="F1681:I1681" si="461">G1681</f>
        <v>1</v>
      </c>
      <c r="G1681" s="47">
        <f t="shared" si="461"/>
        <v>1</v>
      </c>
      <c r="H1681" s="47">
        <f t="shared" si="461"/>
        <v>1</v>
      </c>
      <c r="I1681" s="47">
        <f t="shared" si="461"/>
        <v>1</v>
      </c>
      <c r="J1681" s="47">
        <f t="shared" si="441"/>
        <v>1</v>
      </c>
      <c r="K1681" s="47">
        <v>1</v>
      </c>
      <c r="L1681" s="47">
        <v>1</v>
      </c>
      <c r="M1681" s="893"/>
      <c r="N1681" s="16"/>
      <c r="O1681" s="16"/>
      <c r="P1681" s="16"/>
      <c r="Q1681" s="16"/>
      <c r="R1681" s="16"/>
    </row>
    <row r="1682" spans="1:18" hidden="1" outlineLevel="1" x14ac:dyDescent="0.2">
      <c r="A1682" s="22" t="s">
        <v>1545</v>
      </c>
      <c r="B1682" s="2" t="s">
        <v>252</v>
      </c>
      <c r="C1682" s="2" t="s">
        <v>1735</v>
      </c>
      <c r="D1682" s="716">
        <v>1</v>
      </c>
      <c r="E1682" s="4" t="s">
        <v>8</v>
      </c>
      <c r="F1682" s="47">
        <f t="shared" ref="F1682:I1682" si="462">G1682</f>
        <v>1</v>
      </c>
      <c r="G1682" s="47">
        <f t="shared" si="462"/>
        <v>1</v>
      </c>
      <c r="H1682" s="47">
        <f t="shared" si="462"/>
        <v>1</v>
      </c>
      <c r="I1682" s="47">
        <f t="shared" si="462"/>
        <v>1</v>
      </c>
      <c r="J1682" s="47">
        <f t="shared" si="441"/>
        <v>1</v>
      </c>
      <c r="K1682" s="47">
        <v>1</v>
      </c>
      <c r="L1682" s="47">
        <v>1</v>
      </c>
      <c r="M1682" s="893"/>
      <c r="N1682" s="16"/>
      <c r="O1682" s="16"/>
      <c r="P1682" s="16"/>
      <c r="Q1682" s="16"/>
      <c r="R1682" s="16"/>
    </row>
    <row r="1683" spans="1:18" hidden="1" outlineLevel="1" x14ac:dyDescent="0.2">
      <c r="A1683" s="22" t="s">
        <v>1545</v>
      </c>
      <c r="B1683" s="2" t="s">
        <v>252</v>
      </c>
      <c r="C1683" s="2" t="s">
        <v>1735</v>
      </c>
      <c r="D1683" s="716">
        <v>1</v>
      </c>
      <c r="E1683" s="4" t="s">
        <v>9</v>
      </c>
      <c r="F1683" s="47">
        <f t="shared" ref="F1683:I1683" si="463">G1683</f>
        <v>0</v>
      </c>
      <c r="G1683" s="47">
        <f t="shared" si="463"/>
        <v>0</v>
      </c>
      <c r="H1683" s="47">
        <f t="shared" si="463"/>
        <v>0</v>
      </c>
      <c r="I1683" s="47">
        <f t="shared" si="463"/>
        <v>0</v>
      </c>
      <c r="J1683" s="47">
        <f t="shared" si="441"/>
        <v>0</v>
      </c>
      <c r="K1683" s="47">
        <v>0</v>
      </c>
      <c r="L1683" s="47">
        <v>1</v>
      </c>
      <c r="M1683" s="893"/>
      <c r="N1683" s="16"/>
      <c r="O1683" s="16"/>
      <c r="P1683" s="16"/>
      <c r="Q1683" s="16"/>
      <c r="R1683" s="16"/>
    </row>
    <row r="1684" spans="1:18" hidden="1" outlineLevel="1" x14ac:dyDescent="0.2">
      <c r="A1684" s="22" t="s">
        <v>1545</v>
      </c>
      <c r="B1684" s="2" t="s">
        <v>252</v>
      </c>
      <c r="C1684" s="2" t="s">
        <v>1735</v>
      </c>
      <c r="D1684" s="716">
        <v>1</v>
      </c>
      <c r="E1684" s="4" t="s">
        <v>10</v>
      </c>
      <c r="F1684" s="47">
        <f t="shared" ref="F1684:I1684" si="464">G1684</f>
        <v>1</v>
      </c>
      <c r="G1684" s="47">
        <f t="shared" si="464"/>
        <v>1</v>
      </c>
      <c r="H1684" s="47">
        <f t="shared" si="464"/>
        <v>1</v>
      </c>
      <c r="I1684" s="47">
        <f t="shared" si="464"/>
        <v>1</v>
      </c>
      <c r="J1684" s="47">
        <f t="shared" si="441"/>
        <v>1</v>
      </c>
      <c r="K1684" s="47">
        <v>1</v>
      </c>
      <c r="L1684" s="47">
        <v>1</v>
      </c>
      <c r="M1684" s="893"/>
      <c r="N1684" s="16"/>
      <c r="O1684" s="16"/>
      <c r="P1684" s="16"/>
      <c r="Q1684" s="16"/>
      <c r="R1684" s="16"/>
    </row>
    <row r="1685" spans="1:18" hidden="1" outlineLevel="1" x14ac:dyDescent="0.2">
      <c r="A1685" s="22" t="s">
        <v>1545</v>
      </c>
      <c r="B1685" s="2" t="s">
        <v>252</v>
      </c>
      <c r="C1685" s="2" t="s">
        <v>1735</v>
      </c>
      <c r="D1685" s="716">
        <v>1</v>
      </c>
      <c r="E1685" s="4" t="s">
        <v>11</v>
      </c>
      <c r="F1685" s="47">
        <f t="shared" ref="F1685:I1685" si="465">G1685</f>
        <v>0</v>
      </c>
      <c r="G1685" s="47">
        <f t="shared" si="465"/>
        <v>0</v>
      </c>
      <c r="H1685" s="47">
        <f t="shared" si="465"/>
        <v>0</v>
      </c>
      <c r="I1685" s="47">
        <f t="shared" si="465"/>
        <v>0</v>
      </c>
      <c r="J1685" s="47">
        <f t="shared" si="441"/>
        <v>0</v>
      </c>
      <c r="K1685" s="47">
        <v>0</v>
      </c>
      <c r="L1685" s="47">
        <v>0</v>
      </c>
      <c r="M1685" s="893"/>
      <c r="N1685" s="16"/>
      <c r="O1685" s="16"/>
      <c r="P1685" s="16"/>
      <c r="Q1685" s="16"/>
      <c r="R1685" s="16"/>
    </row>
    <row r="1686" spans="1:18" hidden="1" outlineLevel="1" x14ac:dyDescent="0.2">
      <c r="A1686" s="22" t="s">
        <v>1545</v>
      </c>
      <c r="B1686" s="2" t="s">
        <v>252</v>
      </c>
      <c r="C1686" s="2" t="s">
        <v>1735</v>
      </c>
      <c r="D1686" s="716">
        <v>1</v>
      </c>
      <c r="E1686" s="4" t="s">
        <v>12</v>
      </c>
      <c r="F1686" s="47">
        <f t="shared" ref="F1686:I1686" si="466">G1686</f>
        <v>0</v>
      </c>
      <c r="G1686" s="47">
        <f t="shared" si="466"/>
        <v>0</v>
      </c>
      <c r="H1686" s="47">
        <f t="shared" si="466"/>
        <v>0</v>
      </c>
      <c r="I1686" s="47">
        <f t="shared" si="466"/>
        <v>0</v>
      </c>
      <c r="J1686" s="47">
        <f t="shared" si="441"/>
        <v>0</v>
      </c>
      <c r="K1686" s="47">
        <v>0</v>
      </c>
      <c r="L1686" s="47">
        <v>0</v>
      </c>
      <c r="M1686" s="893"/>
      <c r="N1686" s="16"/>
      <c r="O1686" s="16"/>
      <c r="P1686" s="16"/>
      <c r="Q1686" s="16"/>
      <c r="R1686" s="16"/>
    </row>
    <row r="1687" spans="1:18" hidden="1" outlineLevel="1" x14ac:dyDescent="0.2">
      <c r="A1687" s="22" t="s">
        <v>1545</v>
      </c>
      <c r="B1687" s="2" t="s">
        <v>252</v>
      </c>
      <c r="C1687" s="2" t="s">
        <v>1735</v>
      </c>
      <c r="D1687" s="716">
        <v>1</v>
      </c>
      <c r="E1687" s="4" t="s">
        <v>1</v>
      </c>
      <c r="F1687" s="47">
        <f t="shared" ref="F1687:I1687" si="467">G1687</f>
        <v>0</v>
      </c>
      <c r="G1687" s="47">
        <f t="shared" si="467"/>
        <v>0</v>
      </c>
      <c r="H1687" s="47">
        <f t="shared" si="467"/>
        <v>0</v>
      </c>
      <c r="I1687" s="47">
        <f t="shared" si="467"/>
        <v>0</v>
      </c>
      <c r="J1687" s="47">
        <f t="shared" si="441"/>
        <v>0</v>
      </c>
      <c r="K1687" s="47">
        <v>0</v>
      </c>
      <c r="L1687" s="47">
        <v>0</v>
      </c>
      <c r="M1687" s="893"/>
      <c r="N1687" s="16"/>
      <c r="O1687" s="16"/>
      <c r="P1687" s="16"/>
      <c r="Q1687" s="16"/>
      <c r="R1687" s="16"/>
    </row>
    <row r="1688" spans="1:18" hidden="1" outlineLevel="1" x14ac:dyDescent="0.2">
      <c r="A1688" s="22" t="s">
        <v>1545</v>
      </c>
      <c r="B1688" s="2" t="s">
        <v>252</v>
      </c>
      <c r="C1688" s="2" t="s">
        <v>1735</v>
      </c>
      <c r="D1688" s="716">
        <v>1</v>
      </c>
      <c r="E1688" s="4" t="s">
        <v>13</v>
      </c>
      <c r="F1688" s="47">
        <f t="shared" ref="F1688:I1688" si="468">G1688</f>
        <v>0</v>
      </c>
      <c r="G1688" s="47">
        <f t="shared" si="468"/>
        <v>0</v>
      </c>
      <c r="H1688" s="47">
        <f t="shared" si="468"/>
        <v>0</v>
      </c>
      <c r="I1688" s="47">
        <f t="shared" si="468"/>
        <v>0</v>
      </c>
      <c r="J1688" s="47">
        <f t="shared" si="441"/>
        <v>0</v>
      </c>
      <c r="K1688" s="47">
        <v>0</v>
      </c>
      <c r="L1688" s="47">
        <v>0</v>
      </c>
      <c r="M1688" s="893"/>
      <c r="N1688" s="16"/>
      <c r="O1688" s="16"/>
      <c r="P1688" s="16"/>
      <c r="Q1688" s="16"/>
      <c r="R1688" s="16"/>
    </row>
    <row r="1689" spans="1:18" hidden="1" outlineLevel="1" x14ac:dyDescent="0.2">
      <c r="A1689" s="22" t="s">
        <v>1545</v>
      </c>
      <c r="B1689" s="2" t="s">
        <v>252</v>
      </c>
      <c r="C1689" s="2" t="s">
        <v>1735</v>
      </c>
      <c r="D1689" s="716">
        <v>1</v>
      </c>
      <c r="E1689" s="4" t="s">
        <v>14</v>
      </c>
      <c r="F1689" s="47">
        <f t="shared" ref="F1689:I1689" si="469">G1689</f>
        <v>0</v>
      </c>
      <c r="G1689" s="47">
        <f t="shared" si="469"/>
        <v>0</v>
      </c>
      <c r="H1689" s="47">
        <f t="shared" si="469"/>
        <v>0</v>
      </c>
      <c r="I1689" s="47">
        <f t="shared" si="469"/>
        <v>0</v>
      </c>
      <c r="J1689" s="47">
        <f t="shared" si="441"/>
        <v>0</v>
      </c>
      <c r="K1689" s="47">
        <v>0</v>
      </c>
      <c r="L1689" s="47">
        <v>0</v>
      </c>
      <c r="M1689" s="893"/>
      <c r="N1689" s="16"/>
      <c r="O1689" s="16"/>
      <c r="P1689" s="16"/>
      <c r="Q1689" s="16"/>
      <c r="R1689" s="16"/>
    </row>
    <row r="1690" spans="1:18" hidden="1" outlineLevel="1" x14ac:dyDescent="0.2">
      <c r="A1690" s="22" t="s">
        <v>1545</v>
      </c>
      <c r="B1690" s="2" t="s">
        <v>252</v>
      </c>
      <c r="C1690" s="2" t="s">
        <v>1735</v>
      </c>
      <c r="D1690" s="716">
        <v>1</v>
      </c>
      <c r="E1690" s="4" t="s">
        <v>15</v>
      </c>
      <c r="F1690" s="47">
        <f t="shared" ref="F1690:I1690" si="470">G1690</f>
        <v>0</v>
      </c>
      <c r="G1690" s="47">
        <f t="shared" si="470"/>
        <v>0</v>
      </c>
      <c r="H1690" s="47">
        <f t="shared" si="470"/>
        <v>0</v>
      </c>
      <c r="I1690" s="47">
        <f t="shared" si="470"/>
        <v>0</v>
      </c>
      <c r="J1690" s="47">
        <f t="shared" si="441"/>
        <v>0</v>
      </c>
      <c r="K1690" s="47">
        <v>0</v>
      </c>
      <c r="L1690" s="47">
        <v>0</v>
      </c>
      <c r="M1690" s="893"/>
      <c r="N1690" s="16"/>
      <c r="O1690" s="16"/>
      <c r="P1690" s="16"/>
      <c r="Q1690" s="16"/>
      <c r="R1690" s="16"/>
    </row>
    <row r="1691" spans="1:18" hidden="1" outlineLevel="1" x14ac:dyDescent="0.2">
      <c r="A1691" s="22" t="s">
        <v>1545</v>
      </c>
      <c r="B1691" s="2" t="s">
        <v>252</v>
      </c>
      <c r="C1691" s="2" t="s">
        <v>1735</v>
      </c>
      <c r="D1691" s="716">
        <v>1</v>
      </c>
      <c r="E1691" s="4" t="s">
        <v>16</v>
      </c>
      <c r="F1691" s="47">
        <f t="shared" ref="F1691:I1691" si="471">G1691</f>
        <v>0</v>
      </c>
      <c r="G1691" s="47">
        <f t="shared" si="471"/>
        <v>0</v>
      </c>
      <c r="H1691" s="47">
        <f t="shared" si="471"/>
        <v>0</v>
      </c>
      <c r="I1691" s="47">
        <f t="shared" si="471"/>
        <v>0</v>
      </c>
      <c r="J1691" s="47">
        <f t="shared" si="441"/>
        <v>0</v>
      </c>
      <c r="K1691" s="47">
        <v>0</v>
      </c>
      <c r="L1691" s="47">
        <v>0</v>
      </c>
      <c r="M1691" s="893"/>
      <c r="N1691" s="16"/>
      <c r="O1691" s="16"/>
      <c r="P1691" s="16"/>
      <c r="Q1691" s="16"/>
      <c r="R1691" s="16"/>
    </row>
    <row r="1692" spans="1:18" hidden="1" outlineLevel="1" x14ac:dyDescent="0.2">
      <c r="A1692" s="22" t="s">
        <v>1545</v>
      </c>
      <c r="B1692" s="2" t="s">
        <v>252</v>
      </c>
      <c r="C1692" s="2" t="s">
        <v>1735</v>
      </c>
      <c r="D1692" s="716">
        <v>1</v>
      </c>
      <c r="E1692" s="4" t="s">
        <v>17</v>
      </c>
      <c r="F1692" s="47">
        <f t="shared" ref="F1692:I1692" si="472">G1692</f>
        <v>0</v>
      </c>
      <c r="G1692" s="47">
        <f t="shared" si="472"/>
        <v>0</v>
      </c>
      <c r="H1692" s="47">
        <f t="shared" si="472"/>
        <v>0</v>
      </c>
      <c r="I1692" s="47">
        <f t="shared" si="472"/>
        <v>0</v>
      </c>
      <c r="J1692" s="47">
        <f t="shared" si="441"/>
        <v>0</v>
      </c>
      <c r="K1692" s="47">
        <v>0</v>
      </c>
      <c r="L1692" s="47">
        <v>0</v>
      </c>
      <c r="M1692" s="893"/>
      <c r="N1692" s="16"/>
      <c r="O1692" s="16"/>
      <c r="P1692" s="16"/>
      <c r="Q1692" s="16"/>
      <c r="R1692" s="16"/>
    </row>
    <row r="1693" spans="1:18" hidden="1" outlineLevel="1" x14ac:dyDescent="0.2">
      <c r="A1693" s="22" t="s">
        <v>1545</v>
      </c>
      <c r="B1693" s="2" t="s">
        <v>252</v>
      </c>
      <c r="C1693" s="2" t="s">
        <v>1735</v>
      </c>
      <c r="D1693" s="716">
        <v>1</v>
      </c>
      <c r="E1693" s="4" t="s">
        <v>18</v>
      </c>
      <c r="F1693" s="47">
        <f t="shared" ref="F1693:I1693" si="473">G1693</f>
        <v>1</v>
      </c>
      <c r="G1693" s="47">
        <f t="shared" si="473"/>
        <v>1</v>
      </c>
      <c r="H1693" s="47">
        <f t="shared" si="473"/>
        <v>1</v>
      </c>
      <c r="I1693" s="47">
        <f t="shared" si="473"/>
        <v>1</v>
      </c>
      <c r="J1693" s="47">
        <f t="shared" si="441"/>
        <v>1</v>
      </c>
      <c r="K1693" s="47">
        <v>1</v>
      </c>
      <c r="L1693" s="47">
        <v>1</v>
      </c>
      <c r="M1693" s="893"/>
      <c r="N1693" s="16"/>
      <c r="O1693" s="16"/>
      <c r="P1693" s="16"/>
      <c r="Q1693" s="16"/>
      <c r="R1693" s="16"/>
    </row>
    <row r="1694" spans="1:18" hidden="1" outlineLevel="1" x14ac:dyDescent="0.2">
      <c r="A1694" s="22" t="s">
        <v>1545</v>
      </c>
      <c r="B1694" s="2" t="s">
        <v>252</v>
      </c>
      <c r="C1694" s="2" t="s">
        <v>1735</v>
      </c>
      <c r="D1694" s="716">
        <v>1</v>
      </c>
      <c r="E1694" s="4" t="s">
        <v>2</v>
      </c>
      <c r="F1694" s="47">
        <f t="shared" ref="F1694:I1694" si="474">G1694</f>
        <v>0</v>
      </c>
      <c r="G1694" s="47">
        <f t="shared" si="474"/>
        <v>0</v>
      </c>
      <c r="H1694" s="47">
        <f t="shared" si="474"/>
        <v>0</v>
      </c>
      <c r="I1694" s="47">
        <f t="shared" si="474"/>
        <v>0</v>
      </c>
      <c r="J1694" s="47">
        <f t="shared" si="441"/>
        <v>0</v>
      </c>
      <c r="K1694" s="47">
        <v>0</v>
      </c>
      <c r="L1694" s="47">
        <v>1</v>
      </c>
      <c r="M1694" s="893"/>
      <c r="N1694" s="16"/>
      <c r="O1694" s="16"/>
      <c r="P1694" s="16"/>
      <c r="Q1694" s="16"/>
      <c r="R1694" s="16"/>
    </row>
    <row r="1695" spans="1:18" hidden="1" outlineLevel="1" x14ac:dyDescent="0.2">
      <c r="A1695" s="22" t="s">
        <v>1545</v>
      </c>
      <c r="B1695" s="2" t="s">
        <v>252</v>
      </c>
      <c r="C1695" s="2" t="s">
        <v>1735</v>
      </c>
      <c r="D1695" s="716">
        <v>1</v>
      </c>
      <c r="E1695" s="4" t="s">
        <v>19</v>
      </c>
      <c r="F1695" s="47">
        <f t="shared" ref="F1695:I1695" si="475">G1695</f>
        <v>0</v>
      </c>
      <c r="G1695" s="47">
        <f t="shared" si="475"/>
        <v>0</v>
      </c>
      <c r="H1695" s="47">
        <f t="shared" si="475"/>
        <v>0</v>
      </c>
      <c r="I1695" s="47">
        <f t="shared" si="475"/>
        <v>0</v>
      </c>
      <c r="J1695" s="47">
        <f t="shared" si="441"/>
        <v>0</v>
      </c>
      <c r="K1695" s="47">
        <v>0</v>
      </c>
      <c r="L1695" s="47">
        <v>0</v>
      </c>
      <c r="M1695" s="893"/>
      <c r="N1695" s="16"/>
      <c r="O1695" s="16"/>
      <c r="P1695" s="16"/>
      <c r="Q1695" s="16"/>
      <c r="R1695" s="16"/>
    </row>
    <row r="1696" spans="1:18" hidden="1" outlineLevel="1" x14ac:dyDescent="0.2">
      <c r="A1696" s="22" t="s">
        <v>1545</v>
      </c>
      <c r="B1696" s="2" t="s">
        <v>252</v>
      </c>
      <c r="C1696" s="2" t="s">
        <v>1735</v>
      </c>
      <c r="D1696" s="716">
        <v>1</v>
      </c>
      <c r="E1696" s="4" t="s">
        <v>3</v>
      </c>
      <c r="F1696" s="47">
        <f t="shared" ref="F1696:I1696" si="476">G1696</f>
        <v>0</v>
      </c>
      <c r="G1696" s="47">
        <f t="shared" si="476"/>
        <v>0</v>
      </c>
      <c r="H1696" s="47">
        <f t="shared" si="476"/>
        <v>0</v>
      </c>
      <c r="I1696" s="47">
        <f t="shared" si="476"/>
        <v>0</v>
      </c>
      <c r="J1696" s="47">
        <f t="shared" si="441"/>
        <v>0</v>
      </c>
      <c r="K1696" s="47">
        <v>0</v>
      </c>
      <c r="L1696" s="47">
        <v>0</v>
      </c>
      <c r="M1696" s="893"/>
      <c r="N1696" s="16"/>
      <c r="O1696" s="16"/>
      <c r="P1696" s="16"/>
      <c r="Q1696" s="16"/>
      <c r="R1696" s="16"/>
    </row>
    <row r="1697" spans="1:18" hidden="1" outlineLevel="1" x14ac:dyDescent="0.2">
      <c r="A1697" s="22" t="s">
        <v>1545</v>
      </c>
      <c r="B1697" s="2" t="s">
        <v>252</v>
      </c>
      <c r="C1697" s="2" t="s">
        <v>1735</v>
      </c>
      <c r="D1697" s="716">
        <v>1</v>
      </c>
      <c r="E1697" s="4" t="s">
        <v>20</v>
      </c>
      <c r="F1697" s="47">
        <f t="shared" ref="F1697:I1697" si="477">G1697</f>
        <v>0</v>
      </c>
      <c r="G1697" s="47">
        <f t="shared" si="477"/>
        <v>0</v>
      </c>
      <c r="H1697" s="47">
        <f t="shared" si="477"/>
        <v>0</v>
      </c>
      <c r="I1697" s="47">
        <f t="shared" si="477"/>
        <v>0</v>
      </c>
      <c r="J1697" s="47">
        <f t="shared" si="441"/>
        <v>0</v>
      </c>
      <c r="K1697" s="47">
        <v>0</v>
      </c>
      <c r="L1697" s="47">
        <v>0</v>
      </c>
      <c r="M1697" s="893"/>
      <c r="N1697" s="16"/>
      <c r="O1697" s="16"/>
      <c r="P1697" s="16"/>
      <c r="Q1697" s="16"/>
      <c r="R1697" s="16"/>
    </row>
    <row r="1698" spans="1:18" hidden="1" outlineLevel="1" x14ac:dyDescent="0.2">
      <c r="A1698" s="22" t="s">
        <v>1545</v>
      </c>
      <c r="B1698" s="2" t="s">
        <v>252</v>
      </c>
      <c r="C1698" s="2" t="s">
        <v>1735</v>
      </c>
      <c r="D1698" s="716">
        <v>1</v>
      </c>
      <c r="E1698" s="4" t="s">
        <v>21</v>
      </c>
      <c r="F1698" s="47">
        <f t="shared" ref="F1698:I1698" si="478">G1698</f>
        <v>0</v>
      </c>
      <c r="G1698" s="47">
        <f t="shared" si="478"/>
        <v>0</v>
      </c>
      <c r="H1698" s="47">
        <f t="shared" si="478"/>
        <v>0</v>
      </c>
      <c r="I1698" s="47">
        <f t="shared" si="478"/>
        <v>0</v>
      </c>
      <c r="J1698" s="47">
        <f t="shared" si="441"/>
        <v>0</v>
      </c>
      <c r="K1698" s="47">
        <v>0</v>
      </c>
      <c r="L1698" s="47">
        <v>0</v>
      </c>
      <c r="M1698" s="893"/>
      <c r="N1698" s="16"/>
      <c r="O1698" s="16"/>
      <c r="P1698" s="16"/>
      <c r="Q1698" s="16"/>
      <c r="R1698" s="16"/>
    </row>
    <row r="1699" spans="1:18" hidden="1" outlineLevel="1" x14ac:dyDescent="0.2">
      <c r="A1699" s="22" t="s">
        <v>1545</v>
      </c>
      <c r="B1699" s="2" t="s">
        <v>252</v>
      </c>
      <c r="C1699" s="2" t="s">
        <v>1735</v>
      </c>
      <c r="D1699" s="716">
        <v>1</v>
      </c>
      <c r="E1699" s="4" t="s">
        <v>1096</v>
      </c>
      <c r="F1699" s="47">
        <f t="shared" ref="F1699:I1699" si="479">G1699</f>
        <v>0</v>
      </c>
      <c r="G1699" s="47">
        <f t="shared" si="479"/>
        <v>0</v>
      </c>
      <c r="H1699" s="47">
        <f t="shared" si="479"/>
        <v>0</v>
      </c>
      <c r="I1699" s="47">
        <f t="shared" si="479"/>
        <v>0</v>
      </c>
      <c r="J1699" s="47">
        <f t="shared" si="441"/>
        <v>0</v>
      </c>
      <c r="K1699" s="47">
        <v>0</v>
      </c>
      <c r="L1699" s="47">
        <v>0</v>
      </c>
      <c r="M1699" s="893"/>
      <c r="N1699" s="16"/>
      <c r="O1699" s="16"/>
      <c r="P1699" s="16"/>
      <c r="Q1699" s="16"/>
      <c r="R1699" s="16"/>
    </row>
    <row r="1700" spans="1:18" hidden="1" outlineLevel="1" x14ac:dyDescent="0.2">
      <c r="A1700" s="22" t="s">
        <v>1545</v>
      </c>
      <c r="B1700" s="2" t="s">
        <v>252</v>
      </c>
      <c r="C1700" s="2" t="s">
        <v>1735</v>
      </c>
      <c r="D1700" s="716">
        <v>1</v>
      </c>
      <c r="E1700" s="4" t="s">
        <v>22</v>
      </c>
      <c r="F1700" s="47">
        <f t="shared" ref="F1700:I1700" si="480">G1700</f>
        <v>0</v>
      </c>
      <c r="G1700" s="47">
        <f t="shared" si="480"/>
        <v>0</v>
      </c>
      <c r="H1700" s="47">
        <f t="shared" si="480"/>
        <v>0</v>
      </c>
      <c r="I1700" s="47">
        <f t="shared" si="480"/>
        <v>0</v>
      </c>
      <c r="J1700" s="47">
        <f t="shared" si="441"/>
        <v>0</v>
      </c>
      <c r="K1700" s="47">
        <v>0</v>
      </c>
      <c r="L1700" s="47">
        <v>0</v>
      </c>
      <c r="M1700" s="893"/>
      <c r="N1700" s="16"/>
      <c r="O1700" s="16"/>
      <c r="P1700" s="16"/>
      <c r="Q1700" s="16"/>
      <c r="R1700" s="16"/>
    </row>
    <row r="1701" spans="1:18" hidden="1" outlineLevel="1" x14ac:dyDescent="0.2">
      <c r="A1701" s="22" t="s">
        <v>1545</v>
      </c>
      <c r="B1701" s="2" t="s">
        <v>252</v>
      </c>
      <c r="C1701" s="2" t="s">
        <v>1735</v>
      </c>
      <c r="D1701" s="717">
        <v>1</v>
      </c>
      <c r="E1701" s="469" t="s">
        <v>23</v>
      </c>
      <c r="F1701" s="48">
        <f t="shared" ref="F1701:I1701" si="481">G1701</f>
        <v>0</v>
      </c>
      <c r="G1701" s="48">
        <f t="shared" si="481"/>
        <v>0</v>
      </c>
      <c r="H1701" s="48">
        <f t="shared" si="481"/>
        <v>0</v>
      </c>
      <c r="I1701" s="48">
        <f t="shared" si="481"/>
        <v>0</v>
      </c>
      <c r="J1701" s="48">
        <f t="shared" si="441"/>
        <v>0</v>
      </c>
      <c r="K1701" s="363">
        <v>0</v>
      </c>
      <c r="L1701" s="363">
        <v>0</v>
      </c>
      <c r="M1701" s="920"/>
      <c r="N1701" s="16"/>
      <c r="O1701" s="16"/>
      <c r="P1701" s="16"/>
      <c r="Q1701" s="16"/>
      <c r="R1701" s="16"/>
    </row>
    <row r="1702" spans="1:18" hidden="1" outlineLevel="1" x14ac:dyDescent="0.2">
      <c r="A1702" s="92" t="s">
        <v>1545</v>
      </c>
      <c r="B1702" s="81" t="s">
        <v>252</v>
      </c>
      <c r="C1702" s="81" t="s">
        <v>1732</v>
      </c>
      <c r="D1702" s="715">
        <v>1</v>
      </c>
      <c r="E1702" s="468" t="s">
        <v>4</v>
      </c>
      <c r="F1702" s="380">
        <f t="shared" ref="F1702:I1702" si="482">G1702</f>
        <v>0</v>
      </c>
      <c r="G1702" s="89">
        <f t="shared" si="482"/>
        <v>0</v>
      </c>
      <c r="H1702" s="89">
        <f t="shared" si="482"/>
        <v>0</v>
      </c>
      <c r="I1702" s="89">
        <f t="shared" si="482"/>
        <v>0</v>
      </c>
      <c r="J1702" s="89">
        <f t="shared" si="441"/>
        <v>0</v>
      </c>
      <c r="K1702" s="380">
        <v>0</v>
      </c>
      <c r="L1702" s="380">
        <v>0</v>
      </c>
      <c r="M1702" s="892"/>
      <c r="N1702" s="16"/>
      <c r="O1702" s="16"/>
      <c r="P1702" s="16"/>
      <c r="Q1702" s="16"/>
      <c r="R1702" s="16"/>
    </row>
    <row r="1703" spans="1:18" hidden="1" outlineLevel="1" x14ac:dyDescent="0.2">
      <c r="A1703" s="22" t="s">
        <v>1545</v>
      </c>
      <c r="B1703" s="2" t="s">
        <v>252</v>
      </c>
      <c r="C1703" s="2" t="s">
        <v>1732</v>
      </c>
      <c r="D1703" s="716">
        <v>1</v>
      </c>
      <c r="E1703" s="4" t="s">
        <v>5</v>
      </c>
      <c r="F1703" s="47">
        <f t="shared" ref="F1703:I1703" si="483">G1703</f>
        <v>0</v>
      </c>
      <c r="G1703" s="47">
        <f t="shared" si="483"/>
        <v>0</v>
      </c>
      <c r="H1703" s="47">
        <f t="shared" si="483"/>
        <v>0</v>
      </c>
      <c r="I1703" s="47">
        <f t="shared" si="483"/>
        <v>0</v>
      </c>
      <c r="J1703" s="47">
        <f t="shared" si="441"/>
        <v>0</v>
      </c>
      <c r="K1703" s="47">
        <v>0</v>
      </c>
      <c r="L1703" s="47">
        <v>0</v>
      </c>
      <c r="M1703" s="893"/>
      <c r="N1703" s="16"/>
      <c r="O1703" s="16"/>
      <c r="P1703" s="16"/>
      <c r="Q1703" s="16"/>
      <c r="R1703" s="16"/>
    </row>
    <row r="1704" spans="1:18" hidden="1" outlineLevel="1" x14ac:dyDescent="0.2">
      <c r="A1704" s="22" t="s">
        <v>1545</v>
      </c>
      <c r="B1704" s="2" t="s">
        <v>252</v>
      </c>
      <c r="C1704" s="2" t="s">
        <v>1732</v>
      </c>
      <c r="D1704" s="716">
        <v>1</v>
      </c>
      <c r="E1704" s="4" t="s">
        <v>6</v>
      </c>
      <c r="F1704" s="47">
        <f t="shared" ref="F1704:I1704" si="484">G1704</f>
        <v>0</v>
      </c>
      <c r="G1704" s="47">
        <f t="shared" si="484"/>
        <v>0</v>
      </c>
      <c r="H1704" s="47">
        <f t="shared" si="484"/>
        <v>0</v>
      </c>
      <c r="I1704" s="47">
        <f t="shared" si="484"/>
        <v>0</v>
      </c>
      <c r="J1704" s="47">
        <f t="shared" si="441"/>
        <v>0</v>
      </c>
      <c r="K1704" s="47">
        <v>0</v>
      </c>
      <c r="L1704" s="47">
        <v>0</v>
      </c>
      <c r="M1704" s="893"/>
      <c r="N1704" s="16"/>
      <c r="O1704" s="16"/>
      <c r="P1704" s="16"/>
      <c r="Q1704" s="16"/>
      <c r="R1704" s="16"/>
    </row>
    <row r="1705" spans="1:18" hidden="1" outlineLevel="1" x14ac:dyDescent="0.2">
      <c r="A1705" s="22" t="s">
        <v>1545</v>
      </c>
      <c r="B1705" s="2" t="s">
        <v>252</v>
      </c>
      <c r="C1705" s="2" t="s">
        <v>1732</v>
      </c>
      <c r="D1705" s="716">
        <v>1</v>
      </c>
      <c r="E1705" s="4" t="s">
        <v>143</v>
      </c>
      <c r="F1705" s="47">
        <f t="shared" ref="F1705:I1705" si="485">G1705</f>
        <v>0</v>
      </c>
      <c r="G1705" s="47">
        <f t="shared" si="485"/>
        <v>0</v>
      </c>
      <c r="H1705" s="47">
        <f t="shared" si="485"/>
        <v>0</v>
      </c>
      <c r="I1705" s="47">
        <f t="shared" si="485"/>
        <v>0</v>
      </c>
      <c r="J1705" s="47">
        <f t="shared" si="441"/>
        <v>0</v>
      </c>
      <c r="K1705" s="47">
        <v>0</v>
      </c>
      <c r="L1705" s="47">
        <v>0</v>
      </c>
      <c r="M1705" s="893"/>
      <c r="N1705" s="16"/>
      <c r="O1705" s="16"/>
      <c r="P1705" s="16"/>
      <c r="Q1705" s="16"/>
      <c r="R1705" s="16"/>
    </row>
    <row r="1706" spans="1:18" hidden="1" outlineLevel="1" x14ac:dyDescent="0.2">
      <c r="A1706" s="22" t="s">
        <v>1545</v>
      </c>
      <c r="B1706" s="2" t="s">
        <v>252</v>
      </c>
      <c r="C1706" s="2" t="s">
        <v>1732</v>
      </c>
      <c r="D1706" s="716">
        <v>1</v>
      </c>
      <c r="E1706" s="4" t="s">
        <v>7</v>
      </c>
      <c r="F1706" s="47">
        <f t="shared" ref="F1706:I1706" si="486">G1706</f>
        <v>0</v>
      </c>
      <c r="G1706" s="47">
        <f t="shared" si="486"/>
        <v>0</v>
      </c>
      <c r="H1706" s="47">
        <f t="shared" si="486"/>
        <v>0</v>
      </c>
      <c r="I1706" s="47">
        <f t="shared" si="486"/>
        <v>0</v>
      </c>
      <c r="J1706" s="47">
        <f t="shared" si="441"/>
        <v>0</v>
      </c>
      <c r="K1706" s="47">
        <v>0</v>
      </c>
      <c r="L1706" s="47">
        <v>0</v>
      </c>
      <c r="M1706" s="893"/>
      <c r="N1706" s="16"/>
      <c r="O1706" s="16"/>
      <c r="P1706" s="16"/>
      <c r="Q1706" s="16"/>
      <c r="R1706" s="16"/>
    </row>
    <row r="1707" spans="1:18" hidden="1" outlineLevel="1" x14ac:dyDescent="0.2">
      <c r="A1707" s="22" t="s">
        <v>1545</v>
      </c>
      <c r="B1707" s="2" t="s">
        <v>252</v>
      </c>
      <c r="C1707" s="2" t="s">
        <v>1732</v>
      </c>
      <c r="D1707" s="716">
        <v>1</v>
      </c>
      <c r="E1707" s="4" t="s">
        <v>31</v>
      </c>
      <c r="F1707" s="47">
        <f t="shared" ref="F1707:I1707" si="487">G1707</f>
        <v>0</v>
      </c>
      <c r="G1707" s="47">
        <f t="shared" si="487"/>
        <v>0</v>
      </c>
      <c r="H1707" s="47">
        <f t="shared" si="487"/>
        <v>0</v>
      </c>
      <c r="I1707" s="47">
        <f t="shared" si="487"/>
        <v>0</v>
      </c>
      <c r="J1707" s="47">
        <f t="shared" si="441"/>
        <v>0</v>
      </c>
      <c r="K1707" s="47">
        <v>0</v>
      </c>
      <c r="L1707" s="47">
        <v>1</v>
      </c>
      <c r="M1707" s="893"/>
      <c r="N1707" s="16"/>
      <c r="O1707" s="16"/>
      <c r="P1707" s="16"/>
      <c r="Q1707" s="16"/>
      <c r="R1707" s="16"/>
    </row>
    <row r="1708" spans="1:18" hidden="1" outlineLevel="1" x14ac:dyDescent="0.2">
      <c r="A1708" s="22" t="s">
        <v>1545</v>
      </c>
      <c r="B1708" s="2" t="s">
        <v>252</v>
      </c>
      <c r="C1708" s="2" t="s">
        <v>1732</v>
      </c>
      <c r="D1708" s="716">
        <v>1</v>
      </c>
      <c r="E1708" s="4" t="s">
        <v>8</v>
      </c>
      <c r="F1708" s="47">
        <f t="shared" ref="F1708:I1708" si="488">G1708</f>
        <v>0</v>
      </c>
      <c r="G1708" s="47">
        <f t="shared" si="488"/>
        <v>0</v>
      </c>
      <c r="H1708" s="47">
        <f t="shared" si="488"/>
        <v>0</v>
      </c>
      <c r="I1708" s="47">
        <f t="shared" si="488"/>
        <v>0</v>
      </c>
      <c r="J1708" s="47">
        <f t="shared" si="441"/>
        <v>0</v>
      </c>
      <c r="K1708" s="47">
        <v>0</v>
      </c>
      <c r="L1708" s="47">
        <v>0</v>
      </c>
      <c r="M1708" s="893"/>
      <c r="N1708" s="16"/>
      <c r="O1708" s="16"/>
      <c r="P1708" s="16"/>
      <c r="Q1708" s="16"/>
      <c r="R1708" s="16"/>
    </row>
    <row r="1709" spans="1:18" hidden="1" outlineLevel="1" x14ac:dyDescent="0.2">
      <c r="A1709" s="22" t="s">
        <v>1545</v>
      </c>
      <c r="B1709" s="2" t="s">
        <v>252</v>
      </c>
      <c r="C1709" s="2" t="s">
        <v>1732</v>
      </c>
      <c r="D1709" s="716">
        <v>1</v>
      </c>
      <c r="E1709" s="4" t="s">
        <v>9</v>
      </c>
      <c r="F1709" s="47">
        <f t="shared" ref="F1709:I1709" si="489">G1709</f>
        <v>0</v>
      </c>
      <c r="G1709" s="47">
        <f t="shared" si="489"/>
        <v>0</v>
      </c>
      <c r="H1709" s="47">
        <f t="shared" si="489"/>
        <v>0</v>
      </c>
      <c r="I1709" s="47">
        <f t="shared" si="489"/>
        <v>0</v>
      </c>
      <c r="J1709" s="47">
        <f t="shared" si="441"/>
        <v>0</v>
      </c>
      <c r="K1709" s="47">
        <v>0</v>
      </c>
      <c r="L1709" s="47">
        <v>0</v>
      </c>
      <c r="M1709" s="893"/>
      <c r="N1709" s="16"/>
      <c r="O1709" s="16"/>
      <c r="P1709" s="16"/>
      <c r="Q1709" s="16"/>
      <c r="R1709" s="16"/>
    </row>
    <row r="1710" spans="1:18" hidden="1" outlineLevel="1" x14ac:dyDescent="0.2">
      <c r="A1710" s="22" t="s">
        <v>1545</v>
      </c>
      <c r="B1710" s="2" t="s">
        <v>252</v>
      </c>
      <c r="C1710" s="2" t="s">
        <v>1732</v>
      </c>
      <c r="D1710" s="716">
        <v>1</v>
      </c>
      <c r="E1710" s="4" t="s">
        <v>10</v>
      </c>
      <c r="F1710" s="47">
        <f t="shared" ref="F1710:I1710" si="490">G1710</f>
        <v>0</v>
      </c>
      <c r="G1710" s="47">
        <f t="shared" si="490"/>
        <v>0</v>
      </c>
      <c r="H1710" s="47">
        <f t="shared" si="490"/>
        <v>0</v>
      </c>
      <c r="I1710" s="47">
        <f t="shared" si="490"/>
        <v>0</v>
      </c>
      <c r="J1710" s="47">
        <f t="shared" si="441"/>
        <v>0</v>
      </c>
      <c r="K1710" s="47">
        <v>0</v>
      </c>
      <c r="L1710" s="47">
        <v>0</v>
      </c>
      <c r="M1710" s="893"/>
      <c r="N1710" s="16"/>
      <c r="O1710" s="16"/>
      <c r="P1710" s="16"/>
      <c r="Q1710" s="16"/>
      <c r="R1710" s="16"/>
    </row>
    <row r="1711" spans="1:18" hidden="1" outlineLevel="1" x14ac:dyDescent="0.2">
      <c r="A1711" s="22" t="s">
        <v>1545</v>
      </c>
      <c r="B1711" s="2" t="s">
        <v>252</v>
      </c>
      <c r="C1711" s="2" t="s">
        <v>1732</v>
      </c>
      <c r="D1711" s="716">
        <v>1</v>
      </c>
      <c r="E1711" s="4" t="s">
        <v>11</v>
      </c>
      <c r="F1711" s="47">
        <f t="shared" ref="F1711:I1711" si="491">G1711</f>
        <v>0</v>
      </c>
      <c r="G1711" s="47">
        <f t="shared" si="491"/>
        <v>0</v>
      </c>
      <c r="H1711" s="47">
        <f t="shared" si="491"/>
        <v>0</v>
      </c>
      <c r="I1711" s="47">
        <f t="shared" si="491"/>
        <v>0</v>
      </c>
      <c r="J1711" s="47">
        <f t="shared" si="441"/>
        <v>0</v>
      </c>
      <c r="K1711" s="47">
        <v>0</v>
      </c>
      <c r="L1711" s="47">
        <v>0</v>
      </c>
      <c r="M1711" s="893"/>
      <c r="N1711" s="16"/>
      <c r="O1711" s="16"/>
      <c r="P1711" s="16"/>
      <c r="Q1711" s="16"/>
      <c r="R1711" s="16"/>
    </row>
    <row r="1712" spans="1:18" hidden="1" outlineLevel="1" x14ac:dyDescent="0.2">
      <c r="A1712" s="22" t="s">
        <v>1545</v>
      </c>
      <c r="B1712" s="2" t="s">
        <v>252</v>
      </c>
      <c r="C1712" s="2" t="s">
        <v>1732</v>
      </c>
      <c r="D1712" s="716">
        <v>1</v>
      </c>
      <c r="E1712" s="4" t="s">
        <v>12</v>
      </c>
      <c r="F1712" s="47">
        <f t="shared" ref="F1712:I1712" si="492">G1712</f>
        <v>0</v>
      </c>
      <c r="G1712" s="47">
        <f t="shared" si="492"/>
        <v>0</v>
      </c>
      <c r="H1712" s="47">
        <f t="shared" si="492"/>
        <v>0</v>
      </c>
      <c r="I1712" s="47">
        <f t="shared" si="492"/>
        <v>0</v>
      </c>
      <c r="J1712" s="47">
        <f t="shared" si="441"/>
        <v>0</v>
      </c>
      <c r="K1712" s="47">
        <v>0</v>
      </c>
      <c r="L1712" s="47">
        <v>0</v>
      </c>
      <c r="M1712" s="893"/>
      <c r="N1712" s="16"/>
      <c r="O1712" s="16"/>
      <c r="P1712" s="16"/>
      <c r="Q1712" s="16"/>
      <c r="R1712" s="16"/>
    </row>
    <row r="1713" spans="1:18" hidden="1" outlineLevel="1" x14ac:dyDescent="0.2">
      <c r="A1713" s="22" t="s">
        <v>1545</v>
      </c>
      <c r="B1713" s="2" t="s">
        <v>252</v>
      </c>
      <c r="C1713" s="2" t="s">
        <v>1732</v>
      </c>
      <c r="D1713" s="716">
        <v>1</v>
      </c>
      <c r="E1713" s="4" t="s">
        <v>1</v>
      </c>
      <c r="F1713" s="47">
        <f t="shared" ref="F1713:I1713" si="493">G1713</f>
        <v>0</v>
      </c>
      <c r="G1713" s="47">
        <f t="shared" si="493"/>
        <v>0</v>
      </c>
      <c r="H1713" s="47">
        <f t="shared" si="493"/>
        <v>0</v>
      </c>
      <c r="I1713" s="47">
        <f t="shared" si="493"/>
        <v>0</v>
      </c>
      <c r="J1713" s="47">
        <f t="shared" si="441"/>
        <v>0</v>
      </c>
      <c r="K1713" s="47">
        <v>0</v>
      </c>
      <c r="L1713" s="47">
        <v>0</v>
      </c>
      <c r="M1713" s="893"/>
      <c r="N1713" s="16"/>
      <c r="O1713" s="16"/>
      <c r="P1713" s="16"/>
      <c r="Q1713" s="16"/>
      <c r="R1713" s="16"/>
    </row>
    <row r="1714" spans="1:18" hidden="1" outlineLevel="1" x14ac:dyDescent="0.2">
      <c r="A1714" s="22" t="s">
        <v>1545</v>
      </c>
      <c r="B1714" s="2" t="s">
        <v>252</v>
      </c>
      <c r="C1714" s="2" t="s">
        <v>1732</v>
      </c>
      <c r="D1714" s="716">
        <v>1</v>
      </c>
      <c r="E1714" s="4" t="s">
        <v>13</v>
      </c>
      <c r="F1714" s="47">
        <f t="shared" ref="F1714:I1714" si="494">G1714</f>
        <v>0</v>
      </c>
      <c r="G1714" s="47">
        <f t="shared" si="494"/>
        <v>0</v>
      </c>
      <c r="H1714" s="47">
        <f t="shared" si="494"/>
        <v>0</v>
      </c>
      <c r="I1714" s="47">
        <f t="shared" si="494"/>
        <v>0</v>
      </c>
      <c r="J1714" s="47">
        <f t="shared" si="441"/>
        <v>0</v>
      </c>
      <c r="K1714" s="47">
        <v>0</v>
      </c>
      <c r="L1714" s="47">
        <v>0</v>
      </c>
      <c r="M1714" s="893"/>
      <c r="N1714" s="16"/>
      <c r="O1714" s="16"/>
      <c r="P1714" s="16"/>
      <c r="Q1714" s="16"/>
      <c r="R1714" s="16"/>
    </row>
    <row r="1715" spans="1:18" hidden="1" outlineLevel="1" x14ac:dyDescent="0.2">
      <c r="A1715" s="22" t="s">
        <v>1545</v>
      </c>
      <c r="B1715" s="2" t="s">
        <v>252</v>
      </c>
      <c r="C1715" s="2" t="s">
        <v>1732</v>
      </c>
      <c r="D1715" s="716">
        <v>1</v>
      </c>
      <c r="E1715" s="4" t="s">
        <v>14</v>
      </c>
      <c r="F1715" s="47">
        <f t="shared" ref="F1715:I1715" si="495">G1715</f>
        <v>0</v>
      </c>
      <c r="G1715" s="47">
        <f t="shared" si="495"/>
        <v>0</v>
      </c>
      <c r="H1715" s="47">
        <f t="shared" si="495"/>
        <v>0</v>
      </c>
      <c r="I1715" s="47">
        <f t="shared" si="495"/>
        <v>0</v>
      </c>
      <c r="J1715" s="47">
        <f t="shared" si="441"/>
        <v>0</v>
      </c>
      <c r="K1715" s="47">
        <v>0</v>
      </c>
      <c r="L1715" s="47">
        <v>0</v>
      </c>
      <c r="M1715" s="893"/>
      <c r="N1715" s="16"/>
      <c r="O1715" s="16"/>
      <c r="P1715" s="16"/>
      <c r="Q1715" s="16"/>
      <c r="R1715" s="16"/>
    </row>
    <row r="1716" spans="1:18" hidden="1" outlineLevel="1" x14ac:dyDescent="0.2">
      <c r="A1716" s="22" t="s">
        <v>1545</v>
      </c>
      <c r="B1716" s="2" t="s">
        <v>252</v>
      </c>
      <c r="C1716" s="2" t="s">
        <v>1732</v>
      </c>
      <c r="D1716" s="716">
        <v>1</v>
      </c>
      <c r="E1716" s="4" t="s">
        <v>15</v>
      </c>
      <c r="F1716" s="47">
        <f t="shared" ref="F1716:I1716" si="496">G1716</f>
        <v>0</v>
      </c>
      <c r="G1716" s="47">
        <f t="shared" si="496"/>
        <v>0</v>
      </c>
      <c r="H1716" s="47">
        <f t="shared" si="496"/>
        <v>0</v>
      </c>
      <c r="I1716" s="47">
        <f t="shared" si="496"/>
        <v>0</v>
      </c>
      <c r="J1716" s="47">
        <f t="shared" si="441"/>
        <v>0</v>
      </c>
      <c r="K1716" s="47">
        <v>0</v>
      </c>
      <c r="L1716" s="47">
        <v>0</v>
      </c>
      <c r="M1716" s="893"/>
      <c r="N1716" s="16"/>
      <c r="O1716" s="16"/>
      <c r="P1716" s="16"/>
      <c r="Q1716" s="16"/>
      <c r="R1716" s="16"/>
    </row>
    <row r="1717" spans="1:18" hidden="1" outlineLevel="1" x14ac:dyDescent="0.2">
      <c r="A1717" s="22" t="s">
        <v>1545</v>
      </c>
      <c r="B1717" s="2" t="s">
        <v>252</v>
      </c>
      <c r="C1717" s="2" t="s">
        <v>1732</v>
      </c>
      <c r="D1717" s="716">
        <v>1</v>
      </c>
      <c r="E1717" s="4" t="s">
        <v>16</v>
      </c>
      <c r="F1717" s="47">
        <f t="shared" ref="F1717:I1717" si="497">G1717</f>
        <v>0</v>
      </c>
      <c r="G1717" s="47">
        <f t="shared" si="497"/>
        <v>0</v>
      </c>
      <c r="H1717" s="47">
        <f t="shared" si="497"/>
        <v>0</v>
      </c>
      <c r="I1717" s="47">
        <f t="shared" si="497"/>
        <v>0</v>
      </c>
      <c r="J1717" s="47">
        <f t="shared" si="441"/>
        <v>0</v>
      </c>
      <c r="K1717" s="47">
        <v>0</v>
      </c>
      <c r="L1717" s="47">
        <v>0</v>
      </c>
      <c r="M1717" s="893"/>
      <c r="N1717" s="16"/>
      <c r="O1717" s="16"/>
      <c r="P1717" s="16"/>
      <c r="Q1717" s="16"/>
      <c r="R1717" s="16"/>
    </row>
    <row r="1718" spans="1:18" hidden="1" outlineLevel="1" x14ac:dyDescent="0.2">
      <c r="A1718" s="22" t="s">
        <v>1545</v>
      </c>
      <c r="B1718" s="2" t="s">
        <v>252</v>
      </c>
      <c r="C1718" s="2" t="s">
        <v>1732</v>
      </c>
      <c r="D1718" s="716">
        <v>1</v>
      </c>
      <c r="E1718" s="4" t="s">
        <v>17</v>
      </c>
      <c r="F1718" s="47">
        <f t="shared" ref="F1718:I1718" si="498">G1718</f>
        <v>0</v>
      </c>
      <c r="G1718" s="47">
        <f t="shared" si="498"/>
        <v>0</v>
      </c>
      <c r="H1718" s="47">
        <f t="shared" si="498"/>
        <v>0</v>
      </c>
      <c r="I1718" s="47">
        <f t="shared" si="498"/>
        <v>0</v>
      </c>
      <c r="J1718" s="47">
        <f t="shared" si="441"/>
        <v>0</v>
      </c>
      <c r="K1718" s="47">
        <v>0</v>
      </c>
      <c r="L1718" s="47">
        <v>0</v>
      </c>
      <c r="M1718" s="893"/>
      <c r="N1718" s="16"/>
      <c r="O1718" s="16"/>
      <c r="P1718" s="16"/>
      <c r="Q1718" s="16"/>
      <c r="R1718" s="16"/>
    </row>
    <row r="1719" spans="1:18" hidden="1" outlineLevel="1" x14ac:dyDescent="0.2">
      <c r="A1719" s="22" t="s">
        <v>1545</v>
      </c>
      <c r="B1719" s="2" t="s">
        <v>252</v>
      </c>
      <c r="C1719" s="2" t="s">
        <v>1732</v>
      </c>
      <c r="D1719" s="716">
        <v>1</v>
      </c>
      <c r="E1719" s="4" t="s">
        <v>18</v>
      </c>
      <c r="F1719" s="47">
        <f t="shared" ref="F1719:I1719" si="499">G1719</f>
        <v>0</v>
      </c>
      <c r="G1719" s="47">
        <f t="shared" si="499"/>
        <v>0</v>
      </c>
      <c r="H1719" s="47">
        <f t="shared" si="499"/>
        <v>0</v>
      </c>
      <c r="I1719" s="47">
        <f t="shared" si="499"/>
        <v>0</v>
      </c>
      <c r="J1719" s="47">
        <f t="shared" si="441"/>
        <v>0</v>
      </c>
      <c r="K1719" s="47">
        <v>0</v>
      </c>
      <c r="L1719" s="47">
        <v>0</v>
      </c>
      <c r="M1719" s="893"/>
      <c r="N1719" s="16"/>
      <c r="O1719" s="16"/>
      <c r="P1719" s="16"/>
      <c r="Q1719" s="16"/>
      <c r="R1719" s="16"/>
    </row>
    <row r="1720" spans="1:18" hidden="1" outlineLevel="1" x14ac:dyDescent="0.2">
      <c r="A1720" s="22" t="s">
        <v>1545</v>
      </c>
      <c r="B1720" s="2" t="s">
        <v>252</v>
      </c>
      <c r="C1720" s="2" t="s">
        <v>1732</v>
      </c>
      <c r="D1720" s="716">
        <v>1</v>
      </c>
      <c r="E1720" s="4" t="s">
        <v>2</v>
      </c>
      <c r="F1720" s="47">
        <f t="shared" ref="F1720:I1720" si="500">G1720</f>
        <v>0</v>
      </c>
      <c r="G1720" s="47">
        <f t="shared" si="500"/>
        <v>0</v>
      </c>
      <c r="H1720" s="47">
        <f t="shared" si="500"/>
        <v>0</v>
      </c>
      <c r="I1720" s="47">
        <f t="shared" si="500"/>
        <v>0</v>
      </c>
      <c r="J1720" s="47">
        <f t="shared" si="441"/>
        <v>0</v>
      </c>
      <c r="K1720" s="47">
        <v>0</v>
      </c>
      <c r="L1720" s="47">
        <v>0</v>
      </c>
      <c r="M1720" s="893"/>
      <c r="N1720" s="16"/>
      <c r="O1720" s="16"/>
      <c r="P1720" s="16"/>
      <c r="Q1720" s="16"/>
      <c r="R1720" s="16"/>
    </row>
    <row r="1721" spans="1:18" hidden="1" outlineLevel="1" x14ac:dyDescent="0.2">
      <c r="A1721" s="22" t="s">
        <v>1545</v>
      </c>
      <c r="B1721" s="2" t="s">
        <v>252</v>
      </c>
      <c r="C1721" s="2" t="s">
        <v>1732</v>
      </c>
      <c r="D1721" s="716">
        <v>1</v>
      </c>
      <c r="E1721" s="4" t="s">
        <v>19</v>
      </c>
      <c r="F1721" s="47">
        <f t="shared" ref="F1721:I1721" si="501">G1721</f>
        <v>0</v>
      </c>
      <c r="G1721" s="47">
        <f t="shared" si="501"/>
        <v>0</v>
      </c>
      <c r="H1721" s="47">
        <f t="shared" si="501"/>
        <v>0</v>
      </c>
      <c r="I1721" s="47">
        <f t="shared" si="501"/>
        <v>0</v>
      </c>
      <c r="J1721" s="47">
        <f t="shared" si="441"/>
        <v>0</v>
      </c>
      <c r="K1721" s="47">
        <v>0</v>
      </c>
      <c r="L1721" s="47">
        <v>0</v>
      </c>
      <c r="M1721" s="893"/>
      <c r="N1721" s="16"/>
      <c r="O1721" s="16"/>
      <c r="P1721" s="16"/>
      <c r="Q1721" s="16"/>
      <c r="R1721" s="16"/>
    </row>
    <row r="1722" spans="1:18" hidden="1" outlineLevel="1" x14ac:dyDescent="0.2">
      <c r="A1722" s="22" t="s">
        <v>1545</v>
      </c>
      <c r="B1722" s="2" t="s">
        <v>252</v>
      </c>
      <c r="C1722" s="2" t="s">
        <v>1732</v>
      </c>
      <c r="D1722" s="716">
        <v>1</v>
      </c>
      <c r="E1722" s="4" t="s">
        <v>3</v>
      </c>
      <c r="F1722" s="47">
        <f t="shared" ref="F1722:I1722" si="502">G1722</f>
        <v>0</v>
      </c>
      <c r="G1722" s="47">
        <f t="shared" si="502"/>
        <v>0</v>
      </c>
      <c r="H1722" s="47">
        <f t="shared" si="502"/>
        <v>0</v>
      </c>
      <c r="I1722" s="47">
        <f t="shared" si="502"/>
        <v>0</v>
      </c>
      <c r="J1722" s="47">
        <f t="shared" si="441"/>
        <v>0</v>
      </c>
      <c r="K1722" s="47">
        <v>0</v>
      </c>
      <c r="L1722" s="47">
        <v>0</v>
      </c>
      <c r="M1722" s="893"/>
      <c r="N1722" s="16"/>
      <c r="O1722" s="16"/>
      <c r="P1722" s="16"/>
      <c r="Q1722" s="16"/>
      <c r="R1722" s="16"/>
    </row>
    <row r="1723" spans="1:18" hidden="1" outlineLevel="1" x14ac:dyDescent="0.2">
      <c r="A1723" s="22" t="s">
        <v>1545</v>
      </c>
      <c r="B1723" s="2" t="s">
        <v>252</v>
      </c>
      <c r="C1723" s="2" t="s">
        <v>1732</v>
      </c>
      <c r="D1723" s="716">
        <v>1</v>
      </c>
      <c r="E1723" s="4" t="s">
        <v>20</v>
      </c>
      <c r="F1723" s="47">
        <f t="shared" ref="F1723:I1723" si="503">G1723</f>
        <v>0</v>
      </c>
      <c r="G1723" s="47">
        <f t="shared" si="503"/>
        <v>0</v>
      </c>
      <c r="H1723" s="47">
        <f t="shared" si="503"/>
        <v>0</v>
      </c>
      <c r="I1723" s="47">
        <f t="shared" si="503"/>
        <v>0</v>
      </c>
      <c r="J1723" s="47">
        <f t="shared" si="441"/>
        <v>0</v>
      </c>
      <c r="K1723" s="47">
        <v>0</v>
      </c>
      <c r="L1723" s="47">
        <v>0</v>
      </c>
      <c r="M1723" s="893"/>
      <c r="N1723" s="16"/>
      <c r="O1723" s="16"/>
      <c r="P1723" s="16"/>
      <c r="Q1723" s="16"/>
      <c r="R1723" s="16"/>
    </row>
    <row r="1724" spans="1:18" hidden="1" outlineLevel="1" x14ac:dyDescent="0.2">
      <c r="A1724" s="22" t="s">
        <v>1545</v>
      </c>
      <c r="B1724" s="2" t="s">
        <v>252</v>
      </c>
      <c r="C1724" s="2" t="s">
        <v>1732</v>
      </c>
      <c r="D1724" s="716">
        <v>1</v>
      </c>
      <c r="E1724" s="4" t="s">
        <v>21</v>
      </c>
      <c r="F1724" s="47">
        <f t="shared" ref="F1724:I1724" si="504">G1724</f>
        <v>0</v>
      </c>
      <c r="G1724" s="47">
        <f t="shared" si="504"/>
        <v>0</v>
      </c>
      <c r="H1724" s="47">
        <f t="shared" si="504"/>
        <v>0</v>
      </c>
      <c r="I1724" s="47">
        <f t="shared" si="504"/>
        <v>0</v>
      </c>
      <c r="J1724" s="47">
        <f t="shared" si="441"/>
        <v>0</v>
      </c>
      <c r="K1724" s="47">
        <v>0</v>
      </c>
      <c r="L1724" s="47">
        <v>0</v>
      </c>
      <c r="M1724" s="893"/>
      <c r="N1724" s="16"/>
      <c r="O1724" s="16"/>
      <c r="P1724" s="16"/>
      <c r="Q1724" s="16"/>
      <c r="R1724" s="16"/>
    </row>
    <row r="1725" spans="1:18" hidden="1" outlineLevel="1" x14ac:dyDescent="0.2">
      <c r="A1725" s="22" t="s">
        <v>1545</v>
      </c>
      <c r="B1725" s="2" t="s">
        <v>252</v>
      </c>
      <c r="C1725" s="2" t="s">
        <v>1732</v>
      </c>
      <c r="D1725" s="716">
        <v>1</v>
      </c>
      <c r="E1725" s="4" t="s">
        <v>1096</v>
      </c>
      <c r="F1725" s="47">
        <f t="shared" ref="F1725:I1725" si="505">G1725</f>
        <v>0</v>
      </c>
      <c r="G1725" s="47">
        <f t="shared" si="505"/>
        <v>0</v>
      </c>
      <c r="H1725" s="47">
        <f t="shared" si="505"/>
        <v>0</v>
      </c>
      <c r="I1725" s="47">
        <f t="shared" si="505"/>
        <v>0</v>
      </c>
      <c r="J1725" s="47">
        <f t="shared" ref="J1725:J1788" si="506">K1725</f>
        <v>0</v>
      </c>
      <c r="K1725" s="47">
        <v>0</v>
      </c>
      <c r="L1725" s="47">
        <v>0</v>
      </c>
      <c r="M1725" s="893"/>
      <c r="N1725" s="16"/>
      <c r="O1725" s="16"/>
      <c r="P1725" s="16"/>
      <c r="Q1725" s="16"/>
      <c r="R1725" s="16"/>
    </row>
    <row r="1726" spans="1:18" hidden="1" outlineLevel="1" x14ac:dyDescent="0.2">
      <c r="A1726" s="22" t="s">
        <v>1545</v>
      </c>
      <c r="B1726" s="2" t="s">
        <v>252</v>
      </c>
      <c r="C1726" s="2" t="s">
        <v>1732</v>
      </c>
      <c r="D1726" s="716">
        <v>1</v>
      </c>
      <c r="E1726" s="4" t="s">
        <v>22</v>
      </c>
      <c r="F1726" s="47">
        <f t="shared" ref="F1726:I1726" si="507">G1726</f>
        <v>0</v>
      </c>
      <c r="G1726" s="47">
        <f t="shared" si="507"/>
        <v>0</v>
      </c>
      <c r="H1726" s="47">
        <f t="shared" si="507"/>
        <v>0</v>
      </c>
      <c r="I1726" s="47">
        <f t="shared" si="507"/>
        <v>0</v>
      </c>
      <c r="J1726" s="47">
        <f t="shared" si="506"/>
        <v>0</v>
      </c>
      <c r="K1726" s="47">
        <v>0</v>
      </c>
      <c r="L1726" s="47">
        <v>0</v>
      </c>
      <c r="M1726" s="893"/>
      <c r="N1726" s="16"/>
      <c r="O1726" s="16"/>
      <c r="P1726" s="16"/>
      <c r="Q1726" s="16"/>
      <c r="R1726" s="16"/>
    </row>
    <row r="1727" spans="1:18" hidden="1" outlineLevel="1" x14ac:dyDescent="0.2">
      <c r="A1727" s="22" t="s">
        <v>1545</v>
      </c>
      <c r="B1727" s="2" t="s">
        <v>252</v>
      </c>
      <c r="C1727" s="2" t="s">
        <v>1732</v>
      </c>
      <c r="D1727" s="717">
        <v>1</v>
      </c>
      <c r="E1727" s="469" t="s">
        <v>23</v>
      </c>
      <c r="F1727" s="48">
        <f t="shared" ref="F1727:I1727" si="508">G1727</f>
        <v>0</v>
      </c>
      <c r="G1727" s="48">
        <f t="shared" si="508"/>
        <v>0</v>
      </c>
      <c r="H1727" s="48">
        <f t="shared" si="508"/>
        <v>0</v>
      </c>
      <c r="I1727" s="48">
        <f t="shared" si="508"/>
        <v>0</v>
      </c>
      <c r="J1727" s="48">
        <f t="shared" si="506"/>
        <v>0</v>
      </c>
      <c r="K1727" s="363">
        <v>0</v>
      </c>
      <c r="L1727" s="363">
        <v>0</v>
      </c>
      <c r="M1727" s="920"/>
      <c r="N1727" s="16"/>
      <c r="O1727" s="16"/>
      <c r="P1727" s="16"/>
      <c r="Q1727" s="16"/>
      <c r="R1727" s="16"/>
    </row>
    <row r="1728" spans="1:18" hidden="1" outlineLevel="1" x14ac:dyDescent="0.2">
      <c r="A1728" s="92" t="s">
        <v>1545</v>
      </c>
      <c r="B1728" s="81" t="s">
        <v>252</v>
      </c>
      <c r="C1728" s="81" t="s">
        <v>1258</v>
      </c>
      <c r="D1728" s="715">
        <v>1</v>
      </c>
      <c r="E1728" s="468" t="s">
        <v>4</v>
      </c>
      <c r="F1728" s="380">
        <f t="shared" ref="F1728:I1728" si="509">G1728</f>
        <v>0</v>
      </c>
      <c r="G1728" s="89">
        <f t="shared" si="509"/>
        <v>0</v>
      </c>
      <c r="H1728" s="89">
        <f t="shared" si="509"/>
        <v>0</v>
      </c>
      <c r="I1728" s="89">
        <f t="shared" si="509"/>
        <v>0</v>
      </c>
      <c r="J1728" s="89">
        <f t="shared" si="506"/>
        <v>0</v>
      </c>
      <c r="K1728" s="380">
        <v>0</v>
      </c>
      <c r="L1728" s="380">
        <v>0</v>
      </c>
      <c r="M1728" s="892"/>
      <c r="N1728" s="16"/>
      <c r="O1728" s="16"/>
      <c r="P1728" s="16"/>
      <c r="Q1728" s="16"/>
      <c r="R1728" s="16"/>
    </row>
    <row r="1729" spans="1:18" hidden="1" outlineLevel="1" x14ac:dyDescent="0.2">
      <c r="A1729" s="22" t="s">
        <v>1545</v>
      </c>
      <c r="B1729" s="2" t="s">
        <v>252</v>
      </c>
      <c r="C1729" s="2" t="s">
        <v>1258</v>
      </c>
      <c r="D1729" s="716">
        <v>1</v>
      </c>
      <c r="E1729" s="4" t="s">
        <v>5</v>
      </c>
      <c r="F1729" s="47">
        <f t="shared" ref="F1729:I1729" si="510">G1729</f>
        <v>0</v>
      </c>
      <c r="G1729" s="47">
        <f t="shared" si="510"/>
        <v>0</v>
      </c>
      <c r="H1729" s="47">
        <f t="shared" si="510"/>
        <v>0</v>
      </c>
      <c r="I1729" s="47">
        <f t="shared" si="510"/>
        <v>0</v>
      </c>
      <c r="J1729" s="47">
        <f t="shared" si="506"/>
        <v>0</v>
      </c>
      <c r="K1729" s="47">
        <v>0</v>
      </c>
      <c r="L1729" s="47">
        <v>0</v>
      </c>
      <c r="M1729" s="893"/>
      <c r="N1729" s="16"/>
      <c r="O1729" s="16"/>
      <c r="P1729" s="16"/>
      <c r="Q1729" s="16"/>
      <c r="R1729" s="16"/>
    </row>
    <row r="1730" spans="1:18" hidden="1" outlineLevel="1" x14ac:dyDescent="0.2">
      <c r="A1730" s="22" t="s">
        <v>1545</v>
      </c>
      <c r="B1730" s="2" t="s">
        <v>252</v>
      </c>
      <c r="C1730" s="2" t="s">
        <v>1258</v>
      </c>
      <c r="D1730" s="716">
        <v>1</v>
      </c>
      <c r="E1730" s="4" t="s">
        <v>6</v>
      </c>
      <c r="F1730" s="47">
        <f t="shared" ref="F1730:I1730" si="511">G1730</f>
        <v>0</v>
      </c>
      <c r="G1730" s="47">
        <f t="shared" si="511"/>
        <v>0</v>
      </c>
      <c r="H1730" s="47">
        <f t="shared" si="511"/>
        <v>0</v>
      </c>
      <c r="I1730" s="47">
        <f t="shared" si="511"/>
        <v>0</v>
      </c>
      <c r="J1730" s="47">
        <f t="shared" si="506"/>
        <v>0</v>
      </c>
      <c r="K1730" s="47">
        <v>0</v>
      </c>
      <c r="L1730" s="47">
        <v>0</v>
      </c>
      <c r="M1730" s="893"/>
      <c r="N1730" s="16"/>
      <c r="O1730" s="16"/>
      <c r="P1730" s="16"/>
      <c r="Q1730" s="16"/>
      <c r="R1730" s="16"/>
    </row>
    <row r="1731" spans="1:18" hidden="1" outlineLevel="1" x14ac:dyDescent="0.2">
      <c r="A1731" s="22" t="s">
        <v>1545</v>
      </c>
      <c r="B1731" s="2" t="s">
        <v>252</v>
      </c>
      <c r="C1731" s="2" t="s">
        <v>1258</v>
      </c>
      <c r="D1731" s="716">
        <v>1</v>
      </c>
      <c r="E1731" s="4" t="s">
        <v>143</v>
      </c>
      <c r="F1731" s="47">
        <f t="shared" ref="F1731:I1731" si="512">G1731</f>
        <v>0</v>
      </c>
      <c r="G1731" s="47">
        <f t="shared" si="512"/>
        <v>0</v>
      </c>
      <c r="H1731" s="47">
        <f t="shared" si="512"/>
        <v>0</v>
      </c>
      <c r="I1731" s="47">
        <f t="shared" si="512"/>
        <v>0</v>
      </c>
      <c r="J1731" s="47">
        <f t="shared" si="506"/>
        <v>0</v>
      </c>
      <c r="K1731" s="47">
        <v>0</v>
      </c>
      <c r="L1731" s="47">
        <v>0</v>
      </c>
      <c r="M1731" s="893"/>
      <c r="N1731" s="16"/>
      <c r="O1731" s="16"/>
      <c r="P1731" s="16"/>
      <c r="Q1731" s="16"/>
      <c r="R1731" s="16"/>
    </row>
    <row r="1732" spans="1:18" hidden="1" outlineLevel="1" x14ac:dyDescent="0.2">
      <c r="A1732" s="22" t="s">
        <v>1545</v>
      </c>
      <c r="B1732" s="2" t="s">
        <v>252</v>
      </c>
      <c r="C1732" s="2" t="s">
        <v>1258</v>
      </c>
      <c r="D1732" s="716">
        <v>1</v>
      </c>
      <c r="E1732" s="4" t="s">
        <v>7</v>
      </c>
      <c r="F1732" s="47">
        <f t="shared" ref="F1732:I1732" si="513">G1732</f>
        <v>0</v>
      </c>
      <c r="G1732" s="47">
        <f t="shared" si="513"/>
        <v>0</v>
      </c>
      <c r="H1732" s="47">
        <f t="shared" si="513"/>
        <v>0</v>
      </c>
      <c r="I1732" s="47">
        <f t="shared" si="513"/>
        <v>0</v>
      </c>
      <c r="J1732" s="47">
        <f t="shared" si="506"/>
        <v>0</v>
      </c>
      <c r="K1732" s="47">
        <v>0</v>
      </c>
      <c r="L1732" s="47">
        <v>0</v>
      </c>
      <c r="M1732" s="893"/>
      <c r="N1732" s="16"/>
      <c r="O1732" s="16"/>
      <c r="P1732" s="16"/>
      <c r="Q1732" s="16"/>
      <c r="R1732" s="16"/>
    </row>
    <row r="1733" spans="1:18" hidden="1" outlineLevel="1" x14ac:dyDescent="0.2">
      <c r="A1733" s="22" t="s">
        <v>1545</v>
      </c>
      <c r="B1733" s="2" t="s">
        <v>252</v>
      </c>
      <c r="C1733" s="2" t="s">
        <v>1258</v>
      </c>
      <c r="D1733" s="716">
        <v>1</v>
      </c>
      <c r="E1733" s="4" t="s">
        <v>31</v>
      </c>
      <c r="F1733" s="47">
        <v>1</v>
      </c>
      <c r="G1733" s="47">
        <v>1</v>
      </c>
      <c r="H1733" s="47">
        <v>1</v>
      </c>
      <c r="I1733" s="47">
        <v>1</v>
      </c>
      <c r="J1733" s="47">
        <f t="shared" si="506"/>
        <v>1</v>
      </c>
      <c r="K1733" s="47">
        <v>1</v>
      </c>
      <c r="L1733" s="47">
        <v>1</v>
      </c>
      <c r="M1733" s="893"/>
      <c r="N1733" s="16"/>
      <c r="O1733" s="16"/>
      <c r="P1733" s="16"/>
      <c r="Q1733" s="16"/>
      <c r="R1733" s="16"/>
    </row>
    <row r="1734" spans="1:18" hidden="1" outlineLevel="1" x14ac:dyDescent="0.2">
      <c r="A1734" s="22" t="s">
        <v>1545</v>
      </c>
      <c r="B1734" s="2" t="s">
        <v>252</v>
      </c>
      <c r="C1734" s="2" t="s">
        <v>1258</v>
      </c>
      <c r="D1734" s="716">
        <v>1</v>
      </c>
      <c r="E1734" s="4" t="s">
        <v>8</v>
      </c>
      <c r="F1734" s="47">
        <f t="shared" ref="F1734:I1734" si="514">G1734</f>
        <v>0</v>
      </c>
      <c r="G1734" s="47">
        <f t="shared" si="514"/>
        <v>0</v>
      </c>
      <c r="H1734" s="47">
        <f t="shared" si="514"/>
        <v>0</v>
      </c>
      <c r="I1734" s="47">
        <f t="shared" si="514"/>
        <v>0</v>
      </c>
      <c r="J1734" s="47">
        <f t="shared" si="506"/>
        <v>0</v>
      </c>
      <c r="K1734" s="47">
        <v>0</v>
      </c>
      <c r="L1734" s="47">
        <v>0</v>
      </c>
      <c r="M1734" s="893"/>
      <c r="N1734" s="16"/>
      <c r="O1734" s="16"/>
      <c r="P1734" s="16"/>
      <c r="Q1734" s="16"/>
      <c r="R1734" s="16"/>
    </row>
    <row r="1735" spans="1:18" hidden="1" outlineLevel="1" x14ac:dyDescent="0.2">
      <c r="A1735" s="22" t="s">
        <v>1545</v>
      </c>
      <c r="B1735" s="2" t="s">
        <v>252</v>
      </c>
      <c r="C1735" s="2" t="s">
        <v>1258</v>
      </c>
      <c r="D1735" s="716">
        <v>1</v>
      </c>
      <c r="E1735" s="4" t="s">
        <v>9</v>
      </c>
      <c r="F1735" s="47">
        <f t="shared" ref="F1735:I1735" si="515">G1735</f>
        <v>0</v>
      </c>
      <c r="G1735" s="47">
        <f t="shared" si="515"/>
        <v>0</v>
      </c>
      <c r="H1735" s="47">
        <f t="shared" si="515"/>
        <v>0</v>
      </c>
      <c r="I1735" s="47">
        <f t="shared" si="515"/>
        <v>0</v>
      </c>
      <c r="J1735" s="47">
        <f t="shared" si="506"/>
        <v>0</v>
      </c>
      <c r="K1735" s="47">
        <v>0</v>
      </c>
      <c r="L1735" s="47">
        <v>0</v>
      </c>
      <c r="M1735" s="893"/>
      <c r="N1735" s="16"/>
      <c r="O1735" s="16"/>
      <c r="P1735" s="16"/>
      <c r="Q1735" s="16"/>
      <c r="R1735" s="16"/>
    </row>
    <row r="1736" spans="1:18" hidden="1" outlineLevel="1" x14ac:dyDescent="0.2">
      <c r="A1736" s="22" t="s">
        <v>1545</v>
      </c>
      <c r="B1736" s="2" t="s">
        <v>252</v>
      </c>
      <c r="C1736" s="2" t="s">
        <v>1258</v>
      </c>
      <c r="D1736" s="716">
        <v>1</v>
      </c>
      <c r="E1736" s="4" t="s">
        <v>10</v>
      </c>
      <c r="F1736" s="47">
        <f t="shared" ref="F1736:I1736" si="516">G1736</f>
        <v>0</v>
      </c>
      <c r="G1736" s="47">
        <f t="shared" si="516"/>
        <v>0</v>
      </c>
      <c r="H1736" s="47">
        <f t="shared" si="516"/>
        <v>0</v>
      </c>
      <c r="I1736" s="47">
        <f t="shared" si="516"/>
        <v>0</v>
      </c>
      <c r="J1736" s="47">
        <f t="shared" si="506"/>
        <v>0</v>
      </c>
      <c r="K1736" s="47">
        <v>0</v>
      </c>
      <c r="L1736" s="47">
        <v>0</v>
      </c>
      <c r="M1736" s="893"/>
      <c r="N1736" s="16"/>
      <c r="O1736" s="16"/>
      <c r="P1736" s="16"/>
      <c r="Q1736" s="16"/>
      <c r="R1736" s="16"/>
    </row>
    <row r="1737" spans="1:18" hidden="1" outlineLevel="1" x14ac:dyDescent="0.2">
      <c r="A1737" s="22" t="s">
        <v>1545</v>
      </c>
      <c r="B1737" s="2" t="s">
        <v>252</v>
      </c>
      <c r="C1737" s="2" t="s">
        <v>1258</v>
      </c>
      <c r="D1737" s="716">
        <v>1</v>
      </c>
      <c r="E1737" s="4" t="s">
        <v>11</v>
      </c>
      <c r="F1737" s="47">
        <f t="shared" ref="F1737:I1737" si="517">G1737</f>
        <v>0</v>
      </c>
      <c r="G1737" s="47">
        <f t="shared" si="517"/>
        <v>0</v>
      </c>
      <c r="H1737" s="47">
        <f t="shared" si="517"/>
        <v>0</v>
      </c>
      <c r="I1737" s="47">
        <f t="shared" si="517"/>
        <v>0</v>
      </c>
      <c r="J1737" s="47">
        <f t="shared" si="506"/>
        <v>0</v>
      </c>
      <c r="K1737" s="47">
        <v>0</v>
      </c>
      <c r="L1737" s="47">
        <v>0</v>
      </c>
      <c r="M1737" s="893"/>
      <c r="N1737" s="16"/>
      <c r="O1737" s="16"/>
      <c r="P1737" s="16"/>
      <c r="Q1737" s="16"/>
      <c r="R1737" s="16"/>
    </row>
    <row r="1738" spans="1:18" hidden="1" outlineLevel="1" x14ac:dyDescent="0.2">
      <c r="A1738" s="22" t="s">
        <v>1545</v>
      </c>
      <c r="B1738" s="2" t="s">
        <v>252</v>
      </c>
      <c r="C1738" s="2" t="s">
        <v>1258</v>
      </c>
      <c r="D1738" s="716">
        <v>1</v>
      </c>
      <c r="E1738" s="4" t="s">
        <v>12</v>
      </c>
      <c r="F1738" s="47">
        <f t="shared" ref="F1738:I1738" si="518">G1738</f>
        <v>0</v>
      </c>
      <c r="G1738" s="47">
        <f t="shared" si="518"/>
        <v>0</v>
      </c>
      <c r="H1738" s="47">
        <f t="shared" si="518"/>
        <v>0</v>
      </c>
      <c r="I1738" s="47">
        <f t="shared" si="518"/>
        <v>0</v>
      </c>
      <c r="J1738" s="47">
        <f t="shared" si="506"/>
        <v>0</v>
      </c>
      <c r="K1738" s="47">
        <v>0</v>
      </c>
      <c r="L1738" s="47">
        <v>0</v>
      </c>
      <c r="M1738" s="893"/>
      <c r="N1738" s="16"/>
      <c r="O1738" s="16"/>
      <c r="P1738" s="16"/>
      <c r="Q1738" s="16"/>
      <c r="R1738" s="16"/>
    </row>
    <row r="1739" spans="1:18" hidden="1" outlineLevel="1" x14ac:dyDescent="0.2">
      <c r="A1739" s="22" t="s">
        <v>1545</v>
      </c>
      <c r="B1739" s="2" t="s">
        <v>252</v>
      </c>
      <c r="C1739" s="2" t="s">
        <v>1258</v>
      </c>
      <c r="D1739" s="716">
        <v>1</v>
      </c>
      <c r="E1739" s="4" t="s">
        <v>1</v>
      </c>
      <c r="F1739" s="47">
        <f t="shared" ref="F1739:I1739" si="519">G1739</f>
        <v>0</v>
      </c>
      <c r="G1739" s="47">
        <f t="shared" si="519"/>
        <v>0</v>
      </c>
      <c r="H1739" s="47">
        <f t="shared" si="519"/>
        <v>0</v>
      </c>
      <c r="I1739" s="47">
        <f t="shared" si="519"/>
        <v>0</v>
      </c>
      <c r="J1739" s="47">
        <f t="shared" si="506"/>
        <v>0</v>
      </c>
      <c r="K1739" s="47">
        <v>0</v>
      </c>
      <c r="L1739" s="47">
        <v>0</v>
      </c>
      <c r="M1739" s="893"/>
      <c r="N1739" s="16"/>
      <c r="O1739" s="16"/>
      <c r="P1739" s="16"/>
      <c r="Q1739" s="16"/>
      <c r="R1739" s="16"/>
    </row>
    <row r="1740" spans="1:18" hidden="1" outlineLevel="1" x14ac:dyDescent="0.2">
      <c r="A1740" s="22" t="s">
        <v>1545</v>
      </c>
      <c r="B1740" s="2" t="s">
        <v>252</v>
      </c>
      <c r="C1740" s="2" t="s">
        <v>1258</v>
      </c>
      <c r="D1740" s="716">
        <v>1</v>
      </c>
      <c r="E1740" s="4" t="s">
        <v>13</v>
      </c>
      <c r="F1740" s="47">
        <f t="shared" ref="F1740:I1740" si="520">G1740</f>
        <v>0</v>
      </c>
      <c r="G1740" s="47">
        <f t="shared" si="520"/>
        <v>0</v>
      </c>
      <c r="H1740" s="47">
        <f t="shared" si="520"/>
        <v>0</v>
      </c>
      <c r="I1740" s="47">
        <f t="shared" si="520"/>
        <v>0</v>
      </c>
      <c r="J1740" s="47">
        <f t="shared" si="506"/>
        <v>0</v>
      </c>
      <c r="K1740" s="47">
        <v>0</v>
      </c>
      <c r="L1740" s="47">
        <v>0</v>
      </c>
      <c r="M1740" s="893"/>
      <c r="N1740" s="16"/>
      <c r="O1740" s="16"/>
      <c r="P1740" s="16"/>
      <c r="Q1740" s="16"/>
      <c r="R1740" s="16"/>
    </row>
    <row r="1741" spans="1:18" hidden="1" outlineLevel="1" x14ac:dyDescent="0.2">
      <c r="A1741" s="22" t="s">
        <v>1545</v>
      </c>
      <c r="B1741" s="2" t="s">
        <v>252</v>
      </c>
      <c r="C1741" s="2" t="s">
        <v>1258</v>
      </c>
      <c r="D1741" s="716">
        <v>1</v>
      </c>
      <c r="E1741" s="4" t="s">
        <v>14</v>
      </c>
      <c r="F1741" s="47">
        <f t="shared" ref="F1741:I1741" si="521">G1741</f>
        <v>0</v>
      </c>
      <c r="G1741" s="47">
        <f t="shared" si="521"/>
        <v>0</v>
      </c>
      <c r="H1741" s="47">
        <f t="shared" si="521"/>
        <v>0</v>
      </c>
      <c r="I1741" s="47">
        <f t="shared" si="521"/>
        <v>0</v>
      </c>
      <c r="J1741" s="47">
        <f t="shared" si="506"/>
        <v>0</v>
      </c>
      <c r="K1741" s="47">
        <v>0</v>
      </c>
      <c r="L1741" s="47">
        <v>0</v>
      </c>
      <c r="M1741" s="893"/>
      <c r="N1741" s="16"/>
      <c r="O1741" s="16"/>
      <c r="P1741" s="16"/>
      <c r="Q1741" s="16"/>
      <c r="R1741" s="16"/>
    </row>
    <row r="1742" spans="1:18" hidden="1" outlineLevel="1" x14ac:dyDescent="0.2">
      <c r="A1742" s="22" t="s">
        <v>1545</v>
      </c>
      <c r="B1742" s="2" t="s">
        <v>252</v>
      </c>
      <c r="C1742" s="2" t="s">
        <v>1258</v>
      </c>
      <c r="D1742" s="716">
        <v>1</v>
      </c>
      <c r="E1742" s="4" t="s">
        <v>15</v>
      </c>
      <c r="F1742" s="47">
        <f t="shared" ref="F1742:I1742" si="522">G1742</f>
        <v>0</v>
      </c>
      <c r="G1742" s="47">
        <f t="shared" si="522"/>
        <v>0</v>
      </c>
      <c r="H1742" s="47">
        <f t="shared" si="522"/>
        <v>0</v>
      </c>
      <c r="I1742" s="47">
        <f t="shared" si="522"/>
        <v>0</v>
      </c>
      <c r="J1742" s="47">
        <f t="shared" si="506"/>
        <v>0</v>
      </c>
      <c r="K1742" s="47">
        <v>0</v>
      </c>
      <c r="L1742" s="47">
        <v>0</v>
      </c>
      <c r="M1742" s="893"/>
      <c r="N1742" s="16"/>
      <c r="O1742" s="16"/>
      <c r="P1742" s="16"/>
      <c r="Q1742" s="16"/>
      <c r="R1742" s="16"/>
    </row>
    <row r="1743" spans="1:18" hidden="1" outlineLevel="1" x14ac:dyDescent="0.2">
      <c r="A1743" s="22" t="s">
        <v>1545</v>
      </c>
      <c r="B1743" s="2" t="s">
        <v>252</v>
      </c>
      <c r="C1743" s="2" t="s">
        <v>1258</v>
      </c>
      <c r="D1743" s="716">
        <v>1</v>
      </c>
      <c r="E1743" s="4" t="s">
        <v>16</v>
      </c>
      <c r="F1743" s="47">
        <f t="shared" ref="F1743:I1743" si="523">G1743</f>
        <v>0</v>
      </c>
      <c r="G1743" s="47">
        <f t="shared" si="523"/>
        <v>0</v>
      </c>
      <c r="H1743" s="47">
        <f t="shared" si="523"/>
        <v>0</v>
      </c>
      <c r="I1743" s="47">
        <f t="shared" si="523"/>
        <v>0</v>
      </c>
      <c r="J1743" s="47">
        <f t="shared" si="506"/>
        <v>0</v>
      </c>
      <c r="K1743" s="47">
        <v>0</v>
      </c>
      <c r="L1743" s="47">
        <v>0</v>
      </c>
      <c r="M1743" s="893"/>
      <c r="N1743" s="16"/>
      <c r="O1743" s="16"/>
      <c r="P1743" s="16"/>
      <c r="Q1743" s="16"/>
      <c r="R1743" s="16"/>
    </row>
    <row r="1744" spans="1:18" hidden="1" outlineLevel="1" x14ac:dyDescent="0.2">
      <c r="A1744" s="22" t="s">
        <v>1545</v>
      </c>
      <c r="B1744" s="2" t="s">
        <v>252</v>
      </c>
      <c r="C1744" s="2" t="s">
        <v>1258</v>
      </c>
      <c r="D1744" s="716">
        <v>1</v>
      </c>
      <c r="E1744" s="4" t="s">
        <v>17</v>
      </c>
      <c r="F1744" s="47">
        <f t="shared" ref="F1744:I1744" si="524">G1744</f>
        <v>0</v>
      </c>
      <c r="G1744" s="47">
        <f t="shared" si="524"/>
        <v>0</v>
      </c>
      <c r="H1744" s="47">
        <f t="shared" si="524"/>
        <v>0</v>
      </c>
      <c r="I1744" s="47">
        <f t="shared" si="524"/>
        <v>0</v>
      </c>
      <c r="J1744" s="47">
        <f t="shared" si="506"/>
        <v>0</v>
      </c>
      <c r="K1744" s="47">
        <v>0</v>
      </c>
      <c r="L1744" s="47">
        <v>0</v>
      </c>
      <c r="M1744" s="893"/>
      <c r="N1744" s="16"/>
      <c r="O1744" s="16"/>
      <c r="P1744" s="16"/>
      <c r="Q1744" s="16"/>
      <c r="R1744" s="16"/>
    </row>
    <row r="1745" spans="1:18" hidden="1" outlineLevel="1" x14ac:dyDescent="0.2">
      <c r="A1745" s="22" t="s">
        <v>1545</v>
      </c>
      <c r="B1745" s="2" t="s">
        <v>252</v>
      </c>
      <c r="C1745" s="2" t="s">
        <v>1258</v>
      </c>
      <c r="D1745" s="716">
        <v>1</v>
      </c>
      <c r="E1745" s="4" t="s">
        <v>18</v>
      </c>
      <c r="F1745" s="47">
        <f t="shared" ref="F1745:I1745" si="525">G1745</f>
        <v>0</v>
      </c>
      <c r="G1745" s="47">
        <f t="shared" si="525"/>
        <v>0</v>
      </c>
      <c r="H1745" s="47">
        <f t="shared" si="525"/>
        <v>0</v>
      </c>
      <c r="I1745" s="47">
        <f t="shared" si="525"/>
        <v>0</v>
      </c>
      <c r="J1745" s="47">
        <f t="shared" si="506"/>
        <v>0</v>
      </c>
      <c r="K1745" s="47">
        <v>0</v>
      </c>
      <c r="L1745" s="47">
        <v>0</v>
      </c>
      <c r="M1745" s="893"/>
      <c r="N1745" s="16"/>
      <c r="O1745" s="16"/>
      <c r="P1745" s="16"/>
      <c r="Q1745" s="16"/>
      <c r="R1745" s="16"/>
    </row>
    <row r="1746" spans="1:18" hidden="1" outlineLevel="1" x14ac:dyDescent="0.2">
      <c r="A1746" s="22" t="s">
        <v>1545</v>
      </c>
      <c r="B1746" s="2" t="s">
        <v>252</v>
      </c>
      <c r="C1746" s="2" t="s">
        <v>1258</v>
      </c>
      <c r="D1746" s="716">
        <v>1</v>
      </c>
      <c r="E1746" s="4" t="s">
        <v>2</v>
      </c>
      <c r="F1746" s="47">
        <f t="shared" ref="F1746:I1746" si="526">G1746</f>
        <v>0</v>
      </c>
      <c r="G1746" s="47">
        <f t="shared" si="526"/>
        <v>0</v>
      </c>
      <c r="H1746" s="47">
        <f t="shared" si="526"/>
        <v>0</v>
      </c>
      <c r="I1746" s="47">
        <f t="shared" si="526"/>
        <v>0</v>
      </c>
      <c r="J1746" s="47">
        <f t="shared" si="506"/>
        <v>0</v>
      </c>
      <c r="K1746" s="47">
        <v>0</v>
      </c>
      <c r="L1746" s="47">
        <v>0</v>
      </c>
      <c r="M1746" s="893"/>
      <c r="N1746" s="16"/>
      <c r="O1746" s="16"/>
      <c r="P1746" s="16"/>
      <c r="Q1746" s="16"/>
      <c r="R1746" s="16"/>
    </row>
    <row r="1747" spans="1:18" hidden="1" outlineLevel="1" x14ac:dyDescent="0.2">
      <c r="A1747" s="22" t="s">
        <v>1545</v>
      </c>
      <c r="B1747" s="2" t="s">
        <v>252</v>
      </c>
      <c r="C1747" s="2" t="s">
        <v>1258</v>
      </c>
      <c r="D1747" s="716">
        <v>1</v>
      </c>
      <c r="E1747" s="4" t="s">
        <v>19</v>
      </c>
      <c r="F1747" s="47">
        <f t="shared" ref="F1747:I1747" si="527">G1747</f>
        <v>0</v>
      </c>
      <c r="G1747" s="47">
        <f t="shared" si="527"/>
        <v>0</v>
      </c>
      <c r="H1747" s="47">
        <f t="shared" si="527"/>
        <v>0</v>
      </c>
      <c r="I1747" s="47">
        <f t="shared" si="527"/>
        <v>0</v>
      </c>
      <c r="J1747" s="47">
        <f t="shared" si="506"/>
        <v>0</v>
      </c>
      <c r="K1747" s="47">
        <v>0</v>
      </c>
      <c r="L1747" s="47">
        <v>0</v>
      </c>
      <c r="M1747" s="893"/>
      <c r="N1747" s="16"/>
      <c r="O1747" s="16"/>
      <c r="P1747" s="16"/>
      <c r="Q1747" s="16"/>
      <c r="R1747" s="16"/>
    </row>
    <row r="1748" spans="1:18" hidden="1" outlineLevel="1" x14ac:dyDescent="0.2">
      <c r="A1748" s="22" t="s">
        <v>1545</v>
      </c>
      <c r="B1748" s="2" t="s">
        <v>252</v>
      </c>
      <c r="C1748" s="2" t="s">
        <v>1258</v>
      </c>
      <c r="D1748" s="716">
        <v>1</v>
      </c>
      <c r="E1748" s="4" t="s">
        <v>3</v>
      </c>
      <c r="F1748" s="47">
        <f t="shared" ref="F1748:I1748" si="528">G1748</f>
        <v>0</v>
      </c>
      <c r="G1748" s="47">
        <f t="shared" si="528"/>
        <v>0</v>
      </c>
      <c r="H1748" s="47">
        <f t="shared" si="528"/>
        <v>0</v>
      </c>
      <c r="I1748" s="47">
        <f t="shared" si="528"/>
        <v>0</v>
      </c>
      <c r="J1748" s="47">
        <f t="shared" si="506"/>
        <v>0</v>
      </c>
      <c r="K1748" s="47">
        <v>0</v>
      </c>
      <c r="L1748" s="47">
        <v>0</v>
      </c>
      <c r="M1748" s="893"/>
      <c r="N1748" s="16"/>
      <c r="O1748" s="16"/>
      <c r="P1748" s="16"/>
      <c r="Q1748" s="16"/>
      <c r="R1748" s="16"/>
    </row>
    <row r="1749" spans="1:18" hidden="1" outlineLevel="1" x14ac:dyDescent="0.2">
      <c r="A1749" s="22" t="s">
        <v>1545</v>
      </c>
      <c r="B1749" s="2" t="s">
        <v>252</v>
      </c>
      <c r="C1749" s="2" t="s">
        <v>1258</v>
      </c>
      <c r="D1749" s="716">
        <v>1</v>
      </c>
      <c r="E1749" s="4" t="s">
        <v>20</v>
      </c>
      <c r="F1749" s="47">
        <f t="shared" ref="F1749:I1749" si="529">G1749</f>
        <v>0</v>
      </c>
      <c r="G1749" s="47">
        <f t="shared" si="529"/>
        <v>0</v>
      </c>
      <c r="H1749" s="47">
        <f t="shared" si="529"/>
        <v>0</v>
      </c>
      <c r="I1749" s="47">
        <f t="shared" si="529"/>
        <v>0</v>
      </c>
      <c r="J1749" s="47">
        <f t="shared" si="506"/>
        <v>0</v>
      </c>
      <c r="K1749" s="47">
        <v>0</v>
      </c>
      <c r="L1749" s="47">
        <v>0</v>
      </c>
      <c r="M1749" s="893"/>
      <c r="N1749" s="16"/>
      <c r="O1749" s="16"/>
      <c r="P1749" s="16"/>
      <c r="Q1749" s="16"/>
      <c r="R1749" s="16"/>
    </row>
    <row r="1750" spans="1:18" hidden="1" outlineLevel="1" x14ac:dyDescent="0.2">
      <c r="A1750" s="22" t="s">
        <v>1545</v>
      </c>
      <c r="B1750" s="2" t="s">
        <v>252</v>
      </c>
      <c r="C1750" s="2" t="s">
        <v>1258</v>
      </c>
      <c r="D1750" s="716">
        <v>1</v>
      </c>
      <c r="E1750" s="4" t="s">
        <v>21</v>
      </c>
      <c r="F1750" s="47">
        <f t="shared" ref="F1750:I1750" si="530">G1750</f>
        <v>0</v>
      </c>
      <c r="G1750" s="47">
        <f t="shared" si="530"/>
        <v>0</v>
      </c>
      <c r="H1750" s="47">
        <f t="shared" si="530"/>
        <v>0</v>
      </c>
      <c r="I1750" s="47">
        <f t="shared" si="530"/>
        <v>0</v>
      </c>
      <c r="J1750" s="47">
        <f t="shared" si="506"/>
        <v>0</v>
      </c>
      <c r="K1750" s="47">
        <v>0</v>
      </c>
      <c r="L1750" s="47">
        <v>0</v>
      </c>
      <c r="M1750" s="893"/>
      <c r="N1750" s="16"/>
      <c r="O1750" s="16"/>
      <c r="P1750" s="16"/>
      <c r="Q1750" s="16"/>
      <c r="R1750" s="16"/>
    </row>
    <row r="1751" spans="1:18" hidden="1" outlineLevel="1" x14ac:dyDescent="0.2">
      <c r="A1751" s="22" t="s">
        <v>1545</v>
      </c>
      <c r="B1751" s="2" t="s">
        <v>252</v>
      </c>
      <c r="C1751" s="2" t="s">
        <v>1258</v>
      </c>
      <c r="D1751" s="716">
        <v>1</v>
      </c>
      <c r="E1751" s="4" t="s">
        <v>1096</v>
      </c>
      <c r="F1751" s="47">
        <f t="shared" ref="F1751:I1751" si="531">G1751</f>
        <v>0</v>
      </c>
      <c r="G1751" s="47">
        <f t="shared" si="531"/>
        <v>0</v>
      </c>
      <c r="H1751" s="47">
        <f t="shared" si="531"/>
        <v>0</v>
      </c>
      <c r="I1751" s="47">
        <f t="shared" si="531"/>
        <v>0</v>
      </c>
      <c r="J1751" s="47">
        <f t="shared" si="506"/>
        <v>0</v>
      </c>
      <c r="K1751" s="47">
        <v>0</v>
      </c>
      <c r="L1751" s="47">
        <v>0</v>
      </c>
      <c r="M1751" s="893"/>
      <c r="N1751" s="16"/>
      <c r="O1751" s="16"/>
      <c r="P1751" s="16"/>
      <c r="Q1751" s="16"/>
      <c r="R1751" s="16"/>
    </row>
    <row r="1752" spans="1:18" hidden="1" outlineLevel="1" x14ac:dyDescent="0.2">
      <c r="A1752" s="22" t="s">
        <v>1545</v>
      </c>
      <c r="B1752" s="2" t="s">
        <v>252</v>
      </c>
      <c r="C1752" s="2" t="s">
        <v>1258</v>
      </c>
      <c r="D1752" s="716">
        <v>1</v>
      </c>
      <c r="E1752" s="4" t="s">
        <v>22</v>
      </c>
      <c r="F1752" s="47">
        <f t="shared" ref="F1752:I1752" si="532">G1752</f>
        <v>0</v>
      </c>
      <c r="G1752" s="47">
        <f t="shared" si="532"/>
        <v>0</v>
      </c>
      <c r="H1752" s="47">
        <f t="shared" si="532"/>
        <v>0</v>
      </c>
      <c r="I1752" s="47">
        <f t="shared" si="532"/>
        <v>0</v>
      </c>
      <c r="J1752" s="47">
        <f t="shared" si="506"/>
        <v>0</v>
      </c>
      <c r="K1752" s="47">
        <v>0</v>
      </c>
      <c r="L1752" s="47">
        <v>0</v>
      </c>
      <c r="M1752" s="893"/>
      <c r="N1752" s="16"/>
      <c r="O1752" s="16"/>
      <c r="P1752" s="16"/>
      <c r="Q1752" s="16"/>
      <c r="R1752" s="16"/>
    </row>
    <row r="1753" spans="1:18" hidden="1" outlineLevel="1" x14ac:dyDescent="0.2">
      <c r="A1753" s="22" t="s">
        <v>1545</v>
      </c>
      <c r="B1753" s="2" t="s">
        <v>252</v>
      </c>
      <c r="C1753" s="2" t="s">
        <v>1258</v>
      </c>
      <c r="D1753" s="717">
        <v>1</v>
      </c>
      <c r="E1753" s="4" t="s">
        <v>23</v>
      </c>
      <c r="F1753" s="48">
        <f t="shared" ref="F1753:I1753" si="533">G1753</f>
        <v>0</v>
      </c>
      <c r="G1753" s="48">
        <f t="shared" si="533"/>
        <v>0</v>
      </c>
      <c r="H1753" s="48">
        <f t="shared" si="533"/>
        <v>0</v>
      </c>
      <c r="I1753" s="48">
        <f t="shared" si="533"/>
        <v>0</v>
      </c>
      <c r="J1753" s="48">
        <f t="shared" si="506"/>
        <v>0</v>
      </c>
      <c r="K1753" s="363">
        <v>0</v>
      </c>
      <c r="L1753" s="363">
        <v>0</v>
      </c>
      <c r="M1753" s="920"/>
      <c r="N1753" s="16"/>
      <c r="O1753" s="16"/>
      <c r="P1753" s="16"/>
      <c r="Q1753" s="16"/>
      <c r="R1753" s="16"/>
    </row>
    <row r="1754" spans="1:18" s="103" customFormat="1" hidden="1" outlineLevel="1" x14ac:dyDescent="0.2">
      <c r="A1754" s="92" t="s">
        <v>1545</v>
      </c>
      <c r="B1754" s="81" t="s">
        <v>252</v>
      </c>
      <c r="C1754" s="81" t="s">
        <v>1259</v>
      </c>
      <c r="D1754" s="715">
        <v>1</v>
      </c>
      <c r="E1754" s="468" t="s">
        <v>4</v>
      </c>
      <c r="F1754" s="380">
        <v>0</v>
      </c>
      <c r="G1754" s="89">
        <v>0</v>
      </c>
      <c r="H1754" s="89">
        <v>0</v>
      </c>
      <c r="I1754" s="89">
        <v>0</v>
      </c>
      <c r="J1754" s="89">
        <f t="shared" si="506"/>
        <v>0</v>
      </c>
      <c r="K1754" s="380">
        <v>0</v>
      </c>
      <c r="L1754" s="380">
        <v>0</v>
      </c>
      <c r="M1754" s="892"/>
      <c r="N1754" s="20"/>
      <c r="O1754" s="20"/>
      <c r="P1754" s="20"/>
      <c r="Q1754" s="20"/>
      <c r="R1754" s="20"/>
    </row>
    <row r="1755" spans="1:18" s="103" customFormat="1" hidden="1" outlineLevel="1" x14ac:dyDescent="0.2">
      <c r="A1755" s="22" t="s">
        <v>1545</v>
      </c>
      <c r="B1755" s="2" t="s">
        <v>252</v>
      </c>
      <c r="C1755" s="2" t="s">
        <v>1259</v>
      </c>
      <c r="D1755" s="716">
        <v>1</v>
      </c>
      <c r="E1755" s="4" t="s">
        <v>5</v>
      </c>
      <c r="F1755" s="47">
        <v>0</v>
      </c>
      <c r="G1755" s="47">
        <v>0</v>
      </c>
      <c r="H1755" s="47">
        <v>0</v>
      </c>
      <c r="I1755" s="47">
        <v>0</v>
      </c>
      <c r="J1755" s="47">
        <f t="shared" si="506"/>
        <v>0</v>
      </c>
      <c r="K1755" s="47">
        <v>0</v>
      </c>
      <c r="L1755" s="47">
        <v>0</v>
      </c>
      <c r="M1755" s="893"/>
      <c r="N1755" s="20"/>
      <c r="O1755" s="20"/>
      <c r="P1755" s="20"/>
      <c r="Q1755" s="20"/>
      <c r="R1755" s="20"/>
    </row>
    <row r="1756" spans="1:18" s="103" customFormat="1" hidden="1" outlineLevel="1" x14ac:dyDescent="0.2">
      <c r="A1756" s="22" t="s">
        <v>1545</v>
      </c>
      <c r="B1756" s="2" t="s">
        <v>252</v>
      </c>
      <c r="C1756" s="2" t="s">
        <v>1259</v>
      </c>
      <c r="D1756" s="716">
        <v>1</v>
      </c>
      <c r="E1756" s="4" t="s">
        <v>6</v>
      </c>
      <c r="F1756" s="47">
        <v>0</v>
      </c>
      <c r="G1756" s="47">
        <v>0</v>
      </c>
      <c r="H1756" s="47">
        <v>0</v>
      </c>
      <c r="I1756" s="47">
        <v>0</v>
      </c>
      <c r="J1756" s="47">
        <f t="shared" si="506"/>
        <v>0</v>
      </c>
      <c r="K1756" s="47">
        <v>0</v>
      </c>
      <c r="L1756" s="47">
        <v>0</v>
      </c>
      <c r="M1756" s="893"/>
      <c r="N1756" s="20"/>
      <c r="O1756" s="20"/>
      <c r="P1756" s="20"/>
      <c r="Q1756" s="20"/>
      <c r="R1756" s="20"/>
    </row>
    <row r="1757" spans="1:18" s="103" customFormat="1" hidden="1" outlineLevel="1" x14ac:dyDescent="0.2">
      <c r="A1757" s="22" t="s">
        <v>1545</v>
      </c>
      <c r="B1757" s="2" t="s">
        <v>252</v>
      </c>
      <c r="C1757" s="2" t="s">
        <v>1259</v>
      </c>
      <c r="D1757" s="716">
        <v>1</v>
      </c>
      <c r="E1757" s="4" t="s">
        <v>143</v>
      </c>
      <c r="F1757" s="47">
        <v>0</v>
      </c>
      <c r="G1757" s="47">
        <v>0</v>
      </c>
      <c r="H1757" s="47">
        <v>0</v>
      </c>
      <c r="I1757" s="47">
        <v>0</v>
      </c>
      <c r="J1757" s="47">
        <f t="shared" si="506"/>
        <v>0</v>
      </c>
      <c r="K1757" s="47">
        <v>0</v>
      </c>
      <c r="L1757" s="47">
        <v>0</v>
      </c>
      <c r="M1757" s="893"/>
      <c r="N1757" s="20"/>
      <c r="O1757" s="20"/>
      <c r="P1757" s="20"/>
      <c r="Q1757" s="20"/>
      <c r="R1757" s="20"/>
    </row>
    <row r="1758" spans="1:18" s="103" customFormat="1" hidden="1" outlineLevel="1" x14ac:dyDescent="0.2">
      <c r="A1758" s="22" t="s">
        <v>1545</v>
      </c>
      <c r="B1758" s="2" t="s">
        <v>252</v>
      </c>
      <c r="C1758" s="2" t="s">
        <v>1259</v>
      </c>
      <c r="D1758" s="716">
        <v>1</v>
      </c>
      <c r="E1758" s="4" t="s">
        <v>7</v>
      </c>
      <c r="F1758" s="47">
        <v>0</v>
      </c>
      <c r="G1758" s="47">
        <v>0</v>
      </c>
      <c r="H1758" s="47">
        <v>0</v>
      </c>
      <c r="I1758" s="47">
        <v>0</v>
      </c>
      <c r="J1758" s="47">
        <f t="shared" si="506"/>
        <v>0</v>
      </c>
      <c r="K1758" s="47">
        <v>0</v>
      </c>
      <c r="L1758" s="47">
        <v>0</v>
      </c>
      <c r="M1758" s="893"/>
      <c r="N1758" s="20"/>
      <c r="O1758" s="20"/>
      <c r="P1758" s="20"/>
      <c r="Q1758" s="20"/>
      <c r="R1758" s="20"/>
    </row>
    <row r="1759" spans="1:18" s="103" customFormat="1" hidden="1" outlineLevel="1" x14ac:dyDescent="0.2">
      <c r="A1759" s="22" t="s">
        <v>1545</v>
      </c>
      <c r="B1759" s="2" t="s">
        <v>252</v>
      </c>
      <c r="C1759" s="2" t="s">
        <v>1259</v>
      </c>
      <c r="D1759" s="716">
        <v>1</v>
      </c>
      <c r="E1759" s="4" t="s">
        <v>31</v>
      </c>
      <c r="F1759" s="47">
        <v>1</v>
      </c>
      <c r="G1759" s="47">
        <v>1</v>
      </c>
      <c r="H1759" s="47">
        <v>1</v>
      </c>
      <c r="I1759" s="47">
        <v>1</v>
      </c>
      <c r="J1759" s="47">
        <f t="shared" si="506"/>
        <v>1</v>
      </c>
      <c r="K1759" s="47">
        <v>1</v>
      </c>
      <c r="L1759" s="47">
        <v>1</v>
      </c>
      <c r="M1759" s="893"/>
      <c r="N1759" s="20"/>
      <c r="O1759" s="20"/>
      <c r="P1759" s="20"/>
      <c r="Q1759" s="20"/>
      <c r="R1759" s="20"/>
    </row>
    <row r="1760" spans="1:18" s="103" customFormat="1" hidden="1" outlineLevel="1" x14ac:dyDescent="0.2">
      <c r="A1760" s="22" t="s">
        <v>1545</v>
      </c>
      <c r="B1760" s="2" t="s">
        <v>252</v>
      </c>
      <c r="C1760" s="2" t="s">
        <v>1259</v>
      </c>
      <c r="D1760" s="716">
        <v>1</v>
      </c>
      <c r="E1760" s="4" t="s">
        <v>8</v>
      </c>
      <c r="F1760" s="47">
        <v>0</v>
      </c>
      <c r="G1760" s="47">
        <v>0</v>
      </c>
      <c r="H1760" s="47">
        <v>0</v>
      </c>
      <c r="I1760" s="47">
        <v>0</v>
      </c>
      <c r="J1760" s="47">
        <f t="shared" si="506"/>
        <v>0</v>
      </c>
      <c r="K1760" s="47">
        <v>0</v>
      </c>
      <c r="L1760" s="47">
        <v>0</v>
      </c>
      <c r="M1760" s="893"/>
      <c r="N1760" s="20"/>
      <c r="O1760" s="20"/>
      <c r="P1760" s="20"/>
      <c r="Q1760" s="20"/>
      <c r="R1760" s="20"/>
    </row>
    <row r="1761" spans="1:18" s="103" customFormat="1" hidden="1" outlineLevel="1" x14ac:dyDescent="0.2">
      <c r="A1761" s="22" t="s">
        <v>1545</v>
      </c>
      <c r="B1761" s="2" t="s">
        <v>252</v>
      </c>
      <c r="C1761" s="2" t="s">
        <v>1259</v>
      </c>
      <c r="D1761" s="716">
        <v>1</v>
      </c>
      <c r="E1761" s="4" t="s">
        <v>9</v>
      </c>
      <c r="F1761" s="47">
        <v>0</v>
      </c>
      <c r="G1761" s="47">
        <v>0</v>
      </c>
      <c r="H1761" s="47">
        <v>0</v>
      </c>
      <c r="I1761" s="47">
        <v>0</v>
      </c>
      <c r="J1761" s="47">
        <f t="shared" si="506"/>
        <v>0</v>
      </c>
      <c r="K1761" s="47">
        <v>0</v>
      </c>
      <c r="L1761" s="47">
        <v>0</v>
      </c>
      <c r="M1761" s="893"/>
      <c r="N1761" s="20"/>
      <c r="O1761" s="20"/>
      <c r="P1761" s="20"/>
      <c r="Q1761" s="20"/>
      <c r="R1761" s="20"/>
    </row>
    <row r="1762" spans="1:18" s="103" customFormat="1" hidden="1" outlineLevel="1" x14ac:dyDescent="0.2">
      <c r="A1762" s="22" t="s">
        <v>1545</v>
      </c>
      <c r="B1762" s="2" t="s">
        <v>252</v>
      </c>
      <c r="C1762" s="2" t="s">
        <v>1259</v>
      </c>
      <c r="D1762" s="716">
        <v>1</v>
      </c>
      <c r="E1762" s="4" t="s">
        <v>10</v>
      </c>
      <c r="F1762" s="47">
        <v>0</v>
      </c>
      <c r="G1762" s="47">
        <v>0</v>
      </c>
      <c r="H1762" s="47">
        <v>0</v>
      </c>
      <c r="I1762" s="47">
        <v>0</v>
      </c>
      <c r="J1762" s="47">
        <f t="shared" si="506"/>
        <v>0</v>
      </c>
      <c r="K1762" s="47">
        <v>0</v>
      </c>
      <c r="L1762" s="47">
        <v>0</v>
      </c>
      <c r="M1762" s="893"/>
      <c r="N1762" s="20"/>
      <c r="O1762" s="20"/>
      <c r="P1762" s="20"/>
      <c r="Q1762" s="20"/>
      <c r="R1762" s="20"/>
    </row>
    <row r="1763" spans="1:18" s="103" customFormat="1" hidden="1" outlineLevel="1" x14ac:dyDescent="0.2">
      <c r="A1763" s="22" t="s">
        <v>1545</v>
      </c>
      <c r="B1763" s="2" t="s">
        <v>252</v>
      </c>
      <c r="C1763" s="2" t="s">
        <v>1259</v>
      </c>
      <c r="D1763" s="716">
        <v>1</v>
      </c>
      <c r="E1763" s="4" t="s">
        <v>11</v>
      </c>
      <c r="F1763" s="47">
        <v>0</v>
      </c>
      <c r="G1763" s="47">
        <v>0</v>
      </c>
      <c r="H1763" s="47">
        <v>0</v>
      </c>
      <c r="I1763" s="47">
        <v>0</v>
      </c>
      <c r="J1763" s="47">
        <f t="shared" si="506"/>
        <v>0</v>
      </c>
      <c r="K1763" s="47">
        <v>0</v>
      </c>
      <c r="L1763" s="47">
        <v>0</v>
      </c>
      <c r="M1763" s="893"/>
      <c r="N1763" s="20"/>
      <c r="O1763" s="20"/>
      <c r="P1763" s="20"/>
      <c r="Q1763" s="20"/>
      <c r="R1763" s="20"/>
    </row>
    <row r="1764" spans="1:18" s="103" customFormat="1" hidden="1" outlineLevel="1" x14ac:dyDescent="0.2">
      <c r="A1764" s="22" t="s">
        <v>1545</v>
      </c>
      <c r="B1764" s="2" t="s">
        <v>252</v>
      </c>
      <c r="C1764" s="2" t="s">
        <v>1259</v>
      </c>
      <c r="D1764" s="716">
        <v>1</v>
      </c>
      <c r="E1764" s="4" t="s">
        <v>12</v>
      </c>
      <c r="F1764" s="47">
        <v>0</v>
      </c>
      <c r="G1764" s="47">
        <v>0</v>
      </c>
      <c r="H1764" s="47">
        <v>0</v>
      </c>
      <c r="I1764" s="47">
        <v>0</v>
      </c>
      <c r="J1764" s="47">
        <f t="shared" si="506"/>
        <v>0</v>
      </c>
      <c r="K1764" s="47">
        <v>0</v>
      </c>
      <c r="L1764" s="47">
        <v>0</v>
      </c>
      <c r="M1764" s="893"/>
      <c r="N1764" s="20"/>
      <c r="O1764" s="20"/>
      <c r="P1764" s="20"/>
      <c r="Q1764" s="20"/>
      <c r="R1764" s="20"/>
    </row>
    <row r="1765" spans="1:18" s="103" customFormat="1" hidden="1" outlineLevel="1" x14ac:dyDescent="0.2">
      <c r="A1765" s="22" t="s">
        <v>1545</v>
      </c>
      <c r="B1765" s="2" t="s">
        <v>252</v>
      </c>
      <c r="C1765" s="2" t="s">
        <v>1259</v>
      </c>
      <c r="D1765" s="716">
        <v>1</v>
      </c>
      <c r="E1765" s="4" t="s">
        <v>1</v>
      </c>
      <c r="F1765" s="47">
        <v>0</v>
      </c>
      <c r="G1765" s="47">
        <v>0</v>
      </c>
      <c r="H1765" s="47">
        <v>0</v>
      </c>
      <c r="I1765" s="47">
        <v>0</v>
      </c>
      <c r="J1765" s="47">
        <f t="shared" si="506"/>
        <v>0</v>
      </c>
      <c r="K1765" s="47">
        <v>0</v>
      </c>
      <c r="L1765" s="47">
        <v>0</v>
      </c>
      <c r="M1765" s="893"/>
      <c r="N1765" s="20"/>
      <c r="O1765" s="20"/>
      <c r="P1765" s="20"/>
      <c r="Q1765" s="20"/>
      <c r="R1765" s="20"/>
    </row>
    <row r="1766" spans="1:18" s="103" customFormat="1" hidden="1" outlineLevel="1" x14ac:dyDescent="0.2">
      <c r="A1766" s="22" t="s">
        <v>1545</v>
      </c>
      <c r="B1766" s="2" t="s">
        <v>252</v>
      </c>
      <c r="C1766" s="2" t="s">
        <v>1259</v>
      </c>
      <c r="D1766" s="716">
        <v>1</v>
      </c>
      <c r="E1766" s="4" t="s">
        <v>13</v>
      </c>
      <c r="F1766" s="47">
        <v>0</v>
      </c>
      <c r="G1766" s="47">
        <v>0</v>
      </c>
      <c r="H1766" s="47">
        <v>0</v>
      </c>
      <c r="I1766" s="47">
        <v>0</v>
      </c>
      <c r="J1766" s="47">
        <f t="shared" si="506"/>
        <v>0</v>
      </c>
      <c r="K1766" s="47">
        <v>0</v>
      </c>
      <c r="L1766" s="47">
        <v>0</v>
      </c>
      <c r="M1766" s="893"/>
      <c r="N1766" s="20"/>
      <c r="O1766" s="20"/>
      <c r="P1766" s="20"/>
      <c r="Q1766" s="20"/>
      <c r="R1766" s="20"/>
    </row>
    <row r="1767" spans="1:18" s="103" customFormat="1" hidden="1" outlineLevel="1" x14ac:dyDescent="0.2">
      <c r="A1767" s="22" t="s">
        <v>1545</v>
      </c>
      <c r="B1767" s="2" t="s">
        <v>252</v>
      </c>
      <c r="C1767" s="2" t="s">
        <v>1259</v>
      </c>
      <c r="D1767" s="716">
        <v>1</v>
      </c>
      <c r="E1767" s="4" t="s">
        <v>14</v>
      </c>
      <c r="F1767" s="47">
        <v>0</v>
      </c>
      <c r="G1767" s="47">
        <v>0</v>
      </c>
      <c r="H1767" s="47">
        <v>0</v>
      </c>
      <c r="I1767" s="47">
        <v>0</v>
      </c>
      <c r="J1767" s="47">
        <f t="shared" si="506"/>
        <v>0</v>
      </c>
      <c r="K1767" s="47">
        <v>0</v>
      </c>
      <c r="L1767" s="47">
        <v>0</v>
      </c>
      <c r="M1767" s="893"/>
      <c r="N1767" s="20"/>
      <c r="O1767" s="20"/>
      <c r="P1767" s="20"/>
      <c r="Q1767" s="20"/>
      <c r="R1767" s="20"/>
    </row>
    <row r="1768" spans="1:18" s="103" customFormat="1" hidden="1" outlineLevel="1" x14ac:dyDescent="0.2">
      <c r="A1768" s="22" t="s">
        <v>1545</v>
      </c>
      <c r="B1768" s="2" t="s">
        <v>252</v>
      </c>
      <c r="C1768" s="2" t="s">
        <v>1259</v>
      </c>
      <c r="D1768" s="716">
        <v>1</v>
      </c>
      <c r="E1768" s="4" t="s">
        <v>15</v>
      </c>
      <c r="F1768" s="47">
        <v>0</v>
      </c>
      <c r="G1768" s="47">
        <v>0</v>
      </c>
      <c r="H1768" s="47">
        <v>0</v>
      </c>
      <c r="I1768" s="47">
        <v>0</v>
      </c>
      <c r="J1768" s="47">
        <f t="shared" si="506"/>
        <v>0</v>
      </c>
      <c r="K1768" s="47">
        <v>0</v>
      </c>
      <c r="L1768" s="47">
        <v>0</v>
      </c>
      <c r="M1768" s="893"/>
      <c r="N1768" s="20"/>
      <c r="O1768" s="20"/>
      <c r="P1768" s="20"/>
      <c r="Q1768" s="20"/>
      <c r="R1768" s="20"/>
    </row>
    <row r="1769" spans="1:18" s="103" customFormat="1" hidden="1" outlineLevel="1" x14ac:dyDescent="0.2">
      <c r="A1769" s="22" t="s">
        <v>1545</v>
      </c>
      <c r="B1769" s="2" t="s">
        <v>252</v>
      </c>
      <c r="C1769" s="2" t="s">
        <v>1259</v>
      </c>
      <c r="D1769" s="716">
        <v>1</v>
      </c>
      <c r="E1769" s="4" t="s">
        <v>16</v>
      </c>
      <c r="F1769" s="47">
        <v>0</v>
      </c>
      <c r="G1769" s="47">
        <v>0</v>
      </c>
      <c r="H1769" s="47">
        <v>0</v>
      </c>
      <c r="I1769" s="47">
        <v>0</v>
      </c>
      <c r="J1769" s="47">
        <f t="shared" si="506"/>
        <v>0</v>
      </c>
      <c r="K1769" s="47">
        <v>0</v>
      </c>
      <c r="L1769" s="47">
        <v>0</v>
      </c>
      <c r="M1769" s="893"/>
      <c r="N1769" s="20"/>
      <c r="O1769" s="20"/>
      <c r="P1769" s="20"/>
      <c r="Q1769" s="20"/>
      <c r="R1769" s="20"/>
    </row>
    <row r="1770" spans="1:18" s="103" customFormat="1" hidden="1" outlineLevel="1" x14ac:dyDescent="0.2">
      <c r="A1770" s="22" t="s">
        <v>1545</v>
      </c>
      <c r="B1770" s="2" t="s">
        <v>252</v>
      </c>
      <c r="C1770" s="2" t="s">
        <v>1259</v>
      </c>
      <c r="D1770" s="716">
        <v>1</v>
      </c>
      <c r="E1770" s="4" t="s">
        <v>17</v>
      </c>
      <c r="F1770" s="47">
        <v>0</v>
      </c>
      <c r="G1770" s="47">
        <v>0</v>
      </c>
      <c r="H1770" s="47">
        <v>0</v>
      </c>
      <c r="I1770" s="47">
        <v>0</v>
      </c>
      <c r="J1770" s="47">
        <f t="shared" si="506"/>
        <v>0</v>
      </c>
      <c r="K1770" s="47">
        <v>0</v>
      </c>
      <c r="L1770" s="47">
        <v>0</v>
      </c>
      <c r="M1770" s="893"/>
      <c r="N1770" s="20"/>
      <c r="O1770" s="20"/>
      <c r="P1770" s="20"/>
      <c r="Q1770" s="20"/>
      <c r="R1770" s="20"/>
    </row>
    <row r="1771" spans="1:18" s="103" customFormat="1" hidden="1" outlineLevel="1" x14ac:dyDescent="0.2">
      <c r="A1771" s="22" t="s">
        <v>1545</v>
      </c>
      <c r="B1771" s="2" t="s">
        <v>252</v>
      </c>
      <c r="C1771" s="2" t="s">
        <v>1259</v>
      </c>
      <c r="D1771" s="716">
        <v>1</v>
      </c>
      <c r="E1771" s="4" t="s">
        <v>18</v>
      </c>
      <c r="F1771" s="47">
        <v>1</v>
      </c>
      <c r="G1771" s="47">
        <v>1</v>
      </c>
      <c r="H1771" s="47">
        <v>1</v>
      </c>
      <c r="I1771" s="47">
        <v>1</v>
      </c>
      <c r="J1771" s="47">
        <f t="shared" si="506"/>
        <v>1</v>
      </c>
      <c r="K1771" s="47">
        <v>1</v>
      </c>
      <c r="L1771" s="47">
        <v>0</v>
      </c>
      <c r="M1771" s="893"/>
      <c r="N1771" s="20"/>
      <c r="O1771" s="20"/>
      <c r="P1771" s="20"/>
      <c r="Q1771" s="20"/>
      <c r="R1771" s="20"/>
    </row>
    <row r="1772" spans="1:18" s="103" customFormat="1" hidden="1" outlineLevel="1" x14ac:dyDescent="0.2">
      <c r="A1772" s="22" t="s">
        <v>1545</v>
      </c>
      <c r="B1772" s="2" t="s">
        <v>252</v>
      </c>
      <c r="C1772" s="2" t="s">
        <v>1259</v>
      </c>
      <c r="D1772" s="716">
        <v>1</v>
      </c>
      <c r="E1772" s="4" t="s">
        <v>2</v>
      </c>
      <c r="F1772" s="47">
        <v>0</v>
      </c>
      <c r="G1772" s="47">
        <v>0</v>
      </c>
      <c r="H1772" s="47">
        <v>0</v>
      </c>
      <c r="I1772" s="47">
        <v>0</v>
      </c>
      <c r="J1772" s="47">
        <f t="shared" si="506"/>
        <v>0</v>
      </c>
      <c r="K1772" s="47">
        <v>0</v>
      </c>
      <c r="L1772" s="47">
        <v>0</v>
      </c>
      <c r="M1772" s="893"/>
      <c r="N1772" s="20"/>
      <c r="O1772" s="20"/>
      <c r="P1772" s="20"/>
      <c r="Q1772" s="20"/>
      <c r="R1772" s="20"/>
    </row>
    <row r="1773" spans="1:18" s="103" customFormat="1" hidden="1" outlineLevel="1" x14ac:dyDescent="0.2">
      <c r="A1773" s="22" t="s">
        <v>1545</v>
      </c>
      <c r="B1773" s="2" t="s">
        <v>252</v>
      </c>
      <c r="C1773" s="2" t="s">
        <v>1259</v>
      </c>
      <c r="D1773" s="716">
        <v>1</v>
      </c>
      <c r="E1773" s="4" t="s">
        <v>19</v>
      </c>
      <c r="F1773" s="47">
        <v>0</v>
      </c>
      <c r="G1773" s="47">
        <v>0</v>
      </c>
      <c r="H1773" s="47">
        <v>0</v>
      </c>
      <c r="I1773" s="47">
        <v>0</v>
      </c>
      <c r="J1773" s="47">
        <f t="shared" si="506"/>
        <v>0</v>
      </c>
      <c r="K1773" s="47">
        <v>0</v>
      </c>
      <c r="L1773" s="47">
        <v>0</v>
      </c>
      <c r="M1773" s="893"/>
      <c r="N1773" s="20"/>
      <c r="O1773" s="20"/>
      <c r="P1773" s="20"/>
      <c r="Q1773" s="20"/>
      <c r="R1773" s="20"/>
    </row>
    <row r="1774" spans="1:18" s="103" customFormat="1" hidden="1" outlineLevel="1" x14ac:dyDescent="0.2">
      <c r="A1774" s="22" t="s">
        <v>1545</v>
      </c>
      <c r="B1774" s="2" t="s">
        <v>252</v>
      </c>
      <c r="C1774" s="2" t="s">
        <v>1259</v>
      </c>
      <c r="D1774" s="716">
        <v>1</v>
      </c>
      <c r="E1774" s="4" t="s">
        <v>3</v>
      </c>
      <c r="F1774" s="47">
        <v>0</v>
      </c>
      <c r="G1774" s="47">
        <v>0</v>
      </c>
      <c r="H1774" s="47">
        <v>0</v>
      </c>
      <c r="I1774" s="47">
        <v>0</v>
      </c>
      <c r="J1774" s="47">
        <f t="shared" si="506"/>
        <v>0</v>
      </c>
      <c r="K1774" s="47">
        <v>0</v>
      </c>
      <c r="L1774" s="47">
        <v>0</v>
      </c>
      <c r="M1774" s="893"/>
      <c r="N1774" s="20"/>
      <c r="O1774" s="20"/>
      <c r="P1774" s="20"/>
      <c r="Q1774" s="20"/>
      <c r="R1774" s="20"/>
    </row>
    <row r="1775" spans="1:18" s="103" customFormat="1" hidden="1" outlineLevel="1" x14ac:dyDescent="0.2">
      <c r="A1775" s="22" t="s">
        <v>1545</v>
      </c>
      <c r="B1775" s="2" t="s">
        <v>252</v>
      </c>
      <c r="C1775" s="2" t="s">
        <v>1259</v>
      </c>
      <c r="D1775" s="716">
        <v>1</v>
      </c>
      <c r="E1775" s="4" t="s">
        <v>20</v>
      </c>
      <c r="F1775" s="47">
        <v>0</v>
      </c>
      <c r="G1775" s="47">
        <v>0</v>
      </c>
      <c r="H1775" s="47">
        <v>0</v>
      </c>
      <c r="I1775" s="47">
        <v>0</v>
      </c>
      <c r="J1775" s="47">
        <f t="shared" si="506"/>
        <v>0</v>
      </c>
      <c r="K1775" s="47">
        <v>0</v>
      </c>
      <c r="L1775" s="47">
        <v>0</v>
      </c>
      <c r="M1775" s="893"/>
      <c r="N1775" s="20"/>
      <c r="O1775" s="20"/>
      <c r="P1775" s="20"/>
      <c r="Q1775" s="20"/>
      <c r="R1775" s="20"/>
    </row>
    <row r="1776" spans="1:18" s="103" customFormat="1" hidden="1" outlineLevel="1" x14ac:dyDescent="0.2">
      <c r="A1776" s="22" t="s">
        <v>1545</v>
      </c>
      <c r="B1776" s="2" t="s">
        <v>252</v>
      </c>
      <c r="C1776" s="2" t="s">
        <v>1259</v>
      </c>
      <c r="D1776" s="716">
        <v>1</v>
      </c>
      <c r="E1776" s="4" t="s">
        <v>21</v>
      </c>
      <c r="F1776" s="47">
        <v>0</v>
      </c>
      <c r="G1776" s="47">
        <v>0</v>
      </c>
      <c r="H1776" s="47">
        <v>0</v>
      </c>
      <c r="I1776" s="47">
        <v>0</v>
      </c>
      <c r="J1776" s="47">
        <f t="shared" si="506"/>
        <v>0</v>
      </c>
      <c r="K1776" s="47">
        <v>0</v>
      </c>
      <c r="L1776" s="47">
        <v>0</v>
      </c>
      <c r="M1776" s="893"/>
      <c r="N1776" s="20"/>
      <c r="O1776" s="20"/>
      <c r="P1776" s="20"/>
      <c r="Q1776" s="20"/>
      <c r="R1776" s="20"/>
    </row>
    <row r="1777" spans="1:18" s="103" customFormat="1" hidden="1" outlineLevel="1" x14ac:dyDescent="0.2">
      <c r="A1777" s="22" t="s">
        <v>1545</v>
      </c>
      <c r="B1777" s="2" t="s">
        <v>252</v>
      </c>
      <c r="C1777" s="2" t="s">
        <v>1259</v>
      </c>
      <c r="D1777" s="716">
        <v>1</v>
      </c>
      <c r="E1777" s="4" t="s">
        <v>1096</v>
      </c>
      <c r="F1777" s="47">
        <v>0</v>
      </c>
      <c r="G1777" s="47">
        <v>0</v>
      </c>
      <c r="H1777" s="47">
        <v>0</v>
      </c>
      <c r="I1777" s="47">
        <v>0</v>
      </c>
      <c r="J1777" s="47">
        <f t="shared" si="506"/>
        <v>0</v>
      </c>
      <c r="K1777" s="47">
        <v>0</v>
      </c>
      <c r="L1777" s="47">
        <v>0</v>
      </c>
      <c r="M1777" s="893"/>
      <c r="N1777" s="20"/>
      <c r="O1777" s="20"/>
      <c r="P1777" s="20"/>
      <c r="Q1777" s="20"/>
      <c r="R1777" s="20"/>
    </row>
    <row r="1778" spans="1:18" s="103" customFormat="1" hidden="1" outlineLevel="1" x14ac:dyDescent="0.2">
      <c r="A1778" s="22" t="s">
        <v>1545</v>
      </c>
      <c r="B1778" s="2" t="s">
        <v>252</v>
      </c>
      <c r="C1778" s="2" t="s">
        <v>1259</v>
      </c>
      <c r="D1778" s="716">
        <v>1</v>
      </c>
      <c r="E1778" s="4" t="s">
        <v>22</v>
      </c>
      <c r="F1778" s="47">
        <v>0</v>
      </c>
      <c r="G1778" s="47">
        <v>0</v>
      </c>
      <c r="H1778" s="47">
        <v>0</v>
      </c>
      <c r="I1778" s="47">
        <v>0</v>
      </c>
      <c r="J1778" s="47">
        <f t="shared" si="506"/>
        <v>0</v>
      </c>
      <c r="K1778" s="47">
        <v>0</v>
      </c>
      <c r="L1778" s="47">
        <v>0</v>
      </c>
      <c r="M1778" s="893"/>
      <c r="N1778" s="20"/>
      <c r="O1778" s="20"/>
      <c r="P1778" s="20"/>
      <c r="Q1778" s="20"/>
      <c r="R1778" s="20"/>
    </row>
    <row r="1779" spans="1:18" s="103" customFormat="1" hidden="1" outlineLevel="1" x14ac:dyDescent="0.2">
      <c r="A1779" s="22" t="s">
        <v>1545</v>
      </c>
      <c r="B1779" s="2" t="s">
        <v>252</v>
      </c>
      <c r="C1779" s="2" t="s">
        <v>1259</v>
      </c>
      <c r="D1779" s="717">
        <v>1</v>
      </c>
      <c r="E1779" s="4" t="s">
        <v>23</v>
      </c>
      <c r="F1779" s="48">
        <v>0</v>
      </c>
      <c r="G1779" s="48">
        <v>0</v>
      </c>
      <c r="H1779" s="48">
        <v>0</v>
      </c>
      <c r="I1779" s="48">
        <v>0</v>
      </c>
      <c r="J1779" s="48">
        <f t="shared" si="506"/>
        <v>0</v>
      </c>
      <c r="K1779" s="363">
        <v>0</v>
      </c>
      <c r="L1779" s="363">
        <v>0</v>
      </c>
      <c r="M1779" s="920"/>
      <c r="N1779" s="20"/>
      <c r="O1779" s="20"/>
      <c r="P1779" s="20"/>
      <c r="Q1779" s="20"/>
      <c r="R1779" s="20"/>
    </row>
    <row r="1780" spans="1:18" s="103" customFormat="1" hidden="1" outlineLevel="1" x14ac:dyDescent="0.2">
      <c r="A1780" s="92" t="s">
        <v>1545</v>
      </c>
      <c r="B1780" s="81" t="s">
        <v>252</v>
      </c>
      <c r="C1780" s="81" t="s">
        <v>1260</v>
      </c>
      <c r="D1780" s="715">
        <v>1</v>
      </c>
      <c r="E1780" s="468" t="s">
        <v>4</v>
      </c>
      <c r="F1780" s="380">
        <v>0</v>
      </c>
      <c r="G1780" s="89">
        <v>0</v>
      </c>
      <c r="H1780" s="89">
        <v>0</v>
      </c>
      <c r="I1780" s="89">
        <v>0</v>
      </c>
      <c r="J1780" s="89">
        <f t="shared" si="506"/>
        <v>0</v>
      </c>
      <c r="K1780" s="380">
        <v>0</v>
      </c>
      <c r="L1780" s="380">
        <v>0</v>
      </c>
      <c r="M1780" s="892"/>
      <c r="N1780" s="20"/>
      <c r="O1780" s="20"/>
      <c r="P1780" s="20"/>
      <c r="Q1780" s="20"/>
      <c r="R1780" s="20"/>
    </row>
    <row r="1781" spans="1:18" s="103" customFormat="1" hidden="1" outlineLevel="1" x14ac:dyDescent="0.2">
      <c r="A1781" s="22" t="s">
        <v>1545</v>
      </c>
      <c r="B1781" s="2" t="s">
        <v>252</v>
      </c>
      <c r="C1781" s="2" t="s">
        <v>1260</v>
      </c>
      <c r="D1781" s="716">
        <v>1</v>
      </c>
      <c r="E1781" s="4" t="s">
        <v>5</v>
      </c>
      <c r="F1781" s="47">
        <v>0</v>
      </c>
      <c r="G1781" s="47">
        <v>0</v>
      </c>
      <c r="H1781" s="47">
        <v>0</v>
      </c>
      <c r="I1781" s="47">
        <v>0</v>
      </c>
      <c r="J1781" s="47">
        <f t="shared" si="506"/>
        <v>0</v>
      </c>
      <c r="K1781" s="47">
        <v>0</v>
      </c>
      <c r="L1781" s="47">
        <v>0</v>
      </c>
      <c r="M1781" s="893"/>
      <c r="N1781" s="20"/>
      <c r="O1781" s="20"/>
      <c r="P1781" s="20"/>
      <c r="Q1781" s="20"/>
      <c r="R1781" s="20"/>
    </row>
    <row r="1782" spans="1:18" s="103" customFormat="1" hidden="1" outlineLevel="1" x14ac:dyDescent="0.2">
      <c r="A1782" s="22" t="s">
        <v>1545</v>
      </c>
      <c r="B1782" s="2" t="s">
        <v>252</v>
      </c>
      <c r="C1782" s="2" t="s">
        <v>1260</v>
      </c>
      <c r="D1782" s="716">
        <v>1</v>
      </c>
      <c r="E1782" s="4" t="s">
        <v>6</v>
      </c>
      <c r="F1782" s="47">
        <v>0</v>
      </c>
      <c r="G1782" s="47">
        <v>0</v>
      </c>
      <c r="H1782" s="47">
        <v>0</v>
      </c>
      <c r="I1782" s="47">
        <v>0</v>
      </c>
      <c r="J1782" s="47">
        <f t="shared" si="506"/>
        <v>0</v>
      </c>
      <c r="K1782" s="47">
        <v>0</v>
      </c>
      <c r="L1782" s="47">
        <v>0</v>
      </c>
      <c r="M1782" s="893"/>
      <c r="N1782" s="20"/>
      <c r="O1782" s="20"/>
      <c r="P1782" s="20"/>
      <c r="Q1782" s="20"/>
      <c r="R1782" s="20"/>
    </row>
    <row r="1783" spans="1:18" s="103" customFormat="1" hidden="1" outlineLevel="1" x14ac:dyDescent="0.2">
      <c r="A1783" s="22" t="s">
        <v>1545</v>
      </c>
      <c r="B1783" s="2" t="s">
        <v>252</v>
      </c>
      <c r="C1783" s="2" t="s">
        <v>1260</v>
      </c>
      <c r="D1783" s="716">
        <v>1</v>
      </c>
      <c r="E1783" s="4" t="s">
        <v>143</v>
      </c>
      <c r="F1783" s="47">
        <v>0</v>
      </c>
      <c r="G1783" s="47">
        <v>0</v>
      </c>
      <c r="H1783" s="47">
        <v>0</v>
      </c>
      <c r="I1783" s="47">
        <v>0</v>
      </c>
      <c r="J1783" s="47">
        <f t="shared" si="506"/>
        <v>0</v>
      </c>
      <c r="K1783" s="47">
        <v>0</v>
      </c>
      <c r="L1783" s="47">
        <v>0</v>
      </c>
      <c r="M1783" s="893"/>
      <c r="N1783" s="20"/>
      <c r="O1783" s="20"/>
      <c r="P1783" s="20"/>
      <c r="Q1783" s="20"/>
      <c r="R1783" s="20"/>
    </row>
    <row r="1784" spans="1:18" s="103" customFormat="1" hidden="1" outlineLevel="1" x14ac:dyDescent="0.2">
      <c r="A1784" s="22" t="s">
        <v>1545</v>
      </c>
      <c r="B1784" s="2" t="s">
        <v>252</v>
      </c>
      <c r="C1784" s="2" t="s">
        <v>1260</v>
      </c>
      <c r="D1784" s="716">
        <v>1</v>
      </c>
      <c r="E1784" s="4" t="s">
        <v>7</v>
      </c>
      <c r="F1784" s="47">
        <v>0</v>
      </c>
      <c r="G1784" s="47">
        <v>0</v>
      </c>
      <c r="H1784" s="47">
        <v>0</v>
      </c>
      <c r="I1784" s="47">
        <v>0</v>
      </c>
      <c r="J1784" s="47">
        <f t="shared" si="506"/>
        <v>0</v>
      </c>
      <c r="K1784" s="47">
        <v>0</v>
      </c>
      <c r="L1784" s="47">
        <v>0</v>
      </c>
      <c r="M1784" s="893"/>
      <c r="N1784" s="20"/>
      <c r="O1784" s="20"/>
      <c r="P1784" s="20"/>
      <c r="Q1784" s="20"/>
      <c r="R1784" s="20"/>
    </row>
    <row r="1785" spans="1:18" s="103" customFormat="1" hidden="1" outlineLevel="1" x14ac:dyDescent="0.2">
      <c r="A1785" s="22" t="s">
        <v>1545</v>
      </c>
      <c r="B1785" s="2" t="s">
        <v>252</v>
      </c>
      <c r="C1785" s="2" t="s">
        <v>1260</v>
      </c>
      <c r="D1785" s="716">
        <v>1</v>
      </c>
      <c r="E1785" s="4" t="s">
        <v>31</v>
      </c>
      <c r="F1785" s="47">
        <v>1</v>
      </c>
      <c r="G1785" s="47">
        <v>1</v>
      </c>
      <c r="H1785" s="47">
        <v>1</v>
      </c>
      <c r="I1785" s="47">
        <v>1</v>
      </c>
      <c r="J1785" s="47">
        <f t="shared" si="506"/>
        <v>1</v>
      </c>
      <c r="K1785" s="47">
        <v>1</v>
      </c>
      <c r="L1785" s="47">
        <v>1</v>
      </c>
      <c r="M1785" s="893"/>
      <c r="N1785" s="20"/>
      <c r="O1785" s="20"/>
      <c r="P1785" s="20"/>
      <c r="Q1785" s="20"/>
      <c r="R1785" s="20"/>
    </row>
    <row r="1786" spans="1:18" s="103" customFormat="1" hidden="1" outlineLevel="1" x14ac:dyDescent="0.2">
      <c r="A1786" s="22" t="s">
        <v>1545</v>
      </c>
      <c r="B1786" s="2" t="s">
        <v>252</v>
      </c>
      <c r="C1786" s="2" t="s">
        <v>1260</v>
      </c>
      <c r="D1786" s="716">
        <v>1</v>
      </c>
      <c r="E1786" s="4" t="s">
        <v>8</v>
      </c>
      <c r="F1786" s="47">
        <v>0</v>
      </c>
      <c r="G1786" s="47">
        <v>0</v>
      </c>
      <c r="H1786" s="47">
        <v>0</v>
      </c>
      <c r="I1786" s="47">
        <v>0</v>
      </c>
      <c r="J1786" s="47">
        <f t="shared" si="506"/>
        <v>0</v>
      </c>
      <c r="K1786" s="47">
        <v>0</v>
      </c>
      <c r="L1786" s="47">
        <v>0</v>
      </c>
      <c r="M1786" s="893"/>
      <c r="N1786" s="20"/>
      <c r="O1786" s="20"/>
      <c r="P1786" s="20"/>
      <c r="Q1786" s="20"/>
      <c r="R1786" s="20"/>
    </row>
    <row r="1787" spans="1:18" s="103" customFormat="1" hidden="1" outlineLevel="1" x14ac:dyDescent="0.2">
      <c r="A1787" s="22" t="s">
        <v>1545</v>
      </c>
      <c r="B1787" s="2" t="s">
        <v>252</v>
      </c>
      <c r="C1787" s="2" t="s">
        <v>1260</v>
      </c>
      <c r="D1787" s="716">
        <v>1</v>
      </c>
      <c r="E1787" s="4" t="s">
        <v>9</v>
      </c>
      <c r="F1787" s="47">
        <v>0</v>
      </c>
      <c r="G1787" s="47">
        <v>0</v>
      </c>
      <c r="H1787" s="47">
        <v>0</v>
      </c>
      <c r="I1787" s="47">
        <v>0</v>
      </c>
      <c r="J1787" s="47">
        <f t="shared" si="506"/>
        <v>0</v>
      </c>
      <c r="K1787" s="47">
        <v>0</v>
      </c>
      <c r="L1787" s="47">
        <v>0</v>
      </c>
      <c r="M1787" s="893"/>
      <c r="N1787" s="20"/>
      <c r="O1787" s="20"/>
      <c r="P1787" s="20"/>
      <c r="Q1787" s="20"/>
      <c r="R1787" s="20"/>
    </row>
    <row r="1788" spans="1:18" s="103" customFormat="1" hidden="1" outlineLevel="1" x14ac:dyDescent="0.2">
      <c r="A1788" s="22" t="s">
        <v>1545</v>
      </c>
      <c r="B1788" s="2" t="s">
        <v>252</v>
      </c>
      <c r="C1788" s="2" t="s">
        <v>1260</v>
      </c>
      <c r="D1788" s="716">
        <v>1</v>
      </c>
      <c r="E1788" s="4" t="s">
        <v>10</v>
      </c>
      <c r="F1788" s="47">
        <v>0</v>
      </c>
      <c r="G1788" s="47">
        <v>0</v>
      </c>
      <c r="H1788" s="47">
        <v>0</v>
      </c>
      <c r="I1788" s="47">
        <v>0</v>
      </c>
      <c r="J1788" s="47">
        <f t="shared" si="506"/>
        <v>0</v>
      </c>
      <c r="K1788" s="47">
        <v>0</v>
      </c>
      <c r="L1788" s="47">
        <v>0</v>
      </c>
      <c r="M1788" s="893"/>
      <c r="N1788" s="20"/>
      <c r="O1788" s="20"/>
      <c r="P1788" s="20"/>
      <c r="Q1788" s="20"/>
      <c r="R1788" s="20"/>
    </row>
    <row r="1789" spans="1:18" s="103" customFormat="1" hidden="1" outlineLevel="1" x14ac:dyDescent="0.2">
      <c r="A1789" s="22" t="s">
        <v>1545</v>
      </c>
      <c r="B1789" s="2" t="s">
        <v>252</v>
      </c>
      <c r="C1789" s="2" t="s">
        <v>1260</v>
      </c>
      <c r="D1789" s="716">
        <v>1</v>
      </c>
      <c r="E1789" s="4" t="s">
        <v>11</v>
      </c>
      <c r="F1789" s="47">
        <v>0</v>
      </c>
      <c r="G1789" s="47">
        <v>0</v>
      </c>
      <c r="H1789" s="47">
        <v>0</v>
      </c>
      <c r="I1789" s="47">
        <v>0</v>
      </c>
      <c r="J1789" s="47">
        <f t="shared" ref="J1789:J1852" si="534">K1789</f>
        <v>0</v>
      </c>
      <c r="K1789" s="47">
        <v>0</v>
      </c>
      <c r="L1789" s="47">
        <v>0</v>
      </c>
      <c r="M1789" s="893"/>
      <c r="N1789" s="20"/>
      <c r="O1789" s="20"/>
      <c r="P1789" s="20"/>
      <c r="Q1789" s="20"/>
      <c r="R1789" s="20"/>
    </row>
    <row r="1790" spans="1:18" s="103" customFormat="1" hidden="1" outlineLevel="1" x14ac:dyDescent="0.2">
      <c r="A1790" s="22" t="s">
        <v>1545</v>
      </c>
      <c r="B1790" s="2" t="s">
        <v>252</v>
      </c>
      <c r="C1790" s="2" t="s">
        <v>1260</v>
      </c>
      <c r="D1790" s="716">
        <v>1</v>
      </c>
      <c r="E1790" s="4" t="s">
        <v>12</v>
      </c>
      <c r="F1790" s="47">
        <v>0</v>
      </c>
      <c r="G1790" s="47">
        <v>0</v>
      </c>
      <c r="H1790" s="47">
        <v>0</v>
      </c>
      <c r="I1790" s="47">
        <v>0</v>
      </c>
      <c r="J1790" s="47">
        <f t="shared" si="534"/>
        <v>0</v>
      </c>
      <c r="K1790" s="47">
        <v>0</v>
      </c>
      <c r="L1790" s="47">
        <v>0</v>
      </c>
      <c r="M1790" s="893"/>
      <c r="N1790" s="20"/>
      <c r="O1790" s="20"/>
      <c r="P1790" s="20"/>
      <c r="Q1790" s="20"/>
      <c r="R1790" s="20"/>
    </row>
    <row r="1791" spans="1:18" s="103" customFormat="1" hidden="1" outlineLevel="1" x14ac:dyDescent="0.2">
      <c r="A1791" s="22" t="s">
        <v>1545</v>
      </c>
      <c r="B1791" s="2" t="s">
        <v>252</v>
      </c>
      <c r="C1791" s="2" t="s">
        <v>1260</v>
      </c>
      <c r="D1791" s="716">
        <v>1</v>
      </c>
      <c r="E1791" s="4" t="s">
        <v>1</v>
      </c>
      <c r="F1791" s="47">
        <v>0</v>
      </c>
      <c r="G1791" s="47">
        <v>0</v>
      </c>
      <c r="H1791" s="47">
        <v>0</v>
      </c>
      <c r="I1791" s="47">
        <v>0</v>
      </c>
      <c r="J1791" s="47">
        <f t="shared" si="534"/>
        <v>0</v>
      </c>
      <c r="K1791" s="47">
        <v>0</v>
      </c>
      <c r="L1791" s="47">
        <v>0</v>
      </c>
      <c r="M1791" s="893"/>
      <c r="N1791" s="20"/>
      <c r="O1791" s="20"/>
      <c r="P1791" s="20"/>
      <c r="Q1791" s="20"/>
      <c r="R1791" s="20"/>
    </row>
    <row r="1792" spans="1:18" s="103" customFormat="1" hidden="1" outlineLevel="1" x14ac:dyDescent="0.2">
      <c r="A1792" s="22" t="s">
        <v>1545</v>
      </c>
      <c r="B1792" s="2" t="s">
        <v>252</v>
      </c>
      <c r="C1792" s="2" t="s">
        <v>1260</v>
      </c>
      <c r="D1792" s="716">
        <v>1</v>
      </c>
      <c r="E1792" s="4" t="s">
        <v>13</v>
      </c>
      <c r="F1792" s="47">
        <v>0</v>
      </c>
      <c r="G1792" s="47">
        <v>0</v>
      </c>
      <c r="H1792" s="47">
        <v>0</v>
      </c>
      <c r="I1792" s="47">
        <v>0</v>
      </c>
      <c r="J1792" s="47">
        <f t="shared" si="534"/>
        <v>0</v>
      </c>
      <c r="K1792" s="47">
        <v>0</v>
      </c>
      <c r="L1792" s="47">
        <v>0</v>
      </c>
      <c r="M1792" s="893"/>
      <c r="N1792" s="20"/>
      <c r="O1792" s="20"/>
      <c r="P1792" s="20"/>
      <c r="Q1792" s="20"/>
      <c r="R1792" s="20"/>
    </row>
    <row r="1793" spans="1:18" s="103" customFormat="1" hidden="1" outlineLevel="1" x14ac:dyDescent="0.2">
      <c r="A1793" s="22" t="s">
        <v>1545</v>
      </c>
      <c r="B1793" s="2" t="s">
        <v>252</v>
      </c>
      <c r="C1793" s="2" t="s">
        <v>1260</v>
      </c>
      <c r="D1793" s="716">
        <v>1</v>
      </c>
      <c r="E1793" s="4" t="s">
        <v>14</v>
      </c>
      <c r="F1793" s="47">
        <v>0</v>
      </c>
      <c r="G1793" s="47">
        <v>0</v>
      </c>
      <c r="H1793" s="47">
        <v>0</v>
      </c>
      <c r="I1793" s="47">
        <v>0</v>
      </c>
      <c r="J1793" s="47">
        <f t="shared" si="534"/>
        <v>0</v>
      </c>
      <c r="K1793" s="47">
        <v>0</v>
      </c>
      <c r="L1793" s="47">
        <v>0</v>
      </c>
      <c r="M1793" s="893"/>
      <c r="N1793" s="20"/>
      <c r="O1793" s="20"/>
      <c r="P1793" s="20"/>
      <c r="Q1793" s="20"/>
      <c r="R1793" s="20"/>
    </row>
    <row r="1794" spans="1:18" s="103" customFormat="1" hidden="1" outlineLevel="1" x14ac:dyDescent="0.2">
      <c r="A1794" s="22" t="s">
        <v>1545</v>
      </c>
      <c r="B1794" s="2" t="s">
        <v>252</v>
      </c>
      <c r="C1794" s="2" t="s">
        <v>1260</v>
      </c>
      <c r="D1794" s="716">
        <v>1</v>
      </c>
      <c r="E1794" s="4" t="s">
        <v>15</v>
      </c>
      <c r="F1794" s="47">
        <v>1</v>
      </c>
      <c r="G1794" s="47">
        <v>1</v>
      </c>
      <c r="H1794" s="47">
        <v>1</v>
      </c>
      <c r="I1794" s="47">
        <v>1</v>
      </c>
      <c r="J1794" s="47">
        <f t="shared" si="534"/>
        <v>1</v>
      </c>
      <c r="K1794" s="47">
        <v>1</v>
      </c>
      <c r="L1794" s="47">
        <v>1</v>
      </c>
      <c r="M1794" s="893"/>
      <c r="N1794" s="20"/>
      <c r="O1794" s="20"/>
      <c r="P1794" s="20"/>
      <c r="Q1794" s="20"/>
      <c r="R1794" s="20"/>
    </row>
    <row r="1795" spans="1:18" s="103" customFormat="1" hidden="1" outlineLevel="1" x14ac:dyDescent="0.2">
      <c r="A1795" s="22" t="s">
        <v>1545</v>
      </c>
      <c r="B1795" s="2" t="s">
        <v>252</v>
      </c>
      <c r="C1795" s="2" t="s">
        <v>1260</v>
      </c>
      <c r="D1795" s="716">
        <v>1</v>
      </c>
      <c r="E1795" s="4" t="s">
        <v>16</v>
      </c>
      <c r="F1795" s="47">
        <v>0</v>
      </c>
      <c r="G1795" s="47">
        <v>0</v>
      </c>
      <c r="H1795" s="47">
        <v>0</v>
      </c>
      <c r="I1795" s="47">
        <v>0</v>
      </c>
      <c r="J1795" s="47">
        <f t="shared" si="534"/>
        <v>0</v>
      </c>
      <c r="K1795" s="47">
        <v>0</v>
      </c>
      <c r="L1795" s="47">
        <v>0</v>
      </c>
      <c r="M1795" s="893"/>
      <c r="N1795" s="20"/>
      <c r="O1795" s="20"/>
      <c r="P1795" s="20"/>
      <c r="Q1795" s="20"/>
      <c r="R1795" s="20"/>
    </row>
    <row r="1796" spans="1:18" s="103" customFormat="1" hidden="1" outlineLevel="1" x14ac:dyDescent="0.2">
      <c r="A1796" s="22" t="s">
        <v>1545</v>
      </c>
      <c r="B1796" s="2" t="s">
        <v>252</v>
      </c>
      <c r="C1796" s="2" t="s">
        <v>1260</v>
      </c>
      <c r="D1796" s="716">
        <v>1</v>
      </c>
      <c r="E1796" s="4" t="s">
        <v>17</v>
      </c>
      <c r="F1796" s="47">
        <v>0</v>
      </c>
      <c r="G1796" s="47">
        <v>0</v>
      </c>
      <c r="H1796" s="47">
        <v>0</v>
      </c>
      <c r="I1796" s="47">
        <v>0</v>
      </c>
      <c r="J1796" s="47">
        <f t="shared" si="534"/>
        <v>0</v>
      </c>
      <c r="K1796" s="47">
        <v>0</v>
      </c>
      <c r="L1796" s="47">
        <v>0</v>
      </c>
      <c r="M1796" s="893"/>
      <c r="N1796" s="20"/>
      <c r="O1796" s="20"/>
      <c r="P1796" s="20"/>
      <c r="Q1796" s="20"/>
      <c r="R1796" s="20"/>
    </row>
    <row r="1797" spans="1:18" s="103" customFormat="1" hidden="1" outlineLevel="1" x14ac:dyDescent="0.2">
      <c r="A1797" s="22" t="s">
        <v>1545</v>
      </c>
      <c r="B1797" s="2" t="s">
        <v>252</v>
      </c>
      <c r="C1797" s="2" t="s">
        <v>1260</v>
      </c>
      <c r="D1797" s="716">
        <v>1</v>
      </c>
      <c r="E1797" s="4" t="s">
        <v>18</v>
      </c>
      <c r="F1797" s="47">
        <v>1</v>
      </c>
      <c r="G1797" s="47">
        <v>1</v>
      </c>
      <c r="H1797" s="47">
        <v>1</v>
      </c>
      <c r="I1797" s="47">
        <v>1</v>
      </c>
      <c r="J1797" s="47">
        <f t="shared" si="534"/>
        <v>1</v>
      </c>
      <c r="K1797" s="47">
        <v>1</v>
      </c>
      <c r="L1797" s="47">
        <v>1</v>
      </c>
      <c r="M1797" s="893"/>
      <c r="N1797" s="20"/>
      <c r="O1797" s="20"/>
      <c r="P1797" s="20"/>
      <c r="Q1797" s="20"/>
      <c r="R1797" s="20"/>
    </row>
    <row r="1798" spans="1:18" s="103" customFormat="1" hidden="1" outlineLevel="1" x14ac:dyDescent="0.2">
      <c r="A1798" s="22" t="s">
        <v>1545</v>
      </c>
      <c r="B1798" s="2" t="s">
        <v>252</v>
      </c>
      <c r="C1798" s="2" t="s">
        <v>1260</v>
      </c>
      <c r="D1798" s="716">
        <v>1</v>
      </c>
      <c r="E1798" s="4" t="s">
        <v>2</v>
      </c>
      <c r="F1798" s="47">
        <v>0</v>
      </c>
      <c r="G1798" s="47">
        <v>0</v>
      </c>
      <c r="H1798" s="47">
        <v>0</v>
      </c>
      <c r="I1798" s="47">
        <v>0</v>
      </c>
      <c r="J1798" s="47">
        <f t="shared" si="534"/>
        <v>0</v>
      </c>
      <c r="K1798" s="47">
        <v>0</v>
      </c>
      <c r="L1798" s="47">
        <v>0</v>
      </c>
      <c r="M1798" s="893"/>
      <c r="N1798" s="20"/>
      <c r="O1798" s="20"/>
      <c r="P1798" s="20"/>
      <c r="Q1798" s="20"/>
      <c r="R1798" s="20"/>
    </row>
    <row r="1799" spans="1:18" s="103" customFormat="1" hidden="1" outlineLevel="1" x14ac:dyDescent="0.2">
      <c r="A1799" s="22" t="s">
        <v>1545</v>
      </c>
      <c r="B1799" s="2" t="s">
        <v>252</v>
      </c>
      <c r="C1799" s="2" t="s">
        <v>1260</v>
      </c>
      <c r="D1799" s="716">
        <v>1</v>
      </c>
      <c r="E1799" s="4" t="s">
        <v>19</v>
      </c>
      <c r="F1799" s="47">
        <v>0</v>
      </c>
      <c r="G1799" s="47">
        <v>0</v>
      </c>
      <c r="H1799" s="47">
        <v>0</v>
      </c>
      <c r="I1799" s="47">
        <v>0</v>
      </c>
      <c r="J1799" s="47">
        <f t="shared" si="534"/>
        <v>0</v>
      </c>
      <c r="K1799" s="47">
        <v>0</v>
      </c>
      <c r="L1799" s="47">
        <v>0</v>
      </c>
      <c r="M1799" s="893"/>
      <c r="N1799" s="20"/>
      <c r="O1799" s="20"/>
      <c r="P1799" s="20"/>
      <c r="Q1799" s="20"/>
      <c r="R1799" s="20"/>
    </row>
    <row r="1800" spans="1:18" s="103" customFormat="1" hidden="1" outlineLevel="1" x14ac:dyDescent="0.2">
      <c r="A1800" s="22" t="s">
        <v>1545</v>
      </c>
      <c r="B1800" s="2" t="s">
        <v>252</v>
      </c>
      <c r="C1800" s="2" t="s">
        <v>1260</v>
      </c>
      <c r="D1800" s="716">
        <v>1</v>
      </c>
      <c r="E1800" s="4" t="s">
        <v>3</v>
      </c>
      <c r="F1800" s="47">
        <v>0</v>
      </c>
      <c r="G1800" s="47">
        <v>0</v>
      </c>
      <c r="H1800" s="47">
        <v>0</v>
      </c>
      <c r="I1800" s="47">
        <v>0</v>
      </c>
      <c r="J1800" s="47">
        <f t="shared" si="534"/>
        <v>0</v>
      </c>
      <c r="K1800" s="47">
        <v>0</v>
      </c>
      <c r="L1800" s="47">
        <v>0</v>
      </c>
      <c r="M1800" s="893"/>
      <c r="N1800" s="20"/>
      <c r="O1800" s="20"/>
      <c r="P1800" s="20"/>
      <c r="Q1800" s="20"/>
      <c r="R1800" s="20"/>
    </row>
    <row r="1801" spans="1:18" s="103" customFormat="1" hidden="1" outlineLevel="1" x14ac:dyDescent="0.2">
      <c r="A1801" s="22" t="s">
        <v>1545</v>
      </c>
      <c r="B1801" s="2" t="s">
        <v>252</v>
      </c>
      <c r="C1801" s="2" t="s">
        <v>1260</v>
      </c>
      <c r="D1801" s="716">
        <v>1</v>
      </c>
      <c r="E1801" s="4" t="s">
        <v>20</v>
      </c>
      <c r="F1801" s="47">
        <v>0</v>
      </c>
      <c r="G1801" s="47">
        <v>0</v>
      </c>
      <c r="H1801" s="47">
        <v>0</v>
      </c>
      <c r="I1801" s="47">
        <v>0</v>
      </c>
      <c r="J1801" s="47">
        <f t="shared" si="534"/>
        <v>0</v>
      </c>
      <c r="K1801" s="47">
        <v>0</v>
      </c>
      <c r="L1801" s="47">
        <v>0</v>
      </c>
      <c r="M1801" s="893"/>
      <c r="N1801" s="20"/>
      <c r="O1801" s="20"/>
      <c r="P1801" s="20"/>
      <c r="Q1801" s="20"/>
      <c r="R1801" s="20"/>
    </row>
    <row r="1802" spans="1:18" s="103" customFormat="1" hidden="1" outlineLevel="1" x14ac:dyDescent="0.2">
      <c r="A1802" s="22" t="s">
        <v>1545</v>
      </c>
      <c r="B1802" s="2" t="s">
        <v>252</v>
      </c>
      <c r="C1802" s="2" t="s">
        <v>1260</v>
      </c>
      <c r="D1802" s="716">
        <v>1</v>
      </c>
      <c r="E1802" s="4" t="s">
        <v>21</v>
      </c>
      <c r="F1802" s="47">
        <v>0</v>
      </c>
      <c r="G1802" s="47">
        <v>0</v>
      </c>
      <c r="H1802" s="47">
        <v>0</v>
      </c>
      <c r="I1802" s="47">
        <v>0</v>
      </c>
      <c r="J1802" s="47">
        <f t="shared" si="534"/>
        <v>0</v>
      </c>
      <c r="K1802" s="47">
        <v>0</v>
      </c>
      <c r="L1802" s="47">
        <v>0</v>
      </c>
      <c r="M1802" s="893"/>
      <c r="N1802" s="20"/>
      <c r="O1802" s="20"/>
      <c r="P1802" s="20"/>
      <c r="Q1802" s="20"/>
      <c r="R1802" s="20"/>
    </row>
    <row r="1803" spans="1:18" s="103" customFormat="1" hidden="1" outlineLevel="1" x14ac:dyDescent="0.2">
      <c r="A1803" s="22" t="s">
        <v>1545</v>
      </c>
      <c r="B1803" s="2" t="s">
        <v>252</v>
      </c>
      <c r="C1803" s="2" t="s">
        <v>1260</v>
      </c>
      <c r="D1803" s="716">
        <v>1</v>
      </c>
      <c r="E1803" s="4" t="s">
        <v>1096</v>
      </c>
      <c r="F1803" s="47">
        <v>0</v>
      </c>
      <c r="G1803" s="47">
        <v>0</v>
      </c>
      <c r="H1803" s="47">
        <v>0</v>
      </c>
      <c r="I1803" s="47">
        <v>0</v>
      </c>
      <c r="J1803" s="47">
        <f t="shared" si="534"/>
        <v>0</v>
      </c>
      <c r="K1803" s="47">
        <v>0</v>
      </c>
      <c r="L1803" s="47">
        <v>0</v>
      </c>
      <c r="M1803" s="893"/>
      <c r="N1803" s="20"/>
      <c r="O1803" s="20"/>
      <c r="P1803" s="20"/>
      <c r="Q1803" s="20"/>
      <c r="R1803" s="20"/>
    </row>
    <row r="1804" spans="1:18" s="103" customFormat="1" hidden="1" outlineLevel="1" x14ac:dyDescent="0.2">
      <c r="A1804" s="22" t="s">
        <v>1545</v>
      </c>
      <c r="B1804" s="2" t="s">
        <v>252</v>
      </c>
      <c r="C1804" s="2" t="s">
        <v>1260</v>
      </c>
      <c r="D1804" s="716">
        <v>1</v>
      </c>
      <c r="E1804" s="4" t="s">
        <v>22</v>
      </c>
      <c r="F1804" s="47">
        <v>0</v>
      </c>
      <c r="G1804" s="47">
        <v>0</v>
      </c>
      <c r="H1804" s="47">
        <v>0</v>
      </c>
      <c r="I1804" s="47">
        <v>0</v>
      </c>
      <c r="J1804" s="47">
        <f t="shared" si="534"/>
        <v>0</v>
      </c>
      <c r="K1804" s="47">
        <v>0</v>
      </c>
      <c r="L1804" s="47">
        <v>0</v>
      </c>
      <c r="M1804" s="893"/>
      <c r="N1804" s="20"/>
      <c r="O1804" s="20"/>
      <c r="P1804" s="20"/>
      <c r="Q1804" s="20"/>
      <c r="R1804" s="20"/>
    </row>
    <row r="1805" spans="1:18" s="103" customFormat="1" hidden="1" outlineLevel="1" x14ac:dyDescent="0.2">
      <c r="A1805" s="22" t="s">
        <v>1545</v>
      </c>
      <c r="B1805" s="2" t="s">
        <v>252</v>
      </c>
      <c r="C1805" s="2" t="s">
        <v>1260</v>
      </c>
      <c r="D1805" s="717">
        <v>1</v>
      </c>
      <c r="E1805" s="4" t="s">
        <v>23</v>
      </c>
      <c r="F1805" s="48">
        <v>0</v>
      </c>
      <c r="G1805" s="48">
        <v>0</v>
      </c>
      <c r="H1805" s="48">
        <v>0</v>
      </c>
      <c r="I1805" s="48">
        <v>0</v>
      </c>
      <c r="J1805" s="48">
        <f t="shared" si="534"/>
        <v>0</v>
      </c>
      <c r="K1805" s="363">
        <v>0</v>
      </c>
      <c r="L1805" s="363">
        <v>0</v>
      </c>
      <c r="M1805" s="920"/>
      <c r="N1805" s="20"/>
      <c r="O1805" s="20"/>
      <c r="P1805" s="20"/>
      <c r="Q1805" s="20"/>
      <c r="R1805" s="20"/>
    </row>
    <row r="1806" spans="1:18" s="103" customFormat="1" hidden="1" outlineLevel="1" x14ac:dyDescent="0.2">
      <c r="A1806" s="92" t="s">
        <v>1545</v>
      </c>
      <c r="B1806" s="81" t="s">
        <v>252</v>
      </c>
      <c r="C1806" s="81" t="s">
        <v>1261</v>
      </c>
      <c r="D1806" s="715">
        <v>1</v>
      </c>
      <c r="E1806" s="468" t="s">
        <v>4</v>
      </c>
      <c r="F1806" s="380">
        <v>1</v>
      </c>
      <c r="G1806" s="89">
        <v>1</v>
      </c>
      <c r="H1806" s="89">
        <v>1</v>
      </c>
      <c r="I1806" s="89">
        <v>1</v>
      </c>
      <c r="J1806" s="89">
        <f t="shared" si="534"/>
        <v>1</v>
      </c>
      <c r="K1806" s="380">
        <v>1</v>
      </c>
      <c r="L1806" s="380">
        <v>0</v>
      </c>
      <c r="M1806" s="892"/>
      <c r="N1806" s="20"/>
      <c r="O1806" s="20"/>
      <c r="P1806" s="20"/>
      <c r="Q1806" s="20"/>
      <c r="R1806" s="20"/>
    </row>
    <row r="1807" spans="1:18" s="103" customFormat="1" hidden="1" outlineLevel="1" x14ac:dyDescent="0.2">
      <c r="A1807" s="22" t="s">
        <v>1545</v>
      </c>
      <c r="B1807" s="2" t="s">
        <v>252</v>
      </c>
      <c r="C1807" s="2" t="s">
        <v>1261</v>
      </c>
      <c r="D1807" s="716">
        <v>1</v>
      </c>
      <c r="E1807" s="4" t="s">
        <v>5</v>
      </c>
      <c r="F1807" s="47">
        <v>0</v>
      </c>
      <c r="G1807" s="47">
        <v>0</v>
      </c>
      <c r="H1807" s="47">
        <v>0</v>
      </c>
      <c r="I1807" s="47">
        <v>0</v>
      </c>
      <c r="J1807" s="47">
        <f t="shared" si="534"/>
        <v>0</v>
      </c>
      <c r="K1807" s="47">
        <v>0</v>
      </c>
      <c r="L1807" s="47">
        <v>0</v>
      </c>
      <c r="M1807" s="893"/>
      <c r="N1807" s="20"/>
      <c r="O1807" s="20"/>
      <c r="P1807" s="20"/>
      <c r="Q1807" s="20"/>
      <c r="R1807" s="20"/>
    </row>
    <row r="1808" spans="1:18" s="103" customFormat="1" hidden="1" outlineLevel="1" x14ac:dyDescent="0.2">
      <c r="A1808" s="22" t="s">
        <v>1545</v>
      </c>
      <c r="B1808" s="2" t="s">
        <v>252</v>
      </c>
      <c r="C1808" s="2" t="s">
        <v>1261</v>
      </c>
      <c r="D1808" s="716">
        <v>1</v>
      </c>
      <c r="E1808" s="4" t="s">
        <v>6</v>
      </c>
      <c r="F1808" s="47">
        <v>0</v>
      </c>
      <c r="G1808" s="47">
        <v>0</v>
      </c>
      <c r="H1808" s="47">
        <v>0</v>
      </c>
      <c r="I1808" s="47">
        <v>0</v>
      </c>
      <c r="J1808" s="47">
        <f t="shared" si="534"/>
        <v>0</v>
      </c>
      <c r="K1808" s="47">
        <v>0</v>
      </c>
      <c r="L1808" s="47">
        <v>0</v>
      </c>
      <c r="M1808" s="893"/>
      <c r="N1808" s="20"/>
      <c r="O1808" s="20"/>
      <c r="P1808" s="20"/>
      <c r="Q1808" s="20"/>
      <c r="R1808" s="20"/>
    </row>
    <row r="1809" spans="1:18" s="103" customFormat="1" hidden="1" outlineLevel="1" x14ac:dyDescent="0.2">
      <c r="A1809" s="22" t="s">
        <v>1545</v>
      </c>
      <c r="B1809" s="2" t="s">
        <v>252</v>
      </c>
      <c r="C1809" s="2" t="s">
        <v>1261</v>
      </c>
      <c r="D1809" s="716">
        <v>1</v>
      </c>
      <c r="E1809" s="4" t="s">
        <v>143</v>
      </c>
      <c r="F1809" s="47">
        <v>0</v>
      </c>
      <c r="G1809" s="47">
        <v>0</v>
      </c>
      <c r="H1809" s="47">
        <v>0</v>
      </c>
      <c r="I1809" s="47">
        <v>0</v>
      </c>
      <c r="J1809" s="47">
        <f t="shared" si="534"/>
        <v>0</v>
      </c>
      <c r="K1809" s="47">
        <v>0</v>
      </c>
      <c r="L1809" s="47">
        <v>0</v>
      </c>
      <c r="M1809" s="893"/>
      <c r="N1809" s="20"/>
      <c r="O1809" s="20"/>
      <c r="P1809" s="20"/>
      <c r="Q1809" s="20"/>
      <c r="R1809" s="20"/>
    </row>
    <row r="1810" spans="1:18" s="103" customFormat="1" hidden="1" outlineLevel="1" x14ac:dyDescent="0.2">
      <c r="A1810" s="22" t="s">
        <v>1545</v>
      </c>
      <c r="B1810" s="2" t="s">
        <v>252</v>
      </c>
      <c r="C1810" s="2" t="s">
        <v>1261</v>
      </c>
      <c r="D1810" s="716">
        <v>1</v>
      </c>
      <c r="E1810" s="4" t="s">
        <v>7</v>
      </c>
      <c r="F1810" s="47">
        <v>0</v>
      </c>
      <c r="G1810" s="47">
        <v>0</v>
      </c>
      <c r="H1810" s="47">
        <v>0</v>
      </c>
      <c r="I1810" s="47">
        <v>0</v>
      </c>
      <c r="J1810" s="47">
        <f t="shared" si="534"/>
        <v>0</v>
      </c>
      <c r="K1810" s="47">
        <v>0</v>
      </c>
      <c r="L1810" s="47">
        <v>0</v>
      </c>
      <c r="M1810" s="893"/>
      <c r="N1810" s="20"/>
      <c r="O1810" s="20"/>
      <c r="P1810" s="20"/>
      <c r="Q1810" s="20"/>
      <c r="R1810" s="20"/>
    </row>
    <row r="1811" spans="1:18" s="103" customFormat="1" hidden="1" outlineLevel="1" x14ac:dyDescent="0.2">
      <c r="A1811" s="22" t="s">
        <v>1545</v>
      </c>
      <c r="B1811" s="2" t="s">
        <v>252</v>
      </c>
      <c r="C1811" s="2" t="s">
        <v>1261</v>
      </c>
      <c r="D1811" s="716">
        <v>1</v>
      </c>
      <c r="E1811" s="4" t="s">
        <v>31</v>
      </c>
      <c r="F1811" s="47">
        <v>1</v>
      </c>
      <c r="G1811" s="47">
        <v>1</v>
      </c>
      <c r="H1811" s="47">
        <v>1</v>
      </c>
      <c r="I1811" s="47">
        <v>1</v>
      </c>
      <c r="J1811" s="47">
        <f t="shared" si="534"/>
        <v>1</v>
      </c>
      <c r="K1811" s="47">
        <v>1</v>
      </c>
      <c r="L1811" s="47">
        <v>0</v>
      </c>
      <c r="M1811" s="893"/>
      <c r="N1811" s="20"/>
      <c r="O1811" s="20"/>
      <c r="P1811" s="20"/>
      <c r="Q1811" s="20"/>
      <c r="R1811" s="20"/>
    </row>
    <row r="1812" spans="1:18" s="103" customFormat="1" hidden="1" outlineLevel="1" x14ac:dyDescent="0.2">
      <c r="A1812" s="22" t="s">
        <v>1545</v>
      </c>
      <c r="B1812" s="2" t="s">
        <v>252</v>
      </c>
      <c r="C1812" s="2" t="s">
        <v>1261</v>
      </c>
      <c r="D1812" s="716">
        <v>1</v>
      </c>
      <c r="E1812" s="4" t="s">
        <v>8</v>
      </c>
      <c r="F1812" s="47">
        <v>0</v>
      </c>
      <c r="G1812" s="47">
        <v>0</v>
      </c>
      <c r="H1812" s="47">
        <v>0</v>
      </c>
      <c r="I1812" s="47">
        <v>0</v>
      </c>
      <c r="J1812" s="47">
        <f t="shared" si="534"/>
        <v>0</v>
      </c>
      <c r="K1812" s="47">
        <v>0</v>
      </c>
      <c r="L1812" s="47">
        <v>0</v>
      </c>
      <c r="M1812" s="893"/>
      <c r="N1812" s="20"/>
      <c r="O1812" s="20"/>
      <c r="P1812" s="20"/>
      <c r="Q1812" s="20"/>
      <c r="R1812" s="20"/>
    </row>
    <row r="1813" spans="1:18" s="103" customFormat="1" hidden="1" outlineLevel="1" x14ac:dyDescent="0.2">
      <c r="A1813" s="22" t="s">
        <v>1545</v>
      </c>
      <c r="B1813" s="2" t="s">
        <v>252</v>
      </c>
      <c r="C1813" s="2" t="s">
        <v>1261</v>
      </c>
      <c r="D1813" s="716">
        <v>1</v>
      </c>
      <c r="E1813" s="4" t="s">
        <v>9</v>
      </c>
      <c r="F1813" s="47">
        <v>0</v>
      </c>
      <c r="G1813" s="47">
        <v>0</v>
      </c>
      <c r="H1813" s="47">
        <v>0</v>
      </c>
      <c r="I1813" s="47">
        <v>0</v>
      </c>
      <c r="J1813" s="47">
        <f t="shared" si="534"/>
        <v>0</v>
      </c>
      <c r="K1813" s="47">
        <v>0</v>
      </c>
      <c r="L1813" s="47">
        <v>0</v>
      </c>
      <c r="M1813" s="893"/>
      <c r="N1813" s="20"/>
      <c r="O1813" s="20"/>
      <c r="P1813" s="20"/>
      <c r="Q1813" s="20"/>
      <c r="R1813" s="20"/>
    </row>
    <row r="1814" spans="1:18" s="103" customFormat="1" hidden="1" outlineLevel="1" x14ac:dyDescent="0.2">
      <c r="A1814" s="22" t="s">
        <v>1545</v>
      </c>
      <c r="B1814" s="2" t="s">
        <v>252</v>
      </c>
      <c r="C1814" s="2" t="s">
        <v>1261</v>
      </c>
      <c r="D1814" s="716">
        <v>1</v>
      </c>
      <c r="E1814" s="4" t="s">
        <v>10</v>
      </c>
      <c r="F1814" s="47">
        <v>0</v>
      </c>
      <c r="G1814" s="47">
        <v>0</v>
      </c>
      <c r="H1814" s="47">
        <v>0</v>
      </c>
      <c r="I1814" s="47">
        <v>0</v>
      </c>
      <c r="J1814" s="47">
        <f t="shared" si="534"/>
        <v>0</v>
      </c>
      <c r="K1814" s="47">
        <v>0</v>
      </c>
      <c r="L1814" s="47">
        <v>0</v>
      </c>
      <c r="M1814" s="893"/>
      <c r="N1814" s="20"/>
      <c r="O1814" s="20"/>
      <c r="P1814" s="20"/>
      <c r="Q1814" s="20"/>
      <c r="R1814" s="20"/>
    </row>
    <row r="1815" spans="1:18" s="103" customFormat="1" hidden="1" outlineLevel="1" x14ac:dyDescent="0.2">
      <c r="A1815" s="22" t="s">
        <v>1545</v>
      </c>
      <c r="B1815" s="2" t="s">
        <v>252</v>
      </c>
      <c r="C1815" s="2" t="s">
        <v>1261</v>
      </c>
      <c r="D1815" s="716">
        <v>1</v>
      </c>
      <c r="E1815" s="4" t="s">
        <v>11</v>
      </c>
      <c r="F1815" s="47">
        <v>0</v>
      </c>
      <c r="G1815" s="47">
        <v>0</v>
      </c>
      <c r="H1815" s="47">
        <v>0</v>
      </c>
      <c r="I1815" s="47">
        <v>0</v>
      </c>
      <c r="J1815" s="47">
        <f t="shared" si="534"/>
        <v>0</v>
      </c>
      <c r="K1815" s="47">
        <v>0</v>
      </c>
      <c r="L1815" s="47">
        <v>0</v>
      </c>
      <c r="M1815" s="893"/>
      <c r="N1815" s="20"/>
      <c r="O1815" s="20"/>
      <c r="P1815" s="20"/>
      <c r="Q1815" s="20"/>
      <c r="R1815" s="20"/>
    </row>
    <row r="1816" spans="1:18" s="103" customFormat="1" hidden="1" outlineLevel="1" x14ac:dyDescent="0.2">
      <c r="A1816" s="22" t="s">
        <v>1545</v>
      </c>
      <c r="B1816" s="2" t="s">
        <v>252</v>
      </c>
      <c r="C1816" s="2" t="s">
        <v>1261</v>
      </c>
      <c r="D1816" s="716">
        <v>1</v>
      </c>
      <c r="E1816" s="4" t="s">
        <v>12</v>
      </c>
      <c r="F1816" s="47">
        <v>0</v>
      </c>
      <c r="G1816" s="47">
        <v>0</v>
      </c>
      <c r="H1816" s="47">
        <v>0</v>
      </c>
      <c r="I1816" s="47">
        <v>0</v>
      </c>
      <c r="J1816" s="47">
        <f t="shared" si="534"/>
        <v>0</v>
      </c>
      <c r="K1816" s="47">
        <v>0</v>
      </c>
      <c r="L1816" s="47">
        <v>0</v>
      </c>
      <c r="M1816" s="893"/>
      <c r="N1816" s="20"/>
      <c r="O1816" s="20"/>
      <c r="P1816" s="20"/>
      <c r="Q1816" s="20"/>
      <c r="R1816" s="20"/>
    </row>
    <row r="1817" spans="1:18" s="103" customFormat="1" hidden="1" outlineLevel="1" x14ac:dyDescent="0.2">
      <c r="A1817" s="22" t="s">
        <v>1545</v>
      </c>
      <c r="B1817" s="2" t="s">
        <v>252</v>
      </c>
      <c r="C1817" s="2" t="s">
        <v>1261</v>
      </c>
      <c r="D1817" s="716">
        <v>1</v>
      </c>
      <c r="E1817" s="4" t="s">
        <v>1</v>
      </c>
      <c r="F1817" s="47">
        <v>0</v>
      </c>
      <c r="G1817" s="47">
        <v>0</v>
      </c>
      <c r="H1817" s="47">
        <v>0</v>
      </c>
      <c r="I1817" s="47">
        <v>0</v>
      </c>
      <c r="J1817" s="47">
        <f t="shared" si="534"/>
        <v>0</v>
      </c>
      <c r="K1817" s="47">
        <v>0</v>
      </c>
      <c r="L1817" s="47">
        <v>0</v>
      </c>
      <c r="M1817" s="893"/>
      <c r="N1817" s="20"/>
      <c r="O1817" s="20"/>
      <c r="P1817" s="20"/>
      <c r="Q1817" s="20"/>
      <c r="R1817" s="20"/>
    </row>
    <row r="1818" spans="1:18" s="103" customFormat="1" hidden="1" outlineLevel="1" x14ac:dyDescent="0.2">
      <c r="A1818" s="22" t="s">
        <v>1545</v>
      </c>
      <c r="B1818" s="2" t="s">
        <v>252</v>
      </c>
      <c r="C1818" s="2" t="s">
        <v>1261</v>
      </c>
      <c r="D1818" s="716">
        <v>1</v>
      </c>
      <c r="E1818" s="4" t="s">
        <v>13</v>
      </c>
      <c r="F1818" s="47">
        <v>1</v>
      </c>
      <c r="G1818" s="47">
        <v>1</v>
      </c>
      <c r="H1818" s="47">
        <v>1</v>
      </c>
      <c r="I1818" s="47">
        <v>1</v>
      </c>
      <c r="J1818" s="47">
        <f t="shared" si="534"/>
        <v>1</v>
      </c>
      <c r="K1818" s="47">
        <v>1</v>
      </c>
      <c r="L1818" s="47">
        <v>0</v>
      </c>
      <c r="M1818" s="893"/>
      <c r="N1818" s="20"/>
      <c r="O1818" s="20"/>
      <c r="P1818" s="20"/>
      <c r="Q1818" s="20"/>
      <c r="R1818" s="20"/>
    </row>
    <row r="1819" spans="1:18" s="103" customFormat="1" hidden="1" outlineLevel="1" x14ac:dyDescent="0.2">
      <c r="A1819" s="22" t="s">
        <v>1545</v>
      </c>
      <c r="B1819" s="2" t="s">
        <v>252</v>
      </c>
      <c r="C1819" s="2" t="s">
        <v>1261</v>
      </c>
      <c r="D1819" s="716">
        <v>1</v>
      </c>
      <c r="E1819" s="4" t="s">
        <v>14</v>
      </c>
      <c r="F1819" s="47">
        <v>0</v>
      </c>
      <c r="G1819" s="47">
        <v>0</v>
      </c>
      <c r="H1819" s="47">
        <v>0</v>
      </c>
      <c r="I1819" s="47">
        <v>0</v>
      </c>
      <c r="J1819" s="47">
        <f t="shared" si="534"/>
        <v>0</v>
      </c>
      <c r="K1819" s="47">
        <v>0</v>
      </c>
      <c r="L1819" s="47">
        <v>0</v>
      </c>
      <c r="M1819" s="893"/>
      <c r="N1819" s="20"/>
      <c r="O1819" s="20"/>
      <c r="P1819" s="20"/>
      <c r="Q1819" s="20"/>
      <c r="R1819" s="20"/>
    </row>
    <row r="1820" spans="1:18" s="103" customFormat="1" hidden="1" outlineLevel="1" x14ac:dyDescent="0.2">
      <c r="A1820" s="22" t="s">
        <v>1545</v>
      </c>
      <c r="B1820" s="2" t="s">
        <v>252</v>
      </c>
      <c r="C1820" s="2" t="s">
        <v>1261</v>
      </c>
      <c r="D1820" s="716">
        <v>1</v>
      </c>
      <c r="E1820" s="4" t="s">
        <v>15</v>
      </c>
      <c r="F1820" s="47">
        <v>1</v>
      </c>
      <c r="G1820" s="47">
        <v>1</v>
      </c>
      <c r="H1820" s="47">
        <v>1</v>
      </c>
      <c r="I1820" s="47">
        <v>1</v>
      </c>
      <c r="J1820" s="47">
        <f t="shared" si="534"/>
        <v>1</v>
      </c>
      <c r="K1820" s="47">
        <v>1</v>
      </c>
      <c r="L1820" s="47">
        <v>0</v>
      </c>
      <c r="M1820" s="893"/>
      <c r="N1820" s="20"/>
      <c r="O1820" s="20"/>
      <c r="P1820" s="20"/>
      <c r="Q1820" s="20"/>
      <c r="R1820" s="20"/>
    </row>
    <row r="1821" spans="1:18" s="103" customFormat="1" hidden="1" outlineLevel="1" x14ac:dyDescent="0.2">
      <c r="A1821" s="22" t="s">
        <v>1545</v>
      </c>
      <c r="B1821" s="2" t="s">
        <v>252</v>
      </c>
      <c r="C1821" s="2" t="s">
        <v>1261</v>
      </c>
      <c r="D1821" s="716">
        <v>1</v>
      </c>
      <c r="E1821" s="4" t="s">
        <v>16</v>
      </c>
      <c r="F1821" s="47">
        <v>0</v>
      </c>
      <c r="G1821" s="47">
        <v>0</v>
      </c>
      <c r="H1821" s="47">
        <v>0</v>
      </c>
      <c r="I1821" s="47">
        <v>0</v>
      </c>
      <c r="J1821" s="47">
        <f t="shared" si="534"/>
        <v>0</v>
      </c>
      <c r="K1821" s="47">
        <v>0</v>
      </c>
      <c r="L1821" s="47">
        <v>0</v>
      </c>
      <c r="M1821" s="893"/>
      <c r="N1821" s="20"/>
      <c r="O1821" s="20"/>
      <c r="P1821" s="20"/>
      <c r="Q1821" s="20"/>
      <c r="R1821" s="20"/>
    </row>
    <row r="1822" spans="1:18" s="103" customFormat="1" hidden="1" outlineLevel="1" x14ac:dyDescent="0.2">
      <c r="A1822" s="22" t="s">
        <v>1545</v>
      </c>
      <c r="B1822" s="2" t="s">
        <v>252</v>
      </c>
      <c r="C1822" s="2" t="s">
        <v>1261</v>
      </c>
      <c r="D1822" s="716">
        <v>1</v>
      </c>
      <c r="E1822" s="4" t="s">
        <v>17</v>
      </c>
      <c r="F1822" s="47">
        <v>0</v>
      </c>
      <c r="G1822" s="47">
        <v>0</v>
      </c>
      <c r="H1822" s="47">
        <v>0</v>
      </c>
      <c r="I1822" s="47">
        <v>0</v>
      </c>
      <c r="J1822" s="47">
        <f t="shared" si="534"/>
        <v>0</v>
      </c>
      <c r="K1822" s="47">
        <v>0</v>
      </c>
      <c r="L1822" s="47">
        <v>0</v>
      </c>
      <c r="M1822" s="893"/>
      <c r="N1822" s="20"/>
      <c r="O1822" s="20"/>
      <c r="P1822" s="20"/>
      <c r="Q1822" s="20"/>
      <c r="R1822" s="20"/>
    </row>
    <row r="1823" spans="1:18" s="103" customFormat="1" hidden="1" outlineLevel="1" x14ac:dyDescent="0.2">
      <c r="A1823" s="22" t="s">
        <v>1545</v>
      </c>
      <c r="B1823" s="2" t="s">
        <v>252</v>
      </c>
      <c r="C1823" s="2" t="s">
        <v>1261</v>
      </c>
      <c r="D1823" s="716">
        <v>1</v>
      </c>
      <c r="E1823" s="4" t="s">
        <v>18</v>
      </c>
      <c r="F1823" s="47">
        <v>1</v>
      </c>
      <c r="G1823" s="47">
        <v>1</v>
      </c>
      <c r="H1823" s="47">
        <v>1</v>
      </c>
      <c r="I1823" s="47">
        <v>1</v>
      </c>
      <c r="J1823" s="47">
        <f t="shared" si="534"/>
        <v>1</v>
      </c>
      <c r="K1823" s="47">
        <v>1</v>
      </c>
      <c r="L1823" s="47">
        <v>1</v>
      </c>
      <c r="M1823" s="893"/>
      <c r="N1823" s="20"/>
      <c r="O1823" s="20"/>
      <c r="P1823" s="20"/>
      <c r="Q1823" s="20"/>
      <c r="R1823" s="20"/>
    </row>
    <row r="1824" spans="1:18" s="103" customFormat="1" hidden="1" outlineLevel="1" x14ac:dyDescent="0.2">
      <c r="A1824" s="22" t="s">
        <v>1545</v>
      </c>
      <c r="B1824" s="2" t="s">
        <v>252</v>
      </c>
      <c r="C1824" s="2" t="s">
        <v>1261</v>
      </c>
      <c r="D1824" s="716">
        <v>1</v>
      </c>
      <c r="E1824" s="4" t="s">
        <v>2</v>
      </c>
      <c r="F1824" s="47">
        <v>0</v>
      </c>
      <c r="G1824" s="47">
        <v>0</v>
      </c>
      <c r="H1824" s="47">
        <v>0</v>
      </c>
      <c r="I1824" s="47">
        <v>0</v>
      </c>
      <c r="J1824" s="47">
        <f t="shared" si="534"/>
        <v>0</v>
      </c>
      <c r="K1824" s="47">
        <v>0</v>
      </c>
      <c r="L1824" s="47">
        <v>0</v>
      </c>
      <c r="M1824" s="893"/>
      <c r="N1824" s="20"/>
      <c r="O1824" s="20"/>
      <c r="P1824" s="20"/>
      <c r="Q1824" s="20"/>
      <c r="R1824" s="20"/>
    </row>
    <row r="1825" spans="1:18" s="103" customFormat="1" hidden="1" outlineLevel="1" x14ac:dyDescent="0.2">
      <c r="A1825" s="22" t="s">
        <v>1545</v>
      </c>
      <c r="B1825" s="2" t="s">
        <v>252</v>
      </c>
      <c r="C1825" s="2" t="s">
        <v>1261</v>
      </c>
      <c r="D1825" s="716">
        <v>1</v>
      </c>
      <c r="E1825" s="4" t="s">
        <v>19</v>
      </c>
      <c r="F1825" s="47">
        <v>0</v>
      </c>
      <c r="G1825" s="47">
        <v>0</v>
      </c>
      <c r="H1825" s="47">
        <v>0</v>
      </c>
      <c r="I1825" s="47">
        <v>0</v>
      </c>
      <c r="J1825" s="47">
        <f t="shared" si="534"/>
        <v>0</v>
      </c>
      <c r="K1825" s="47">
        <v>0</v>
      </c>
      <c r="L1825" s="47">
        <v>0</v>
      </c>
      <c r="M1825" s="893"/>
      <c r="N1825" s="20"/>
      <c r="O1825" s="20"/>
      <c r="P1825" s="20"/>
      <c r="Q1825" s="20"/>
      <c r="R1825" s="20"/>
    </row>
    <row r="1826" spans="1:18" s="103" customFormat="1" hidden="1" outlineLevel="1" x14ac:dyDescent="0.2">
      <c r="A1826" s="22" t="s">
        <v>1545</v>
      </c>
      <c r="B1826" s="2" t="s">
        <v>252</v>
      </c>
      <c r="C1826" s="2" t="s">
        <v>1261</v>
      </c>
      <c r="D1826" s="716">
        <v>1</v>
      </c>
      <c r="E1826" s="4" t="s">
        <v>3</v>
      </c>
      <c r="F1826" s="47">
        <v>0</v>
      </c>
      <c r="G1826" s="47">
        <v>0</v>
      </c>
      <c r="H1826" s="47">
        <v>0</v>
      </c>
      <c r="I1826" s="47">
        <v>0</v>
      </c>
      <c r="J1826" s="47">
        <f t="shared" si="534"/>
        <v>0</v>
      </c>
      <c r="K1826" s="47">
        <v>0</v>
      </c>
      <c r="L1826" s="47">
        <v>0</v>
      </c>
      <c r="M1826" s="893"/>
      <c r="N1826" s="20"/>
      <c r="O1826" s="20"/>
      <c r="P1826" s="20"/>
      <c r="Q1826" s="20"/>
      <c r="R1826" s="20"/>
    </row>
    <row r="1827" spans="1:18" s="103" customFormat="1" hidden="1" outlineLevel="1" x14ac:dyDescent="0.2">
      <c r="A1827" s="22" t="s">
        <v>1545</v>
      </c>
      <c r="B1827" s="2" t="s">
        <v>252</v>
      </c>
      <c r="C1827" s="2" t="s">
        <v>1261</v>
      </c>
      <c r="D1827" s="716">
        <v>1</v>
      </c>
      <c r="E1827" s="4" t="s">
        <v>20</v>
      </c>
      <c r="F1827" s="47">
        <v>1</v>
      </c>
      <c r="G1827" s="47">
        <v>1</v>
      </c>
      <c r="H1827" s="47">
        <v>1</v>
      </c>
      <c r="I1827" s="47">
        <v>1</v>
      </c>
      <c r="J1827" s="47">
        <f t="shared" si="534"/>
        <v>1</v>
      </c>
      <c r="K1827" s="47">
        <v>1</v>
      </c>
      <c r="L1827" s="47">
        <v>0</v>
      </c>
      <c r="M1827" s="893"/>
      <c r="N1827" s="20"/>
      <c r="O1827" s="20"/>
      <c r="P1827" s="20"/>
      <c r="Q1827" s="20"/>
      <c r="R1827" s="20"/>
    </row>
    <row r="1828" spans="1:18" s="103" customFormat="1" hidden="1" outlineLevel="1" x14ac:dyDescent="0.2">
      <c r="A1828" s="22" t="s">
        <v>1545</v>
      </c>
      <c r="B1828" s="2" t="s">
        <v>252</v>
      </c>
      <c r="C1828" s="2" t="s">
        <v>1261</v>
      </c>
      <c r="D1828" s="716">
        <v>1</v>
      </c>
      <c r="E1828" s="4" t="s">
        <v>21</v>
      </c>
      <c r="F1828" s="47">
        <v>0</v>
      </c>
      <c r="G1828" s="47">
        <v>0</v>
      </c>
      <c r="H1828" s="47">
        <v>0</v>
      </c>
      <c r="I1828" s="47">
        <v>0</v>
      </c>
      <c r="J1828" s="47">
        <f t="shared" si="534"/>
        <v>0</v>
      </c>
      <c r="K1828" s="47">
        <v>0</v>
      </c>
      <c r="L1828" s="47">
        <v>0</v>
      </c>
      <c r="M1828" s="893"/>
      <c r="N1828" s="20"/>
      <c r="O1828" s="20"/>
      <c r="P1828" s="20"/>
      <c r="Q1828" s="20"/>
      <c r="R1828" s="20"/>
    </row>
    <row r="1829" spans="1:18" s="103" customFormat="1" hidden="1" outlineLevel="1" x14ac:dyDescent="0.2">
      <c r="A1829" s="22" t="s">
        <v>1545</v>
      </c>
      <c r="B1829" s="2" t="s">
        <v>252</v>
      </c>
      <c r="C1829" s="2" t="s">
        <v>1261</v>
      </c>
      <c r="D1829" s="716">
        <v>1</v>
      </c>
      <c r="E1829" s="4" t="s">
        <v>1096</v>
      </c>
      <c r="F1829" s="47">
        <v>0</v>
      </c>
      <c r="G1829" s="47">
        <v>0</v>
      </c>
      <c r="H1829" s="47">
        <v>0</v>
      </c>
      <c r="I1829" s="47">
        <v>0</v>
      </c>
      <c r="J1829" s="47">
        <f t="shared" si="534"/>
        <v>0</v>
      </c>
      <c r="K1829" s="47">
        <v>0</v>
      </c>
      <c r="L1829" s="47">
        <v>0</v>
      </c>
      <c r="M1829" s="893"/>
      <c r="N1829" s="20"/>
      <c r="O1829" s="20"/>
      <c r="P1829" s="20"/>
      <c r="Q1829" s="20"/>
      <c r="R1829" s="20"/>
    </row>
    <row r="1830" spans="1:18" s="103" customFormat="1" hidden="1" outlineLevel="1" x14ac:dyDescent="0.2">
      <c r="A1830" s="22" t="s">
        <v>1545</v>
      </c>
      <c r="B1830" s="2" t="s">
        <v>252</v>
      </c>
      <c r="C1830" s="2" t="s">
        <v>1261</v>
      </c>
      <c r="D1830" s="716">
        <v>1</v>
      </c>
      <c r="E1830" s="4" t="s">
        <v>22</v>
      </c>
      <c r="F1830" s="47">
        <v>0</v>
      </c>
      <c r="G1830" s="47">
        <v>0</v>
      </c>
      <c r="H1830" s="47">
        <v>0</v>
      </c>
      <c r="I1830" s="47">
        <v>0</v>
      </c>
      <c r="J1830" s="47">
        <f t="shared" si="534"/>
        <v>0</v>
      </c>
      <c r="K1830" s="47">
        <v>0</v>
      </c>
      <c r="L1830" s="47">
        <v>0</v>
      </c>
      <c r="M1830" s="893"/>
      <c r="N1830" s="20"/>
      <c r="O1830" s="20"/>
      <c r="P1830" s="20"/>
      <c r="Q1830" s="20"/>
      <c r="R1830" s="20"/>
    </row>
    <row r="1831" spans="1:18" s="103" customFormat="1" hidden="1" outlineLevel="1" x14ac:dyDescent="0.2">
      <c r="A1831" s="22" t="s">
        <v>1545</v>
      </c>
      <c r="B1831" s="2" t="s">
        <v>252</v>
      </c>
      <c r="C1831" s="2" t="s">
        <v>1261</v>
      </c>
      <c r="D1831" s="717">
        <v>1</v>
      </c>
      <c r="E1831" s="4" t="s">
        <v>23</v>
      </c>
      <c r="F1831" s="48">
        <v>0</v>
      </c>
      <c r="G1831" s="48">
        <v>0</v>
      </c>
      <c r="H1831" s="48">
        <v>0</v>
      </c>
      <c r="I1831" s="48">
        <v>0</v>
      </c>
      <c r="J1831" s="48">
        <f t="shared" si="534"/>
        <v>0</v>
      </c>
      <c r="K1831" s="363">
        <v>0</v>
      </c>
      <c r="L1831" s="363">
        <v>0</v>
      </c>
      <c r="M1831" s="920"/>
      <c r="N1831" s="20"/>
      <c r="O1831" s="20"/>
      <c r="P1831" s="20"/>
      <c r="Q1831" s="20"/>
      <c r="R1831" s="20"/>
    </row>
    <row r="1832" spans="1:18" s="103" customFormat="1" hidden="1" outlineLevel="1" x14ac:dyDescent="0.2">
      <c r="A1832" s="92" t="s">
        <v>1545</v>
      </c>
      <c r="B1832" s="81" t="s">
        <v>252</v>
      </c>
      <c r="C1832" s="81" t="s">
        <v>1262</v>
      </c>
      <c r="D1832" s="715">
        <v>1</v>
      </c>
      <c r="E1832" s="468" t="s">
        <v>4</v>
      </c>
      <c r="F1832" s="380">
        <v>1</v>
      </c>
      <c r="G1832" s="89">
        <v>1</v>
      </c>
      <c r="H1832" s="89">
        <v>1</v>
      </c>
      <c r="I1832" s="89">
        <v>1</v>
      </c>
      <c r="J1832" s="89">
        <f t="shared" si="534"/>
        <v>1</v>
      </c>
      <c r="K1832" s="380">
        <v>1</v>
      </c>
      <c r="L1832" s="380">
        <v>1</v>
      </c>
      <c r="M1832" s="892"/>
      <c r="N1832" s="20"/>
      <c r="O1832" s="20"/>
      <c r="P1832" s="20"/>
      <c r="Q1832" s="20"/>
      <c r="R1832" s="20"/>
    </row>
    <row r="1833" spans="1:18" s="103" customFormat="1" hidden="1" outlineLevel="1" x14ac:dyDescent="0.2">
      <c r="A1833" s="22" t="s">
        <v>1545</v>
      </c>
      <c r="B1833" s="2" t="s">
        <v>252</v>
      </c>
      <c r="C1833" s="2" t="s">
        <v>1262</v>
      </c>
      <c r="D1833" s="716">
        <v>1</v>
      </c>
      <c r="E1833" s="4" t="s">
        <v>5</v>
      </c>
      <c r="F1833" s="47">
        <v>0</v>
      </c>
      <c r="G1833" s="47">
        <v>0</v>
      </c>
      <c r="H1833" s="47">
        <v>0</v>
      </c>
      <c r="I1833" s="47">
        <v>0</v>
      </c>
      <c r="J1833" s="47">
        <f t="shared" si="534"/>
        <v>0</v>
      </c>
      <c r="K1833" s="47">
        <v>0</v>
      </c>
      <c r="L1833" s="47">
        <v>0</v>
      </c>
      <c r="M1833" s="893"/>
      <c r="N1833" s="20"/>
      <c r="O1833" s="20"/>
      <c r="P1833" s="20"/>
      <c r="Q1833" s="20"/>
      <c r="R1833" s="20"/>
    </row>
    <row r="1834" spans="1:18" s="103" customFormat="1" hidden="1" outlineLevel="1" x14ac:dyDescent="0.2">
      <c r="A1834" s="22" t="s">
        <v>1545</v>
      </c>
      <c r="B1834" s="2" t="s">
        <v>252</v>
      </c>
      <c r="C1834" s="2" t="s">
        <v>1262</v>
      </c>
      <c r="D1834" s="716">
        <v>1</v>
      </c>
      <c r="E1834" s="4" t="s">
        <v>6</v>
      </c>
      <c r="F1834" s="47">
        <v>0</v>
      </c>
      <c r="G1834" s="47">
        <v>0</v>
      </c>
      <c r="H1834" s="47">
        <v>0</v>
      </c>
      <c r="I1834" s="47">
        <v>0</v>
      </c>
      <c r="J1834" s="47">
        <f t="shared" si="534"/>
        <v>0</v>
      </c>
      <c r="K1834" s="47">
        <v>0</v>
      </c>
      <c r="L1834" s="47">
        <v>0</v>
      </c>
      <c r="M1834" s="893"/>
      <c r="N1834" s="20"/>
      <c r="O1834" s="20"/>
      <c r="P1834" s="20"/>
      <c r="Q1834" s="20"/>
      <c r="R1834" s="20"/>
    </row>
    <row r="1835" spans="1:18" s="103" customFormat="1" hidden="1" outlineLevel="1" x14ac:dyDescent="0.2">
      <c r="A1835" s="22" t="s">
        <v>1545</v>
      </c>
      <c r="B1835" s="2" t="s">
        <v>252</v>
      </c>
      <c r="C1835" s="2" t="s">
        <v>1262</v>
      </c>
      <c r="D1835" s="716">
        <v>1</v>
      </c>
      <c r="E1835" s="4" t="s">
        <v>143</v>
      </c>
      <c r="F1835" s="47">
        <v>0</v>
      </c>
      <c r="G1835" s="47">
        <v>0</v>
      </c>
      <c r="H1835" s="47">
        <v>0</v>
      </c>
      <c r="I1835" s="47">
        <v>0</v>
      </c>
      <c r="J1835" s="47">
        <f t="shared" si="534"/>
        <v>0</v>
      </c>
      <c r="K1835" s="47">
        <v>0</v>
      </c>
      <c r="L1835" s="47">
        <v>0</v>
      </c>
      <c r="M1835" s="893"/>
      <c r="N1835" s="20"/>
      <c r="O1835" s="20"/>
      <c r="P1835" s="20"/>
      <c r="Q1835" s="20"/>
      <c r="R1835" s="20"/>
    </row>
    <row r="1836" spans="1:18" s="103" customFormat="1" hidden="1" outlineLevel="1" x14ac:dyDescent="0.2">
      <c r="A1836" s="22" t="s">
        <v>1545</v>
      </c>
      <c r="B1836" s="2" t="s">
        <v>252</v>
      </c>
      <c r="C1836" s="2" t="s">
        <v>1262</v>
      </c>
      <c r="D1836" s="716">
        <v>1</v>
      </c>
      <c r="E1836" s="4" t="s">
        <v>7</v>
      </c>
      <c r="F1836" s="47">
        <v>0</v>
      </c>
      <c r="G1836" s="47">
        <v>0</v>
      </c>
      <c r="H1836" s="47">
        <v>0</v>
      </c>
      <c r="I1836" s="47">
        <v>0</v>
      </c>
      <c r="J1836" s="47">
        <f t="shared" si="534"/>
        <v>0</v>
      </c>
      <c r="K1836" s="47">
        <v>0</v>
      </c>
      <c r="L1836" s="47">
        <v>0</v>
      </c>
      <c r="M1836" s="893"/>
      <c r="N1836" s="20"/>
      <c r="O1836" s="20"/>
      <c r="P1836" s="20"/>
      <c r="Q1836" s="20"/>
      <c r="R1836" s="20"/>
    </row>
    <row r="1837" spans="1:18" s="103" customFormat="1" hidden="1" outlineLevel="1" x14ac:dyDescent="0.2">
      <c r="A1837" s="22" t="s">
        <v>1545</v>
      </c>
      <c r="B1837" s="2" t="s">
        <v>252</v>
      </c>
      <c r="C1837" s="2" t="s">
        <v>1262</v>
      </c>
      <c r="D1837" s="716">
        <v>1</v>
      </c>
      <c r="E1837" s="4" t="s">
        <v>31</v>
      </c>
      <c r="F1837" s="47">
        <v>1</v>
      </c>
      <c r="G1837" s="47">
        <v>1</v>
      </c>
      <c r="H1837" s="47">
        <v>1</v>
      </c>
      <c r="I1837" s="47">
        <v>1</v>
      </c>
      <c r="J1837" s="47">
        <f t="shared" si="534"/>
        <v>1</v>
      </c>
      <c r="K1837" s="47">
        <v>1</v>
      </c>
      <c r="L1837" s="47">
        <v>1</v>
      </c>
      <c r="M1837" s="893"/>
      <c r="N1837" s="20"/>
      <c r="O1837" s="20"/>
      <c r="P1837" s="20"/>
      <c r="Q1837" s="20"/>
      <c r="R1837" s="20"/>
    </row>
    <row r="1838" spans="1:18" s="103" customFormat="1" hidden="1" outlineLevel="1" x14ac:dyDescent="0.2">
      <c r="A1838" s="22" t="s">
        <v>1545</v>
      </c>
      <c r="B1838" s="2" t="s">
        <v>252</v>
      </c>
      <c r="C1838" s="2" t="s">
        <v>1262</v>
      </c>
      <c r="D1838" s="716">
        <v>1</v>
      </c>
      <c r="E1838" s="4" t="s">
        <v>8</v>
      </c>
      <c r="F1838" s="47">
        <v>1</v>
      </c>
      <c r="G1838" s="47">
        <v>1</v>
      </c>
      <c r="H1838" s="47">
        <v>1</v>
      </c>
      <c r="I1838" s="47">
        <v>1</v>
      </c>
      <c r="J1838" s="47">
        <f t="shared" si="534"/>
        <v>1</v>
      </c>
      <c r="K1838" s="47">
        <v>1</v>
      </c>
      <c r="L1838" s="47">
        <v>1</v>
      </c>
      <c r="M1838" s="893"/>
      <c r="N1838" s="20"/>
      <c r="O1838" s="20"/>
      <c r="P1838" s="20"/>
      <c r="Q1838" s="20"/>
      <c r="R1838" s="20"/>
    </row>
    <row r="1839" spans="1:18" s="103" customFormat="1" hidden="1" outlineLevel="1" x14ac:dyDescent="0.2">
      <c r="A1839" s="22" t="s">
        <v>1545</v>
      </c>
      <c r="B1839" s="2" t="s">
        <v>252</v>
      </c>
      <c r="C1839" s="2" t="s">
        <v>1262</v>
      </c>
      <c r="D1839" s="716">
        <v>1</v>
      </c>
      <c r="E1839" s="4" t="s">
        <v>9</v>
      </c>
      <c r="F1839" s="47">
        <v>1</v>
      </c>
      <c r="G1839" s="47">
        <v>1</v>
      </c>
      <c r="H1839" s="47">
        <v>1</v>
      </c>
      <c r="I1839" s="47">
        <v>1</v>
      </c>
      <c r="J1839" s="47">
        <f t="shared" si="534"/>
        <v>1</v>
      </c>
      <c r="K1839" s="47">
        <v>1</v>
      </c>
      <c r="L1839" s="47">
        <v>1</v>
      </c>
      <c r="M1839" s="893"/>
      <c r="N1839" s="20"/>
      <c r="O1839" s="20"/>
      <c r="P1839" s="20"/>
      <c r="Q1839" s="20"/>
      <c r="R1839" s="20"/>
    </row>
    <row r="1840" spans="1:18" s="103" customFormat="1" hidden="1" outlineLevel="1" x14ac:dyDescent="0.2">
      <c r="A1840" s="22" t="s">
        <v>1545</v>
      </c>
      <c r="B1840" s="2" t="s">
        <v>252</v>
      </c>
      <c r="C1840" s="2" t="s">
        <v>1262</v>
      </c>
      <c r="D1840" s="716">
        <v>1</v>
      </c>
      <c r="E1840" s="4" t="s">
        <v>10</v>
      </c>
      <c r="F1840" s="47">
        <v>0</v>
      </c>
      <c r="G1840" s="47">
        <v>0</v>
      </c>
      <c r="H1840" s="47">
        <v>0</v>
      </c>
      <c r="I1840" s="47">
        <v>0</v>
      </c>
      <c r="J1840" s="47">
        <f t="shared" si="534"/>
        <v>0</v>
      </c>
      <c r="K1840" s="47">
        <v>0</v>
      </c>
      <c r="L1840" s="47">
        <v>1</v>
      </c>
      <c r="M1840" s="893"/>
      <c r="N1840" s="20"/>
      <c r="O1840" s="20"/>
      <c r="P1840" s="20"/>
      <c r="Q1840" s="20"/>
      <c r="R1840" s="20"/>
    </row>
    <row r="1841" spans="1:18" s="103" customFormat="1" hidden="1" outlineLevel="1" x14ac:dyDescent="0.2">
      <c r="A1841" s="22" t="s">
        <v>1545</v>
      </c>
      <c r="B1841" s="2" t="s">
        <v>252</v>
      </c>
      <c r="C1841" s="2" t="s">
        <v>1262</v>
      </c>
      <c r="D1841" s="716">
        <v>1</v>
      </c>
      <c r="E1841" s="4" t="s">
        <v>11</v>
      </c>
      <c r="F1841" s="47">
        <v>0</v>
      </c>
      <c r="G1841" s="47">
        <v>0</v>
      </c>
      <c r="H1841" s="47">
        <v>0</v>
      </c>
      <c r="I1841" s="47">
        <v>0</v>
      </c>
      <c r="J1841" s="47">
        <f t="shared" si="534"/>
        <v>0</v>
      </c>
      <c r="K1841" s="47">
        <v>0</v>
      </c>
      <c r="L1841" s="47">
        <v>1</v>
      </c>
      <c r="M1841" s="893"/>
      <c r="N1841" s="20"/>
      <c r="O1841" s="20"/>
      <c r="P1841" s="20"/>
      <c r="Q1841" s="20"/>
      <c r="R1841" s="20"/>
    </row>
    <row r="1842" spans="1:18" s="103" customFormat="1" hidden="1" outlineLevel="1" x14ac:dyDescent="0.2">
      <c r="A1842" s="22" t="s">
        <v>1545</v>
      </c>
      <c r="B1842" s="2" t="s">
        <v>252</v>
      </c>
      <c r="C1842" s="2" t="s">
        <v>1262</v>
      </c>
      <c r="D1842" s="716">
        <v>1</v>
      </c>
      <c r="E1842" s="4" t="s">
        <v>12</v>
      </c>
      <c r="F1842" s="47">
        <v>1</v>
      </c>
      <c r="G1842" s="47">
        <v>1</v>
      </c>
      <c r="H1842" s="47">
        <v>1</v>
      </c>
      <c r="I1842" s="47">
        <v>1</v>
      </c>
      <c r="J1842" s="47">
        <f t="shared" si="534"/>
        <v>1</v>
      </c>
      <c r="K1842" s="47">
        <v>1</v>
      </c>
      <c r="L1842" s="47">
        <v>1</v>
      </c>
      <c r="M1842" s="893"/>
      <c r="N1842" s="20"/>
      <c r="O1842" s="20"/>
      <c r="P1842" s="20"/>
      <c r="Q1842" s="20"/>
      <c r="R1842" s="20"/>
    </row>
    <row r="1843" spans="1:18" s="103" customFormat="1" hidden="1" outlineLevel="1" x14ac:dyDescent="0.2">
      <c r="A1843" s="22" t="s">
        <v>1545</v>
      </c>
      <c r="B1843" s="2" t="s">
        <v>252</v>
      </c>
      <c r="C1843" s="2" t="s">
        <v>1262</v>
      </c>
      <c r="D1843" s="716">
        <v>1</v>
      </c>
      <c r="E1843" s="4" t="s">
        <v>1</v>
      </c>
      <c r="F1843" s="47">
        <v>1</v>
      </c>
      <c r="G1843" s="47">
        <v>1</v>
      </c>
      <c r="H1843" s="47">
        <v>1</v>
      </c>
      <c r="I1843" s="47">
        <v>1</v>
      </c>
      <c r="J1843" s="47">
        <f t="shared" si="534"/>
        <v>1</v>
      </c>
      <c r="K1843" s="47">
        <v>1</v>
      </c>
      <c r="L1843" s="47">
        <v>1</v>
      </c>
      <c r="M1843" s="893"/>
      <c r="N1843" s="20"/>
      <c r="O1843" s="20"/>
      <c r="P1843" s="20"/>
      <c r="Q1843" s="20"/>
      <c r="R1843" s="20"/>
    </row>
    <row r="1844" spans="1:18" s="103" customFormat="1" hidden="1" outlineLevel="1" x14ac:dyDescent="0.2">
      <c r="A1844" s="22" t="s">
        <v>1545</v>
      </c>
      <c r="B1844" s="2" t="s">
        <v>252</v>
      </c>
      <c r="C1844" s="2" t="s">
        <v>1262</v>
      </c>
      <c r="D1844" s="716">
        <v>1</v>
      </c>
      <c r="E1844" s="4" t="s">
        <v>13</v>
      </c>
      <c r="F1844" s="47">
        <v>1</v>
      </c>
      <c r="G1844" s="47">
        <v>1</v>
      </c>
      <c r="H1844" s="47">
        <v>1</v>
      </c>
      <c r="I1844" s="47">
        <v>1</v>
      </c>
      <c r="J1844" s="47">
        <f t="shared" si="534"/>
        <v>1</v>
      </c>
      <c r="K1844" s="47">
        <v>1</v>
      </c>
      <c r="L1844" s="47">
        <v>1</v>
      </c>
      <c r="M1844" s="893"/>
      <c r="N1844" s="20"/>
      <c r="O1844" s="20"/>
      <c r="P1844" s="20"/>
      <c r="Q1844" s="20"/>
      <c r="R1844" s="20"/>
    </row>
    <row r="1845" spans="1:18" s="103" customFormat="1" hidden="1" outlineLevel="1" x14ac:dyDescent="0.2">
      <c r="A1845" s="22" t="s">
        <v>1545</v>
      </c>
      <c r="B1845" s="2" t="s">
        <v>252</v>
      </c>
      <c r="C1845" s="2" t="s">
        <v>1262</v>
      </c>
      <c r="D1845" s="716">
        <v>1</v>
      </c>
      <c r="E1845" s="4" t="s">
        <v>14</v>
      </c>
      <c r="F1845" s="47">
        <v>0</v>
      </c>
      <c r="G1845" s="47">
        <v>0</v>
      </c>
      <c r="H1845" s="47">
        <v>0</v>
      </c>
      <c r="I1845" s="47">
        <v>0</v>
      </c>
      <c r="J1845" s="47">
        <f t="shared" si="534"/>
        <v>0</v>
      </c>
      <c r="K1845" s="47">
        <v>0</v>
      </c>
      <c r="L1845" s="47">
        <v>0</v>
      </c>
      <c r="M1845" s="893"/>
      <c r="N1845" s="20"/>
      <c r="O1845" s="20"/>
      <c r="P1845" s="20"/>
      <c r="Q1845" s="20"/>
      <c r="R1845" s="20"/>
    </row>
    <row r="1846" spans="1:18" s="103" customFormat="1" hidden="1" outlineLevel="1" x14ac:dyDescent="0.2">
      <c r="A1846" s="22" t="s">
        <v>1545</v>
      </c>
      <c r="B1846" s="2" t="s">
        <v>252</v>
      </c>
      <c r="C1846" s="2" t="s">
        <v>1262</v>
      </c>
      <c r="D1846" s="716">
        <v>1</v>
      </c>
      <c r="E1846" s="4" t="s">
        <v>15</v>
      </c>
      <c r="F1846" s="47">
        <v>0</v>
      </c>
      <c r="G1846" s="47">
        <v>0</v>
      </c>
      <c r="H1846" s="47">
        <v>0</v>
      </c>
      <c r="I1846" s="47">
        <v>0</v>
      </c>
      <c r="J1846" s="47">
        <f t="shared" si="534"/>
        <v>0</v>
      </c>
      <c r="K1846" s="47">
        <v>0</v>
      </c>
      <c r="L1846" s="47">
        <v>0</v>
      </c>
      <c r="M1846" s="893"/>
      <c r="N1846" s="20"/>
      <c r="O1846" s="20"/>
      <c r="P1846" s="20"/>
      <c r="Q1846" s="20"/>
      <c r="R1846" s="20"/>
    </row>
    <row r="1847" spans="1:18" s="103" customFormat="1" hidden="1" outlineLevel="1" x14ac:dyDescent="0.2">
      <c r="A1847" s="22" t="s">
        <v>1545</v>
      </c>
      <c r="B1847" s="2" t="s">
        <v>252</v>
      </c>
      <c r="C1847" s="2" t="s">
        <v>1262</v>
      </c>
      <c r="D1847" s="716">
        <v>1</v>
      </c>
      <c r="E1847" s="4" t="s">
        <v>16</v>
      </c>
      <c r="F1847" s="47">
        <v>0</v>
      </c>
      <c r="G1847" s="47">
        <v>0</v>
      </c>
      <c r="H1847" s="47">
        <v>0</v>
      </c>
      <c r="I1847" s="47">
        <v>0</v>
      </c>
      <c r="J1847" s="47">
        <f t="shared" si="534"/>
        <v>0</v>
      </c>
      <c r="K1847" s="47">
        <v>0</v>
      </c>
      <c r="L1847" s="47">
        <v>0</v>
      </c>
      <c r="M1847" s="893"/>
      <c r="N1847" s="20"/>
      <c r="O1847" s="20"/>
      <c r="P1847" s="20"/>
      <c r="Q1847" s="20"/>
      <c r="R1847" s="20"/>
    </row>
    <row r="1848" spans="1:18" s="103" customFormat="1" hidden="1" outlineLevel="1" x14ac:dyDescent="0.2">
      <c r="A1848" s="22" t="s">
        <v>1545</v>
      </c>
      <c r="B1848" s="2" t="s">
        <v>252</v>
      </c>
      <c r="C1848" s="2" t="s">
        <v>1262</v>
      </c>
      <c r="D1848" s="716">
        <v>1</v>
      </c>
      <c r="E1848" s="4" t="s">
        <v>17</v>
      </c>
      <c r="F1848" s="47">
        <v>1</v>
      </c>
      <c r="G1848" s="47">
        <v>1</v>
      </c>
      <c r="H1848" s="47">
        <v>1</v>
      </c>
      <c r="I1848" s="47">
        <v>1</v>
      </c>
      <c r="J1848" s="47">
        <f t="shared" si="534"/>
        <v>1</v>
      </c>
      <c r="K1848" s="47">
        <v>1</v>
      </c>
      <c r="L1848" s="47">
        <v>1</v>
      </c>
      <c r="M1848" s="893"/>
      <c r="N1848" s="20"/>
      <c r="O1848" s="20"/>
      <c r="P1848" s="20"/>
      <c r="Q1848" s="20"/>
      <c r="R1848" s="20"/>
    </row>
    <row r="1849" spans="1:18" s="103" customFormat="1" hidden="1" outlineLevel="1" x14ac:dyDescent="0.2">
      <c r="A1849" s="22" t="s">
        <v>1545</v>
      </c>
      <c r="B1849" s="2" t="s">
        <v>252</v>
      </c>
      <c r="C1849" s="2" t="s">
        <v>1262</v>
      </c>
      <c r="D1849" s="716">
        <v>1</v>
      </c>
      <c r="E1849" s="4" t="s">
        <v>18</v>
      </c>
      <c r="F1849" s="47">
        <v>1</v>
      </c>
      <c r="G1849" s="47">
        <v>1</v>
      </c>
      <c r="H1849" s="47">
        <v>1</v>
      </c>
      <c r="I1849" s="47">
        <v>1</v>
      </c>
      <c r="J1849" s="47">
        <f t="shared" si="534"/>
        <v>1</v>
      </c>
      <c r="K1849" s="47">
        <v>1</v>
      </c>
      <c r="L1849" s="47">
        <v>1</v>
      </c>
      <c r="M1849" s="893"/>
      <c r="N1849" s="20"/>
      <c r="O1849" s="20"/>
      <c r="P1849" s="20"/>
      <c r="Q1849" s="20"/>
      <c r="R1849" s="20"/>
    </row>
    <row r="1850" spans="1:18" s="103" customFormat="1" hidden="1" outlineLevel="1" x14ac:dyDescent="0.2">
      <c r="A1850" s="22" t="s">
        <v>1545</v>
      </c>
      <c r="B1850" s="2" t="s">
        <v>252</v>
      </c>
      <c r="C1850" s="2" t="s">
        <v>1262</v>
      </c>
      <c r="D1850" s="716">
        <v>1</v>
      </c>
      <c r="E1850" s="4" t="s">
        <v>2</v>
      </c>
      <c r="F1850" s="47">
        <v>0</v>
      </c>
      <c r="G1850" s="47">
        <v>0</v>
      </c>
      <c r="H1850" s="47">
        <v>0</v>
      </c>
      <c r="I1850" s="47">
        <v>0</v>
      </c>
      <c r="J1850" s="47">
        <f t="shared" si="534"/>
        <v>0</v>
      </c>
      <c r="K1850" s="47">
        <v>0</v>
      </c>
      <c r="L1850" s="47">
        <v>0</v>
      </c>
      <c r="M1850" s="893"/>
      <c r="N1850" s="20"/>
      <c r="O1850" s="20"/>
      <c r="P1850" s="20"/>
      <c r="Q1850" s="20"/>
      <c r="R1850" s="20"/>
    </row>
    <row r="1851" spans="1:18" s="103" customFormat="1" hidden="1" outlineLevel="1" x14ac:dyDescent="0.2">
      <c r="A1851" s="22" t="s">
        <v>1545</v>
      </c>
      <c r="B1851" s="2" t="s">
        <v>252</v>
      </c>
      <c r="C1851" s="2" t="s">
        <v>1262</v>
      </c>
      <c r="D1851" s="716">
        <v>1</v>
      </c>
      <c r="E1851" s="4" t="s">
        <v>19</v>
      </c>
      <c r="F1851" s="47">
        <v>0</v>
      </c>
      <c r="G1851" s="47">
        <v>0</v>
      </c>
      <c r="H1851" s="47">
        <v>0</v>
      </c>
      <c r="I1851" s="47">
        <v>0</v>
      </c>
      <c r="J1851" s="47">
        <f t="shared" si="534"/>
        <v>0</v>
      </c>
      <c r="K1851" s="47">
        <v>0</v>
      </c>
      <c r="L1851" s="47">
        <v>1</v>
      </c>
      <c r="M1851" s="893"/>
      <c r="N1851" s="20"/>
      <c r="O1851" s="20"/>
      <c r="P1851" s="20"/>
      <c r="Q1851" s="20"/>
      <c r="R1851" s="20"/>
    </row>
    <row r="1852" spans="1:18" s="103" customFormat="1" hidden="1" outlineLevel="1" x14ac:dyDescent="0.2">
      <c r="A1852" s="22" t="s">
        <v>1545</v>
      </c>
      <c r="B1852" s="2" t="s">
        <v>252</v>
      </c>
      <c r="C1852" s="2" t="s">
        <v>1262</v>
      </c>
      <c r="D1852" s="716">
        <v>1</v>
      </c>
      <c r="E1852" s="4" t="s">
        <v>3</v>
      </c>
      <c r="F1852" s="47">
        <v>1</v>
      </c>
      <c r="G1852" s="47">
        <v>1</v>
      </c>
      <c r="H1852" s="47">
        <v>1</v>
      </c>
      <c r="I1852" s="47">
        <v>1</v>
      </c>
      <c r="J1852" s="47">
        <f t="shared" si="534"/>
        <v>1</v>
      </c>
      <c r="K1852" s="47">
        <v>1</v>
      </c>
      <c r="L1852" s="47">
        <v>1</v>
      </c>
      <c r="M1852" s="893"/>
      <c r="N1852" s="20"/>
      <c r="O1852" s="20"/>
      <c r="P1852" s="20"/>
      <c r="Q1852" s="20"/>
      <c r="R1852" s="20"/>
    </row>
    <row r="1853" spans="1:18" s="103" customFormat="1" hidden="1" outlineLevel="1" x14ac:dyDescent="0.2">
      <c r="A1853" s="22" t="s">
        <v>1545</v>
      </c>
      <c r="B1853" s="2" t="s">
        <v>252</v>
      </c>
      <c r="C1853" s="2" t="s">
        <v>1262</v>
      </c>
      <c r="D1853" s="716">
        <v>1</v>
      </c>
      <c r="E1853" s="4" t="s">
        <v>20</v>
      </c>
      <c r="F1853" s="47">
        <v>0</v>
      </c>
      <c r="G1853" s="47">
        <v>0</v>
      </c>
      <c r="H1853" s="47">
        <v>0</v>
      </c>
      <c r="I1853" s="47">
        <v>0</v>
      </c>
      <c r="J1853" s="47">
        <f t="shared" ref="J1853:J1916" si="535">K1853</f>
        <v>0</v>
      </c>
      <c r="K1853" s="47">
        <v>0</v>
      </c>
      <c r="L1853" s="47">
        <v>1</v>
      </c>
      <c r="M1853" s="893"/>
      <c r="N1853" s="20"/>
      <c r="O1853" s="20"/>
      <c r="P1853" s="20"/>
      <c r="Q1853" s="20"/>
      <c r="R1853" s="20"/>
    </row>
    <row r="1854" spans="1:18" s="103" customFormat="1" hidden="1" outlineLevel="1" x14ac:dyDescent="0.2">
      <c r="A1854" s="22" t="s">
        <v>1545</v>
      </c>
      <c r="B1854" s="2" t="s">
        <v>252</v>
      </c>
      <c r="C1854" s="2" t="s">
        <v>1262</v>
      </c>
      <c r="D1854" s="716">
        <v>1</v>
      </c>
      <c r="E1854" s="4" t="s">
        <v>21</v>
      </c>
      <c r="F1854" s="47">
        <v>0</v>
      </c>
      <c r="G1854" s="47">
        <v>0</v>
      </c>
      <c r="H1854" s="47">
        <v>0</v>
      </c>
      <c r="I1854" s="47">
        <v>0</v>
      </c>
      <c r="J1854" s="47">
        <f t="shared" si="535"/>
        <v>0</v>
      </c>
      <c r="K1854" s="47">
        <v>0</v>
      </c>
      <c r="L1854" s="47">
        <v>0</v>
      </c>
      <c r="M1854" s="893"/>
      <c r="N1854" s="20"/>
      <c r="O1854" s="20"/>
      <c r="P1854" s="20"/>
      <c r="Q1854" s="20"/>
      <c r="R1854" s="20"/>
    </row>
    <row r="1855" spans="1:18" s="103" customFormat="1" hidden="1" outlineLevel="1" x14ac:dyDescent="0.2">
      <c r="A1855" s="22" t="s">
        <v>1545</v>
      </c>
      <c r="B1855" s="2" t="s">
        <v>252</v>
      </c>
      <c r="C1855" s="2" t="s">
        <v>1262</v>
      </c>
      <c r="D1855" s="716">
        <v>1</v>
      </c>
      <c r="E1855" s="4" t="s">
        <v>1096</v>
      </c>
      <c r="F1855" s="47">
        <v>0</v>
      </c>
      <c r="G1855" s="47">
        <v>0</v>
      </c>
      <c r="H1855" s="47">
        <v>0</v>
      </c>
      <c r="I1855" s="47">
        <v>0</v>
      </c>
      <c r="J1855" s="47">
        <f t="shared" si="535"/>
        <v>0</v>
      </c>
      <c r="K1855" s="47">
        <v>0</v>
      </c>
      <c r="L1855" s="47">
        <v>1</v>
      </c>
      <c r="M1855" s="893"/>
      <c r="N1855" s="20"/>
      <c r="O1855" s="20"/>
      <c r="P1855" s="20"/>
      <c r="Q1855" s="20"/>
      <c r="R1855" s="20"/>
    </row>
    <row r="1856" spans="1:18" s="103" customFormat="1" hidden="1" outlineLevel="1" x14ac:dyDescent="0.2">
      <c r="A1856" s="22" t="s">
        <v>1545</v>
      </c>
      <c r="B1856" s="2" t="s">
        <v>252</v>
      </c>
      <c r="C1856" s="2" t="s">
        <v>1262</v>
      </c>
      <c r="D1856" s="716">
        <v>1</v>
      </c>
      <c r="E1856" s="4" t="s">
        <v>22</v>
      </c>
      <c r="F1856" s="47">
        <v>1</v>
      </c>
      <c r="G1856" s="47">
        <v>1</v>
      </c>
      <c r="H1856" s="47">
        <v>1</v>
      </c>
      <c r="I1856" s="47">
        <v>1</v>
      </c>
      <c r="J1856" s="47">
        <f t="shared" si="535"/>
        <v>1</v>
      </c>
      <c r="K1856" s="47">
        <v>1</v>
      </c>
      <c r="L1856" s="47">
        <v>1</v>
      </c>
      <c r="M1856" s="893"/>
      <c r="N1856" s="20"/>
      <c r="O1856" s="20"/>
      <c r="P1856" s="20"/>
      <c r="Q1856" s="20"/>
      <c r="R1856" s="20"/>
    </row>
    <row r="1857" spans="1:18" s="103" customFormat="1" hidden="1" outlineLevel="1" x14ac:dyDescent="0.2">
      <c r="A1857" s="22" t="s">
        <v>1545</v>
      </c>
      <c r="B1857" s="2" t="s">
        <v>252</v>
      </c>
      <c r="C1857" s="2" t="s">
        <v>1262</v>
      </c>
      <c r="D1857" s="717">
        <v>1</v>
      </c>
      <c r="E1857" s="4" t="s">
        <v>23</v>
      </c>
      <c r="F1857" s="48">
        <v>0</v>
      </c>
      <c r="G1857" s="48">
        <v>0</v>
      </c>
      <c r="H1857" s="48">
        <v>0</v>
      </c>
      <c r="I1857" s="48">
        <v>0</v>
      </c>
      <c r="J1857" s="48">
        <f t="shared" si="535"/>
        <v>0</v>
      </c>
      <c r="K1857" s="363">
        <v>0</v>
      </c>
      <c r="L1857" s="363">
        <v>0</v>
      </c>
      <c r="M1857" s="920"/>
      <c r="N1857" s="20"/>
      <c r="O1857" s="20"/>
      <c r="P1857" s="20"/>
      <c r="Q1857" s="20"/>
      <c r="R1857" s="20"/>
    </row>
    <row r="1858" spans="1:18" s="103" customFormat="1" hidden="1" outlineLevel="1" x14ac:dyDescent="0.2">
      <c r="A1858" s="92" t="s">
        <v>1545</v>
      </c>
      <c r="B1858" s="81" t="s">
        <v>252</v>
      </c>
      <c r="C1858" s="81" t="s">
        <v>1733</v>
      </c>
      <c r="D1858" s="715">
        <v>1</v>
      </c>
      <c r="E1858" s="468" t="s">
        <v>4</v>
      </c>
      <c r="F1858" s="380">
        <v>0</v>
      </c>
      <c r="G1858" s="89">
        <v>0</v>
      </c>
      <c r="H1858" s="89">
        <v>0</v>
      </c>
      <c r="I1858" s="89">
        <v>0</v>
      </c>
      <c r="J1858" s="89">
        <f t="shared" si="535"/>
        <v>0</v>
      </c>
      <c r="K1858" s="380">
        <v>0</v>
      </c>
      <c r="L1858" s="380">
        <v>1</v>
      </c>
      <c r="M1858" s="892"/>
      <c r="N1858" s="20"/>
      <c r="O1858" s="20"/>
      <c r="P1858" s="20"/>
      <c r="Q1858" s="20"/>
      <c r="R1858" s="20"/>
    </row>
    <row r="1859" spans="1:18" s="103" customFormat="1" hidden="1" outlineLevel="1" x14ac:dyDescent="0.2">
      <c r="A1859" s="22" t="s">
        <v>1545</v>
      </c>
      <c r="B1859" s="2" t="s">
        <v>252</v>
      </c>
      <c r="C1859" s="2" t="s">
        <v>1733</v>
      </c>
      <c r="D1859" s="716">
        <v>1</v>
      </c>
      <c r="E1859" s="4" t="s">
        <v>5</v>
      </c>
      <c r="F1859" s="47">
        <v>0</v>
      </c>
      <c r="G1859" s="47">
        <v>0</v>
      </c>
      <c r="H1859" s="47">
        <v>0</v>
      </c>
      <c r="I1859" s="47">
        <v>0</v>
      </c>
      <c r="J1859" s="47">
        <f t="shared" si="535"/>
        <v>0</v>
      </c>
      <c r="K1859" s="47">
        <v>0</v>
      </c>
      <c r="L1859" s="47">
        <v>1</v>
      </c>
      <c r="M1859" s="893"/>
      <c r="N1859" s="20"/>
      <c r="O1859" s="20"/>
      <c r="P1859" s="20"/>
      <c r="Q1859" s="20"/>
      <c r="R1859" s="20"/>
    </row>
    <row r="1860" spans="1:18" s="103" customFormat="1" hidden="1" outlineLevel="1" x14ac:dyDescent="0.2">
      <c r="A1860" s="22" t="s">
        <v>1545</v>
      </c>
      <c r="B1860" s="2" t="s">
        <v>252</v>
      </c>
      <c r="C1860" s="2" t="s">
        <v>1733</v>
      </c>
      <c r="D1860" s="716">
        <v>1</v>
      </c>
      <c r="E1860" s="4" t="s">
        <v>6</v>
      </c>
      <c r="F1860" s="47">
        <v>0</v>
      </c>
      <c r="G1860" s="47">
        <v>0</v>
      </c>
      <c r="H1860" s="47">
        <v>0</v>
      </c>
      <c r="I1860" s="47">
        <v>0</v>
      </c>
      <c r="J1860" s="47">
        <f t="shared" si="535"/>
        <v>0</v>
      </c>
      <c r="K1860" s="47">
        <v>0</v>
      </c>
      <c r="L1860" s="47">
        <v>0</v>
      </c>
      <c r="M1860" s="893"/>
      <c r="N1860" s="20"/>
      <c r="O1860" s="20"/>
      <c r="P1860" s="20"/>
      <c r="Q1860" s="20"/>
      <c r="R1860" s="20"/>
    </row>
    <row r="1861" spans="1:18" s="103" customFormat="1" hidden="1" outlineLevel="1" x14ac:dyDescent="0.2">
      <c r="A1861" s="22" t="s">
        <v>1545</v>
      </c>
      <c r="B1861" s="2" t="s">
        <v>252</v>
      </c>
      <c r="C1861" s="2" t="s">
        <v>1733</v>
      </c>
      <c r="D1861" s="716">
        <v>1</v>
      </c>
      <c r="E1861" s="4" t="s">
        <v>143</v>
      </c>
      <c r="F1861" s="47">
        <v>0</v>
      </c>
      <c r="G1861" s="47">
        <v>0</v>
      </c>
      <c r="H1861" s="47">
        <v>0</v>
      </c>
      <c r="I1861" s="47">
        <v>0</v>
      </c>
      <c r="J1861" s="47">
        <f t="shared" si="535"/>
        <v>0</v>
      </c>
      <c r="K1861" s="47">
        <v>0</v>
      </c>
      <c r="L1861" s="47">
        <v>1</v>
      </c>
      <c r="M1861" s="893"/>
      <c r="N1861" s="20"/>
      <c r="O1861" s="20"/>
      <c r="P1861" s="20"/>
      <c r="Q1861" s="20"/>
      <c r="R1861" s="20"/>
    </row>
    <row r="1862" spans="1:18" s="103" customFormat="1" hidden="1" outlineLevel="1" x14ac:dyDescent="0.2">
      <c r="A1862" s="22" t="s">
        <v>1545</v>
      </c>
      <c r="B1862" s="2" t="s">
        <v>252</v>
      </c>
      <c r="C1862" s="2" t="s">
        <v>1733</v>
      </c>
      <c r="D1862" s="716">
        <v>1</v>
      </c>
      <c r="E1862" s="4" t="s">
        <v>7</v>
      </c>
      <c r="F1862" s="47">
        <v>0</v>
      </c>
      <c r="G1862" s="47">
        <v>0</v>
      </c>
      <c r="H1862" s="47">
        <v>0</v>
      </c>
      <c r="I1862" s="47">
        <v>0</v>
      </c>
      <c r="J1862" s="47">
        <f t="shared" si="535"/>
        <v>0</v>
      </c>
      <c r="K1862" s="47">
        <v>0</v>
      </c>
      <c r="L1862" s="47">
        <v>0</v>
      </c>
      <c r="M1862" s="893"/>
      <c r="N1862" s="20"/>
      <c r="O1862" s="20"/>
      <c r="P1862" s="20"/>
      <c r="Q1862" s="20"/>
      <c r="R1862" s="20"/>
    </row>
    <row r="1863" spans="1:18" s="103" customFormat="1" hidden="1" outlineLevel="1" x14ac:dyDescent="0.2">
      <c r="A1863" s="22" t="s">
        <v>1545</v>
      </c>
      <c r="B1863" s="2" t="s">
        <v>252</v>
      </c>
      <c r="C1863" s="2" t="s">
        <v>1733</v>
      </c>
      <c r="D1863" s="716">
        <v>1</v>
      </c>
      <c r="E1863" s="4" t="s">
        <v>31</v>
      </c>
      <c r="F1863" s="47">
        <v>0</v>
      </c>
      <c r="G1863" s="47">
        <v>0</v>
      </c>
      <c r="H1863" s="47">
        <v>0</v>
      </c>
      <c r="I1863" s="47">
        <v>0</v>
      </c>
      <c r="J1863" s="47">
        <f t="shared" si="535"/>
        <v>0</v>
      </c>
      <c r="K1863" s="47">
        <v>0</v>
      </c>
      <c r="L1863" s="47">
        <v>1</v>
      </c>
      <c r="M1863" s="893"/>
      <c r="N1863" s="20"/>
      <c r="O1863" s="20"/>
      <c r="P1863" s="20"/>
      <c r="Q1863" s="20"/>
      <c r="R1863" s="20"/>
    </row>
    <row r="1864" spans="1:18" s="103" customFormat="1" hidden="1" outlineLevel="1" x14ac:dyDescent="0.2">
      <c r="A1864" s="22" t="s">
        <v>1545</v>
      </c>
      <c r="B1864" s="2" t="s">
        <v>252</v>
      </c>
      <c r="C1864" s="2" t="s">
        <v>1733</v>
      </c>
      <c r="D1864" s="716">
        <v>1</v>
      </c>
      <c r="E1864" s="4" t="s">
        <v>8</v>
      </c>
      <c r="F1864" s="47">
        <v>0</v>
      </c>
      <c r="G1864" s="47">
        <v>0</v>
      </c>
      <c r="H1864" s="47">
        <v>0</v>
      </c>
      <c r="I1864" s="47">
        <v>0</v>
      </c>
      <c r="J1864" s="47">
        <f t="shared" si="535"/>
        <v>0</v>
      </c>
      <c r="K1864" s="47">
        <v>0</v>
      </c>
      <c r="L1864" s="47">
        <v>1</v>
      </c>
      <c r="M1864" s="893"/>
      <c r="N1864" s="20"/>
      <c r="O1864" s="20"/>
      <c r="P1864" s="20"/>
      <c r="Q1864" s="20"/>
      <c r="R1864" s="20"/>
    </row>
    <row r="1865" spans="1:18" s="103" customFormat="1" hidden="1" outlineLevel="1" x14ac:dyDescent="0.2">
      <c r="A1865" s="22" t="s">
        <v>1545</v>
      </c>
      <c r="B1865" s="2" t="s">
        <v>252</v>
      </c>
      <c r="C1865" s="2" t="s">
        <v>1733</v>
      </c>
      <c r="D1865" s="716">
        <v>1</v>
      </c>
      <c r="E1865" s="4" t="s">
        <v>9</v>
      </c>
      <c r="F1865" s="47">
        <v>0</v>
      </c>
      <c r="G1865" s="47">
        <v>0</v>
      </c>
      <c r="H1865" s="47">
        <v>0</v>
      </c>
      <c r="I1865" s="47">
        <v>0</v>
      </c>
      <c r="J1865" s="47">
        <f t="shared" si="535"/>
        <v>0</v>
      </c>
      <c r="K1865" s="47">
        <v>0</v>
      </c>
      <c r="L1865" s="47">
        <v>1</v>
      </c>
      <c r="M1865" s="893"/>
      <c r="N1865" s="20"/>
      <c r="O1865" s="20"/>
      <c r="P1865" s="20"/>
      <c r="Q1865" s="20"/>
      <c r="R1865" s="20"/>
    </row>
    <row r="1866" spans="1:18" s="103" customFormat="1" hidden="1" outlineLevel="1" x14ac:dyDescent="0.2">
      <c r="A1866" s="22" t="s">
        <v>1545</v>
      </c>
      <c r="B1866" s="2" t="s">
        <v>252</v>
      </c>
      <c r="C1866" s="2" t="s">
        <v>1733</v>
      </c>
      <c r="D1866" s="716">
        <v>1</v>
      </c>
      <c r="E1866" s="4" t="s">
        <v>10</v>
      </c>
      <c r="F1866" s="47">
        <v>0</v>
      </c>
      <c r="G1866" s="47">
        <v>0</v>
      </c>
      <c r="H1866" s="47">
        <v>0</v>
      </c>
      <c r="I1866" s="47">
        <v>0</v>
      </c>
      <c r="J1866" s="47">
        <f t="shared" si="535"/>
        <v>0</v>
      </c>
      <c r="K1866" s="47">
        <v>0</v>
      </c>
      <c r="L1866" s="47">
        <v>1</v>
      </c>
      <c r="M1866" s="893"/>
      <c r="N1866" s="20"/>
      <c r="O1866" s="20"/>
      <c r="P1866" s="20"/>
      <c r="Q1866" s="20"/>
      <c r="R1866" s="20"/>
    </row>
    <row r="1867" spans="1:18" s="103" customFormat="1" hidden="1" outlineLevel="1" x14ac:dyDescent="0.2">
      <c r="A1867" s="22" t="s">
        <v>1545</v>
      </c>
      <c r="B1867" s="2" t="s">
        <v>252</v>
      </c>
      <c r="C1867" s="2" t="s">
        <v>1733</v>
      </c>
      <c r="D1867" s="716">
        <v>1</v>
      </c>
      <c r="E1867" s="4" t="s">
        <v>11</v>
      </c>
      <c r="F1867" s="47">
        <v>0</v>
      </c>
      <c r="G1867" s="47">
        <v>0</v>
      </c>
      <c r="H1867" s="47">
        <v>0</v>
      </c>
      <c r="I1867" s="47">
        <v>0</v>
      </c>
      <c r="J1867" s="47">
        <f t="shared" si="535"/>
        <v>0</v>
      </c>
      <c r="K1867" s="47">
        <v>0</v>
      </c>
      <c r="L1867" s="47">
        <v>1</v>
      </c>
      <c r="M1867" s="893"/>
      <c r="N1867" s="20"/>
      <c r="O1867" s="20"/>
      <c r="P1867" s="20"/>
      <c r="Q1867" s="20"/>
      <c r="R1867" s="20"/>
    </row>
    <row r="1868" spans="1:18" s="103" customFormat="1" hidden="1" outlineLevel="1" x14ac:dyDescent="0.2">
      <c r="A1868" s="22" t="s">
        <v>1545</v>
      </c>
      <c r="B1868" s="2" t="s">
        <v>252</v>
      </c>
      <c r="C1868" s="2" t="s">
        <v>1733</v>
      </c>
      <c r="D1868" s="716">
        <v>1</v>
      </c>
      <c r="E1868" s="4" t="s">
        <v>12</v>
      </c>
      <c r="F1868" s="47">
        <v>0</v>
      </c>
      <c r="G1868" s="47">
        <v>0</v>
      </c>
      <c r="H1868" s="47">
        <v>0</v>
      </c>
      <c r="I1868" s="47">
        <v>0</v>
      </c>
      <c r="J1868" s="47">
        <f t="shared" si="535"/>
        <v>0</v>
      </c>
      <c r="K1868" s="47">
        <v>0</v>
      </c>
      <c r="L1868" s="47">
        <v>0</v>
      </c>
      <c r="M1868" s="893"/>
      <c r="N1868" s="20"/>
      <c r="O1868" s="20"/>
      <c r="P1868" s="20"/>
      <c r="Q1868" s="20"/>
      <c r="R1868" s="20"/>
    </row>
    <row r="1869" spans="1:18" s="103" customFormat="1" hidden="1" outlineLevel="1" x14ac:dyDescent="0.2">
      <c r="A1869" s="22" t="s">
        <v>1545</v>
      </c>
      <c r="B1869" s="2" t="s">
        <v>252</v>
      </c>
      <c r="C1869" s="2" t="s">
        <v>1733</v>
      </c>
      <c r="D1869" s="716">
        <v>1</v>
      </c>
      <c r="E1869" s="4" t="s">
        <v>1</v>
      </c>
      <c r="F1869" s="47">
        <v>0</v>
      </c>
      <c r="G1869" s="47">
        <v>0</v>
      </c>
      <c r="H1869" s="47">
        <v>0</v>
      </c>
      <c r="I1869" s="47">
        <v>0</v>
      </c>
      <c r="J1869" s="47">
        <f t="shared" si="535"/>
        <v>0</v>
      </c>
      <c r="K1869" s="47">
        <v>0</v>
      </c>
      <c r="L1869" s="47">
        <v>1</v>
      </c>
      <c r="M1869" s="893"/>
      <c r="N1869" s="20"/>
      <c r="O1869" s="20"/>
      <c r="P1869" s="20"/>
      <c r="Q1869" s="20"/>
      <c r="R1869" s="20"/>
    </row>
    <row r="1870" spans="1:18" s="103" customFormat="1" hidden="1" outlineLevel="1" x14ac:dyDescent="0.2">
      <c r="A1870" s="22" t="s">
        <v>1545</v>
      </c>
      <c r="B1870" s="2" t="s">
        <v>252</v>
      </c>
      <c r="C1870" s="2" t="s">
        <v>1733</v>
      </c>
      <c r="D1870" s="716">
        <v>1</v>
      </c>
      <c r="E1870" s="4" t="s">
        <v>13</v>
      </c>
      <c r="F1870" s="47">
        <v>0</v>
      </c>
      <c r="G1870" s="47">
        <v>0</v>
      </c>
      <c r="H1870" s="47">
        <v>0</v>
      </c>
      <c r="I1870" s="47">
        <v>0</v>
      </c>
      <c r="J1870" s="47">
        <f t="shared" si="535"/>
        <v>0</v>
      </c>
      <c r="K1870" s="47">
        <v>0</v>
      </c>
      <c r="L1870" s="47">
        <v>1</v>
      </c>
      <c r="M1870" s="893"/>
      <c r="N1870" s="20"/>
      <c r="O1870" s="20"/>
      <c r="P1870" s="20"/>
      <c r="Q1870" s="20"/>
      <c r="R1870" s="20"/>
    </row>
    <row r="1871" spans="1:18" s="103" customFormat="1" hidden="1" outlineLevel="1" x14ac:dyDescent="0.2">
      <c r="A1871" s="22" t="s">
        <v>1545</v>
      </c>
      <c r="B1871" s="2" t="s">
        <v>252</v>
      </c>
      <c r="C1871" s="2" t="s">
        <v>1733</v>
      </c>
      <c r="D1871" s="716">
        <v>1</v>
      </c>
      <c r="E1871" s="4" t="s">
        <v>14</v>
      </c>
      <c r="F1871" s="47">
        <v>0</v>
      </c>
      <c r="G1871" s="47">
        <v>0</v>
      </c>
      <c r="H1871" s="47">
        <v>0</v>
      </c>
      <c r="I1871" s="47">
        <v>0</v>
      </c>
      <c r="J1871" s="47">
        <f t="shared" si="535"/>
        <v>0</v>
      </c>
      <c r="K1871" s="47">
        <v>0</v>
      </c>
      <c r="L1871" s="47">
        <v>0</v>
      </c>
      <c r="M1871" s="893"/>
      <c r="N1871" s="20"/>
      <c r="O1871" s="20"/>
      <c r="P1871" s="20"/>
      <c r="Q1871" s="20"/>
      <c r="R1871" s="20"/>
    </row>
    <row r="1872" spans="1:18" s="103" customFormat="1" hidden="1" outlineLevel="1" x14ac:dyDescent="0.2">
      <c r="A1872" s="22" t="s">
        <v>1545</v>
      </c>
      <c r="B1872" s="2" t="s">
        <v>252</v>
      </c>
      <c r="C1872" s="2" t="s">
        <v>1733</v>
      </c>
      <c r="D1872" s="716">
        <v>1</v>
      </c>
      <c r="E1872" s="4" t="s">
        <v>15</v>
      </c>
      <c r="F1872" s="47">
        <v>0</v>
      </c>
      <c r="G1872" s="47">
        <v>0</v>
      </c>
      <c r="H1872" s="47">
        <v>0</v>
      </c>
      <c r="I1872" s="47">
        <v>0</v>
      </c>
      <c r="J1872" s="47">
        <f t="shared" si="535"/>
        <v>0</v>
      </c>
      <c r="K1872" s="47">
        <v>0</v>
      </c>
      <c r="L1872" s="47">
        <v>0</v>
      </c>
      <c r="M1872" s="893"/>
      <c r="N1872" s="20"/>
      <c r="O1872" s="20"/>
      <c r="P1872" s="20"/>
      <c r="Q1872" s="20"/>
      <c r="R1872" s="20"/>
    </row>
    <row r="1873" spans="1:18" s="103" customFormat="1" hidden="1" outlineLevel="1" x14ac:dyDescent="0.2">
      <c r="A1873" s="22" t="s">
        <v>1545</v>
      </c>
      <c r="B1873" s="2" t="s">
        <v>252</v>
      </c>
      <c r="C1873" s="2" t="s">
        <v>1733</v>
      </c>
      <c r="D1873" s="716">
        <v>1</v>
      </c>
      <c r="E1873" s="4" t="s">
        <v>16</v>
      </c>
      <c r="F1873" s="47">
        <v>0</v>
      </c>
      <c r="G1873" s="47">
        <v>0</v>
      </c>
      <c r="H1873" s="47">
        <v>0</v>
      </c>
      <c r="I1873" s="47">
        <v>0</v>
      </c>
      <c r="J1873" s="47">
        <f t="shared" si="535"/>
        <v>0</v>
      </c>
      <c r="K1873" s="47">
        <v>0</v>
      </c>
      <c r="L1873" s="47">
        <v>1</v>
      </c>
      <c r="M1873" s="893"/>
      <c r="N1873" s="20"/>
      <c r="O1873" s="20"/>
      <c r="P1873" s="20"/>
      <c r="Q1873" s="20"/>
      <c r="R1873" s="20"/>
    </row>
    <row r="1874" spans="1:18" s="103" customFormat="1" hidden="1" outlineLevel="1" x14ac:dyDescent="0.2">
      <c r="A1874" s="22" t="s">
        <v>1545</v>
      </c>
      <c r="B1874" s="2" t="s">
        <v>252</v>
      </c>
      <c r="C1874" s="2" t="s">
        <v>1733</v>
      </c>
      <c r="D1874" s="716">
        <v>1</v>
      </c>
      <c r="E1874" s="4" t="s">
        <v>17</v>
      </c>
      <c r="F1874" s="47">
        <v>0</v>
      </c>
      <c r="G1874" s="47">
        <v>0</v>
      </c>
      <c r="H1874" s="47">
        <v>0</v>
      </c>
      <c r="I1874" s="47">
        <v>0</v>
      </c>
      <c r="J1874" s="47">
        <f t="shared" si="535"/>
        <v>0</v>
      </c>
      <c r="K1874" s="47">
        <v>0</v>
      </c>
      <c r="L1874" s="47">
        <v>1</v>
      </c>
      <c r="M1874" s="893"/>
      <c r="N1874" s="20"/>
      <c r="O1874" s="20"/>
      <c r="P1874" s="20"/>
      <c r="Q1874" s="20"/>
      <c r="R1874" s="20"/>
    </row>
    <row r="1875" spans="1:18" s="103" customFormat="1" hidden="1" outlineLevel="1" x14ac:dyDescent="0.2">
      <c r="A1875" s="22" t="s">
        <v>1545</v>
      </c>
      <c r="B1875" s="2" t="s">
        <v>252</v>
      </c>
      <c r="C1875" s="2" t="s">
        <v>1733</v>
      </c>
      <c r="D1875" s="716">
        <v>1</v>
      </c>
      <c r="E1875" s="4" t="s">
        <v>18</v>
      </c>
      <c r="F1875" s="47">
        <v>0</v>
      </c>
      <c r="G1875" s="47">
        <v>0</v>
      </c>
      <c r="H1875" s="47">
        <v>0</v>
      </c>
      <c r="I1875" s="47">
        <v>0</v>
      </c>
      <c r="J1875" s="47">
        <f t="shared" si="535"/>
        <v>0</v>
      </c>
      <c r="K1875" s="47">
        <v>0</v>
      </c>
      <c r="L1875" s="47">
        <v>1</v>
      </c>
      <c r="M1875" s="893"/>
      <c r="N1875" s="20"/>
      <c r="O1875" s="20"/>
      <c r="P1875" s="20"/>
      <c r="Q1875" s="20"/>
      <c r="R1875" s="20"/>
    </row>
    <row r="1876" spans="1:18" s="103" customFormat="1" hidden="1" outlineLevel="1" x14ac:dyDescent="0.2">
      <c r="A1876" s="22" t="s">
        <v>1545</v>
      </c>
      <c r="B1876" s="2" t="s">
        <v>252</v>
      </c>
      <c r="C1876" s="2" t="s">
        <v>1733</v>
      </c>
      <c r="D1876" s="716">
        <v>1</v>
      </c>
      <c r="E1876" s="4" t="s">
        <v>2</v>
      </c>
      <c r="F1876" s="47">
        <v>0</v>
      </c>
      <c r="G1876" s="47">
        <v>0</v>
      </c>
      <c r="H1876" s="47">
        <v>0</v>
      </c>
      <c r="I1876" s="47">
        <v>0</v>
      </c>
      <c r="J1876" s="47">
        <f t="shared" si="535"/>
        <v>0</v>
      </c>
      <c r="K1876" s="47">
        <v>0</v>
      </c>
      <c r="L1876" s="47">
        <v>1</v>
      </c>
      <c r="M1876" s="893"/>
      <c r="N1876" s="20"/>
      <c r="O1876" s="20"/>
      <c r="P1876" s="20"/>
      <c r="Q1876" s="20"/>
      <c r="R1876" s="20"/>
    </row>
    <row r="1877" spans="1:18" s="103" customFormat="1" hidden="1" outlineLevel="1" x14ac:dyDescent="0.2">
      <c r="A1877" s="22" t="s">
        <v>1545</v>
      </c>
      <c r="B1877" s="2" t="s">
        <v>252</v>
      </c>
      <c r="C1877" s="2" t="s">
        <v>1733</v>
      </c>
      <c r="D1877" s="716">
        <v>1</v>
      </c>
      <c r="E1877" s="4" t="s">
        <v>19</v>
      </c>
      <c r="F1877" s="47">
        <v>0</v>
      </c>
      <c r="G1877" s="47">
        <v>0</v>
      </c>
      <c r="H1877" s="47">
        <v>0</v>
      </c>
      <c r="I1877" s="47">
        <v>0</v>
      </c>
      <c r="J1877" s="47">
        <f t="shared" si="535"/>
        <v>0</v>
      </c>
      <c r="K1877" s="47">
        <v>0</v>
      </c>
      <c r="L1877" s="47">
        <v>0</v>
      </c>
      <c r="M1877" s="893"/>
      <c r="N1877" s="20"/>
      <c r="O1877" s="20"/>
      <c r="P1877" s="20"/>
      <c r="Q1877" s="20"/>
      <c r="R1877" s="20"/>
    </row>
    <row r="1878" spans="1:18" s="103" customFormat="1" hidden="1" outlineLevel="1" x14ac:dyDescent="0.2">
      <c r="A1878" s="22" t="s">
        <v>1545</v>
      </c>
      <c r="B1878" s="2" t="s">
        <v>252</v>
      </c>
      <c r="C1878" s="2" t="s">
        <v>1733</v>
      </c>
      <c r="D1878" s="716">
        <v>1</v>
      </c>
      <c r="E1878" s="4" t="s">
        <v>3</v>
      </c>
      <c r="F1878" s="47">
        <v>0</v>
      </c>
      <c r="G1878" s="47">
        <v>0</v>
      </c>
      <c r="H1878" s="47">
        <v>0</v>
      </c>
      <c r="I1878" s="47">
        <v>0</v>
      </c>
      <c r="J1878" s="47">
        <f t="shared" si="535"/>
        <v>0</v>
      </c>
      <c r="K1878" s="47">
        <v>0</v>
      </c>
      <c r="L1878" s="47">
        <v>0</v>
      </c>
      <c r="M1878" s="893"/>
      <c r="N1878" s="20"/>
      <c r="O1878" s="20"/>
      <c r="P1878" s="20"/>
      <c r="Q1878" s="20"/>
      <c r="R1878" s="20"/>
    </row>
    <row r="1879" spans="1:18" s="103" customFormat="1" hidden="1" outlineLevel="1" x14ac:dyDescent="0.2">
      <c r="A1879" s="22" t="s">
        <v>1545</v>
      </c>
      <c r="B1879" s="2" t="s">
        <v>252</v>
      </c>
      <c r="C1879" s="2" t="s">
        <v>1733</v>
      </c>
      <c r="D1879" s="716">
        <v>1</v>
      </c>
      <c r="E1879" s="4" t="s">
        <v>20</v>
      </c>
      <c r="F1879" s="47">
        <v>0</v>
      </c>
      <c r="G1879" s="47">
        <v>0</v>
      </c>
      <c r="H1879" s="47">
        <v>0</v>
      </c>
      <c r="I1879" s="47">
        <v>0</v>
      </c>
      <c r="J1879" s="47">
        <f t="shared" si="535"/>
        <v>0</v>
      </c>
      <c r="K1879" s="47">
        <v>0</v>
      </c>
      <c r="L1879" s="47">
        <v>1</v>
      </c>
      <c r="M1879" s="893"/>
      <c r="N1879" s="20"/>
      <c r="O1879" s="20"/>
      <c r="P1879" s="20"/>
      <c r="Q1879" s="20"/>
      <c r="R1879" s="20"/>
    </row>
    <row r="1880" spans="1:18" s="103" customFormat="1" hidden="1" outlineLevel="1" x14ac:dyDescent="0.2">
      <c r="A1880" s="22" t="s">
        <v>1545</v>
      </c>
      <c r="B1880" s="2" t="s">
        <v>252</v>
      </c>
      <c r="C1880" s="2" t="s">
        <v>1733</v>
      </c>
      <c r="D1880" s="716">
        <v>1</v>
      </c>
      <c r="E1880" s="4" t="s">
        <v>21</v>
      </c>
      <c r="F1880" s="47">
        <v>0</v>
      </c>
      <c r="G1880" s="47">
        <v>0</v>
      </c>
      <c r="H1880" s="47">
        <v>0</v>
      </c>
      <c r="I1880" s="47">
        <v>0</v>
      </c>
      <c r="J1880" s="47">
        <f t="shared" si="535"/>
        <v>0</v>
      </c>
      <c r="K1880" s="47">
        <v>0</v>
      </c>
      <c r="L1880" s="47">
        <v>0</v>
      </c>
      <c r="M1880" s="893"/>
      <c r="N1880" s="20"/>
      <c r="O1880" s="20"/>
      <c r="P1880" s="20"/>
      <c r="Q1880" s="20"/>
      <c r="R1880" s="20"/>
    </row>
    <row r="1881" spans="1:18" s="103" customFormat="1" hidden="1" outlineLevel="1" x14ac:dyDescent="0.2">
      <c r="A1881" s="22" t="s">
        <v>1545</v>
      </c>
      <c r="B1881" s="2" t="s">
        <v>252</v>
      </c>
      <c r="C1881" s="2" t="s">
        <v>1733</v>
      </c>
      <c r="D1881" s="716">
        <v>1</v>
      </c>
      <c r="E1881" s="4" t="s">
        <v>1096</v>
      </c>
      <c r="F1881" s="47">
        <v>0</v>
      </c>
      <c r="G1881" s="47">
        <v>0</v>
      </c>
      <c r="H1881" s="47">
        <v>0</v>
      </c>
      <c r="I1881" s="47">
        <v>0</v>
      </c>
      <c r="J1881" s="47">
        <f t="shared" si="535"/>
        <v>0</v>
      </c>
      <c r="K1881" s="47">
        <v>0</v>
      </c>
      <c r="L1881" s="47">
        <v>0</v>
      </c>
      <c r="M1881" s="893"/>
      <c r="N1881" s="20"/>
      <c r="O1881" s="20"/>
      <c r="P1881" s="20"/>
      <c r="Q1881" s="20"/>
      <c r="R1881" s="20"/>
    </row>
    <row r="1882" spans="1:18" s="103" customFormat="1" hidden="1" outlineLevel="1" x14ac:dyDescent="0.2">
      <c r="A1882" s="22" t="s">
        <v>1545</v>
      </c>
      <c r="B1882" s="2" t="s">
        <v>252</v>
      </c>
      <c r="C1882" s="2" t="s">
        <v>1733</v>
      </c>
      <c r="D1882" s="716">
        <v>1</v>
      </c>
      <c r="E1882" s="4" t="s">
        <v>22</v>
      </c>
      <c r="F1882" s="47">
        <v>0</v>
      </c>
      <c r="G1882" s="47">
        <v>0</v>
      </c>
      <c r="H1882" s="47">
        <v>0</v>
      </c>
      <c r="I1882" s="47">
        <v>0</v>
      </c>
      <c r="J1882" s="47">
        <f t="shared" si="535"/>
        <v>0</v>
      </c>
      <c r="K1882" s="47">
        <v>0</v>
      </c>
      <c r="L1882" s="47">
        <v>1</v>
      </c>
      <c r="M1882" s="893"/>
      <c r="N1882" s="20"/>
      <c r="O1882" s="20"/>
      <c r="P1882" s="20"/>
      <c r="Q1882" s="20"/>
      <c r="R1882" s="20"/>
    </row>
    <row r="1883" spans="1:18" s="103" customFormat="1" hidden="1" outlineLevel="1" x14ac:dyDescent="0.2">
      <c r="A1883" s="22" t="s">
        <v>1545</v>
      </c>
      <c r="B1883" s="2" t="s">
        <v>252</v>
      </c>
      <c r="C1883" s="2" t="s">
        <v>1733</v>
      </c>
      <c r="D1883" s="717">
        <v>1</v>
      </c>
      <c r="E1883" s="4" t="s">
        <v>23</v>
      </c>
      <c r="F1883" s="48">
        <v>0</v>
      </c>
      <c r="G1883" s="48">
        <v>0</v>
      </c>
      <c r="H1883" s="48">
        <v>0</v>
      </c>
      <c r="I1883" s="48">
        <v>0</v>
      </c>
      <c r="J1883" s="48">
        <f t="shared" si="535"/>
        <v>0</v>
      </c>
      <c r="K1883" s="363">
        <v>0</v>
      </c>
      <c r="L1883" s="363">
        <v>0</v>
      </c>
      <c r="M1883" s="920"/>
      <c r="N1883" s="20"/>
      <c r="O1883" s="20"/>
      <c r="P1883" s="20"/>
      <c r="Q1883" s="20"/>
      <c r="R1883" s="20"/>
    </row>
    <row r="1884" spans="1:18" s="103" customFormat="1" hidden="1" outlineLevel="1" x14ac:dyDescent="0.2">
      <c r="A1884" s="92" t="s">
        <v>1545</v>
      </c>
      <c r="B1884" s="81" t="s">
        <v>252</v>
      </c>
      <c r="C1884" s="81" t="s">
        <v>1734</v>
      </c>
      <c r="D1884" s="715">
        <v>1</v>
      </c>
      <c r="E1884" s="468" t="s">
        <v>4</v>
      </c>
      <c r="F1884" s="380">
        <v>0</v>
      </c>
      <c r="G1884" s="89">
        <v>0</v>
      </c>
      <c r="H1884" s="89">
        <v>0</v>
      </c>
      <c r="I1884" s="89">
        <v>0</v>
      </c>
      <c r="J1884" s="89">
        <f t="shared" si="535"/>
        <v>0</v>
      </c>
      <c r="K1884" s="380">
        <v>0</v>
      </c>
      <c r="L1884" s="380">
        <v>0</v>
      </c>
      <c r="M1884" s="892"/>
      <c r="N1884" s="20"/>
      <c r="O1884" s="20"/>
      <c r="P1884" s="20"/>
      <c r="Q1884" s="20"/>
      <c r="R1884" s="20"/>
    </row>
    <row r="1885" spans="1:18" s="103" customFormat="1" hidden="1" outlineLevel="1" x14ac:dyDescent="0.2">
      <c r="A1885" s="22" t="s">
        <v>1545</v>
      </c>
      <c r="B1885" s="2" t="s">
        <v>252</v>
      </c>
      <c r="C1885" s="2" t="s">
        <v>1734</v>
      </c>
      <c r="D1885" s="716">
        <v>1</v>
      </c>
      <c r="E1885" s="4" t="s">
        <v>5</v>
      </c>
      <c r="F1885" s="47">
        <v>0</v>
      </c>
      <c r="G1885" s="47">
        <v>0</v>
      </c>
      <c r="H1885" s="47">
        <v>0</v>
      </c>
      <c r="I1885" s="47">
        <v>0</v>
      </c>
      <c r="J1885" s="47">
        <f t="shared" si="535"/>
        <v>0</v>
      </c>
      <c r="K1885" s="47">
        <v>0</v>
      </c>
      <c r="L1885" s="47">
        <v>0</v>
      </c>
      <c r="M1885" s="893"/>
      <c r="N1885" s="20"/>
      <c r="O1885" s="20"/>
      <c r="P1885" s="20"/>
      <c r="Q1885" s="20"/>
      <c r="R1885" s="20"/>
    </row>
    <row r="1886" spans="1:18" s="103" customFormat="1" hidden="1" outlineLevel="1" x14ac:dyDescent="0.2">
      <c r="A1886" s="22" t="s">
        <v>1545</v>
      </c>
      <c r="B1886" s="2" t="s">
        <v>252</v>
      </c>
      <c r="C1886" s="2" t="s">
        <v>1734</v>
      </c>
      <c r="D1886" s="716">
        <v>1</v>
      </c>
      <c r="E1886" s="4" t="s">
        <v>6</v>
      </c>
      <c r="F1886" s="47">
        <v>0</v>
      </c>
      <c r="G1886" s="47">
        <v>0</v>
      </c>
      <c r="H1886" s="47">
        <v>0</v>
      </c>
      <c r="I1886" s="47">
        <v>0</v>
      </c>
      <c r="J1886" s="47">
        <f t="shared" si="535"/>
        <v>0</v>
      </c>
      <c r="K1886" s="47">
        <v>0</v>
      </c>
      <c r="L1886" s="47">
        <v>0</v>
      </c>
      <c r="M1886" s="893"/>
      <c r="N1886" s="20"/>
      <c r="O1886" s="20"/>
      <c r="P1886" s="20"/>
      <c r="Q1886" s="20"/>
      <c r="R1886" s="20"/>
    </row>
    <row r="1887" spans="1:18" s="103" customFormat="1" hidden="1" outlineLevel="1" x14ac:dyDescent="0.2">
      <c r="A1887" s="22" t="s">
        <v>1545</v>
      </c>
      <c r="B1887" s="2" t="s">
        <v>252</v>
      </c>
      <c r="C1887" s="2" t="s">
        <v>1734</v>
      </c>
      <c r="D1887" s="716">
        <v>1</v>
      </c>
      <c r="E1887" s="4" t="s">
        <v>143</v>
      </c>
      <c r="F1887" s="47">
        <v>0</v>
      </c>
      <c r="G1887" s="47">
        <v>0</v>
      </c>
      <c r="H1887" s="47">
        <v>0</v>
      </c>
      <c r="I1887" s="47">
        <v>0</v>
      </c>
      <c r="J1887" s="47">
        <f t="shared" si="535"/>
        <v>0</v>
      </c>
      <c r="K1887" s="47">
        <v>0</v>
      </c>
      <c r="L1887" s="47">
        <v>0</v>
      </c>
      <c r="M1887" s="893"/>
      <c r="N1887" s="20"/>
      <c r="O1887" s="20"/>
      <c r="P1887" s="20"/>
      <c r="Q1887" s="20"/>
      <c r="R1887" s="20"/>
    </row>
    <row r="1888" spans="1:18" s="103" customFormat="1" hidden="1" outlineLevel="1" x14ac:dyDescent="0.2">
      <c r="A1888" s="22" t="s">
        <v>1545</v>
      </c>
      <c r="B1888" s="2" t="s">
        <v>252</v>
      </c>
      <c r="C1888" s="2" t="s">
        <v>1734</v>
      </c>
      <c r="D1888" s="716">
        <v>1</v>
      </c>
      <c r="E1888" s="4" t="s">
        <v>7</v>
      </c>
      <c r="F1888" s="47">
        <v>0</v>
      </c>
      <c r="G1888" s="47">
        <v>0</v>
      </c>
      <c r="H1888" s="47">
        <v>0</v>
      </c>
      <c r="I1888" s="47">
        <v>0</v>
      </c>
      <c r="J1888" s="47">
        <f t="shared" si="535"/>
        <v>0</v>
      </c>
      <c r="K1888" s="47">
        <v>0</v>
      </c>
      <c r="L1888" s="47">
        <v>0</v>
      </c>
      <c r="M1888" s="893"/>
      <c r="N1888" s="20"/>
      <c r="O1888" s="20"/>
      <c r="P1888" s="20"/>
      <c r="Q1888" s="20"/>
      <c r="R1888" s="20"/>
    </row>
    <row r="1889" spans="1:18" s="103" customFormat="1" hidden="1" outlineLevel="1" x14ac:dyDescent="0.2">
      <c r="A1889" s="22" t="s">
        <v>1545</v>
      </c>
      <c r="B1889" s="2" t="s">
        <v>252</v>
      </c>
      <c r="C1889" s="2" t="s">
        <v>1734</v>
      </c>
      <c r="D1889" s="716">
        <v>1</v>
      </c>
      <c r="E1889" s="4" t="s">
        <v>31</v>
      </c>
      <c r="F1889" s="47">
        <v>0</v>
      </c>
      <c r="G1889" s="47">
        <v>0</v>
      </c>
      <c r="H1889" s="47">
        <v>0</v>
      </c>
      <c r="I1889" s="47">
        <v>0</v>
      </c>
      <c r="J1889" s="47">
        <f t="shared" si="535"/>
        <v>0</v>
      </c>
      <c r="K1889" s="47">
        <v>0</v>
      </c>
      <c r="L1889" s="47">
        <v>0</v>
      </c>
      <c r="M1889" s="893"/>
      <c r="N1889" s="20"/>
      <c r="O1889" s="20"/>
      <c r="P1889" s="20"/>
      <c r="Q1889" s="20"/>
      <c r="R1889" s="20"/>
    </row>
    <row r="1890" spans="1:18" s="103" customFormat="1" hidden="1" outlineLevel="1" x14ac:dyDescent="0.2">
      <c r="A1890" s="22" t="s">
        <v>1545</v>
      </c>
      <c r="B1890" s="2" t="s">
        <v>252</v>
      </c>
      <c r="C1890" s="2" t="s">
        <v>1734</v>
      </c>
      <c r="D1890" s="716">
        <v>1</v>
      </c>
      <c r="E1890" s="4" t="s">
        <v>8</v>
      </c>
      <c r="F1890" s="47">
        <v>0</v>
      </c>
      <c r="G1890" s="47">
        <v>0</v>
      </c>
      <c r="H1890" s="47">
        <v>0</v>
      </c>
      <c r="I1890" s="47">
        <v>0</v>
      </c>
      <c r="J1890" s="47">
        <f t="shared" si="535"/>
        <v>0</v>
      </c>
      <c r="K1890" s="47">
        <v>0</v>
      </c>
      <c r="L1890" s="47">
        <v>1</v>
      </c>
      <c r="M1890" s="893"/>
      <c r="N1890" s="20"/>
      <c r="O1890" s="20"/>
      <c r="P1890" s="20"/>
      <c r="Q1890" s="20"/>
      <c r="R1890" s="20"/>
    </row>
    <row r="1891" spans="1:18" s="103" customFormat="1" hidden="1" outlineLevel="1" x14ac:dyDescent="0.2">
      <c r="A1891" s="22" t="s">
        <v>1545</v>
      </c>
      <c r="B1891" s="2" t="s">
        <v>252</v>
      </c>
      <c r="C1891" s="2" t="s">
        <v>1734</v>
      </c>
      <c r="D1891" s="716">
        <v>1</v>
      </c>
      <c r="E1891" s="4" t="s">
        <v>9</v>
      </c>
      <c r="F1891" s="47">
        <v>0</v>
      </c>
      <c r="G1891" s="47">
        <v>0</v>
      </c>
      <c r="H1891" s="47">
        <v>0</v>
      </c>
      <c r="I1891" s="47">
        <v>0</v>
      </c>
      <c r="J1891" s="47">
        <f t="shared" si="535"/>
        <v>0</v>
      </c>
      <c r="K1891" s="47">
        <v>0</v>
      </c>
      <c r="L1891" s="47">
        <v>0</v>
      </c>
      <c r="M1891" s="893"/>
      <c r="N1891" s="20"/>
      <c r="O1891" s="20"/>
      <c r="P1891" s="20"/>
      <c r="Q1891" s="20"/>
      <c r="R1891" s="20"/>
    </row>
    <row r="1892" spans="1:18" s="103" customFormat="1" hidden="1" outlineLevel="1" x14ac:dyDescent="0.2">
      <c r="A1892" s="22" t="s">
        <v>1545</v>
      </c>
      <c r="B1892" s="2" t="s">
        <v>252</v>
      </c>
      <c r="C1892" s="2" t="s">
        <v>1734</v>
      </c>
      <c r="D1892" s="716">
        <v>1</v>
      </c>
      <c r="E1892" s="4" t="s">
        <v>10</v>
      </c>
      <c r="F1892" s="47">
        <v>0</v>
      </c>
      <c r="G1892" s="47">
        <v>0</v>
      </c>
      <c r="H1892" s="47">
        <v>0</v>
      </c>
      <c r="I1892" s="47">
        <v>0</v>
      </c>
      <c r="J1892" s="47">
        <f t="shared" si="535"/>
        <v>0</v>
      </c>
      <c r="K1892" s="47">
        <v>0</v>
      </c>
      <c r="L1892" s="47">
        <v>0</v>
      </c>
      <c r="M1892" s="893"/>
      <c r="N1892" s="20"/>
      <c r="O1892" s="20"/>
      <c r="P1892" s="20"/>
      <c r="Q1892" s="20"/>
      <c r="R1892" s="20"/>
    </row>
    <row r="1893" spans="1:18" s="103" customFormat="1" hidden="1" outlineLevel="1" x14ac:dyDescent="0.2">
      <c r="A1893" s="22" t="s">
        <v>1545</v>
      </c>
      <c r="B1893" s="2" t="s">
        <v>252</v>
      </c>
      <c r="C1893" s="2" t="s">
        <v>1734</v>
      </c>
      <c r="D1893" s="716">
        <v>1</v>
      </c>
      <c r="E1893" s="4" t="s">
        <v>11</v>
      </c>
      <c r="F1893" s="47">
        <v>0</v>
      </c>
      <c r="G1893" s="47">
        <v>0</v>
      </c>
      <c r="H1893" s="47">
        <v>0</v>
      </c>
      <c r="I1893" s="47">
        <v>0</v>
      </c>
      <c r="J1893" s="47">
        <f t="shared" si="535"/>
        <v>0</v>
      </c>
      <c r="K1893" s="47">
        <v>0</v>
      </c>
      <c r="L1893" s="47">
        <v>0</v>
      </c>
      <c r="M1893" s="893"/>
      <c r="N1893" s="20"/>
      <c r="O1893" s="20"/>
      <c r="P1893" s="20"/>
      <c r="Q1893" s="20"/>
      <c r="R1893" s="20"/>
    </row>
    <row r="1894" spans="1:18" s="103" customFormat="1" hidden="1" outlineLevel="1" x14ac:dyDescent="0.2">
      <c r="A1894" s="22" t="s">
        <v>1545</v>
      </c>
      <c r="B1894" s="2" t="s">
        <v>252</v>
      </c>
      <c r="C1894" s="2" t="s">
        <v>1734</v>
      </c>
      <c r="D1894" s="716">
        <v>1</v>
      </c>
      <c r="E1894" s="4" t="s">
        <v>12</v>
      </c>
      <c r="F1894" s="47">
        <v>0</v>
      </c>
      <c r="G1894" s="47">
        <v>0</v>
      </c>
      <c r="H1894" s="47">
        <v>0</v>
      </c>
      <c r="I1894" s="47">
        <v>0</v>
      </c>
      <c r="J1894" s="47">
        <f t="shared" si="535"/>
        <v>0</v>
      </c>
      <c r="K1894" s="47">
        <v>0</v>
      </c>
      <c r="L1894" s="47">
        <v>0</v>
      </c>
      <c r="M1894" s="893"/>
      <c r="N1894" s="20"/>
      <c r="O1894" s="20"/>
      <c r="P1894" s="20"/>
      <c r="Q1894" s="20"/>
      <c r="R1894" s="20"/>
    </row>
    <row r="1895" spans="1:18" s="103" customFormat="1" hidden="1" outlineLevel="1" x14ac:dyDescent="0.2">
      <c r="A1895" s="22" t="s">
        <v>1545</v>
      </c>
      <c r="B1895" s="2" t="s">
        <v>252</v>
      </c>
      <c r="C1895" s="2" t="s">
        <v>1734</v>
      </c>
      <c r="D1895" s="716">
        <v>1</v>
      </c>
      <c r="E1895" s="4" t="s">
        <v>1</v>
      </c>
      <c r="F1895" s="47">
        <v>0</v>
      </c>
      <c r="G1895" s="47">
        <v>0</v>
      </c>
      <c r="H1895" s="47">
        <v>0</v>
      </c>
      <c r="I1895" s="47">
        <v>0</v>
      </c>
      <c r="J1895" s="47">
        <f t="shared" si="535"/>
        <v>0</v>
      </c>
      <c r="K1895" s="47">
        <v>0</v>
      </c>
      <c r="L1895" s="47">
        <v>0</v>
      </c>
      <c r="M1895" s="893"/>
      <c r="N1895" s="20"/>
      <c r="O1895" s="20"/>
      <c r="P1895" s="20"/>
      <c r="Q1895" s="20"/>
      <c r="R1895" s="20"/>
    </row>
    <row r="1896" spans="1:18" s="103" customFormat="1" hidden="1" outlineLevel="1" x14ac:dyDescent="0.2">
      <c r="A1896" s="22" t="s">
        <v>1545</v>
      </c>
      <c r="B1896" s="2" t="s">
        <v>252</v>
      </c>
      <c r="C1896" s="2" t="s">
        <v>1734</v>
      </c>
      <c r="D1896" s="716">
        <v>1</v>
      </c>
      <c r="E1896" s="4" t="s">
        <v>13</v>
      </c>
      <c r="F1896" s="47">
        <v>0</v>
      </c>
      <c r="G1896" s="47">
        <v>0</v>
      </c>
      <c r="H1896" s="47">
        <v>0</v>
      </c>
      <c r="I1896" s="47">
        <v>0</v>
      </c>
      <c r="J1896" s="47">
        <f t="shared" si="535"/>
        <v>0</v>
      </c>
      <c r="K1896" s="47">
        <v>0</v>
      </c>
      <c r="L1896" s="47">
        <v>0</v>
      </c>
      <c r="M1896" s="893"/>
      <c r="N1896" s="20"/>
      <c r="O1896" s="20"/>
      <c r="P1896" s="20"/>
      <c r="Q1896" s="20"/>
      <c r="R1896" s="20"/>
    </row>
    <row r="1897" spans="1:18" s="103" customFormat="1" hidden="1" outlineLevel="1" x14ac:dyDescent="0.2">
      <c r="A1897" s="22" t="s">
        <v>1545</v>
      </c>
      <c r="B1897" s="2" t="s">
        <v>252</v>
      </c>
      <c r="C1897" s="2" t="s">
        <v>1734</v>
      </c>
      <c r="D1897" s="716">
        <v>1</v>
      </c>
      <c r="E1897" s="4" t="s">
        <v>14</v>
      </c>
      <c r="F1897" s="47">
        <v>0</v>
      </c>
      <c r="G1897" s="47">
        <v>0</v>
      </c>
      <c r="H1897" s="47">
        <v>0</v>
      </c>
      <c r="I1897" s="47">
        <v>0</v>
      </c>
      <c r="J1897" s="47">
        <f t="shared" si="535"/>
        <v>0</v>
      </c>
      <c r="K1897" s="47">
        <v>0</v>
      </c>
      <c r="L1897" s="47">
        <v>0</v>
      </c>
      <c r="M1897" s="893"/>
      <c r="N1897" s="20"/>
      <c r="O1897" s="20"/>
      <c r="P1897" s="20"/>
      <c r="Q1897" s="20"/>
      <c r="R1897" s="20"/>
    </row>
    <row r="1898" spans="1:18" s="103" customFormat="1" hidden="1" outlineLevel="1" x14ac:dyDescent="0.2">
      <c r="A1898" s="22" t="s">
        <v>1545</v>
      </c>
      <c r="B1898" s="2" t="s">
        <v>252</v>
      </c>
      <c r="C1898" s="2" t="s">
        <v>1734</v>
      </c>
      <c r="D1898" s="716">
        <v>1</v>
      </c>
      <c r="E1898" s="4" t="s">
        <v>15</v>
      </c>
      <c r="F1898" s="47">
        <v>0</v>
      </c>
      <c r="G1898" s="47">
        <v>0</v>
      </c>
      <c r="H1898" s="47">
        <v>0</v>
      </c>
      <c r="I1898" s="47">
        <v>0</v>
      </c>
      <c r="J1898" s="47">
        <f t="shared" si="535"/>
        <v>0</v>
      </c>
      <c r="K1898" s="47">
        <v>0</v>
      </c>
      <c r="L1898" s="47">
        <v>0</v>
      </c>
      <c r="M1898" s="893"/>
      <c r="N1898" s="20"/>
      <c r="O1898" s="20"/>
      <c r="P1898" s="20"/>
      <c r="Q1898" s="20"/>
      <c r="R1898" s="20"/>
    </row>
    <row r="1899" spans="1:18" s="103" customFormat="1" hidden="1" outlineLevel="1" x14ac:dyDescent="0.2">
      <c r="A1899" s="22" t="s">
        <v>1545</v>
      </c>
      <c r="B1899" s="2" t="s">
        <v>252</v>
      </c>
      <c r="C1899" s="2" t="s">
        <v>1734</v>
      </c>
      <c r="D1899" s="716">
        <v>1</v>
      </c>
      <c r="E1899" s="4" t="s">
        <v>16</v>
      </c>
      <c r="F1899" s="47">
        <v>0</v>
      </c>
      <c r="G1899" s="47">
        <v>0</v>
      </c>
      <c r="H1899" s="47">
        <v>0</v>
      </c>
      <c r="I1899" s="47">
        <v>0</v>
      </c>
      <c r="J1899" s="47">
        <f t="shared" si="535"/>
        <v>0</v>
      </c>
      <c r="K1899" s="47">
        <v>0</v>
      </c>
      <c r="L1899" s="47">
        <v>0</v>
      </c>
      <c r="M1899" s="893"/>
      <c r="N1899" s="20"/>
      <c r="O1899" s="20"/>
      <c r="P1899" s="20"/>
      <c r="Q1899" s="20"/>
      <c r="R1899" s="20"/>
    </row>
    <row r="1900" spans="1:18" s="103" customFormat="1" hidden="1" outlineLevel="1" x14ac:dyDescent="0.2">
      <c r="A1900" s="22" t="s">
        <v>1545</v>
      </c>
      <c r="B1900" s="2" t="s">
        <v>252</v>
      </c>
      <c r="C1900" s="2" t="s">
        <v>1734</v>
      </c>
      <c r="D1900" s="716">
        <v>1</v>
      </c>
      <c r="E1900" s="4" t="s">
        <v>17</v>
      </c>
      <c r="F1900" s="47">
        <v>0</v>
      </c>
      <c r="G1900" s="47">
        <v>0</v>
      </c>
      <c r="H1900" s="47">
        <v>0</v>
      </c>
      <c r="I1900" s="47">
        <v>0</v>
      </c>
      <c r="J1900" s="47">
        <f t="shared" si="535"/>
        <v>0</v>
      </c>
      <c r="K1900" s="47">
        <v>0</v>
      </c>
      <c r="L1900" s="47">
        <v>0</v>
      </c>
      <c r="M1900" s="893"/>
      <c r="N1900" s="20"/>
      <c r="O1900" s="20"/>
      <c r="P1900" s="20"/>
      <c r="Q1900" s="20"/>
      <c r="R1900" s="20"/>
    </row>
    <row r="1901" spans="1:18" s="103" customFormat="1" hidden="1" outlineLevel="1" x14ac:dyDescent="0.2">
      <c r="A1901" s="22" t="s">
        <v>1545</v>
      </c>
      <c r="B1901" s="2" t="s">
        <v>252</v>
      </c>
      <c r="C1901" s="2" t="s">
        <v>1734</v>
      </c>
      <c r="D1901" s="716">
        <v>1</v>
      </c>
      <c r="E1901" s="4" t="s">
        <v>18</v>
      </c>
      <c r="F1901" s="47">
        <v>0</v>
      </c>
      <c r="G1901" s="47">
        <v>0</v>
      </c>
      <c r="H1901" s="47">
        <v>0</v>
      </c>
      <c r="I1901" s="47">
        <v>0</v>
      </c>
      <c r="J1901" s="47">
        <f t="shared" si="535"/>
        <v>0</v>
      </c>
      <c r="K1901" s="47">
        <v>0</v>
      </c>
      <c r="L1901" s="47">
        <v>1</v>
      </c>
      <c r="M1901" s="893"/>
      <c r="N1901" s="20"/>
      <c r="O1901" s="20"/>
      <c r="P1901" s="20"/>
      <c r="Q1901" s="20"/>
      <c r="R1901" s="20"/>
    </row>
    <row r="1902" spans="1:18" s="103" customFormat="1" hidden="1" outlineLevel="1" x14ac:dyDescent="0.2">
      <c r="A1902" s="22" t="s">
        <v>1545</v>
      </c>
      <c r="B1902" s="2" t="s">
        <v>252</v>
      </c>
      <c r="C1902" s="2" t="s">
        <v>1734</v>
      </c>
      <c r="D1902" s="716">
        <v>1</v>
      </c>
      <c r="E1902" s="4" t="s">
        <v>2</v>
      </c>
      <c r="F1902" s="47">
        <v>0</v>
      </c>
      <c r="G1902" s="47">
        <v>0</v>
      </c>
      <c r="H1902" s="47">
        <v>0</v>
      </c>
      <c r="I1902" s="47">
        <v>0</v>
      </c>
      <c r="J1902" s="47">
        <f t="shared" si="535"/>
        <v>0</v>
      </c>
      <c r="K1902" s="47">
        <v>0</v>
      </c>
      <c r="L1902" s="47">
        <v>0</v>
      </c>
      <c r="M1902" s="893"/>
      <c r="N1902" s="20"/>
      <c r="O1902" s="20"/>
      <c r="P1902" s="20"/>
      <c r="Q1902" s="20"/>
      <c r="R1902" s="20"/>
    </row>
    <row r="1903" spans="1:18" s="103" customFormat="1" hidden="1" outlineLevel="1" x14ac:dyDescent="0.2">
      <c r="A1903" s="22" t="s">
        <v>1545</v>
      </c>
      <c r="B1903" s="2" t="s">
        <v>252</v>
      </c>
      <c r="C1903" s="2" t="s">
        <v>1734</v>
      </c>
      <c r="D1903" s="716">
        <v>1</v>
      </c>
      <c r="E1903" s="4" t="s">
        <v>19</v>
      </c>
      <c r="F1903" s="47">
        <v>0</v>
      </c>
      <c r="G1903" s="47">
        <v>0</v>
      </c>
      <c r="H1903" s="47">
        <v>0</v>
      </c>
      <c r="I1903" s="47">
        <v>0</v>
      </c>
      <c r="J1903" s="47">
        <f t="shared" si="535"/>
        <v>0</v>
      </c>
      <c r="K1903" s="47">
        <v>0</v>
      </c>
      <c r="L1903" s="47">
        <v>0</v>
      </c>
      <c r="M1903" s="893"/>
      <c r="N1903" s="20"/>
      <c r="O1903" s="20"/>
      <c r="P1903" s="20"/>
      <c r="Q1903" s="20"/>
      <c r="R1903" s="20"/>
    </row>
    <row r="1904" spans="1:18" s="103" customFormat="1" hidden="1" outlineLevel="1" x14ac:dyDescent="0.2">
      <c r="A1904" s="22" t="s">
        <v>1545</v>
      </c>
      <c r="B1904" s="2" t="s">
        <v>252</v>
      </c>
      <c r="C1904" s="2" t="s">
        <v>1734</v>
      </c>
      <c r="D1904" s="716">
        <v>1</v>
      </c>
      <c r="E1904" s="4" t="s">
        <v>3</v>
      </c>
      <c r="F1904" s="47">
        <v>0</v>
      </c>
      <c r="G1904" s="47">
        <v>0</v>
      </c>
      <c r="H1904" s="47">
        <v>0</v>
      </c>
      <c r="I1904" s="47">
        <v>0</v>
      </c>
      <c r="J1904" s="47">
        <f t="shared" si="535"/>
        <v>0</v>
      </c>
      <c r="K1904" s="47">
        <v>0</v>
      </c>
      <c r="L1904" s="47">
        <v>0</v>
      </c>
      <c r="M1904" s="893"/>
      <c r="N1904" s="20"/>
      <c r="O1904" s="20"/>
      <c r="P1904" s="20"/>
      <c r="Q1904" s="20"/>
      <c r="R1904" s="20"/>
    </row>
    <row r="1905" spans="1:18" s="103" customFormat="1" hidden="1" outlineLevel="1" x14ac:dyDescent="0.2">
      <c r="A1905" s="22" t="s">
        <v>1545</v>
      </c>
      <c r="B1905" s="2" t="s">
        <v>252</v>
      </c>
      <c r="C1905" s="2" t="s">
        <v>1734</v>
      </c>
      <c r="D1905" s="716">
        <v>1</v>
      </c>
      <c r="E1905" s="4" t="s">
        <v>20</v>
      </c>
      <c r="F1905" s="47">
        <v>0</v>
      </c>
      <c r="G1905" s="47">
        <v>0</v>
      </c>
      <c r="H1905" s="47">
        <v>0</v>
      </c>
      <c r="I1905" s="47">
        <v>0</v>
      </c>
      <c r="J1905" s="47">
        <f t="shared" si="535"/>
        <v>0</v>
      </c>
      <c r="K1905" s="47">
        <v>0</v>
      </c>
      <c r="L1905" s="47">
        <v>0</v>
      </c>
      <c r="M1905" s="893"/>
      <c r="N1905" s="20"/>
      <c r="O1905" s="20"/>
      <c r="P1905" s="20"/>
      <c r="Q1905" s="20"/>
      <c r="R1905" s="20"/>
    </row>
    <row r="1906" spans="1:18" s="103" customFormat="1" hidden="1" outlineLevel="1" x14ac:dyDescent="0.2">
      <c r="A1906" s="22" t="s">
        <v>1545</v>
      </c>
      <c r="B1906" s="2" t="s">
        <v>252</v>
      </c>
      <c r="C1906" s="2" t="s">
        <v>1734</v>
      </c>
      <c r="D1906" s="716">
        <v>1</v>
      </c>
      <c r="E1906" s="4" t="s">
        <v>21</v>
      </c>
      <c r="F1906" s="47">
        <v>0</v>
      </c>
      <c r="G1906" s="47">
        <v>0</v>
      </c>
      <c r="H1906" s="47">
        <v>0</v>
      </c>
      <c r="I1906" s="47">
        <v>0</v>
      </c>
      <c r="J1906" s="47">
        <f t="shared" si="535"/>
        <v>0</v>
      </c>
      <c r="K1906" s="47">
        <v>0</v>
      </c>
      <c r="L1906" s="47">
        <v>0</v>
      </c>
      <c r="M1906" s="893"/>
      <c r="N1906" s="20"/>
      <c r="O1906" s="20"/>
      <c r="P1906" s="20"/>
      <c r="Q1906" s="20"/>
      <c r="R1906" s="20"/>
    </row>
    <row r="1907" spans="1:18" s="103" customFormat="1" hidden="1" outlineLevel="1" x14ac:dyDescent="0.2">
      <c r="A1907" s="22" t="s">
        <v>1545</v>
      </c>
      <c r="B1907" s="2" t="s">
        <v>252</v>
      </c>
      <c r="C1907" s="2" t="s">
        <v>1734</v>
      </c>
      <c r="D1907" s="716">
        <v>1</v>
      </c>
      <c r="E1907" s="4" t="s">
        <v>1096</v>
      </c>
      <c r="F1907" s="47">
        <v>0</v>
      </c>
      <c r="G1907" s="47">
        <v>0</v>
      </c>
      <c r="H1907" s="47">
        <v>0</v>
      </c>
      <c r="I1907" s="47">
        <v>0</v>
      </c>
      <c r="J1907" s="47">
        <f t="shared" si="535"/>
        <v>0</v>
      </c>
      <c r="K1907" s="47">
        <v>0</v>
      </c>
      <c r="L1907" s="47">
        <v>0</v>
      </c>
      <c r="M1907" s="893"/>
      <c r="N1907" s="20"/>
      <c r="O1907" s="20"/>
      <c r="P1907" s="20"/>
      <c r="Q1907" s="20"/>
      <c r="R1907" s="20"/>
    </row>
    <row r="1908" spans="1:18" s="103" customFormat="1" hidden="1" outlineLevel="1" x14ac:dyDescent="0.2">
      <c r="A1908" s="22" t="s">
        <v>1545</v>
      </c>
      <c r="B1908" s="2" t="s">
        <v>252</v>
      </c>
      <c r="C1908" s="2" t="s">
        <v>1734</v>
      </c>
      <c r="D1908" s="716">
        <v>1</v>
      </c>
      <c r="E1908" s="4" t="s">
        <v>22</v>
      </c>
      <c r="F1908" s="47">
        <v>0</v>
      </c>
      <c r="G1908" s="47">
        <v>0</v>
      </c>
      <c r="H1908" s="47">
        <v>0</v>
      </c>
      <c r="I1908" s="47">
        <v>0</v>
      </c>
      <c r="J1908" s="47">
        <f t="shared" si="535"/>
        <v>0</v>
      </c>
      <c r="K1908" s="47">
        <v>0</v>
      </c>
      <c r="L1908" s="47">
        <v>0</v>
      </c>
      <c r="M1908" s="893"/>
      <c r="N1908" s="20"/>
      <c r="O1908" s="20"/>
      <c r="P1908" s="20"/>
      <c r="Q1908" s="20"/>
      <c r="R1908" s="20"/>
    </row>
    <row r="1909" spans="1:18" s="103" customFormat="1" hidden="1" outlineLevel="1" x14ac:dyDescent="0.2">
      <c r="A1909" s="22" t="s">
        <v>1545</v>
      </c>
      <c r="B1909" s="2" t="s">
        <v>252</v>
      </c>
      <c r="C1909" s="2" t="s">
        <v>1734</v>
      </c>
      <c r="D1909" s="717">
        <v>1</v>
      </c>
      <c r="E1909" s="4" t="s">
        <v>23</v>
      </c>
      <c r="F1909" s="48">
        <v>0</v>
      </c>
      <c r="G1909" s="48">
        <v>0</v>
      </c>
      <c r="H1909" s="48">
        <v>0</v>
      </c>
      <c r="I1909" s="48">
        <v>0</v>
      </c>
      <c r="J1909" s="48">
        <f t="shared" si="535"/>
        <v>0</v>
      </c>
      <c r="K1909" s="363">
        <v>0</v>
      </c>
      <c r="L1909" s="363">
        <v>0</v>
      </c>
      <c r="M1909" s="920"/>
      <c r="N1909" s="20"/>
      <c r="O1909" s="20"/>
      <c r="P1909" s="20"/>
      <c r="Q1909" s="20"/>
      <c r="R1909" s="20"/>
    </row>
    <row r="1910" spans="1:18" s="103" customFormat="1" hidden="1" outlineLevel="1" x14ac:dyDescent="0.2">
      <c r="A1910" s="92" t="s">
        <v>1545</v>
      </c>
      <c r="B1910" s="81" t="s">
        <v>252</v>
      </c>
      <c r="C1910" s="81" t="s">
        <v>1263</v>
      </c>
      <c r="D1910" s="715">
        <v>1</v>
      </c>
      <c r="E1910" s="468" t="s">
        <v>4</v>
      </c>
      <c r="F1910" s="380">
        <f t="shared" ref="F1910:I1910" si="536">G1910</f>
        <v>1</v>
      </c>
      <c r="G1910" s="89">
        <f t="shared" si="536"/>
        <v>1</v>
      </c>
      <c r="H1910" s="89">
        <f t="shared" si="536"/>
        <v>1</v>
      </c>
      <c r="I1910" s="89">
        <f t="shared" si="536"/>
        <v>1</v>
      </c>
      <c r="J1910" s="89">
        <f t="shared" si="535"/>
        <v>1</v>
      </c>
      <c r="K1910" s="380">
        <v>1</v>
      </c>
      <c r="L1910" s="380">
        <v>1</v>
      </c>
      <c r="M1910" s="892"/>
      <c r="N1910" s="20"/>
      <c r="O1910" s="20"/>
      <c r="P1910" s="20"/>
      <c r="Q1910" s="20"/>
      <c r="R1910" s="20"/>
    </row>
    <row r="1911" spans="1:18" s="103" customFormat="1" hidden="1" outlineLevel="1" x14ac:dyDescent="0.2">
      <c r="A1911" s="22" t="s">
        <v>1545</v>
      </c>
      <c r="B1911" s="2" t="s">
        <v>252</v>
      </c>
      <c r="C1911" s="2" t="s">
        <v>1263</v>
      </c>
      <c r="D1911" s="716">
        <v>1</v>
      </c>
      <c r="E1911" s="4" t="s">
        <v>5</v>
      </c>
      <c r="F1911" s="47">
        <f t="shared" ref="F1911:I1911" si="537">G1911</f>
        <v>1</v>
      </c>
      <c r="G1911" s="47">
        <f t="shared" si="537"/>
        <v>1</v>
      </c>
      <c r="H1911" s="47">
        <f t="shared" si="537"/>
        <v>1</v>
      </c>
      <c r="I1911" s="47">
        <f t="shared" si="537"/>
        <v>1</v>
      </c>
      <c r="J1911" s="47">
        <f t="shared" si="535"/>
        <v>1</v>
      </c>
      <c r="K1911" s="47">
        <v>1</v>
      </c>
      <c r="L1911" s="47">
        <v>1</v>
      </c>
      <c r="M1911" s="893"/>
      <c r="N1911" s="20"/>
      <c r="O1911" s="20"/>
      <c r="P1911" s="20"/>
      <c r="Q1911" s="20"/>
      <c r="R1911" s="20"/>
    </row>
    <row r="1912" spans="1:18" s="103" customFormat="1" hidden="1" outlineLevel="1" x14ac:dyDescent="0.2">
      <c r="A1912" s="22" t="s">
        <v>1545</v>
      </c>
      <c r="B1912" s="2" t="s">
        <v>252</v>
      </c>
      <c r="C1912" s="2" t="s">
        <v>1263</v>
      </c>
      <c r="D1912" s="716">
        <v>1</v>
      </c>
      <c r="E1912" s="4" t="s">
        <v>6</v>
      </c>
      <c r="F1912" s="47">
        <f t="shared" ref="F1912:I1912" si="538">G1912</f>
        <v>0</v>
      </c>
      <c r="G1912" s="47">
        <f t="shared" si="538"/>
        <v>0</v>
      </c>
      <c r="H1912" s="47">
        <f t="shared" si="538"/>
        <v>0</v>
      </c>
      <c r="I1912" s="47">
        <f t="shared" si="538"/>
        <v>0</v>
      </c>
      <c r="J1912" s="47">
        <f t="shared" si="535"/>
        <v>0</v>
      </c>
      <c r="K1912" s="47">
        <v>0</v>
      </c>
      <c r="L1912" s="47">
        <v>0</v>
      </c>
      <c r="M1912" s="893"/>
      <c r="N1912" s="20"/>
      <c r="O1912" s="20"/>
      <c r="P1912" s="20"/>
      <c r="Q1912" s="20"/>
      <c r="R1912" s="20"/>
    </row>
    <row r="1913" spans="1:18" s="103" customFormat="1" hidden="1" outlineLevel="1" x14ac:dyDescent="0.2">
      <c r="A1913" s="22" t="s">
        <v>1545</v>
      </c>
      <c r="B1913" s="2" t="s">
        <v>252</v>
      </c>
      <c r="C1913" s="2" t="s">
        <v>1263</v>
      </c>
      <c r="D1913" s="716">
        <v>1</v>
      </c>
      <c r="E1913" s="4" t="s">
        <v>143</v>
      </c>
      <c r="F1913" s="47">
        <f t="shared" ref="F1913:I1913" si="539">G1913</f>
        <v>0</v>
      </c>
      <c r="G1913" s="47">
        <f t="shared" si="539"/>
        <v>0</v>
      </c>
      <c r="H1913" s="47">
        <f t="shared" si="539"/>
        <v>0</v>
      </c>
      <c r="I1913" s="47">
        <f t="shared" si="539"/>
        <v>0</v>
      </c>
      <c r="J1913" s="47">
        <f t="shared" si="535"/>
        <v>0</v>
      </c>
      <c r="K1913" s="47">
        <v>0</v>
      </c>
      <c r="L1913" s="47">
        <v>0</v>
      </c>
      <c r="M1913" s="893"/>
      <c r="N1913" s="20"/>
      <c r="O1913" s="20"/>
      <c r="P1913" s="20"/>
      <c r="Q1913" s="20"/>
      <c r="R1913" s="20"/>
    </row>
    <row r="1914" spans="1:18" s="103" customFormat="1" hidden="1" outlineLevel="1" x14ac:dyDescent="0.2">
      <c r="A1914" s="22" t="s">
        <v>1545</v>
      </c>
      <c r="B1914" s="2" t="s">
        <v>252</v>
      </c>
      <c r="C1914" s="2" t="s">
        <v>1263</v>
      </c>
      <c r="D1914" s="716">
        <v>1</v>
      </c>
      <c r="E1914" s="4" t="s">
        <v>7</v>
      </c>
      <c r="F1914" s="47">
        <f t="shared" ref="F1914:I1914" si="540">G1914</f>
        <v>0</v>
      </c>
      <c r="G1914" s="47">
        <f t="shared" si="540"/>
        <v>0</v>
      </c>
      <c r="H1914" s="47">
        <f t="shared" si="540"/>
        <v>0</v>
      </c>
      <c r="I1914" s="47">
        <f t="shared" si="540"/>
        <v>0</v>
      </c>
      <c r="J1914" s="47">
        <f t="shared" si="535"/>
        <v>0</v>
      </c>
      <c r="K1914" s="47">
        <v>0</v>
      </c>
      <c r="L1914" s="47">
        <v>0</v>
      </c>
      <c r="M1914" s="893"/>
      <c r="N1914" s="20"/>
      <c r="O1914" s="20"/>
      <c r="P1914" s="20"/>
      <c r="Q1914" s="20"/>
      <c r="R1914" s="20"/>
    </row>
    <row r="1915" spans="1:18" s="103" customFormat="1" hidden="1" outlineLevel="1" x14ac:dyDescent="0.2">
      <c r="A1915" s="22" t="s">
        <v>1545</v>
      </c>
      <c r="B1915" s="2" t="s">
        <v>252</v>
      </c>
      <c r="C1915" s="2" t="s">
        <v>1263</v>
      </c>
      <c r="D1915" s="716">
        <v>1</v>
      </c>
      <c r="E1915" s="4" t="s">
        <v>31</v>
      </c>
      <c r="F1915" s="47">
        <f t="shared" ref="F1915:I1915" si="541">G1915</f>
        <v>1</v>
      </c>
      <c r="G1915" s="47">
        <f t="shared" si="541"/>
        <v>1</v>
      </c>
      <c r="H1915" s="47">
        <f t="shared" si="541"/>
        <v>1</v>
      </c>
      <c r="I1915" s="47">
        <f t="shared" si="541"/>
        <v>1</v>
      </c>
      <c r="J1915" s="47">
        <f t="shared" si="535"/>
        <v>1</v>
      </c>
      <c r="K1915" s="47">
        <v>1</v>
      </c>
      <c r="L1915" s="47">
        <v>1</v>
      </c>
      <c r="M1915" s="893"/>
      <c r="N1915" s="20"/>
      <c r="O1915" s="20"/>
      <c r="P1915" s="20"/>
      <c r="Q1915" s="20"/>
      <c r="R1915" s="20"/>
    </row>
    <row r="1916" spans="1:18" s="103" customFormat="1" hidden="1" outlineLevel="1" x14ac:dyDescent="0.2">
      <c r="A1916" s="22" t="s">
        <v>1545</v>
      </c>
      <c r="B1916" s="2" t="s">
        <v>252</v>
      </c>
      <c r="C1916" s="2" t="s">
        <v>1263</v>
      </c>
      <c r="D1916" s="716">
        <v>1</v>
      </c>
      <c r="E1916" s="4" t="s">
        <v>8</v>
      </c>
      <c r="F1916" s="47">
        <f t="shared" ref="F1916:I1916" si="542">G1916</f>
        <v>1</v>
      </c>
      <c r="G1916" s="47">
        <f t="shared" si="542"/>
        <v>1</v>
      </c>
      <c r="H1916" s="47">
        <f t="shared" si="542"/>
        <v>1</v>
      </c>
      <c r="I1916" s="47">
        <f t="shared" si="542"/>
        <v>1</v>
      </c>
      <c r="J1916" s="47">
        <f t="shared" si="535"/>
        <v>1</v>
      </c>
      <c r="K1916" s="47">
        <v>1</v>
      </c>
      <c r="L1916" s="47">
        <v>1</v>
      </c>
      <c r="M1916" s="893"/>
      <c r="N1916" s="20"/>
      <c r="O1916" s="20"/>
      <c r="P1916" s="20"/>
      <c r="Q1916" s="20"/>
      <c r="R1916" s="20"/>
    </row>
    <row r="1917" spans="1:18" s="103" customFormat="1" hidden="1" outlineLevel="1" x14ac:dyDescent="0.2">
      <c r="A1917" s="22" t="s">
        <v>1545</v>
      </c>
      <c r="B1917" s="2" t="s">
        <v>252</v>
      </c>
      <c r="C1917" s="2" t="s">
        <v>1263</v>
      </c>
      <c r="D1917" s="716">
        <v>1</v>
      </c>
      <c r="E1917" s="4" t="s">
        <v>9</v>
      </c>
      <c r="F1917" s="47">
        <f t="shared" ref="F1917:J1932" si="543">G1917</f>
        <v>1</v>
      </c>
      <c r="G1917" s="47">
        <f t="shared" si="543"/>
        <v>1</v>
      </c>
      <c r="H1917" s="47">
        <f t="shared" si="543"/>
        <v>1</v>
      </c>
      <c r="I1917" s="47">
        <f t="shared" si="543"/>
        <v>1</v>
      </c>
      <c r="J1917" s="47">
        <f t="shared" si="543"/>
        <v>1</v>
      </c>
      <c r="K1917" s="47">
        <v>1</v>
      </c>
      <c r="L1917" s="47">
        <v>1</v>
      </c>
      <c r="M1917" s="893"/>
      <c r="N1917" s="20"/>
      <c r="O1917" s="20"/>
      <c r="P1917" s="20"/>
      <c r="Q1917" s="20"/>
      <c r="R1917" s="20"/>
    </row>
    <row r="1918" spans="1:18" s="103" customFormat="1" hidden="1" outlineLevel="1" x14ac:dyDescent="0.2">
      <c r="A1918" s="22" t="s">
        <v>1545</v>
      </c>
      <c r="B1918" s="2" t="s">
        <v>252</v>
      </c>
      <c r="C1918" s="2" t="s">
        <v>1263</v>
      </c>
      <c r="D1918" s="716">
        <v>1</v>
      </c>
      <c r="E1918" s="4" t="s">
        <v>10</v>
      </c>
      <c r="F1918" s="47">
        <f t="shared" ref="F1918:I1918" si="544">G1918</f>
        <v>0</v>
      </c>
      <c r="G1918" s="47">
        <f t="shared" si="544"/>
        <v>0</v>
      </c>
      <c r="H1918" s="47">
        <f t="shared" si="544"/>
        <v>0</v>
      </c>
      <c r="I1918" s="47">
        <f t="shared" si="544"/>
        <v>0</v>
      </c>
      <c r="J1918" s="47">
        <f t="shared" si="543"/>
        <v>0</v>
      </c>
      <c r="K1918" s="47">
        <v>0</v>
      </c>
      <c r="L1918" s="47">
        <v>0</v>
      </c>
      <c r="M1918" s="893"/>
      <c r="N1918" s="20"/>
      <c r="O1918" s="20"/>
      <c r="P1918" s="20"/>
      <c r="Q1918" s="20"/>
      <c r="R1918" s="20"/>
    </row>
    <row r="1919" spans="1:18" s="103" customFormat="1" hidden="1" outlineLevel="1" x14ac:dyDescent="0.2">
      <c r="A1919" s="22" t="s">
        <v>1545</v>
      </c>
      <c r="B1919" s="2" t="s">
        <v>252</v>
      </c>
      <c r="C1919" s="2" t="s">
        <v>1263</v>
      </c>
      <c r="D1919" s="716">
        <v>1</v>
      </c>
      <c r="E1919" s="4" t="s">
        <v>11</v>
      </c>
      <c r="F1919" s="47">
        <f t="shared" ref="F1919:I1919" si="545">G1919</f>
        <v>0</v>
      </c>
      <c r="G1919" s="47">
        <f t="shared" si="545"/>
        <v>0</v>
      </c>
      <c r="H1919" s="47">
        <f t="shared" si="545"/>
        <v>0</v>
      </c>
      <c r="I1919" s="47">
        <f t="shared" si="545"/>
        <v>0</v>
      </c>
      <c r="J1919" s="47">
        <f t="shared" si="543"/>
        <v>0</v>
      </c>
      <c r="K1919" s="47">
        <v>0</v>
      </c>
      <c r="L1919" s="47">
        <v>0</v>
      </c>
      <c r="M1919" s="893"/>
      <c r="N1919" s="20"/>
      <c r="O1919" s="20"/>
      <c r="P1919" s="20"/>
      <c r="Q1919" s="20"/>
      <c r="R1919" s="20"/>
    </row>
    <row r="1920" spans="1:18" s="103" customFormat="1" hidden="1" outlineLevel="1" x14ac:dyDescent="0.2">
      <c r="A1920" s="22" t="s">
        <v>1545</v>
      </c>
      <c r="B1920" s="2" t="s">
        <v>252</v>
      </c>
      <c r="C1920" s="2" t="s">
        <v>1263</v>
      </c>
      <c r="D1920" s="716">
        <v>1</v>
      </c>
      <c r="E1920" s="4" t="s">
        <v>12</v>
      </c>
      <c r="F1920" s="47">
        <f t="shared" ref="F1920:I1920" si="546">G1920</f>
        <v>0</v>
      </c>
      <c r="G1920" s="47">
        <f t="shared" si="546"/>
        <v>0</v>
      </c>
      <c r="H1920" s="47">
        <f t="shared" si="546"/>
        <v>0</v>
      </c>
      <c r="I1920" s="47">
        <f t="shared" si="546"/>
        <v>0</v>
      </c>
      <c r="J1920" s="47">
        <f t="shared" si="543"/>
        <v>0</v>
      </c>
      <c r="K1920" s="47">
        <v>0</v>
      </c>
      <c r="L1920" s="47">
        <v>0</v>
      </c>
      <c r="M1920" s="893"/>
      <c r="N1920" s="20"/>
      <c r="O1920" s="20"/>
      <c r="P1920" s="20"/>
      <c r="Q1920" s="20"/>
      <c r="R1920" s="20"/>
    </row>
    <row r="1921" spans="1:18" s="103" customFormat="1" hidden="1" outlineLevel="1" x14ac:dyDescent="0.2">
      <c r="A1921" s="22" t="s">
        <v>1545</v>
      </c>
      <c r="B1921" s="2" t="s">
        <v>252</v>
      </c>
      <c r="C1921" s="2" t="s">
        <v>1263</v>
      </c>
      <c r="D1921" s="716">
        <v>1</v>
      </c>
      <c r="E1921" s="4" t="s">
        <v>1</v>
      </c>
      <c r="F1921" s="47">
        <f t="shared" ref="F1921:I1921" si="547">G1921</f>
        <v>0</v>
      </c>
      <c r="G1921" s="47">
        <f t="shared" si="547"/>
        <v>0</v>
      </c>
      <c r="H1921" s="47">
        <f t="shared" si="547"/>
        <v>0</v>
      </c>
      <c r="I1921" s="47">
        <f t="shared" si="547"/>
        <v>0</v>
      </c>
      <c r="J1921" s="47">
        <f t="shared" si="543"/>
        <v>0</v>
      </c>
      <c r="K1921" s="47">
        <v>0</v>
      </c>
      <c r="L1921" s="47">
        <v>0</v>
      </c>
      <c r="M1921" s="893"/>
      <c r="N1921" s="20"/>
      <c r="O1921" s="20"/>
      <c r="P1921" s="20"/>
      <c r="Q1921" s="20"/>
      <c r="R1921" s="20"/>
    </row>
    <row r="1922" spans="1:18" s="103" customFormat="1" hidden="1" outlineLevel="1" x14ac:dyDescent="0.2">
      <c r="A1922" s="22" t="s">
        <v>1545</v>
      </c>
      <c r="B1922" s="2" t="s">
        <v>252</v>
      </c>
      <c r="C1922" s="2" t="s">
        <v>1263</v>
      </c>
      <c r="D1922" s="716">
        <v>1</v>
      </c>
      <c r="E1922" s="4" t="s">
        <v>13</v>
      </c>
      <c r="F1922" s="47">
        <f t="shared" ref="F1922:I1922" si="548">G1922</f>
        <v>1</v>
      </c>
      <c r="G1922" s="47">
        <f t="shared" si="548"/>
        <v>1</v>
      </c>
      <c r="H1922" s="47">
        <f t="shared" si="548"/>
        <v>1</v>
      </c>
      <c r="I1922" s="47">
        <f t="shared" si="548"/>
        <v>1</v>
      </c>
      <c r="J1922" s="47">
        <f t="shared" si="543"/>
        <v>1</v>
      </c>
      <c r="K1922" s="47">
        <v>1</v>
      </c>
      <c r="L1922" s="47">
        <v>1</v>
      </c>
      <c r="M1922" s="893"/>
      <c r="N1922" s="20"/>
      <c r="O1922" s="20"/>
      <c r="P1922" s="20"/>
      <c r="Q1922" s="20"/>
      <c r="R1922" s="20"/>
    </row>
    <row r="1923" spans="1:18" s="103" customFormat="1" hidden="1" outlineLevel="1" x14ac:dyDescent="0.2">
      <c r="A1923" s="22" t="s">
        <v>1545</v>
      </c>
      <c r="B1923" s="2" t="s">
        <v>252</v>
      </c>
      <c r="C1923" s="2" t="s">
        <v>1263</v>
      </c>
      <c r="D1923" s="716">
        <v>1</v>
      </c>
      <c r="E1923" s="4" t="s">
        <v>14</v>
      </c>
      <c r="F1923" s="47">
        <f t="shared" ref="F1923:I1923" si="549">G1923</f>
        <v>0</v>
      </c>
      <c r="G1923" s="47">
        <f t="shared" si="549"/>
        <v>0</v>
      </c>
      <c r="H1923" s="47">
        <f t="shared" si="549"/>
        <v>0</v>
      </c>
      <c r="I1923" s="47">
        <f t="shared" si="549"/>
        <v>0</v>
      </c>
      <c r="J1923" s="47">
        <f t="shared" si="543"/>
        <v>0</v>
      </c>
      <c r="K1923" s="47">
        <v>0</v>
      </c>
      <c r="L1923" s="47">
        <v>0</v>
      </c>
      <c r="M1923" s="893"/>
      <c r="N1923" s="20"/>
      <c r="O1923" s="20"/>
      <c r="P1923" s="20"/>
      <c r="Q1923" s="20"/>
      <c r="R1923" s="20"/>
    </row>
    <row r="1924" spans="1:18" s="103" customFormat="1" hidden="1" outlineLevel="1" x14ac:dyDescent="0.2">
      <c r="A1924" s="22" t="s">
        <v>1545</v>
      </c>
      <c r="B1924" s="2" t="s">
        <v>252</v>
      </c>
      <c r="C1924" s="2" t="s">
        <v>1263</v>
      </c>
      <c r="D1924" s="716">
        <v>1</v>
      </c>
      <c r="E1924" s="4" t="s">
        <v>15</v>
      </c>
      <c r="F1924" s="47">
        <f t="shared" ref="F1924:I1924" si="550">G1924</f>
        <v>0</v>
      </c>
      <c r="G1924" s="47">
        <f t="shared" si="550"/>
        <v>0</v>
      </c>
      <c r="H1924" s="47">
        <f t="shared" si="550"/>
        <v>0</v>
      </c>
      <c r="I1924" s="47">
        <f t="shared" si="550"/>
        <v>0</v>
      </c>
      <c r="J1924" s="47">
        <f t="shared" si="543"/>
        <v>0</v>
      </c>
      <c r="K1924" s="47">
        <v>0</v>
      </c>
      <c r="L1924" s="47">
        <v>0</v>
      </c>
      <c r="M1924" s="893"/>
      <c r="N1924" s="20"/>
      <c r="O1924" s="20"/>
      <c r="P1924" s="20"/>
      <c r="Q1924" s="20"/>
      <c r="R1924" s="20"/>
    </row>
    <row r="1925" spans="1:18" s="103" customFormat="1" hidden="1" outlineLevel="1" x14ac:dyDescent="0.2">
      <c r="A1925" s="22" t="s">
        <v>1545</v>
      </c>
      <c r="B1925" s="2" t="s">
        <v>252</v>
      </c>
      <c r="C1925" s="2" t="s">
        <v>1263</v>
      </c>
      <c r="D1925" s="716">
        <v>1</v>
      </c>
      <c r="E1925" s="4" t="s">
        <v>16</v>
      </c>
      <c r="F1925" s="47">
        <f t="shared" ref="F1925:I1925" si="551">G1925</f>
        <v>0</v>
      </c>
      <c r="G1925" s="47">
        <f t="shared" si="551"/>
        <v>0</v>
      </c>
      <c r="H1925" s="47">
        <f t="shared" si="551"/>
        <v>0</v>
      </c>
      <c r="I1925" s="47">
        <f t="shared" si="551"/>
        <v>0</v>
      </c>
      <c r="J1925" s="47">
        <f t="shared" si="543"/>
        <v>0</v>
      </c>
      <c r="K1925" s="47">
        <v>0</v>
      </c>
      <c r="L1925" s="47">
        <v>0</v>
      </c>
      <c r="M1925" s="893"/>
      <c r="N1925" s="20"/>
      <c r="O1925" s="20"/>
      <c r="P1925" s="20"/>
      <c r="Q1925" s="20"/>
      <c r="R1925" s="20"/>
    </row>
    <row r="1926" spans="1:18" s="103" customFormat="1" hidden="1" outlineLevel="1" x14ac:dyDescent="0.2">
      <c r="A1926" s="22" t="s">
        <v>1545</v>
      </c>
      <c r="B1926" s="2" t="s">
        <v>252</v>
      </c>
      <c r="C1926" s="2" t="s">
        <v>1263</v>
      </c>
      <c r="D1926" s="716">
        <v>1</v>
      </c>
      <c r="E1926" s="4" t="s">
        <v>17</v>
      </c>
      <c r="F1926" s="47">
        <f t="shared" ref="F1926:I1926" si="552">G1926</f>
        <v>0</v>
      </c>
      <c r="G1926" s="47">
        <f t="shared" si="552"/>
        <v>0</v>
      </c>
      <c r="H1926" s="47">
        <f t="shared" si="552"/>
        <v>0</v>
      </c>
      <c r="I1926" s="47">
        <f t="shared" si="552"/>
        <v>0</v>
      </c>
      <c r="J1926" s="47">
        <f t="shared" si="543"/>
        <v>0</v>
      </c>
      <c r="K1926" s="47">
        <v>0</v>
      </c>
      <c r="L1926" s="47">
        <v>0</v>
      </c>
      <c r="M1926" s="893"/>
      <c r="N1926" s="20"/>
      <c r="O1926" s="20"/>
      <c r="P1926" s="20"/>
      <c r="Q1926" s="20"/>
      <c r="R1926" s="20"/>
    </row>
    <row r="1927" spans="1:18" s="103" customFormat="1" hidden="1" outlineLevel="1" x14ac:dyDescent="0.2">
      <c r="A1927" s="22" t="s">
        <v>1545</v>
      </c>
      <c r="B1927" s="2" t="s">
        <v>252</v>
      </c>
      <c r="C1927" s="2" t="s">
        <v>1263</v>
      </c>
      <c r="D1927" s="716">
        <v>1</v>
      </c>
      <c r="E1927" s="4" t="s">
        <v>18</v>
      </c>
      <c r="F1927" s="47">
        <f t="shared" ref="F1927:I1927" si="553">G1927</f>
        <v>1</v>
      </c>
      <c r="G1927" s="47">
        <f t="shared" si="553"/>
        <v>1</v>
      </c>
      <c r="H1927" s="47">
        <f t="shared" si="553"/>
        <v>1</v>
      </c>
      <c r="I1927" s="47">
        <f t="shared" si="553"/>
        <v>1</v>
      </c>
      <c r="J1927" s="47">
        <f t="shared" si="543"/>
        <v>1</v>
      </c>
      <c r="K1927" s="47">
        <v>1</v>
      </c>
      <c r="L1927" s="47">
        <v>1</v>
      </c>
      <c r="M1927" s="893"/>
      <c r="N1927" s="20"/>
      <c r="O1927" s="20"/>
      <c r="P1927" s="20"/>
      <c r="Q1927" s="20"/>
      <c r="R1927" s="20"/>
    </row>
    <row r="1928" spans="1:18" s="103" customFormat="1" hidden="1" outlineLevel="1" x14ac:dyDescent="0.2">
      <c r="A1928" s="22" t="s">
        <v>1545</v>
      </c>
      <c r="B1928" s="2" t="s">
        <v>252</v>
      </c>
      <c r="C1928" s="2" t="s">
        <v>1263</v>
      </c>
      <c r="D1928" s="716">
        <v>1</v>
      </c>
      <c r="E1928" s="4" t="s">
        <v>2</v>
      </c>
      <c r="F1928" s="47">
        <f t="shared" ref="F1928:I1928" si="554">G1928</f>
        <v>0</v>
      </c>
      <c r="G1928" s="47">
        <f t="shared" si="554"/>
        <v>0</v>
      </c>
      <c r="H1928" s="47">
        <f t="shared" si="554"/>
        <v>0</v>
      </c>
      <c r="I1928" s="47">
        <f t="shared" si="554"/>
        <v>0</v>
      </c>
      <c r="J1928" s="47">
        <f t="shared" si="543"/>
        <v>0</v>
      </c>
      <c r="K1928" s="47">
        <v>0</v>
      </c>
      <c r="L1928" s="47">
        <v>0</v>
      </c>
      <c r="M1928" s="893"/>
      <c r="N1928" s="20"/>
      <c r="O1928" s="20"/>
      <c r="P1928" s="20"/>
      <c r="Q1928" s="20"/>
      <c r="R1928" s="20"/>
    </row>
    <row r="1929" spans="1:18" s="103" customFormat="1" hidden="1" outlineLevel="1" x14ac:dyDescent="0.2">
      <c r="A1929" s="22" t="s">
        <v>1545</v>
      </c>
      <c r="B1929" s="2" t="s">
        <v>252</v>
      </c>
      <c r="C1929" s="2" t="s">
        <v>1263</v>
      </c>
      <c r="D1929" s="716">
        <v>1</v>
      </c>
      <c r="E1929" s="4" t="s">
        <v>19</v>
      </c>
      <c r="F1929" s="47">
        <f t="shared" ref="F1929:I1929" si="555">G1929</f>
        <v>0</v>
      </c>
      <c r="G1929" s="47">
        <f t="shared" si="555"/>
        <v>0</v>
      </c>
      <c r="H1929" s="47">
        <f t="shared" si="555"/>
        <v>0</v>
      </c>
      <c r="I1929" s="47">
        <f t="shared" si="555"/>
        <v>0</v>
      </c>
      <c r="J1929" s="47">
        <f t="shared" si="543"/>
        <v>0</v>
      </c>
      <c r="K1929" s="47">
        <v>0</v>
      </c>
      <c r="L1929" s="47">
        <v>0</v>
      </c>
      <c r="M1929" s="893"/>
      <c r="N1929" s="20"/>
      <c r="O1929" s="20"/>
      <c r="P1929" s="20"/>
      <c r="Q1929" s="20"/>
      <c r="R1929" s="20"/>
    </row>
    <row r="1930" spans="1:18" s="103" customFormat="1" hidden="1" outlineLevel="1" x14ac:dyDescent="0.2">
      <c r="A1930" s="22" t="s">
        <v>1545</v>
      </c>
      <c r="B1930" s="2" t="s">
        <v>252</v>
      </c>
      <c r="C1930" s="2" t="s">
        <v>1263</v>
      </c>
      <c r="D1930" s="716">
        <v>1</v>
      </c>
      <c r="E1930" s="4" t="s">
        <v>3</v>
      </c>
      <c r="F1930" s="47">
        <f t="shared" ref="F1930:I1930" si="556">G1930</f>
        <v>0</v>
      </c>
      <c r="G1930" s="47">
        <f t="shared" si="556"/>
        <v>0</v>
      </c>
      <c r="H1930" s="47">
        <f t="shared" si="556"/>
        <v>0</v>
      </c>
      <c r="I1930" s="47">
        <f t="shared" si="556"/>
        <v>0</v>
      </c>
      <c r="J1930" s="47">
        <f t="shared" si="543"/>
        <v>0</v>
      </c>
      <c r="K1930" s="47">
        <v>0</v>
      </c>
      <c r="L1930" s="47">
        <v>0</v>
      </c>
      <c r="M1930" s="893"/>
      <c r="N1930" s="20"/>
      <c r="O1930" s="20"/>
      <c r="P1930" s="20"/>
      <c r="Q1930" s="20"/>
      <c r="R1930" s="20"/>
    </row>
    <row r="1931" spans="1:18" s="103" customFormat="1" hidden="1" outlineLevel="1" x14ac:dyDescent="0.2">
      <c r="A1931" s="22" t="s">
        <v>1545</v>
      </c>
      <c r="B1931" s="2" t="s">
        <v>252</v>
      </c>
      <c r="C1931" s="2" t="s">
        <v>1263</v>
      </c>
      <c r="D1931" s="716">
        <v>1</v>
      </c>
      <c r="E1931" s="4" t="s">
        <v>20</v>
      </c>
      <c r="F1931" s="47">
        <f t="shared" ref="F1931:I1931" si="557">G1931</f>
        <v>1</v>
      </c>
      <c r="G1931" s="47">
        <f t="shared" si="557"/>
        <v>1</v>
      </c>
      <c r="H1931" s="47">
        <f t="shared" si="557"/>
        <v>1</v>
      </c>
      <c r="I1931" s="47">
        <f t="shared" si="557"/>
        <v>1</v>
      </c>
      <c r="J1931" s="47">
        <f t="shared" si="543"/>
        <v>1</v>
      </c>
      <c r="K1931" s="47">
        <v>1</v>
      </c>
      <c r="L1931" s="47">
        <v>1</v>
      </c>
      <c r="M1931" s="893"/>
      <c r="N1931" s="20"/>
      <c r="O1931" s="20"/>
      <c r="P1931" s="20"/>
      <c r="Q1931" s="20"/>
      <c r="R1931" s="20"/>
    </row>
    <row r="1932" spans="1:18" s="103" customFormat="1" hidden="1" outlineLevel="1" x14ac:dyDescent="0.2">
      <c r="A1932" s="22" t="s">
        <v>1545</v>
      </c>
      <c r="B1932" s="2" t="s">
        <v>252</v>
      </c>
      <c r="C1932" s="2" t="s">
        <v>1263</v>
      </c>
      <c r="D1932" s="716">
        <v>1</v>
      </c>
      <c r="E1932" s="4" t="s">
        <v>21</v>
      </c>
      <c r="F1932" s="47">
        <f t="shared" ref="F1932:I1932" si="558">G1932</f>
        <v>0</v>
      </c>
      <c r="G1932" s="47">
        <f t="shared" si="558"/>
        <v>0</v>
      </c>
      <c r="H1932" s="47">
        <f t="shared" si="558"/>
        <v>0</v>
      </c>
      <c r="I1932" s="47">
        <f t="shared" si="558"/>
        <v>0</v>
      </c>
      <c r="J1932" s="47">
        <f t="shared" si="543"/>
        <v>0</v>
      </c>
      <c r="K1932" s="47">
        <v>0</v>
      </c>
      <c r="L1932" s="47">
        <v>0</v>
      </c>
      <c r="M1932" s="893"/>
      <c r="N1932" s="20"/>
      <c r="O1932" s="20"/>
      <c r="P1932" s="20"/>
      <c r="Q1932" s="20"/>
      <c r="R1932" s="20"/>
    </row>
    <row r="1933" spans="1:18" s="103" customFormat="1" hidden="1" outlineLevel="1" x14ac:dyDescent="0.2">
      <c r="A1933" s="22" t="s">
        <v>1545</v>
      </c>
      <c r="B1933" s="2" t="s">
        <v>252</v>
      </c>
      <c r="C1933" s="2" t="s">
        <v>1263</v>
      </c>
      <c r="D1933" s="716">
        <v>1</v>
      </c>
      <c r="E1933" s="4" t="s">
        <v>1096</v>
      </c>
      <c r="F1933" s="47">
        <f t="shared" ref="F1933:J1948" si="559">G1933</f>
        <v>0</v>
      </c>
      <c r="G1933" s="47">
        <f t="shared" si="559"/>
        <v>0</v>
      </c>
      <c r="H1933" s="47">
        <f t="shared" si="559"/>
        <v>0</v>
      </c>
      <c r="I1933" s="47">
        <f t="shared" si="559"/>
        <v>0</v>
      </c>
      <c r="J1933" s="47">
        <f t="shared" si="559"/>
        <v>0</v>
      </c>
      <c r="K1933" s="47">
        <v>0</v>
      </c>
      <c r="L1933" s="47">
        <v>0</v>
      </c>
      <c r="M1933" s="893"/>
      <c r="N1933" s="20"/>
      <c r="O1933" s="20"/>
      <c r="P1933" s="20"/>
      <c r="Q1933" s="20"/>
      <c r="R1933" s="20"/>
    </row>
    <row r="1934" spans="1:18" s="103" customFormat="1" hidden="1" outlineLevel="1" x14ac:dyDescent="0.2">
      <c r="A1934" s="22" t="s">
        <v>1545</v>
      </c>
      <c r="B1934" s="2" t="s">
        <v>252</v>
      </c>
      <c r="C1934" s="2" t="s">
        <v>1263</v>
      </c>
      <c r="D1934" s="716">
        <v>1</v>
      </c>
      <c r="E1934" s="4" t="s">
        <v>22</v>
      </c>
      <c r="F1934" s="47">
        <f t="shared" ref="F1934:I1934" si="560">G1934</f>
        <v>1</v>
      </c>
      <c r="G1934" s="47">
        <f t="shared" si="560"/>
        <v>1</v>
      </c>
      <c r="H1934" s="47">
        <f t="shared" si="560"/>
        <v>1</v>
      </c>
      <c r="I1934" s="47">
        <f t="shared" si="560"/>
        <v>1</v>
      </c>
      <c r="J1934" s="47">
        <f t="shared" si="559"/>
        <v>1</v>
      </c>
      <c r="K1934" s="47">
        <v>1</v>
      </c>
      <c r="L1934" s="47">
        <v>1</v>
      </c>
      <c r="M1934" s="893"/>
      <c r="N1934" s="20"/>
      <c r="O1934" s="20"/>
      <c r="P1934" s="20"/>
      <c r="Q1934" s="20"/>
      <c r="R1934" s="20"/>
    </row>
    <row r="1935" spans="1:18" s="103" customFormat="1" hidden="1" outlineLevel="1" x14ac:dyDescent="0.2">
      <c r="A1935" s="22" t="s">
        <v>1545</v>
      </c>
      <c r="B1935" s="2" t="s">
        <v>252</v>
      </c>
      <c r="C1935" s="2" t="s">
        <v>1263</v>
      </c>
      <c r="D1935" s="717">
        <v>1</v>
      </c>
      <c r="E1935" s="4" t="s">
        <v>23</v>
      </c>
      <c r="F1935" s="48">
        <f t="shared" ref="F1935:I1935" si="561">G1935</f>
        <v>0</v>
      </c>
      <c r="G1935" s="48">
        <f t="shared" si="561"/>
        <v>0</v>
      </c>
      <c r="H1935" s="48">
        <f t="shared" si="561"/>
        <v>0</v>
      </c>
      <c r="I1935" s="48">
        <f t="shared" si="561"/>
        <v>0</v>
      </c>
      <c r="J1935" s="48">
        <f t="shared" si="559"/>
        <v>0</v>
      </c>
      <c r="K1935" s="363">
        <v>0</v>
      </c>
      <c r="L1935" s="363">
        <v>0</v>
      </c>
      <c r="M1935" s="920"/>
      <c r="N1935" s="20"/>
      <c r="O1935" s="20"/>
      <c r="P1935" s="20"/>
      <c r="Q1935" s="20"/>
      <c r="R1935" s="20"/>
    </row>
    <row r="1936" spans="1:18" s="103" customFormat="1" hidden="1" outlineLevel="1" x14ac:dyDescent="0.2">
      <c r="A1936" s="92" t="s">
        <v>1545</v>
      </c>
      <c r="B1936" s="81" t="s">
        <v>252</v>
      </c>
      <c r="C1936" s="81" t="s">
        <v>1264</v>
      </c>
      <c r="D1936" s="715">
        <v>1</v>
      </c>
      <c r="E1936" s="468" t="s">
        <v>4</v>
      </c>
      <c r="F1936" s="380">
        <f t="shared" ref="F1936:I1936" si="562">G1936</f>
        <v>0</v>
      </c>
      <c r="G1936" s="89">
        <f t="shared" si="562"/>
        <v>0</v>
      </c>
      <c r="H1936" s="89">
        <f t="shared" si="562"/>
        <v>0</v>
      </c>
      <c r="I1936" s="89">
        <f t="shared" si="562"/>
        <v>0</v>
      </c>
      <c r="J1936" s="89">
        <f t="shared" si="559"/>
        <v>0</v>
      </c>
      <c r="K1936" s="380">
        <v>0</v>
      </c>
      <c r="L1936" s="380">
        <v>1</v>
      </c>
      <c r="M1936" s="892"/>
      <c r="N1936" s="20"/>
      <c r="O1936" s="20"/>
      <c r="P1936" s="20"/>
      <c r="Q1936" s="20"/>
      <c r="R1936" s="20"/>
    </row>
    <row r="1937" spans="1:18" s="103" customFormat="1" hidden="1" outlineLevel="1" x14ac:dyDescent="0.2">
      <c r="A1937" s="22" t="s">
        <v>1545</v>
      </c>
      <c r="B1937" s="2" t="s">
        <v>252</v>
      </c>
      <c r="C1937" s="2" t="s">
        <v>1264</v>
      </c>
      <c r="D1937" s="716">
        <v>1</v>
      </c>
      <c r="E1937" s="4" t="s">
        <v>5</v>
      </c>
      <c r="F1937" s="47">
        <f t="shared" ref="F1937:I1937" si="563">G1937</f>
        <v>0</v>
      </c>
      <c r="G1937" s="47">
        <f t="shared" si="563"/>
        <v>0</v>
      </c>
      <c r="H1937" s="47">
        <f t="shared" si="563"/>
        <v>0</v>
      </c>
      <c r="I1937" s="47">
        <f t="shared" si="563"/>
        <v>0</v>
      </c>
      <c r="J1937" s="47">
        <f t="shared" si="559"/>
        <v>0</v>
      </c>
      <c r="K1937" s="47">
        <v>0</v>
      </c>
      <c r="L1937" s="47">
        <v>0</v>
      </c>
      <c r="M1937" s="893"/>
      <c r="N1937" s="20"/>
      <c r="O1937" s="20"/>
      <c r="P1937" s="20"/>
      <c r="Q1937" s="20"/>
      <c r="R1937" s="20"/>
    </row>
    <row r="1938" spans="1:18" s="103" customFormat="1" hidden="1" outlineLevel="1" x14ac:dyDescent="0.2">
      <c r="A1938" s="22" t="s">
        <v>1545</v>
      </c>
      <c r="B1938" s="2" t="s">
        <v>252</v>
      </c>
      <c r="C1938" s="2" t="s">
        <v>1264</v>
      </c>
      <c r="D1938" s="716">
        <v>1</v>
      </c>
      <c r="E1938" s="4" t="s">
        <v>6</v>
      </c>
      <c r="F1938" s="47">
        <f t="shared" ref="F1938:I1938" si="564">G1938</f>
        <v>0</v>
      </c>
      <c r="G1938" s="47">
        <f t="shared" si="564"/>
        <v>0</v>
      </c>
      <c r="H1938" s="47">
        <f t="shared" si="564"/>
        <v>0</v>
      </c>
      <c r="I1938" s="47">
        <f t="shared" si="564"/>
        <v>0</v>
      </c>
      <c r="J1938" s="47">
        <f t="shared" si="559"/>
        <v>0</v>
      </c>
      <c r="K1938" s="47">
        <v>0</v>
      </c>
      <c r="L1938" s="47">
        <v>0</v>
      </c>
      <c r="M1938" s="893"/>
      <c r="N1938" s="20"/>
      <c r="O1938" s="20"/>
      <c r="P1938" s="20"/>
      <c r="Q1938" s="20"/>
      <c r="R1938" s="20"/>
    </row>
    <row r="1939" spans="1:18" s="103" customFormat="1" hidden="1" outlineLevel="1" x14ac:dyDescent="0.2">
      <c r="A1939" s="22" t="s">
        <v>1545</v>
      </c>
      <c r="B1939" s="2" t="s">
        <v>252</v>
      </c>
      <c r="C1939" s="2" t="s">
        <v>1264</v>
      </c>
      <c r="D1939" s="716">
        <v>1</v>
      </c>
      <c r="E1939" s="4" t="s">
        <v>143</v>
      </c>
      <c r="F1939" s="47">
        <f t="shared" ref="F1939:I1939" si="565">G1939</f>
        <v>0</v>
      </c>
      <c r="G1939" s="47">
        <f t="shared" si="565"/>
        <v>0</v>
      </c>
      <c r="H1939" s="47">
        <f t="shared" si="565"/>
        <v>0</v>
      </c>
      <c r="I1939" s="47">
        <f t="shared" si="565"/>
        <v>0</v>
      </c>
      <c r="J1939" s="47">
        <f t="shared" si="559"/>
        <v>0</v>
      </c>
      <c r="K1939" s="47">
        <v>0</v>
      </c>
      <c r="L1939" s="47">
        <v>0</v>
      </c>
      <c r="M1939" s="893"/>
      <c r="N1939" s="20"/>
      <c r="O1939" s="20"/>
      <c r="P1939" s="20"/>
      <c r="Q1939" s="20"/>
      <c r="R1939" s="20"/>
    </row>
    <row r="1940" spans="1:18" s="103" customFormat="1" hidden="1" outlineLevel="1" x14ac:dyDescent="0.2">
      <c r="A1940" s="22" t="s">
        <v>1545</v>
      </c>
      <c r="B1940" s="2" t="s">
        <v>252</v>
      </c>
      <c r="C1940" s="2" t="s">
        <v>1264</v>
      </c>
      <c r="D1940" s="716">
        <v>1</v>
      </c>
      <c r="E1940" s="4" t="s">
        <v>7</v>
      </c>
      <c r="F1940" s="47">
        <f t="shared" ref="F1940:I1940" si="566">G1940</f>
        <v>0</v>
      </c>
      <c r="G1940" s="47">
        <f t="shared" si="566"/>
        <v>0</v>
      </c>
      <c r="H1940" s="47">
        <f t="shared" si="566"/>
        <v>0</v>
      </c>
      <c r="I1940" s="47">
        <f t="shared" si="566"/>
        <v>0</v>
      </c>
      <c r="J1940" s="47">
        <f t="shared" si="559"/>
        <v>0</v>
      </c>
      <c r="K1940" s="47">
        <v>0</v>
      </c>
      <c r="L1940" s="47">
        <v>0</v>
      </c>
      <c r="M1940" s="893"/>
      <c r="N1940" s="20"/>
      <c r="O1940" s="20"/>
      <c r="P1940" s="20"/>
      <c r="Q1940" s="20"/>
      <c r="R1940" s="20"/>
    </row>
    <row r="1941" spans="1:18" s="103" customFormat="1" hidden="1" outlineLevel="1" x14ac:dyDescent="0.2">
      <c r="A1941" s="22" t="s">
        <v>1545</v>
      </c>
      <c r="B1941" s="2" t="s">
        <v>252</v>
      </c>
      <c r="C1941" s="2" t="s">
        <v>1264</v>
      </c>
      <c r="D1941" s="716">
        <v>1</v>
      </c>
      <c r="E1941" s="4" t="s">
        <v>31</v>
      </c>
      <c r="F1941" s="47">
        <f t="shared" ref="F1941:I1941" si="567">G1941</f>
        <v>1</v>
      </c>
      <c r="G1941" s="47">
        <f t="shared" si="567"/>
        <v>1</v>
      </c>
      <c r="H1941" s="47">
        <f t="shared" si="567"/>
        <v>1</v>
      </c>
      <c r="I1941" s="47">
        <f t="shared" si="567"/>
        <v>1</v>
      </c>
      <c r="J1941" s="47">
        <f t="shared" si="559"/>
        <v>1</v>
      </c>
      <c r="K1941" s="47">
        <v>1</v>
      </c>
      <c r="L1941" s="47">
        <v>1</v>
      </c>
      <c r="M1941" s="893"/>
      <c r="N1941" s="20"/>
      <c r="O1941" s="20"/>
      <c r="P1941" s="20"/>
      <c r="Q1941" s="20"/>
      <c r="R1941" s="20"/>
    </row>
    <row r="1942" spans="1:18" s="103" customFormat="1" hidden="1" outlineLevel="1" x14ac:dyDescent="0.2">
      <c r="A1942" s="22" t="s">
        <v>1545</v>
      </c>
      <c r="B1942" s="2" t="s">
        <v>252</v>
      </c>
      <c r="C1942" s="2" t="s">
        <v>1264</v>
      </c>
      <c r="D1942" s="716">
        <v>1</v>
      </c>
      <c r="E1942" s="4" t="s">
        <v>8</v>
      </c>
      <c r="F1942" s="47">
        <f t="shared" ref="F1942:I1942" si="568">G1942</f>
        <v>1</v>
      </c>
      <c r="G1942" s="47">
        <f t="shared" si="568"/>
        <v>1</v>
      </c>
      <c r="H1942" s="47">
        <f t="shared" si="568"/>
        <v>1</v>
      </c>
      <c r="I1942" s="47">
        <f t="shared" si="568"/>
        <v>1</v>
      </c>
      <c r="J1942" s="47">
        <f t="shared" si="559"/>
        <v>1</v>
      </c>
      <c r="K1942" s="47">
        <v>1</v>
      </c>
      <c r="L1942" s="47">
        <v>1</v>
      </c>
      <c r="M1942" s="893"/>
      <c r="N1942" s="20"/>
      <c r="O1942" s="20"/>
      <c r="P1942" s="20"/>
      <c r="Q1942" s="20"/>
      <c r="R1942" s="20"/>
    </row>
    <row r="1943" spans="1:18" s="103" customFormat="1" hidden="1" outlineLevel="1" x14ac:dyDescent="0.2">
      <c r="A1943" s="22" t="s">
        <v>1545</v>
      </c>
      <c r="B1943" s="2" t="s">
        <v>252</v>
      </c>
      <c r="C1943" s="2" t="s">
        <v>1264</v>
      </c>
      <c r="D1943" s="716">
        <v>1</v>
      </c>
      <c r="E1943" s="4" t="s">
        <v>9</v>
      </c>
      <c r="F1943" s="47">
        <f t="shared" ref="F1943:I1943" si="569">G1943</f>
        <v>0</v>
      </c>
      <c r="G1943" s="47">
        <f t="shared" si="569"/>
        <v>0</v>
      </c>
      <c r="H1943" s="47">
        <f t="shared" si="569"/>
        <v>0</v>
      </c>
      <c r="I1943" s="47">
        <f t="shared" si="569"/>
        <v>0</v>
      </c>
      <c r="J1943" s="47">
        <f t="shared" si="559"/>
        <v>0</v>
      </c>
      <c r="K1943" s="47">
        <v>0</v>
      </c>
      <c r="L1943" s="47">
        <v>0</v>
      </c>
      <c r="M1943" s="893"/>
      <c r="N1943" s="20"/>
      <c r="O1943" s="20"/>
      <c r="P1943" s="20"/>
      <c r="Q1943" s="20"/>
      <c r="R1943" s="20"/>
    </row>
    <row r="1944" spans="1:18" s="103" customFormat="1" hidden="1" outlineLevel="1" x14ac:dyDescent="0.2">
      <c r="A1944" s="22" t="s">
        <v>1545</v>
      </c>
      <c r="B1944" s="2" t="s">
        <v>252</v>
      </c>
      <c r="C1944" s="2" t="s">
        <v>1264</v>
      </c>
      <c r="D1944" s="716">
        <v>1</v>
      </c>
      <c r="E1944" s="4" t="s">
        <v>10</v>
      </c>
      <c r="F1944" s="47">
        <f t="shared" ref="F1944:I1944" si="570">G1944</f>
        <v>0</v>
      </c>
      <c r="G1944" s="47">
        <f t="shared" si="570"/>
        <v>0</v>
      </c>
      <c r="H1944" s="47">
        <f t="shared" si="570"/>
        <v>0</v>
      </c>
      <c r="I1944" s="47">
        <f t="shared" si="570"/>
        <v>0</v>
      </c>
      <c r="J1944" s="47">
        <f t="shared" si="559"/>
        <v>0</v>
      </c>
      <c r="K1944" s="47">
        <v>0</v>
      </c>
      <c r="L1944" s="47">
        <v>0</v>
      </c>
      <c r="M1944" s="893"/>
      <c r="N1944" s="20"/>
      <c r="O1944" s="20"/>
      <c r="P1944" s="20"/>
      <c r="Q1944" s="20"/>
      <c r="R1944" s="20"/>
    </row>
    <row r="1945" spans="1:18" s="103" customFormat="1" hidden="1" outlineLevel="1" x14ac:dyDescent="0.2">
      <c r="A1945" s="22" t="s">
        <v>1545</v>
      </c>
      <c r="B1945" s="2" t="s">
        <v>252</v>
      </c>
      <c r="C1945" s="2" t="s">
        <v>1264</v>
      </c>
      <c r="D1945" s="716">
        <v>1</v>
      </c>
      <c r="E1945" s="4" t="s">
        <v>11</v>
      </c>
      <c r="F1945" s="47">
        <f t="shared" ref="F1945:I1945" si="571">G1945</f>
        <v>0</v>
      </c>
      <c r="G1945" s="47">
        <f t="shared" si="571"/>
        <v>0</v>
      </c>
      <c r="H1945" s="47">
        <f t="shared" si="571"/>
        <v>0</v>
      </c>
      <c r="I1945" s="47">
        <f t="shared" si="571"/>
        <v>0</v>
      </c>
      <c r="J1945" s="47">
        <f t="shared" si="559"/>
        <v>0</v>
      </c>
      <c r="K1945" s="47">
        <v>0</v>
      </c>
      <c r="L1945" s="47">
        <v>0</v>
      </c>
      <c r="M1945" s="893"/>
      <c r="N1945" s="20"/>
      <c r="O1945" s="20"/>
      <c r="P1945" s="20"/>
      <c r="Q1945" s="20"/>
      <c r="R1945" s="20"/>
    </row>
    <row r="1946" spans="1:18" s="103" customFormat="1" hidden="1" outlineLevel="1" x14ac:dyDescent="0.2">
      <c r="A1946" s="22" t="s">
        <v>1545</v>
      </c>
      <c r="B1946" s="2" t="s">
        <v>252</v>
      </c>
      <c r="C1946" s="2" t="s">
        <v>1264</v>
      </c>
      <c r="D1946" s="716">
        <v>1</v>
      </c>
      <c r="E1946" s="4" t="s">
        <v>12</v>
      </c>
      <c r="F1946" s="47">
        <f t="shared" ref="F1946:I1946" si="572">G1946</f>
        <v>0</v>
      </c>
      <c r="G1946" s="47">
        <f t="shared" si="572"/>
        <v>0</v>
      </c>
      <c r="H1946" s="47">
        <f t="shared" si="572"/>
        <v>0</v>
      </c>
      <c r="I1946" s="47">
        <f t="shared" si="572"/>
        <v>0</v>
      </c>
      <c r="J1946" s="47">
        <f t="shared" si="559"/>
        <v>0</v>
      </c>
      <c r="K1946" s="47">
        <v>0</v>
      </c>
      <c r="L1946" s="47">
        <v>0</v>
      </c>
      <c r="M1946" s="893"/>
      <c r="N1946" s="20"/>
      <c r="O1946" s="20"/>
      <c r="P1946" s="20"/>
      <c r="Q1946" s="20"/>
      <c r="R1946" s="20"/>
    </row>
    <row r="1947" spans="1:18" s="103" customFormat="1" hidden="1" outlineLevel="1" x14ac:dyDescent="0.2">
      <c r="A1947" s="22" t="s">
        <v>1545</v>
      </c>
      <c r="B1947" s="2" t="s">
        <v>252</v>
      </c>
      <c r="C1947" s="2" t="s">
        <v>1264</v>
      </c>
      <c r="D1947" s="716">
        <v>1</v>
      </c>
      <c r="E1947" s="4" t="s">
        <v>1</v>
      </c>
      <c r="F1947" s="47">
        <f t="shared" ref="F1947:I1947" si="573">G1947</f>
        <v>0</v>
      </c>
      <c r="G1947" s="47">
        <f t="shared" si="573"/>
        <v>0</v>
      </c>
      <c r="H1947" s="47">
        <f t="shared" si="573"/>
        <v>0</v>
      </c>
      <c r="I1947" s="47">
        <f t="shared" si="573"/>
        <v>0</v>
      </c>
      <c r="J1947" s="47">
        <f t="shared" si="559"/>
        <v>0</v>
      </c>
      <c r="K1947" s="47">
        <v>0</v>
      </c>
      <c r="L1947" s="47">
        <v>0</v>
      </c>
      <c r="M1947" s="893"/>
      <c r="N1947" s="20"/>
      <c r="O1947" s="20"/>
      <c r="P1947" s="20"/>
      <c r="Q1947" s="20"/>
      <c r="R1947" s="20"/>
    </row>
    <row r="1948" spans="1:18" s="103" customFormat="1" hidden="1" outlineLevel="1" x14ac:dyDescent="0.2">
      <c r="A1948" s="22" t="s">
        <v>1545</v>
      </c>
      <c r="B1948" s="2" t="s">
        <v>252</v>
      </c>
      <c r="C1948" s="2" t="s">
        <v>1264</v>
      </c>
      <c r="D1948" s="716">
        <v>1</v>
      </c>
      <c r="E1948" s="4" t="s">
        <v>13</v>
      </c>
      <c r="F1948" s="47">
        <f t="shared" ref="F1948:I1948" si="574">G1948</f>
        <v>0</v>
      </c>
      <c r="G1948" s="47">
        <f t="shared" si="574"/>
        <v>0</v>
      </c>
      <c r="H1948" s="47">
        <f t="shared" si="574"/>
        <v>0</v>
      </c>
      <c r="I1948" s="47">
        <f t="shared" si="574"/>
        <v>0</v>
      </c>
      <c r="J1948" s="47">
        <f t="shared" si="559"/>
        <v>0</v>
      </c>
      <c r="K1948" s="47">
        <v>0</v>
      </c>
      <c r="L1948" s="47">
        <v>0</v>
      </c>
      <c r="M1948" s="893"/>
      <c r="N1948" s="20"/>
      <c r="O1948" s="20"/>
      <c r="P1948" s="20"/>
      <c r="Q1948" s="20"/>
      <c r="R1948" s="20"/>
    </row>
    <row r="1949" spans="1:18" s="103" customFormat="1" hidden="1" outlineLevel="1" x14ac:dyDescent="0.2">
      <c r="A1949" s="22" t="s">
        <v>1545</v>
      </c>
      <c r="B1949" s="2" t="s">
        <v>252</v>
      </c>
      <c r="C1949" s="2" t="s">
        <v>1264</v>
      </c>
      <c r="D1949" s="716">
        <v>1</v>
      </c>
      <c r="E1949" s="4" t="s">
        <v>14</v>
      </c>
      <c r="F1949" s="47">
        <f t="shared" ref="F1949:I1949" si="575">G1949</f>
        <v>0</v>
      </c>
      <c r="G1949" s="47">
        <f t="shared" si="575"/>
        <v>0</v>
      </c>
      <c r="H1949" s="47">
        <f t="shared" si="575"/>
        <v>0</v>
      </c>
      <c r="I1949" s="47">
        <f t="shared" si="575"/>
        <v>0</v>
      </c>
      <c r="J1949" s="47">
        <f t="shared" ref="J1949:J2012" si="576">K1949</f>
        <v>0</v>
      </c>
      <c r="K1949" s="47">
        <v>0</v>
      </c>
      <c r="L1949" s="47">
        <v>0</v>
      </c>
      <c r="M1949" s="893"/>
      <c r="N1949" s="20"/>
      <c r="O1949" s="20"/>
      <c r="P1949" s="20"/>
      <c r="Q1949" s="20"/>
      <c r="R1949" s="20"/>
    </row>
    <row r="1950" spans="1:18" s="103" customFormat="1" hidden="1" outlineLevel="1" x14ac:dyDescent="0.2">
      <c r="A1950" s="22" t="s">
        <v>1545</v>
      </c>
      <c r="B1950" s="2" t="s">
        <v>252</v>
      </c>
      <c r="C1950" s="2" t="s">
        <v>1264</v>
      </c>
      <c r="D1950" s="716">
        <v>1</v>
      </c>
      <c r="E1950" s="4" t="s">
        <v>15</v>
      </c>
      <c r="F1950" s="47">
        <f t="shared" ref="F1950:I1950" si="577">G1950</f>
        <v>0</v>
      </c>
      <c r="G1950" s="47">
        <f t="shared" si="577"/>
        <v>0</v>
      </c>
      <c r="H1950" s="47">
        <f t="shared" si="577"/>
        <v>0</v>
      </c>
      <c r="I1950" s="47">
        <f t="shared" si="577"/>
        <v>0</v>
      </c>
      <c r="J1950" s="47">
        <f t="shared" si="576"/>
        <v>0</v>
      </c>
      <c r="K1950" s="47">
        <v>0</v>
      </c>
      <c r="L1950" s="47">
        <v>0</v>
      </c>
      <c r="M1950" s="893"/>
      <c r="N1950" s="20"/>
      <c r="O1950" s="20"/>
      <c r="P1950" s="20"/>
      <c r="Q1950" s="20"/>
      <c r="R1950" s="20"/>
    </row>
    <row r="1951" spans="1:18" s="103" customFormat="1" hidden="1" outlineLevel="1" x14ac:dyDescent="0.2">
      <c r="A1951" s="22" t="s">
        <v>1545</v>
      </c>
      <c r="B1951" s="2" t="s">
        <v>252</v>
      </c>
      <c r="C1951" s="2" t="s">
        <v>1264</v>
      </c>
      <c r="D1951" s="716">
        <v>1</v>
      </c>
      <c r="E1951" s="4" t="s">
        <v>16</v>
      </c>
      <c r="F1951" s="47">
        <f t="shared" ref="F1951:I1951" si="578">G1951</f>
        <v>0</v>
      </c>
      <c r="G1951" s="47">
        <f t="shared" si="578"/>
        <v>0</v>
      </c>
      <c r="H1951" s="47">
        <f t="shared" si="578"/>
        <v>0</v>
      </c>
      <c r="I1951" s="47">
        <f t="shared" si="578"/>
        <v>0</v>
      </c>
      <c r="J1951" s="47">
        <f t="shared" si="576"/>
        <v>0</v>
      </c>
      <c r="K1951" s="47">
        <v>0</v>
      </c>
      <c r="L1951" s="47">
        <v>0</v>
      </c>
      <c r="M1951" s="893"/>
      <c r="N1951" s="20"/>
      <c r="O1951" s="20"/>
      <c r="P1951" s="20"/>
      <c r="Q1951" s="20"/>
      <c r="R1951" s="20"/>
    </row>
    <row r="1952" spans="1:18" s="103" customFormat="1" hidden="1" outlineLevel="1" x14ac:dyDescent="0.2">
      <c r="A1952" s="22" t="s">
        <v>1545</v>
      </c>
      <c r="B1952" s="2" t="s">
        <v>252</v>
      </c>
      <c r="C1952" s="2" t="s">
        <v>1264</v>
      </c>
      <c r="D1952" s="716">
        <v>1</v>
      </c>
      <c r="E1952" s="4" t="s">
        <v>17</v>
      </c>
      <c r="F1952" s="47">
        <f t="shared" ref="F1952:I1952" si="579">G1952</f>
        <v>0</v>
      </c>
      <c r="G1952" s="47">
        <f t="shared" si="579"/>
        <v>0</v>
      </c>
      <c r="H1952" s="47">
        <f t="shared" si="579"/>
        <v>0</v>
      </c>
      <c r="I1952" s="47">
        <f t="shared" si="579"/>
        <v>0</v>
      </c>
      <c r="J1952" s="47">
        <f t="shared" si="576"/>
        <v>0</v>
      </c>
      <c r="K1952" s="47">
        <v>0</v>
      </c>
      <c r="L1952" s="47">
        <v>0</v>
      </c>
      <c r="M1952" s="893"/>
      <c r="N1952" s="20"/>
      <c r="O1952" s="20"/>
      <c r="P1952" s="20"/>
      <c r="Q1952" s="20"/>
      <c r="R1952" s="20"/>
    </row>
    <row r="1953" spans="1:18" s="103" customFormat="1" hidden="1" outlineLevel="1" x14ac:dyDescent="0.2">
      <c r="A1953" s="22" t="s">
        <v>1545</v>
      </c>
      <c r="B1953" s="2" t="s">
        <v>252</v>
      </c>
      <c r="C1953" s="2" t="s">
        <v>1264</v>
      </c>
      <c r="D1953" s="716">
        <v>1</v>
      </c>
      <c r="E1953" s="4" t="s">
        <v>18</v>
      </c>
      <c r="F1953" s="47">
        <f t="shared" ref="F1953:I1953" si="580">G1953</f>
        <v>1</v>
      </c>
      <c r="G1953" s="47">
        <f t="shared" si="580"/>
        <v>1</v>
      </c>
      <c r="H1953" s="47">
        <f t="shared" si="580"/>
        <v>1</v>
      </c>
      <c r="I1953" s="47">
        <f t="shared" si="580"/>
        <v>1</v>
      </c>
      <c r="J1953" s="47">
        <f t="shared" si="576"/>
        <v>1</v>
      </c>
      <c r="K1953" s="47">
        <v>1</v>
      </c>
      <c r="L1953" s="47">
        <v>1</v>
      </c>
      <c r="M1953" s="893"/>
      <c r="N1953" s="20"/>
      <c r="O1953" s="20"/>
      <c r="P1953" s="20"/>
      <c r="Q1953" s="20"/>
      <c r="R1953" s="20"/>
    </row>
    <row r="1954" spans="1:18" s="103" customFormat="1" hidden="1" outlineLevel="1" x14ac:dyDescent="0.2">
      <c r="A1954" s="22" t="s">
        <v>1545</v>
      </c>
      <c r="B1954" s="2" t="s">
        <v>252</v>
      </c>
      <c r="C1954" s="2" t="s">
        <v>1264</v>
      </c>
      <c r="D1954" s="716">
        <v>1</v>
      </c>
      <c r="E1954" s="4" t="s">
        <v>2</v>
      </c>
      <c r="F1954" s="47">
        <f t="shared" ref="F1954:I1954" si="581">G1954</f>
        <v>0</v>
      </c>
      <c r="G1954" s="47">
        <f t="shared" si="581"/>
        <v>0</v>
      </c>
      <c r="H1954" s="47">
        <f t="shared" si="581"/>
        <v>0</v>
      </c>
      <c r="I1954" s="47">
        <f t="shared" si="581"/>
        <v>0</v>
      </c>
      <c r="J1954" s="47">
        <f t="shared" si="576"/>
        <v>0</v>
      </c>
      <c r="K1954" s="47">
        <v>0</v>
      </c>
      <c r="L1954" s="47">
        <v>0</v>
      </c>
      <c r="M1954" s="893"/>
      <c r="N1954" s="20"/>
      <c r="O1954" s="20"/>
      <c r="P1954" s="20"/>
      <c r="Q1954" s="20"/>
      <c r="R1954" s="20"/>
    </row>
    <row r="1955" spans="1:18" s="103" customFormat="1" hidden="1" outlineLevel="1" x14ac:dyDescent="0.2">
      <c r="A1955" s="22" t="s">
        <v>1545</v>
      </c>
      <c r="B1955" s="2" t="s">
        <v>252</v>
      </c>
      <c r="C1955" s="2" t="s">
        <v>1264</v>
      </c>
      <c r="D1955" s="716">
        <v>1</v>
      </c>
      <c r="E1955" s="4" t="s">
        <v>19</v>
      </c>
      <c r="F1955" s="47">
        <f t="shared" ref="F1955:I1955" si="582">G1955</f>
        <v>0</v>
      </c>
      <c r="G1955" s="47">
        <f t="shared" si="582"/>
        <v>0</v>
      </c>
      <c r="H1955" s="47">
        <f t="shared" si="582"/>
        <v>0</v>
      </c>
      <c r="I1955" s="47">
        <f t="shared" si="582"/>
        <v>0</v>
      </c>
      <c r="J1955" s="47">
        <f t="shared" si="576"/>
        <v>0</v>
      </c>
      <c r="K1955" s="47">
        <v>0</v>
      </c>
      <c r="L1955" s="47">
        <v>0</v>
      </c>
      <c r="M1955" s="893"/>
      <c r="N1955" s="20"/>
      <c r="O1955" s="20"/>
      <c r="P1955" s="20"/>
      <c r="Q1955" s="20"/>
      <c r="R1955" s="20"/>
    </row>
    <row r="1956" spans="1:18" s="103" customFormat="1" hidden="1" outlineLevel="1" x14ac:dyDescent="0.2">
      <c r="A1956" s="22" t="s">
        <v>1545</v>
      </c>
      <c r="B1956" s="2" t="s">
        <v>252</v>
      </c>
      <c r="C1956" s="2" t="s">
        <v>1264</v>
      </c>
      <c r="D1956" s="716">
        <v>1</v>
      </c>
      <c r="E1956" s="4" t="s">
        <v>3</v>
      </c>
      <c r="F1956" s="47">
        <f t="shared" ref="F1956:I1956" si="583">G1956</f>
        <v>0</v>
      </c>
      <c r="G1956" s="47">
        <f t="shared" si="583"/>
        <v>0</v>
      </c>
      <c r="H1956" s="47">
        <f t="shared" si="583"/>
        <v>0</v>
      </c>
      <c r="I1956" s="47">
        <f t="shared" si="583"/>
        <v>0</v>
      </c>
      <c r="J1956" s="47">
        <f t="shared" si="576"/>
        <v>0</v>
      </c>
      <c r="K1956" s="47">
        <v>0</v>
      </c>
      <c r="L1956" s="47">
        <v>0</v>
      </c>
      <c r="M1956" s="893"/>
      <c r="N1956" s="20"/>
      <c r="O1956" s="20"/>
      <c r="P1956" s="20"/>
      <c r="Q1956" s="20"/>
      <c r="R1956" s="20"/>
    </row>
    <row r="1957" spans="1:18" s="103" customFormat="1" hidden="1" outlineLevel="1" x14ac:dyDescent="0.2">
      <c r="A1957" s="22" t="s">
        <v>1545</v>
      </c>
      <c r="B1957" s="2" t="s">
        <v>252</v>
      </c>
      <c r="C1957" s="2" t="s">
        <v>1264</v>
      </c>
      <c r="D1957" s="716">
        <v>1</v>
      </c>
      <c r="E1957" s="4" t="s">
        <v>20</v>
      </c>
      <c r="F1957" s="47">
        <f t="shared" ref="F1957:I1957" si="584">G1957</f>
        <v>0</v>
      </c>
      <c r="G1957" s="47">
        <f t="shared" si="584"/>
        <v>0</v>
      </c>
      <c r="H1957" s="47">
        <f t="shared" si="584"/>
        <v>0</v>
      </c>
      <c r="I1957" s="47">
        <f t="shared" si="584"/>
        <v>0</v>
      </c>
      <c r="J1957" s="47">
        <f t="shared" si="576"/>
        <v>0</v>
      </c>
      <c r="K1957" s="47">
        <v>0</v>
      </c>
      <c r="L1957" s="47">
        <v>0</v>
      </c>
      <c r="M1957" s="893"/>
      <c r="N1957" s="20"/>
      <c r="O1957" s="20"/>
      <c r="P1957" s="20"/>
      <c r="Q1957" s="20"/>
      <c r="R1957" s="20"/>
    </row>
    <row r="1958" spans="1:18" s="103" customFormat="1" hidden="1" outlineLevel="1" x14ac:dyDescent="0.2">
      <c r="A1958" s="22" t="s">
        <v>1545</v>
      </c>
      <c r="B1958" s="2" t="s">
        <v>252</v>
      </c>
      <c r="C1958" s="2" t="s">
        <v>1264</v>
      </c>
      <c r="D1958" s="716">
        <v>1</v>
      </c>
      <c r="E1958" s="4" t="s">
        <v>21</v>
      </c>
      <c r="F1958" s="47">
        <f t="shared" ref="F1958:I1958" si="585">G1958</f>
        <v>0</v>
      </c>
      <c r="G1958" s="47">
        <f t="shared" si="585"/>
        <v>0</v>
      </c>
      <c r="H1958" s="47">
        <f t="shared" si="585"/>
        <v>0</v>
      </c>
      <c r="I1958" s="47">
        <f t="shared" si="585"/>
        <v>0</v>
      </c>
      <c r="J1958" s="47">
        <f t="shared" si="576"/>
        <v>0</v>
      </c>
      <c r="K1958" s="47">
        <v>0</v>
      </c>
      <c r="L1958" s="47">
        <v>0</v>
      </c>
      <c r="M1958" s="893"/>
      <c r="N1958" s="20"/>
      <c r="O1958" s="20"/>
      <c r="P1958" s="20"/>
      <c r="Q1958" s="20"/>
      <c r="R1958" s="20"/>
    </row>
    <row r="1959" spans="1:18" s="103" customFormat="1" hidden="1" outlineLevel="1" x14ac:dyDescent="0.2">
      <c r="A1959" s="22" t="s">
        <v>1545</v>
      </c>
      <c r="B1959" s="2" t="s">
        <v>252</v>
      </c>
      <c r="C1959" s="2" t="s">
        <v>1264</v>
      </c>
      <c r="D1959" s="716">
        <v>1</v>
      </c>
      <c r="E1959" s="4" t="s">
        <v>1096</v>
      </c>
      <c r="F1959" s="47">
        <f t="shared" ref="F1959:I1959" si="586">G1959</f>
        <v>0</v>
      </c>
      <c r="G1959" s="47">
        <f t="shared" si="586"/>
        <v>0</v>
      </c>
      <c r="H1959" s="47">
        <f t="shared" si="586"/>
        <v>0</v>
      </c>
      <c r="I1959" s="47">
        <f t="shared" si="586"/>
        <v>0</v>
      </c>
      <c r="J1959" s="47">
        <f t="shared" si="576"/>
        <v>0</v>
      </c>
      <c r="K1959" s="47">
        <v>0</v>
      </c>
      <c r="L1959" s="47">
        <v>0</v>
      </c>
      <c r="M1959" s="893"/>
      <c r="N1959" s="20"/>
      <c r="O1959" s="20"/>
      <c r="P1959" s="20"/>
      <c r="Q1959" s="20"/>
      <c r="R1959" s="20"/>
    </row>
    <row r="1960" spans="1:18" s="103" customFormat="1" hidden="1" outlineLevel="1" x14ac:dyDescent="0.2">
      <c r="A1960" s="22" t="s">
        <v>1545</v>
      </c>
      <c r="B1960" s="2" t="s">
        <v>252</v>
      </c>
      <c r="C1960" s="2" t="s">
        <v>1264</v>
      </c>
      <c r="D1960" s="716">
        <v>1</v>
      </c>
      <c r="E1960" s="4" t="s">
        <v>22</v>
      </c>
      <c r="F1960" s="47">
        <f t="shared" ref="F1960:I1960" si="587">G1960</f>
        <v>1</v>
      </c>
      <c r="G1960" s="47">
        <f t="shared" si="587"/>
        <v>1</v>
      </c>
      <c r="H1960" s="47">
        <f t="shared" si="587"/>
        <v>1</v>
      </c>
      <c r="I1960" s="47">
        <f t="shared" si="587"/>
        <v>1</v>
      </c>
      <c r="J1960" s="47">
        <f t="shared" si="576"/>
        <v>1</v>
      </c>
      <c r="K1960" s="47">
        <v>1</v>
      </c>
      <c r="L1960" s="47">
        <v>1</v>
      </c>
      <c r="M1960" s="893"/>
      <c r="N1960" s="20"/>
      <c r="O1960" s="20"/>
      <c r="P1960" s="20"/>
      <c r="Q1960" s="20"/>
      <c r="R1960" s="20"/>
    </row>
    <row r="1961" spans="1:18" s="103" customFormat="1" hidden="1" outlineLevel="1" x14ac:dyDescent="0.2">
      <c r="A1961" s="22" t="s">
        <v>1545</v>
      </c>
      <c r="B1961" s="2" t="s">
        <v>252</v>
      </c>
      <c r="C1961" s="2" t="s">
        <v>1264</v>
      </c>
      <c r="D1961" s="717">
        <v>1</v>
      </c>
      <c r="E1961" s="4" t="s">
        <v>23</v>
      </c>
      <c r="F1961" s="48">
        <f t="shared" ref="F1961:I1961" si="588">G1961</f>
        <v>0</v>
      </c>
      <c r="G1961" s="48">
        <f t="shared" si="588"/>
        <v>0</v>
      </c>
      <c r="H1961" s="48">
        <f t="shared" si="588"/>
        <v>0</v>
      </c>
      <c r="I1961" s="48">
        <f t="shared" si="588"/>
        <v>0</v>
      </c>
      <c r="J1961" s="48">
        <f t="shared" si="576"/>
        <v>0</v>
      </c>
      <c r="K1961" s="363">
        <v>0</v>
      </c>
      <c r="L1961" s="363">
        <v>0</v>
      </c>
      <c r="M1961" s="920"/>
      <c r="N1961" s="20"/>
      <c r="O1961" s="20"/>
      <c r="P1961" s="20"/>
      <c r="Q1961" s="20"/>
      <c r="R1961" s="20"/>
    </row>
    <row r="1962" spans="1:18" s="103" customFormat="1" hidden="1" outlineLevel="1" x14ac:dyDescent="0.2">
      <c r="A1962" s="92" t="s">
        <v>1545</v>
      </c>
      <c r="B1962" s="81" t="s">
        <v>252</v>
      </c>
      <c r="C1962" s="81" t="s">
        <v>1265</v>
      </c>
      <c r="D1962" s="715">
        <v>1</v>
      </c>
      <c r="E1962" s="468" t="s">
        <v>4</v>
      </c>
      <c r="F1962" s="380">
        <f t="shared" ref="F1962:I1962" si="589">G1962</f>
        <v>0</v>
      </c>
      <c r="G1962" s="89">
        <f t="shared" si="589"/>
        <v>0</v>
      </c>
      <c r="H1962" s="89">
        <f t="shared" si="589"/>
        <v>0</v>
      </c>
      <c r="I1962" s="89">
        <f t="shared" si="589"/>
        <v>0</v>
      </c>
      <c r="J1962" s="89">
        <f t="shared" si="576"/>
        <v>0</v>
      </c>
      <c r="K1962" s="380">
        <v>0</v>
      </c>
      <c r="L1962" s="380">
        <v>1</v>
      </c>
      <c r="M1962" s="892"/>
      <c r="N1962" s="20"/>
      <c r="O1962" s="20"/>
      <c r="P1962" s="20"/>
      <c r="Q1962" s="20"/>
      <c r="R1962" s="20"/>
    </row>
    <row r="1963" spans="1:18" s="103" customFormat="1" hidden="1" outlineLevel="1" x14ac:dyDescent="0.2">
      <c r="A1963" s="22" t="s">
        <v>1545</v>
      </c>
      <c r="B1963" s="2" t="s">
        <v>252</v>
      </c>
      <c r="C1963" s="2" t="s">
        <v>1265</v>
      </c>
      <c r="D1963" s="716">
        <v>1</v>
      </c>
      <c r="E1963" s="4" t="s">
        <v>5</v>
      </c>
      <c r="F1963" s="47">
        <f t="shared" ref="F1963:I1963" si="590">G1963</f>
        <v>0</v>
      </c>
      <c r="G1963" s="47">
        <f t="shared" si="590"/>
        <v>0</v>
      </c>
      <c r="H1963" s="47">
        <f t="shared" si="590"/>
        <v>0</v>
      </c>
      <c r="I1963" s="47">
        <f t="shared" si="590"/>
        <v>0</v>
      </c>
      <c r="J1963" s="47">
        <f t="shared" si="576"/>
        <v>0</v>
      </c>
      <c r="K1963" s="47">
        <v>0</v>
      </c>
      <c r="L1963" s="47">
        <v>0</v>
      </c>
      <c r="M1963" s="893"/>
      <c r="N1963" s="20"/>
      <c r="O1963" s="20"/>
      <c r="P1963" s="20"/>
      <c r="Q1963" s="20"/>
      <c r="R1963" s="20"/>
    </row>
    <row r="1964" spans="1:18" s="103" customFormat="1" hidden="1" outlineLevel="1" x14ac:dyDescent="0.2">
      <c r="A1964" s="22" t="s">
        <v>1545</v>
      </c>
      <c r="B1964" s="2" t="s">
        <v>252</v>
      </c>
      <c r="C1964" s="2" t="s">
        <v>1265</v>
      </c>
      <c r="D1964" s="716">
        <v>1</v>
      </c>
      <c r="E1964" s="4" t="s">
        <v>6</v>
      </c>
      <c r="F1964" s="47">
        <f t="shared" ref="F1964:I1964" si="591">G1964</f>
        <v>0</v>
      </c>
      <c r="G1964" s="47">
        <f t="shared" si="591"/>
        <v>0</v>
      </c>
      <c r="H1964" s="47">
        <f t="shared" si="591"/>
        <v>0</v>
      </c>
      <c r="I1964" s="47">
        <f t="shared" si="591"/>
        <v>0</v>
      </c>
      <c r="J1964" s="47">
        <f t="shared" si="576"/>
        <v>0</v>
      </c>
      <c r="K1964" s="47">
        <v>0</v>
      </c>
      <c r="L1964" s="47">
        <v>0</v>
      </c>
      <c r="M1964" s="893"/>
      <c r="N1964" s="20"/>
      <c r="O1964" s="20"/>
      <c r="P1964" s="20"/>
      <c r="Q1964" s="20"/>
      <c r="R1964" s="20"/>
    </row>
    <row r="1965" spans="1:18" s="103" customFormat="1" hidden="1" outlineLevel="1" x14ac:dyDescent="0.2">
      <c r="A1965" s="22" t="s">
        <v>1545</v>
      </c>
      <c r="B1965" s="2" t="s">
        <v>252</v>
      </c>
      <c r="C1965" s="2" t="s">
        <v>1265</v>
      </c>
      <c r="D1965" s="716">
        <v>1</v>
      </c>
      <c r="E1965" s="4" t="s">
        <v>143</v>
      </c>
      <c r="F1965" s="47">
        <f t="shared" ref="F1965:I1965" si="592">G1965</f>
        <v>0</v>
      </c>
      <c r="G1965" s="47">
        <f t="shared" si="592"/>
        <v>0</v>
      </c>
      <c r="H1965" s="47">
        <f t="shared" si="592"/>
        <v>0</v>
      </c>
      <c r="I1965" s="47">
        <f t="shared" si="592"/>
        <v>0</v>
      </c>
      <c r="J1965" s="47">
        <f t="shared" si="576"/>
        <v>0</v>
      </c>
      <c r="K1965" s="47">
        <v>0</v>
      </c>
      <c r="L1965" s="47">
        <v>0</v>
      </c>
      <c r="M1965" s="893"/>
      <c r="N1965" s="20"/>
      <c r="O1965" s="20"/>
      <c r="P1965" s="20"/>
      <c r="Q1965" s="20"/>
      <c r="R1965" s="20"/>
    </row>
    <row r="1966" spans="1:18" s="103" customFormat="1" hidden="1" outlineLevel="1" x14ac:dyDescent="0.2">
      <c r="A1966" s="22" t="s">
        <v>1545</v>
      </c>
      <c r="B1966" s="2" t="s">
        <v>252</v>
      </c>
      <c r="C1966" s="2" t="s">
        <v>1265</v>
      </c>
      <c r="D1966" s="716">
        <v>1</v>
      </c>
      <c r="E1966" s="4" t="s">
        <v>7</v>
      </c>
      <c r="F1966" s="47">
        <f t="shared" ref="F1966:I1966" si="593">G1966</f>
        <v>0</v>
      </c>
      <c r="G1966" s="47">
        <f t="shared" si="593"/>
        <v>0</v>
      </c>
      <c r="H1966" s="47">
        <f t="shared" si="593"/>
        <v>0</v>
      </c>
      <c r="I1966" s="47">
        <f t="shared" si="593"/>
        <v>0</v>
      </c>
      <c r="J1966" s="47">
        <f t="shared" si="576"/>
        <v>0</v>
      </c>
      <c r="K1966" s="47">
        <v>0</v>
      </c>
      <c r="L1966" s="47">
        <v>0</v>
      </c>
      <c r="M1966" s="893"/>
      <c r="N1966" s="20"/>
      <c r="O1966" s="20"/>
      <c r="P1966" s="20"/>
      <c r="Q1966" s="20"/>
      <c r="R1966" s="20"/>
    </row>
    <row r="1967" spans="1:18" s="103" customFormat="1" hidden="1" outlineLevel="1" x14ac:dyDescent="0.2">
      <c r="A1967" s="22" t="s">
        <v>1545</v>
      </c>
      <c r="B1967" s="2" t="s">
        <v>252</v>
      </c>
      <c r="C1967" s="2" t="s">
        <v>1265</v>
      </c>
      <c r="D1967" s="716">
        <v>1</v>
      </c>
      <c r="E1967" s="4" t="s">
        <v>31</v>
      </c>
      <c r="F1967" s="47">
        <f t="shared" ref="F1967:I1967" si="594">G1967</f>
        <v>1</v>
      </c>
      <c r="G1967" s="47">
        <f t="shared" si="594"/>
        <v>1</v>
      </c>
      <c r="H1967" s="47">
        <f t="shared" si="594"/>
        <v>1</v>
      </c>
      <c r="I1967" s="47">
        <f t="shared" si="594"/>
        <v>1</v>
      </c>
      <c r="J1967" s="47">
        <f t="shared" si="576"/>
        <v>1</v>
      </c>
      <c r="K1967" s="47">
        <v>1</v>
      </c>
      <c r="L1967" s="47">
        <v>1</v>
      </c>
      <c r="M1967" s="893"/>
      <c r="N1967" s="20"/>
      <c r="O1967" s="20"/>
      <c r="P1967" s="20"/>
      <c r="Q1967" s="20"/>
      <c r="R1967" s="20"/>
    </row>
    <row r="1968" spans="1:18" s="103" customFormat="1" hidden="1" outlineLevel="1" x14ac:dyDescent="0.2">
      <c r="A1968" s="22" t="s">
        <v>1545</v>
      </c>
      <c r="B1968" s="2" t="s">
        <v>252</v>
      </c>
      <c r="C1968" s="2" t="s">
        <v>1265</v>
      </c>
      <c r="D1968" s="716">
        <v>1</v>
      </c>
      <c r="E1968" s="4" t="s">
        <v>8</v>
      </c>
      <c r="F1968" s="47">
        <f t="shared" ref="F1968:I1968" si="595">G1968</f>
        <v>0</v>
      </c>
      <c r="G1968" s="47">
        <f t="shared" si="595"/>
        <v>0</v>
      </c>
      <c r="H1968" s="47">
        <f t="shared" si="595"/>
        <v>0</v>
      </c>
      <c r="I1968" s="47">
        <f t="shared" si="595"/>
        <v>0</v>
      </c>
      <c r="J1968" s="47">
        <f t="shared" si="576"/>
        <v>0</v>
      </c>
      <c r="K1968" s="47">
        <v>0</v>
      </c>
      <c r="L1968" s="47">
        <v>1</v>
      </c>
      <c r="M1968" s="893"/>
      <c r="N1968" s="20"/>
      <c r="O1968" s="20"/>
      <c r="P1968" s="20"/>
      <c r="Q1968" s="20"/>
      <c r="R1968" s="20"/>
    </row>
    <row r="1969" spans="1:18" s="103" customFormat="1" hidden="1" outlineLevel="1" x14ac:dyDescent="0.2">
      <c r="A1969" s="22" t="s">
        <v>1545</v>
      </c>
      <c r="B1969" s="2" t="s">
        <v>252</v>
      </c>
      <c r="C1969" s="2" t="s">
        <v>1265</v>
      </c>
      <c r="D1969" s="716">
        <v>1</v>
      </c>
      <c r="E1969" s="4" t="s">
        <v>9</v>
      </c>
      <c r="F1969" s="47">
        <f t="shared" ref="F1969:I1969" si="596">G1969</f>
        <v>0</v>
      </c>
      <c r="G1969" s="47">
        <f t="shared" si="596"/>
        <v>0</v>
      </c>
      <c r="H1969" s="47">
        <f t="shared" si="596"/>
        <v>0</v>
      </c>
      <c r="I1969" s="47">
        <f t="shared" si="596"/>
        <v>0</v>
      </c>
      <c r="J1969" s="47">
        <f t="shared" si="576"/>
        <v>0</v>
      </c>
      <c r="K1969" s="47">
        <v>0</v>
      </c>
      <c r="L1969" s="47">
        <v>1</v>
      </c>
      <c r="M1969" s="893"/>
      <c r="N1969" s="20"/>
      <c r="O1969" s="20"/>
      <c r="P1969" s="20"/>
      <c r="Q1969" s="20"/>
      <c r="R1969" s="20"/>
    </row>
    <row r="1970" spans="1:18" s="103" customFormat="1" hidden="1" outlineLevel="1" x14ac:dyDescent="0.2">
      <c r="A1970" s="22" t="s">
        <v>1545</v>
      </c>
      <c r="B1970" s="2" t="s">
        <v>252</v>
      </c>
      <c r="C1970" s="2" t="s">
        <v>1265</v>
      </c>
      <c r="D1970" s="716">
        <v>1</v>
      </c>
      <c r="E1970" s="4" t="s">
        <v>10</v>
      </c>
      <c r="F1970" s="47">
        <f t="shared" ref="F1970:I1970" si="597">G1970</f>
        <v>0</v>
      </c>
      <c r="G1970" s="47">
        <f t="shared" si="597"/>
        <v>0</v>
      </c>
      <c r="H1970" s="47">
        <f t="shared" si="597"/>
        <v>0</v>
      </c>
      <c r="I1970" s="47">
        <f t="shared" si="597"/>
        <v>0</v>
      </c>
      <c r="J1970" s="47">
        <f t="shared" si="576"/>
        <v>0</v>
      </c>
      <c r="K1970" s="47">
        <v>0</v>
      </c>
      <c r="L1970" s="47">
        <v>1</v>
      </c>
      <c r="M1970" s="893"/>
      <c r="N1970" s="20"/>
      <c r="O1970" s="20"/>
      <c r="P1970" s="20"/>
      <c r="Q1970" s="20"/>
      <c r="R1970" s="20"/>
    </row>
    <row r="1971" spans="1:18" s="103" customFormat="1" hidden="1" outlineLevel="1" x14ac:dyDescent="0.2">
      <c r="A1971" s="22" t="s">
        <v>1545</v>
      </c>
      <c r="B1971" s="2" t="s">
        <v>252</v>
      </c>
      <c r="C1971" s="2" t="s">
        <v>1265</v>
      </c>
      <c r="D1971" s="716">
        <v>1</v>
      </c>
      <c r="E1971" s="4" t="s">
        <v>11</v>
      </c>
      <c r="F1971" s="47">
        <f t="shared" ref="F1971:I1971" si="598">G1971</f>
        <v>0</v>
      </c>
      <c r="G1971" s="47">
        <f t="shared" si="598"/>
        <v>0</v>
      </c>
      <c r="H1971" s="47">
        <f t="shared" si="598"/>
        <v>0</v>
      </c>
      <c r="I1971" s="47">
        <f t="shared" si="598"/>
        <v>0</v>
      </c>
      <c r="J1971" s="47">
        <f t="shared" si="576"/>
        <v>0</v>
      </c>
      <c r="K1971" s="47">
        <v>0</v>
      </c>
      <c r="L1971" s="47">
        <v>0</v>
      </c>
      <c r="M1971" s="893"/>
      <c r="N1971" s="20"/>
      <c r="O1971" s="20"/>
      <c r="P1971" s="20"/>
      <c r="Q1971" s="20"/>
      <c r="R1971" s="20"/>
    </row>
    <row r="1972" spans="1:18" s="103" customFormat="1" hidden="1" outlineLevel="1" x14ac:dyDescent="0.2">
      <c r="A1972" s="22" t="s">
        <v>1545</v>
      </c>
      <c r="B1972" s="2" t="s">
        <v>252</v>
      </c>
      <c r="C1972" s="2" t="s">
        <v>1265</v>
      </c>
      <c r="D1972" s="716">
        <v>1</v>
      </c>
      <c r="E1972" s="4" t="s">
        <v>12</v>
      </c>
      <c r="F1972" s="47">
        <f t="shared" ref="F1972:I1972" si="599">G1972</f>
        <v>0</v>
      </c>
      <c r="G1972" s="47">
        <f t="shared" si="599"/>
        <v>0</v>
      </c>
      <c r="H1972" s="47">
        <f t="shared" si="599"/>
        <v>0</v>
      </c>
      <c r="I1972" s="47">
        <f t="shared" si="599"/>
        <v>0</v>
      </c>
      <c r="J1972" s="47">
        <f t="shared" si="576"/>
        <v>0</v>
      </c>
      <c r="K1972" s="47">
        <v>0</v>
      </c>
      <c r="L1972" s="47">
        <v>0</v>
      </c>
      <c r="M1972" s="893"/>
      <c r="N1972" s="20"/>
      <c r="O1972" s="20"/>
      <c r="P1972" s="20"/>
      <c r="Q1972" s="20"/>
      <c r="R1972" s="20"/>
    </row>
    <row r="1973" spans="1:18" s="103" customFormat="1" hidden="1" outlineLevel="1" x14ac:dyDescent="0.2">
      <c r="A1973" s="22" t="s">
        <v>1545</v>
      </c>
      <c r="B1973" s="2" t="s">
        <v>252</v>
      </c>
      <c r="C1973" s="2" t="s">
        <v>1265</v>
      </c>
      <c r="D1973" s="716">
        <v>1</v>
      </c>
      <c r="E1973" s="4" t="s">
        <v>1</v>
      </c>
      <c r="F1973" s="47">
        <f t="shared" ref="F1973:I1973" si="600">G1973</f>
        <v>0</v>
      </c>
      <c r="G1973" s="47">
        <f t="shared" si="600"/>
        <v>0</v>
      </c>
      <c r="H1973" s="47">
        <f t="shared" si="600"/>
        <v>0</v>
      </c>
      <c r="I1973" s="47">
        <f t="shared" si="600"/>
        <v>0</v>
      </c>
      <c r="J1973" s="47">
        <f t="shared" si="576"/>
        <v>0</v>
      </c>
      <c r="K1973" s="47">
        <v>0</v>
      </c>
      <c r="L1973" s="47">
        <v>0</v>
      </c>
      <c r="M1973" s="893"/>
      <c r="N1973" s="20"/>
      <c r="O1973" s="20"/>
      <c r="P1973" s="20"/>
      <c r="Q1973" s="20"/>
      <c r="R1973" s="20"/>
    </row>
    <row r="1974" spans="1:18" s="103" customFormat="1" hidden="1" outlineLevel="1" x14ac:dyDescent="0.2">
      <c r="A1974" s="22" t="s">
        <v>1545</v>
      </c>
      <c r="B1974" s="2" t="s">
        <v>252</v>
      </c>
      <c r="C1974" s="2" t="s">
        <v>1265</v>
      </c>
      <c r="D1974" s="716">
        <v>1</v>
      </c>
      <c r="E1974" s="4" t="s">
        <v>13</v>
      </c>
      <c r="F1974" s="47">
        <f t="shared" ref="F1974:I1974" si="601">G1974</f>
        <v>0</v>
      </c>
      <c r="G1974" s="47">
        <f t="shared" si="601"/>
        <v>0</v>
      </c>
      <c r="H1974" s="47">
        <f t="shared" si="601"/>
        <v>0</v>
      </c>
      <c r="I1974" s="47">
        <f t="shared" si="601"/>
        <v>0</v>
      </c>
      <c r="J1974" s="47">
        <f t="shared" si="576"/>
        <v>0</v>
      </c>
      <c r="K1974" s="47">
        <v>0</v>
      </c>
      <c r="L1974" s="47">
        <v>0</v>
      </c>
      <c r="M1974" s="893"/>
      <c r="N1974" s="20"/>
      <c r="O1974" s="20"/>
      <c r="P1974" s="20"/>
      <c r="Q1974" s="20"/>
      <c r="R1974" s="20"/>
    </row>
    <row r="1975" spans="1:18" s="103" customFormat="1" hidden="1" outlineLevel="1" x14ac:dyDescent="0.2">
      <c r="A1975" s="22" t="s">
        <v>1545</v>
      </c>
      <c r="B1975" s="2" t="s">
        <v>252</v>
      </c>
      <c r="C1975" s="2" t="s">
        <v>1265</v>
      </c>
      <c r="D1975" s="716">
        <v>1</v>
      </c>
      <c r="E1975" s="4" t="s">
        <v>14</v>
      </c>
      <c r="F1975" s="47">
        <f t="shared" ref="F1975:I1975" si="602">G1975</f>
        <v>0</v>
      </c>
      <c r="G1975" s="47">
        <f t="shared" si="602"/>
        <v>0</v>
      </c>
      <c r="H1975" s="47">
        <f t="shared" si="602"/>
        <v>0</v>
      </c>
      <c r="I1975" s="47">
        <f t="shared" si="602"/>
        <v>0</v>
      </c>
      <c r="J1975" s="47">
        <f t="shared" si="576"/>
        <v>0</v>
      </c>
      <c r="K1975" s="47">
        <v>0</v>
      </c>
      <c r="L1975" s="47">
        <v>0</v>
      </c>
      <c r="M1975" s="893"/>
      <c r="N1975" s="20"/>
      <c r="O1975" s="20"/>
      <c r="P1975" s="20"/>
      <c r="Q1975" s="20"/>
      <c r="R1975" s="20"/>
    </row>
    <row r="1976" spans="1:18" s="103" customFormat="1" hidden="1" outlineLevel="1" x14ac:dyDescent="0.2">
      <c r="A1976" s="22" t="s">
        <v>1545</v>
      </c>
      <c r="B1976" s="2" t="s">
        <v>252</v>
      </c>
      <c r="C1976" s="2" t="s">
        <v>1265</v>
      </c>
      <c r="D1976" s="716">
        <v>1</v>
      </c>
      <c r="E1976" s="4" t="s">
        <v>15</v>
      </c>
      <c r="F1976" s="47">
        <f t="shared" ref="F1976:I1976" si="603">G1976</f>
        <v>0</v>
      </c>
      <c r="G1976" s="47">
        <f t="shared" si="603"/>
        <v>0</v>
      </c>
      <c r="H1976" s="47">
        <f t="shared" si="603"/>
        <v>0</v>
      </c>
      <c r="I1976" s="47">
        <f t="shared" si="603"/>
        <v>0</v>
      </c>
      <c r="J1976" s="47">
        <f t="shared" si="576"/>
        <v>0</v>
      </c>
      <c r="K1976" s="47">
        <v>0</v>
      </c>
      <c r="L1976" s="47">
        <v>0</v>
      </c>
      <c r="M1976" s="893"/>
      <c r="N1976" s="20"/>
      <c r="O1976" s="20"/>
      <c r="P1976" s="20"/>
      <c r="Q1976" s="20"/>
      <c r="R1976" s="20"/>
    </row>
    <row r="1977" spans="1:18" s="103" customFormat="1" hidden="1" outlineLevel="1" x14ac:dyDescent="0.2">
      <c r="A1977" s="22" t="s">
        <v>1545</v>
      </c>
      <c r="B1977" s="2" t="s">
        <v>252</v>
      </c>
      <c r="C1977" s="2" t="s">
        <v>1265</v>
      </c>
      <c r="D1977" s="716">
        <v>1</v>
      </c>
      <c r="E1977" s="4" t="s">
        <v>16</v>
      </c>
      <c r="F1977" s="47">
        <f t="shared" ref="F1977:I1977" si="604">G1977</f>
        <v>0</v>
      </c>
      <c r="G1977" s="47">
        <f t="shared" si="604"/>
        <v>0</v>
      </c>
      <c r="H1977" s="47">
        <f t="shared" si="604"/>
        <v>0</v>
      </c>
      <c r="I1977" s="47">
        <f t="shared" si="604"/>
        <v>0</v>
      </c>
      <c r="J1977" s="47">
        <f t="shared" si="576"/>
        <v>0</v>
      </c>
      <c r="K1977" s="47">
        <v>0</v>
      </c>
      <c r="L1977" s="47">
        <v>0</v>
      </c>
      <c r="M1977" s="893"/>
      <c r="N1977" s="20"/>
      <c r="O1977" s="20"/>
      <c r="P1977" s="20"/>
      <c r="Q1977" s="20"/>
      <c r="R1977" s="20"/>
    </row>
    <row r="1978" spans="1:18" s="103" customFormat="1" hidden="1" outlineLevel="1" x14ac:dyDescent="0.2">
      <c r="A1978" s="22" t="s">
        <v>1545</v>
      </c>
      <c r="B1978" s="2" t="s">
        <v>252</v>
      </c>
      <c r="C1978" s="2" t="s">
        <v>1265</v>
      </c>
      <c r="D1978" s="716">
        <v>1</v>
      </c>
      <c r="E1978" s="4" t="s">
        <v>17</v>
      </c>
      <c r="F1978" s="47">
        <f t="shared" ref="F1978:I1978" si="605">G1978</f>
        <v>0</v>
      </c>
      <c r="G1978" s="47">
        <f t="shared" si="605"/>
        <v>0</v>
      </c>
      <c r="H1978" s="47">
        <f t="shared" si="605"/>
        <v>0</v>
      </c>
      <c r="I1978" s="47">
        <f t="shared" si="605"/>
        <v>0</v>
      </c>
      <c r="J1978" s="47">
        <f t="shared" si="576"/>
        <v>0</v>
      </c>
      <c r="K1978" s="47">
        <v>0</v>
      </c>
      <c r="L1978" s="47">
        <v>0</v>
      </c>
      <c r="M1978" s="893"/>
      <c r="N1978" s="20"/>
      <c r="O1978" s="20"/>
      <c r="P1978" s="20"/>
      <c r="Q1978" s="20"/>
      <c r="R1978" s="20"/>
    </row>
    <row r="1979" spans="1:18" s="103" customFormat="1" hidden="1" outlineLevel="1" x14ac:dyDescent="0.2">
      <c r="A1979" s="22" t="s">
        <v>1545</v>
      </c>
      <c r="B1979" s="2" t="s">
        <v>252</v>
      </c>
      <c r="C1979" s="2" t="s">
        <v>1265</v>
      </c>
      <c r="D1979" s="716">
        <v>1</v>
      </c>
      <c r="E1979" s="4" t="s">
        <v>18</v>
      </c>
      <c r="F1979" s="47">
        <f t="shared" ref="F1979:I1979" si="606">G1979</f>
        <v>0</v>
      </c>
      <c r="G1979" s="47">
        <f t="shared" si="606"/>
        <v>0</v>
      </c>
      <c r="H1979" s="47">
        <f t="shared" si="606"/>
        <v>0</v>
      </c>
      <c r="I1979" s="47">
        <f t="shared" si="606"/>
        <v>0</v>
      </c>
      <c r="J1979" s="47">
        <f t="shared" si="576"/>
        <v>0</v>
      </c>
      <c r="K1979" s="47">
        <v>0</v>
      </c>
      <c r="L1979" s="47">
        <v>1</v>
      </c>
      <c r="M1979" s="893"/>
      <c r="N1979" s="20"/>
      <c r="O1979" s="20"/>
      <c r="P1979" s="20"/>
      <c r="Q1979" s="20"/>
      <c r="R1979" s="20"/>
    </row>
    <row r="1980" spans="1:18" s="103" customFormat="1" hidden="1" outlineLevel="1" x14ac:dyDescent="0.2">
      <c r="A1980" s="22" t="s">
        <v>1545</v>
      </c>
      <c r="B1980" s="2" t="s">
        <v>252</v>
      </c>
      <c r="C1980" s="2" t="s">
        <v>1265</v>
      </c>
      <c r="D1980" s="716">
        <v>1</v>
      </c>
      <c r="E1980" s="4" t="s">
        <v>2</v>
      </c>
      <c r="F1980" s="47">
        <f t="shared" ref="F1980:I1980" si="607">G1980</f>
        <v>0</v>
      </c>
      <c r="G1980" s="47">
        <f t="shared" si="607"/>
        <v>0</v>
      </c>
      <c r="H1980" s="47">
        <f t="shared" si="607"/>
        <v>0</v>
      </c>
      <c r="I1980" s="47">
        <f t="shared" si="607"/>
        <v>0</v>
      </c>
      <c r="J1980" s="47">
        <f t="shared" si="576"/>
        <v>0</v>
      </c>
      <c r="K1980" s="47">
        <v>0</v>
      </c>
      <c r="L1980" s="47">
        <v>0</v>
      </c>
      <c r="M1980" s="893"/>
      <c r="N1980" s="20"/>
      <c r="O1980" s="20"/>
      <c r="P1980" s="20"/>
      <c r="Q1980" s="20"/>
      <c r="R1980" s="20"/>
    </row>
    <row r="1981" spans="1:18" s="103" customFormat="1" hidden="1" outlineLevel="1" x14ac:dyDescent="0.2">
      <c r="A1981" s="22" t="s">
        <v>1545</v>
      </c>
      <c r="B1981" s="2" t="s">
        <v>252</v>
      </c>
      <c r="C1981" s="2" t="s">
        <v>1265</v>
      </c>
      <c r="D1981" s="716">
        <v>1</v>
      </c>
      <c r="E1981" s="4" t="s">
        <v>19</v>
      </c>
      <c r="F1981" s="47">
        <f t="shared" ref="F1981:I1981" si="608">G1981</f>
        <v>0</v>
      </c>
      <c r="G1981" s="47">
        <f t="shared" si="608"/>
        <v>0</v>
      </c>
      <c r="H1981" s="47">
        <f t="shared" si="608"/>
        <v>0</v>
      </c>
      <c r="I1981" s="47">
        <f t="shared" si="608"/>
        <v>0</v>
      </c>
      <c r="J1981" s="47">
        <f t="shared" si="576"/>
        <v>0</v>
      </c>
      <c r="K1981" s="47">
        <v>0</v>
      </c>
      <c r="L1981" s="47">
        <v>0</v>
      </c>
      <c r="M1981" s="893"/>
      <c r="N1981" s="20"/>
      <c r="O1981" s="20"/>
      <c r="P1981" s="20"/>
      <c r="Q1981" s="20"/>
      <c r="R1981" s="20"/>
    </row>
    <row r="1982" spans="1:18" s="103" customFormat="1" hidden="1" outlineLevel="1" x14ac:dyDescent="0.2">
      <c r="A1982" s="22" t="s">
        <v>1545</v>
      </c>
      <c r="B1982" s="2" t="s">
        <v>252</v>
      </c>
      <c r="C1982" s="2" t="s">
        <v>1265</v>
      </c>
      <c r="D1982" s="716">
        <v>1</v>
      </c>
      <c r="E1982" s="4" t="s">
        <v>3</v>
      </c>
      <c r="F1982" s="47">
        <f t="shared" ref="F1982:I1982" si="609">G1982</f>
        <v>0</v>
      </c>
      <c r="G1982" s="47">
        <f t="shared" si="609"/>
        <v>0</v>
      </c>
      <c r="H1982" s="47">
        <f t="shared" si="609"/>
        <v>0</v>
      </c>
      <c r="I1982" s="47">
        <f t="shared" si="609"/>
        <v>0</v>
      </c>
      <c r="J1982" s="47">
        <f t="shared" si="576"/>
        <v>0</v>
      </c>
      <c r="K1982" s="47">
        <v>0</v>
      </c>
      <c r="L1982" s="47">
        <v>0</v>
      </c>
      <c r="M1982" s="893"/>
      <c r="N1982" s="20"/>
      <c r="O1982" s="20"/>
      <c r="P1982" s="20"/>
      <c r="Q1982" s="20"/>
      <c r="R1982" s="20"/>
    </row>
    <row r="1983" spans="1:18" s="103" customFormat="1" hidden="1" outlineLevel="1" x14ac:dyDescent="0.2">
      <c r="A1983" s="22" t="s">
        <v>1545</v>
      </c>
      <c r="B1983" s="2" t="s">
        <v>252</v>
      </c>
      <c r="C1983" s="2" t="s">
        <v>1265</v>
      </c>
      <c r="D1983" s="716">
        <v>1</v>
      </c>
      <c r="E1983" s="4" t="s">
        <v>20</v>
      </c>
      <c r="F1983" s="47">
        <f t="shared" ref="F1983:I1983" si="610">G1983</f>
        <v>0</v>
      </c>
      <c r="G1983" s="47">
        <f t="shared" si="610"/>
        <v>0</v>
      </c>
      <c r="H1983" s="47">
        <f t="shared" si="610"/>
        <v>0</v>
      </c>
      <c r="I1983" s="47">
        <f t="shared" si="610"/>
        <v>0</v>
      </c>
      <c r="J1983" s="47">
        <f t="shared" si="576"/>
        <v>0</v>
      </c>
      <c r="K1983" s="47">
        <v>0</v>
      </c>
      <c r="L1983" s="47">
        <v>0</v>
      </c>
      <c r="M1983" s="893"/>
      <c r="N1983" s="20"/>
      <c r="O1983" s="20"/>
      <c r="P1983" s="20"/>
      <c r="Q1983" s="20"/>
      <c r="R1983" s="20"/>
    </row>
    <row r="1984" spans="1:18" s="103" customFormat="1" hidden="1" outlineLevel="1" x14ac:dyDescent="0.2">
      <c r="A1984" s="22" t="s">
        <v>1545</v>
      </c>
      <c r="B1984" s="2" t="s">
        <v>252</v>
      </c>
      <c r="C1984" s="2" t="s">
        <v>1265</v>
      </c>
      <c r="D1984" s="716">
        <v>1</v>
      </c>
      <c r="E1984" s="4" t="s">
        <v>21</v>
      </c>
      <c r="F1984" s="47">
        <f t="shared" ref="F1984:I1984" si="611">G1984</f>
        <v>0</v>
      </c>
      <c r="G1984" s="47">
        <f t="shared" si="611"/>
        <v>0</v>
      </c>
      <c r="H1984" s="47">
        <f t="shared" si="611"/>
        <v>0</v>
      </c>
      <c r="I1984" s="47">
        <f t="shared" si="611"/>
        <v>0</v>
      </c>
      <c r="J1984" s="47">
        <f t="shared" si="576"/>
        <v>0</v>
      </c>
      <c r="K1984" s="47">
        <v>0</v>
      </c>
      <c r="L1984" s="47">
        <v>0</v>
      </c>
      <c r="M1984" s="893"/>
      <c r="N1984" s="20"/>
      <c r="O1984" s="20"/>
      <c r="P1984" s="20"/>
      <c r="Q1984" s="20"/>
      <c r="R1984" s="20"/>
    </row>
    <row r="1985" spans="1:18" s="103" customFormat="1" hidden="1" outlineLevel="1" x14ac:dyDescent="0.2">
      <c r="A1985" s="22" t="s">
        <v>1545</v>
      </c>
      <c r="B1985" s="2" t="s">
        <v>252</v>
      </c>
      <c r="C1985" s="2" t="s">
        <v>1265</v>
      </c>
      <c r="D1985" s="716">
        <v>1</v>
      </c>
      <c r="E1985" s="4" t="s">
        <v>1096</v>
      </c>
      <c r="F1985" s="47">
        <f t="shared" ref="F1985:I1985" si="612">G1985</f>
        <v>0</v>
      </c>
      <c r="G1985" s="47">
        <f t="shared" si="612"/>
        <v>0</v>
      </c>
      <c r="H1985" s="47">
        <f t="shared" si="612"/>
        <v>0</v>
      </c>
      <c r="I1985" s="47">
        <f t="shared" si="612"/>
        <v>0</v>
      </c>
      <c r="J1985" s="47">
        <f t="shared" si="576"/>
        <v>0</v>
      </c>
      <c r="K1985" s="47">
        <v>0</v>
      </c>
      <c r="L1985" s="47">
        <v>0</v>
      </c>
      <c r="M1985" s="893"/>
      <c r="N1985" s="20"/>
      <c r="O1985" s="20"/>
      <c r="P1985" s="20"/>
      <c r="Q1985" s="20"/>
      <c r="R1985" s="20"/>
    </row>
    <row r="1986" spans="1:18" s="103" customFormat="1" hidden="1" outlineLevel="1" x14ac:dyDescent="0.2">
      <c r="A1986" s="22" t="s">
        <v>1545</v>
      </c>
      <c r="B1986" s="2" t="s">
        <v>252</v>
      </c>
      <c r="C1986" s="2" t="s">
        <v>1265</v>
      </c>
      <c r="D1986" s="716">
        <v>1</v>
      </c>
      <c r="E1986" s="4" t="s">
        <v>22</v>
      </c>
      <c r="F1986" s="47">
        <f t="shared" ref="F1986:I1986" si="613">G1986</f>
        <v>0</v>
      </c>
      <c r="G1986" s="47">
        <f t="shared" si="613"/>
        <v>0</v>
      </c>
      <c r="H1986" s="47">
        <f t="shared" si="613"/>
        <v>0</v>
      </c>
      <c r="I1986" s="47">
        <f t="shared" si="613"/>
        <v>0</v>
      </c>
      <c r="J1986" s="47">
        <f t="shared" si="576"/>
        <v>0</v>
      </c>
      <c r="K1986" s="47">
        <v>0</v>
      </c>
      <c r="L1986" s="47">
        <v>1</v>
      </c>
      <c r="M1986" s="893"/>
      <c r="N1986" s="20"/>
      <c r="O1986" s="20"/>
      <c r="P1986" s="20"/>
      <c r="Q1986" s="20"/>
      <c r="R1986" s="20"/>
    </row>
    <row r="1987" spans="1:18" s="103" customFormat="1" hidden="1" outlineLevel="1" x14ac:dyDescent="0.2">
      <c r="A1987" s="22" t="s">
        <v>1545</v>
      </c>
      <c r="B1987" s="2" t="s">
        <v>252</v>
      </c>
      <c r="C1987" s="2" t="s">
        <v>1265</v>
      </c>
      <c r="D1987" s="717">
        <v>1</v>
      </c>
      <c r="E1987" s="4" t="s">
        <v>23</v>
      </c>
      <c r="F1987" s="48">
        <f t="shared" ref="F1987:I1987" si="614">G1987</f>
        <v>0</v>
      </c>
      <c r="G1987" s="48">
        <f t="shared" si="614"/>
        <v>0</v>
      </c>
      <c r="H1987" s="48">
        <f t="shared" si="614"/>
        <v>0</v>
      </c>
      <c r="I1987" s="48">
        <f t="shared" si="614"/>
        <v>0</v>
      </c>
      <c r="J1987" s="48">
        <f t="shared" si="576"/>
        <v>0</v>
      </c>
      <c r="K1987" s="363">
        <v>0</v>
      </c>
      <c r="L1987" s="363">
        <v>0</v>
      </c>
      <c r="M1987" s="920"/>
      <c r="N1987" s="20"/>
      <c r="O1987" s="20"/>
      <c r="P1987" s="20"/>
      <c r="Q1987" s="20"/>
      <c r="R1987" s="20"/>
    </row>
    <row r="1988" spans="1:18" s="103" customFormat="1" hidden="1" outlineLevel="1" x14ac:dyDescent="0.2">
      <c r="A1988" s="92" t="s">
        <v>1545</v>
      </c>
      <c r="B1988" s="81" t="s">
        <v>252</v>
      </c>
      <c r="C1988" s="81" t="s">
        <v>1266</v>
      </c>
      <c r="D1988" s="715">
        <v>1</v>
      </c>
      <c r="E1988" s="468" t="s">
        <v>4</v>
      </c>
      <c r="F1988" s="380">
        <f t="shared" ref="F1988:I1988" si="615">G1988</f>
        <v>1</v>
      </c>
      <c r="G1988" s="89">
        <f t="shared" si="615"/>
        <v>1</v>
      </c>
      <c r="H1988" s="89">
        <f t="shared" si="615"/>
        <v>1</v>
      </c>
      <c r="I1988" s="89">
        <f t="shared" si="615"/>
        <v>1</v>
      </c>
      <c r="J1988" s="89">
        <f t="shared" si="576"/>
        <v>1</v>
      </c>
      <c r="K1988" s="380">
        <v>1</v>
      </c>
      <c r="L1988" s="380">
        <v>1</v>
      </c>
      <c r="M1988" s="892"/>
      <c r="N1988" s="20"/>
      <c r="O1988" s="20"/>
      <c r="P1988" s="20"/>
      <c r="Q1988" s="20"/>
      <c r="R1988" s="20"/>
    </row>
    <row r="1989" spans="1:18" s="103" customFormat="1" hidden="1" outlineLevel="1" x14ac:dyDescent="0.2">
      <c r="A1989" s="22" t="s">
        <v>1545</v>
      </c>
      <c r="B1989" s="2" t="s">
        <v>252</v>
      </c>
      <c r="C1989" s="2" t="s">
        <v>1266</v>
      </c>
      <c r="D1989" s="716">
        <v>1</v>
      </c>
      <c r="E1989" s="4" t="s">
        <v>5</v>
      </c>
      <c r="F1989" s="47">
        <f t="shared" ref="F1989:I1989" si="616">G1989</f>
        <v>0</v>
      </c>
      <c r="G1989" s="47">
        <f t="shared" si="616"/>
        <v>0</v>
      </c>
      <c r="H1989" s="47">
        <f t="shared" si="616"/>
        <v>0</v>
      </c>
      <c r="I1989" s="47">
        <f t="shared" si="616"/>
        <v>0</v>
      </c>
      <c r="J1989" s="47">
        <f t="shared" si="576"/>
        <v>0</v>
      </c>
      <c r="K1989" s="47">
        <v>0</v>
      </c>
      <c r="L1989" s="47">
        <v>0</v>
      </c>
      <c r="M1989" s="893"/>
      <c r="N1989" s="20"/>
      <c r="O1989" s="20"/>
      <c r="P1989" s="20"/>
      <c r="Q1989" s="20"/>
      <c r="R1989" s="20"/>
    </row>
    <row r="1990" spans="1:18" s="103" customFormat="1" hidden="1" outlineLevel="1" x14ac:dyDescent="0.2">
      <c r="A1990" s="22" t="s">
        <v>1545</v>
      </c>
      <c r="B1990" s="2" t="s">
        <v>252</v>
      </c>
      <c r="C1990" s="2" t="s">
        <v>1266</v>
      </c>
      <c r="D1990" s="716">
        <v>1</v>
      </c>
      <c r="E1990" s="4" t="s">
        <v>6</v>
      </c>
      <c r="F1990" s="47">
        <f t="shared" ref="F1990:I1990" si="617">G1990</f>
        <v>0</v>
      </c>
      <c r="G1990" s="47">
        <f t="shared" si="617"/>
        <v>0</v>
      </c>
      <c r="H1990" s="47">
        <f t="shared" si="617"/>
        <v>0</v>
      </c>
      <c r="I1990" s="47">
        <f t="shared" si="617"/>
        <v>0</v>
      </c>
      <c r="J1990" s="47">
        <f t="shared" si="576"/>
        <v>0</v>
      </c>
      <c r="K1990" s="47">
        <v>0</v>
      </c>
      <c r="L1990" s="47">
        <v>0</v>
      </c>
      <c r="M1990" s="893"/>
      <c r="N1990" s="20"/>
      <c r="O1990" s="20"/>
      <c r="P1990" s="20"/>
      <c r="Q1990" s="20"/>
      <c r="R1990" s="20"/>
    </row>
    <row r="1991" spans="1:18" s="103" customFormat="1" hidden="1" outlineLevel="1" x14ac:dyDescent="0.2">
      <c r="A1991" s="22" t="s">
        <v>1545</v>
      </c>
      <c r="B1991" s="2" t="s">
        <v>252</v>
      </c>
      <c r="C1991" s="2" t="s">
        <v>1266</v>
      </c>
      <c r="D1991" s="716">
        <v>1</v>
      </c>
      <c r="E1991" s="4" t="s">
        <v>143</v>
      </c>
      <c r="F1991" s="47">
        <f t="shared" ref="F1991:I1991" si="618">G1991</f>
        <v>1</v>
      </c>
      <c r="G1991" s="47">
        <f t="shared" si="618"/>
        <v>1</v>
      </c>
      <c r="H1991" s="47">
        <f t="shared" si="618"/>
        <v>1</v>
      </c>
      <c r="I1991" s="47">
        <f t="shared" si="618"/>
        <v>1</v>
      </c>
      <c r="J1991" s="47">
        <f t="shared" si="576"/>
        <v>1</v>
      </c>
      <c r="K1991" s="47">
        <v>1</v>
      </c>
      <c r="L1991" s="47">
        <v>1</v>
      </c>
      <c r="M1991" s="893"/>
      <c r="N1991" s="20"/>
      <c r="O1991" s="20"/>
      <c r="P1991" s="20"/>
      <c r="Q1991" s="20"/>
      <c r="R1991" s="20"/>
    </row>
    <row r="1992" spans="1:18" s="103" customFormat="1" hidden="1" outlineLevel="1" x14ac:dyDescent="0.2">
      <c r="A1992" s="22" t="s">
        <v>1545</v>
      </c>
      <c r="B1992" s="2" t="s">
        <v>252</v>
      </c>
      <c r="C1992" s="2" t="s">
        <v>1266</v>
      </c>
      <c r="D1992" s="716">
        <v>1</v>
      </c>
      <c r="E1992" s="4" t="s">
        <v>7</v>
      </c>
      <c r="F1992" s="47">
        <f t="shared" ref="F1992:I1992" si="619">G1992</f>
        <v>1</v>
      </c>
      <c r="G1992" s="47">
        <f t="shared" si="619"/>
        <v>1</v>
      </c>
      <c r="H1992" s="47">
        <f t="shared" si="619"/>
        <v>1</v>
      </c>
      <c r="I1992" s="47">
        <f t="shared" si="619"/>
        <v>1</v>
      </c>
      <c r="J1992" s="47">
        <f t="shared" si="576"/>
        <v>1</v>
      </c>
      <c r="K1992" s="47">
        <v>1</v>
      </c>
      <c r="L1992" s="47">
        <v>1</v>
      </c>
      <c r="M1992" s="893"/>
      <c r="N1992" s="20"/>
      <c r="O1992" s="20"/>
      <c r="P1992" s="20"/>
      <c r="Q1992" s="20"/>
      <c r="R1992" s="20"/>
    </row>
    <row r="1993" spans="1:18" s="103" customFormat="1" hidden="1" outlineLevel="1" x14ac:dyDescent="0.2">
      <c r="A1993" s="22" t="s">
        <v>1545</v>
      </c>
      <c r="B1993" s="2" t="s">
        <v>252</v>
      </c>
      <c r="C1993" s="2" t="s">
        <v>1266</v>
      </c>
      <c r="D1993" s="716">
        <v>1</v>
      </c>
      <c r="E1993" s="4" t="s">
        <v>31</v>
      </c>
      <c r="F1993" s="47">
        <f t="shared" ref="F1993:I1993" si="620">G1993</f>
        <v>1</v>
      </c>
      <c r="G1993" s="47">
        <f t="shared" si="620"/>
        <v>1</v>
      </c>
      <c r="H1993" s="47">
        <f t="shared" si="620"/>
        <v>1</v>
      </c>
      <c r="I1993" s="47">
        <f t="shared" si="620"/>
        <v>1</v>
      </c>
      <c r="J1993" s="47">
        <f t="shared" si="576"/>
        <v>1</v>
      </c>
      <c r="K1993" s="47">
        <v>1</v>
      </c>
      <c r="L1993" s="47">
        <v>1</v>
      </c>
      <c r="M1993" s="893"/>
      <c r="N1993" s="20"/>
      <c r="O1993" s="20"/>
      <c r="P1993" s="20"/>
      <c r="Q1993" s="20"/>
      <c r="R1993" s="20"/>
    </row>
    <row r="1994" spans="1:18" s="103" customFormat="1" hidden="1" outlineLevel="1" x14ac:dyDescent="0.2">
      <c r="A1994" s="22" t="s">
        <v>1545</v>
      </c>
      <c r="B1994" s="2" t="s">
        <v>252</v>
      </c>
      <c r="C1994" s="2" t="s">
        <v>1266</v>
      </c>
      <c r="D1994" s="716">
        <v>1</v>
      </c>
      <c r="E1994" s="4" t="s">
        <v>8</v>
      </c>
      <c r="F1994" s="47">
        <f t="shared" ref="F1994:I1994" si="621">G1994</f>
        <v>1</v>
      </c>
      <c r="G1994" s="47">
        <f t="shared" si="621"/>
        <v>1</v>
      </c>
      <c r="H1994" s="47">
        <f t="shared" si="621"/>
        <v>1</v>
      </c>
      <c r="I1994" s="47">
        <f t="shared" si="621"/>
        <v>1</v>
      </c>
      <c r="J1994" s="47">
        <f t="shared" si="576"/>
        <v>1</v>
      </c>
      <c r="K1994" s="47">
        <v>1</v>
      </c>
      <c r="L1994" s="47">
        <v>1</v>
      </c>
      <c r="M1994" s="893"/>
      <c r="N1994" s="20"/>
      <c r="O1994" s="20"/>
      <c r="P1994" s="20"/>
      <c r="Q1994" s="20"/>
      <c r="R1994" s="20"/>
    </row>
    <row r="1995" spans="1:18" s="103" customFormat="1" hidden="1" outlineLevel="1" x14ac:dyDescent="0.2">
      <c r="A1995" s="22" t="s">
        <v>1545</v>
      </c>
      <c r="B1995" s="2" t="s">
        <v>252</v>
      </c>
      <c r="C1995" s="2" t="s">
        <v>1266</v>
      </c>
      <c r="D1995" s="716">
        <v>1</v>
      </c>
      <c r="E1995" s="4" t="s">
        <v>9</v>
      </c>
      <c r="F1995" s="47">
        <f t="shared" ref="F1995:I1995" si="622">G1995</f>
        <v>1</v>
      </c>
      <c r="G1995" s="47">
        <f t="shared" si="622"/>
        <v>1</v>
      </c>
      <c r="H1995" s="47">
        <f t="shared" si="622"/>
        <v>1</v>
      </c>
      <c r="I1995" s="47">
        <f t="shared" si="622"/>
        <v>1</v>
      </c>
      <c r="J1995" s="47">
        <f t="shared" si="576"/>
        <v>1</v>
      </c>
      <c r="K1995" s="47">
        <v>1</v>
      </c>
      <c r="L1995" s="47">
        <v>1</v>
      </c>
      <c r="M1995" s="893"/>
      <c r="N1995" s="20"/>
      <c r="O1995" s="20"/>
      <c r="P1995" s="20"/>
      <c r="Q1995" s="20"/>
      <c r="R1995" s="20"/>
    </row>
    <row r="1996" spans="1:18" s="103" customFormat="1" hidden="1" outlineLevel="1" x14ac:dyDescent="0.2">
      <c r="A1996" s="22" t="s">
        <v>1545</v>
      </c>
      <c r="B1996" s="2" t="s">
        <v>252</v>
      </c>
      <c r="C1996" s="2" t="s">
        <v>1266</v>
      </c>
      <c r="D1996" s="716">
        <v>1</v>
      </c>
      <c r="E1996" s="4" t="s">
        <v>10</v>
      </c>
      <c r="F1996" s="47">
        <f t="shared" ref="F1996:I1996" si="623">G1996</f>
        <v>1</v>
      </c>
      <c r="G1996" s="47">
        <f t="shared" si="623"/>
        <v>1</v>
      </c>
      <c r="H1996" s="47">
        <f t="shared" si="623"/>
        <v>1</v>
      </c>
      <c r="I1996" s="47">
        <f t="shared" si="623"/>
        <v>1</v>
      </c>
      <c r="J1996" s="47">
        <f t="shared" si="576"/>
        <v>1</v>
      </c>
      <c r="K1996" s="47">
        <v>1</v>
      </c>
      <c r="L1996" s="47">
        <v>1</v>
      </c>
      <c r="M1996" s="893"/>
      <c r="N1996" s="20"/>
      <c r="O1996" s="20"/>
      <c r="P1996" s="20"/>
      <c r="Q1996" s="20"/>
      <c r="R1996" s="20"/>
    </row>
    <row r="1997" spans="1:18" s="103" customFormat="1" hidden="1" outlineLevel="1" x14ac:dyDescent="0.2">
      <c r="A1997" s="22" t="s">
        <v>1545</v>
      </c>
      <c r="B1997" s="2" t="s">
        <v>252</v>
      </c>
      <c r="C1997" s="2" t="s">
        <v>1266</v>
      </c>
      <c r="D1997" s="716">
        <v>1</v>
      </c>
      <c r="E1997" s="4" t="s">
        <v>11</v>
      </c>
      <c r="F1997" s="47">
        <f t="shared" ref="F1997:I1997" si="624">G1997</f>
        <v>0</v>
      </c>
      <c r="G1997" s="47">
        <f t="shared" si="624"/>
        <v>0</v>
      </c>
      <c r="H1997" s="47">
        <f t="shared" si="624"/>
        <v>0</v>
      </c>
      <c r="I1997" s="47">
        <f t="shared" si="624"/>
        <v>0</v>
      </c>
      <c r="J1997" s="47">
        <f t="shared" si="576"/>
        <v>0</v>
      </c>
      <c r="K1997" s="47">
        <v>0</v>
      </c>
      <c r="L1997" s="47">
        <v>0</v>
      </c>
      <c r="M1997" s="893"/>
      <c r="N1997" s="20"/>
      <c r="O1997" s="20"/>
      <c r="P1997" s="20"/>
      <c r="Q1997" s="20"/>
      <c r="R1997" s="20"/>
    </row>
    <row r="1998" spans="1:18" s="103" customFormat="1" hidden="1" outlineLevel="1" x14ac:dyDescent="0.2">
      <c r="A1998" s="22" t="s">
        <v>1545</v>
      </c>
      <c r="B1998" s="2" t="s">
        <v>252</v>
      </c>
      <c r="C1998" s="2" t="s">
        <v>1266</v>
      </c>
      <c r="D1998" s="716">
        <v>1</v>
      </c>
      <c r="E1998" s="4" t="s">
        <v>12</v>
      </c>
      <c r="F1998" s="47">
        <f t="shared" ref="F1998:I1998" si="625">G1998</f>
        <v>1</v>
      </c>
      <c r="G1998" s="47">
        <f t="shared" si="625"/>
        <v>1</v>
      </c>
      <c r="H1998" s="47">
        <f t="shared" si="625"/>
        <v>1</v>
      </c>
      <c r="I1998" s="47">
        <f t="shared" si="625"/>
        <v>1</v>
      </c>
      <c r="J1998" s="47">
        <f t="shared" si="576"/>
        <v>1</v>
      </c>
      <c r="K1998" s="47">
        <v>1</v>
      </c>
      <c r="L1998" s="47">
        <v>1</v>
      </c>
      <c r="M1998" s="893"/>
      <c r="N1998" s="20"/>
      <c r="O1998" s="20"/>
      <c r="P1998" s="20"/>
      <c r="Q1998" s="20"/>
      <c r="R1998" s="20"/>
    </row>
    <row r="1999" spans="1:18" s="103" customFormat="1" hidden="1" outlineLevel="1" x14ac:dyDescent="0.2">
      <c r="A1999" s="22" t="s">
        <v>1545</v>
      </c>
      <c r="B1999" s="2" t="s">
        <v>252</v>
      </c>
      <c r="C1999" s="2" t="s">
        <v>1266</v>
      </c>
      <c r="D1999" s="716">
        <v>1</v>
      </c>
      <c r="E1999" s="4" t="s">
        <v>1</v>
      </c>
      <c r="F1999" s="47">
        <f t="shared" ref="F1999:I1999" si="626">G1999</f>
        <v>1</v>
      </c>
      <c r="G1999" s="47">
        <f t="shared" si="626"/>
        <v>1</v>
      </c>
      <c r="H1999" s="47">
        <f t="shared" si="626"/>
        <v>1</v>
      </c>
      <c r="I1999" s="47">
        <f t="shared" si="626"/>
        <v>1</v>
      </c>
      <c r="J1999" s="47">
        <f t="shared" si="576"/>
        <v>1</v>
      </c>
      <c r="K1999" s="47">
        <v>1</v>
      </c>
      <c r="L1999" s="47">
        <v>1</v>
      </c>
      <c r="M1999" s="893"/>
      <c r="N1999" s="20"/>
      <c r="O1999" s="20"/>
      <c r="P1999" s="20"/>
      <c r="Q1999" s="20"/>
      <c r="R1999" s="20"/>
    </row>
    <row r="2000" spans="1:18" s="103" customFormat="1" hidden="1" outlineLevel="1" x14ac:dyDescent="0.2">
      <c r="A2000" s="22" t="s">
        <v>1545</v>
      </c>
      <c r="B2000" s="2" t="s">
        <v>252</v>
      </c>
      <c r="C2000" s="2" t="s">
        <v>1266</v>
      </c>
      <c r="D2000" s="716">
        <v>1</v>
      </c>
      <c r="E2000" s="4" t="s">
        <v>13</v>
      </c>
      <c r="F2000" s="47">
        <f t="shared" ref="F2000:I2000" si="627">G2000</f>
        <v>1</v>
      </c>
      <c r="G2000" s="47">
        <f t="shared" si="627"/>
        <v>1</v>
      </c>
      <c r="H2000" s="47">
        <f t="shared" si="627"/>
        <v>1</v>
      </c>
      <c r="I2000" s="47">
        <f t="shared" si="627"/>
        <v>1</v>
      </c>
      <c r="J2000" s="47">
        <f t="shared" si="576"/>
        <v>1</v>
      </c>
      <c r="K2000" s="47">
        <v>1</v>
      </c>
      <c r="L2000" s="47">
        <v>1</v>
      </c>
      <c r="M2000" s="893"/>
      <c r="N2000" s="20"/>
      <c r="O2000" s="20"/>
      <c r="P2000" s="20"/>
      <c r="Q2000" s="20"/>
      <c r="R2000" s="20"/>
    </row>
    <row r="2001" spans="1:18" s="103" customFormat="1" hidden="1" outlineLevel="1" x14ac:dyDescent="0.2">
      <c r="A2001" s="22" t="s">
        <v>1545</v>
      </c>
      <c r="B2001" s="2" t="s">
        <v>252</v>
      </c>
      <c r="C2001" s="2" t="s">
        <v>1266</v>
      </c>
      <c r="D2001" s="716">
        <v>1</v>
      </c>
      <c r="E2001" s="4" t="s">
        <v>14</v>
      </c>
      <c r="F2001" s="47">
        <f t="shared" ref="F2001:I2001" si="628">G2001</f>
        <v>1</v>
      </c>
      <c r="G2001" s="47">
        <f t="shared" si="628"/>
        <v>1</v>
      </c>
      <c r="H2001" s="47">
        <f t="shared" si="628"/>
        <v>1</v>
      </c>
      <c r="I2001" s="47">
        <f t="shared" si="628"/>
        <v>1</v>
      </c>
      <c r="J2001" s="47">
        <f t="shared" si="576"/>
        <v>1</v>
      </c>
      <c r="K2001" s="47">
        <v>1</v>
      </c>
      <c r="L2001" s="47">
        <v>1</v>
      </c>
      <c r="M2001" s="893"/>
      <c r="N2001" s="20"/>
      <c r="O2001" s="20"/>
      <c r="P2001" s="20"/>
      <c r="Q2001" s="20"/>
      <c r="R2001" s="20"/>
    </row>
    <row r="2002" spans="1:18" s="103" customFormat="1" hidden="1" outlineLevel="1" x14ac:dyDescent="0.2">
      <c r="A2002" s="22" t="s">
        <v>1545</v>
      </c>
      <c r="B2002" s="2" t="s">
        <v>252</v>
      </c>
      <c r="C2002" s="2" t="s">
        <v>1266</v>
      </c>
      <c r="D2002" s="716">
        <v>1</v>
      </c>
      <c r="E2002" s="4" t="s">
        <v>15</v>
      </c>
      <c r="F2002" s="47">
        <f t="shared" ref="F2002:I2002" si="629">G2002</f>
        <v>0</v>
      </c>
      <c r="G2002" s="47">
        <f t="shared" si="629"/>
        <v>0</v>
      </c>
      <c r="H2002" s="47">
        <f t="shared" si="629"/>
        <v>0</v>
      </c>
      <c r="I2002" s="47">
        <f t="shared" si="629"/>
        <v>0</v>
      </c>
      <c r="J2002" s="47">
        <f t="shared" si="576"/>
        <v>0</v>
      </c>
      <c r="K2002" s="47">
        <v>0</v>
      </c>
      <c r="L2002" s="47">
        <v>0</v>
      </c>
      <c r="M2002" s="893"/>
      <c r="N2002" s="20"/>
      <c r="O2002" s="20"/>
      <c r="P2002" s="20"/>
      <c r="Q2002" s="20"/>
      <c r="R2002" s="20"/>
    </row>
    <row r="2003" spans="1:18" s="103" customFormat="1" hidden="1" outlineLevel="1" x14ac:dyDescent="0.2">
      <c r="A2003" s="22" t="s">
        <v>1545</v>
      </c>
      <c r="B2003" s="2" t="s">
        <v>252</v>
      </c>
      <c r="C2003" s="2" t="s">
        <v>1266</v>
      </c>
      <c r="D2003" s="716">
        <v>1</v>
      </c>
      <c r="E2003" s="4" t="s">
        <v>16</v>
      </c>
      <c r="F2003" s="47">
        <f t="shared" ref="F2003:I2003" si="630">G2003</f>
        <v>1</v>
      </c>
      <c r="G2003" s="47">
        <f t="shared" si="630"/>
        <v>1</v>
      </c>
      <c r="H2003" s="47">
        <f t="shared" si="630"/>
        <v>1</v>
      </c>
      <c r="I2003" s="47">
        <f t="shared" si="630"/>
        <v>1</v>
      </c>
      <c r="J2003" s="47">
        <f t="shared" si="576"/>
        <v>1</v>
      </c>
      <c r="K2003" s="47">
        <v>1</v>
      </c>
      <c r="L2003" s="47">
        <v>1</v>
      </c>
      <c r="M2003" s="893"/>
      <c r="N2003" s="20"/>
      <c r="O2003" s="20"/>
      <c r="P2003" s="20"/>
      <c r="Q2003" s="20"/>
      <c r="R2003" s="20"/>
    </row>
    <row r="2004" spans="1:18" s="103" customFormat="1" hidden="1" outlineLevel="1" x14ac:dyDescent="0.2">
      <c r="A2004" s="22" t="s">
        <v>1545</v>
      </c>
      <c r="B2004" s="2" t="s">
        <v>252</v>
      </c>
      <c r="C2004" s="2" t="s">
        <v>1266</v>
      </c>
      <c r="D2004" s="716">
        <v>1</v>
      </c>
      <c r="E2004" s="4" t="s">
        <v>17</v>
      </c>
      <c r="F2004" s="47">
        <f t="shared" ref="F2004:I2004" si="631">G2004</f>
        <v>0</v>
      </c>
      <c r="G2004" s="47">
        <f t="shared" si="631"/>
        <v>0</v>
      </c>
      <c r="H2004" s="47">
        <f t="shared" si="631"/>
        <v>0</v>
      </c>
      <c r="I2004" s="47">
        <f t="shared" si="631"/>
        <v>0</v>
      </c>
      <c r="J2004" s="47">
        <f t="shared" si="576"/>
        <v>0</v>
      </c>
      <c r="K2004" s="47">
        <v>0</v>
      </c>
      <c r="L2004" s="47">
        <v>1</v>
      </c>
      <c r="M2004" s="893"/>
      <c r="N2004" s="20"/>
      <c r="O2004" s="20"/>
      <c r="P2004" s="20"/>
      <c r="Q2004" s="20"/>
      <c r="R2004" s="20"/>
    </row>
    <row r="2005" spans="1:18" s="103" customFormat="1" hidden="1" outlineLevel="1" x14ac:dyDescent="0.2">
      <c r="A2005" s="22" t="s">
        <v>1545</v>
      </c>
      <c r="B2005" s="2" t="s">
        <v>252</v>
      </c>
      <c r="C2005" s="2" t="s">
        <v>1266</v>
      </c>
      <c r="D2005" s="716">
        <v>1</v>
      </c>
      <c r="E2005" s="4" t="s">
        <v>18</v>
      </c>
      <c r="F2005" s="47">
        <f t="shared" ref="F2005:I2005" si="632">G2005</f>
        <v>1</v>
      </c>
      <c r="G2005" s="47">
        <f t="shared" si="632"/>
        <v>1</v>
      </c>
      <c r="H2005" s="47">
        <f t="shared" si="632"/>
        <v>1</v>
      </c>
      <c r="I2005" s="47">
        <f t="shared" si="632"/>
        <v>1</v>
      </c>
      <c r="J2005" s="47">
        <f t="shared" si="576"/>
        <v>1</v>
      </c>
      <c r="K2005" s="47">
        <v>1</v>
      </c>
      <c r="L2005" s="47">
        <v>1</v>
      </c>
      <c r="M2005" s="893"/>
      <c r="N2005" s="20"/>
      <c r="O2005" s="20"/>
      <c r="P2005" s="20"/>
      <c r="Q2005" s="20"/>
      <c r="R2005" s="20"/>
    </row>
    <row r="2006" spans="1:18" s="103" customFormat="1" hidden="1" outlineLevel="1" x14ac:dyDescent="0.2">
      <c r="A2006" s="22" t="s">
        <v>1545</v>
      </c>
      <c r="B2006" s="2" t="s">
        <v>252</v>
      </c>
      <c r="C2006" s="2" t="s">
        <v>1266</v>
      </c>
      <c r="D2006" s="716">
        <v>1</v>
      </c>
      <c r="E2006" s="4" t="s">
        <v>2</v>
      </c>
      <c r="F2006" s="47">
        <f t="shared" ref="F2006:I2006" si="633">G2006</f>
        <v>1</v>
      </c>
      <c r="G2006" s="47">
        <f t="shared" si="633"/>
        <v>1</v>
      </c>
      <c r="H2006" s="47">
        <f t="shared" si="633"/>
        <v>1</v>
      </c>
      <c r="I2006" s="47">
        <f t="shared" si="633"/>
        <v>1</v>
      </c>
      <c r="J2006" s="47">
        <f t="shared" si="576"/>
        <v>1</v>
      </c>
      <c r="K2006" s="47">
        <v>1</v>
      </c>
      <c r="L2006" s="47">
        <v>1</v>
      </c>
      <c r="M2006" s="893"/>
      <c r="N2006" s="20"/>
      <c r="O2006" s="20"/>
      <c r="P2006" s="20"/>
      <c r="Q2006" s="20"/>
      <c r="R2006" s="20"/>
    </row>
    <row r="2007" spans="1:18" s="103" customFormat="1" hidden="1" outlineLevel="1" x14ac:dyDescent="0.2">
      <c r="A2007" s="22" t="s">
        <v>1545</v>
      </c>
      <c r="B2007" s="2" t="s">
        <v>252</v>
      </c>
      <c r="C2007" s="2" t="s">
        <v>1266</v>
      </c>
      <c r="D2007" s="716">
        <v>1</v>
      </c>
      <c r="E2007" s="4" t="s">
        <v>19</v>
      </c>
      <c r="F2007" s="47">
        <f t="shared" ref="F2007:I2007" si="634">G2007</f>
        <v>1</v>
      </c>
      <c r="G2007" s="47">
        <f t="shared" si="634"/>
        <v>1</v>
      </c>
      <c r="H2007" s="47">
        <f t="shared" si="634"/>
        <v>1</v>
      </c>
      <c r="I2007" s="47">
        <f t="shared" si="634"/>
        <v>1</v>
      </c>
      <c r="J2007" s="47">
        <f t="shared" si="576"/>
        <v>1</v>
      </c>
      <c r="K2007" s="47">
        <v>1</v>
      </c>
      <c r="L2007" s="47">
        <v>1</v>
      </c>
      <c r="M2007" s="893"/>
      <c r="N2007" s="20"/>
      <c r="O2007" s="20"/>
      <c r="P2007" s="20"/>
      <c r="Q2007" s="20"/>
      <c r="R2007" s="20"/>
    </row>
    <row r="2008" spans="1:18" s="103" customFormat="1" hidden="1" outlineLevel="1" x14ac:dyDescent="0.2">
      <c r="A2008" s="22" t="s">
        <v>1545</v>
      </c>
      <c r="B2008" s="2" t="s">
        <v>252</v>
      </c>
      <c r="C2008" s="2" t="s">
        <v>1266</v>
      </c>
      <c r="D2008" s="716">
        <v>1</v>
      </c>
      <c r="E2008" s="4" t="s">
        <v>3</v>
      </c>
      <c r="F2008" s="47">
        <f t="shared" ref="F2008:I2008" si="635">G2008</f>
        <v>0</v>
      </c>
      <c r="G2008" s="47">
        <f t="shared" si="635"/>
        <v>0</v>
      </c>
      <c r="H2008" s="47">
        <f t="shared" si="635"/>
        <v>0</v>
      </c>
      <c r="I2008" s="47">
        <f t="shared" si="635"/>
        <v>0</v>
      </c>
      <c r="J2008" s="47">
        <f t="shared" si="576"/>
        <v>0</v>
      </c>
      <c r="K2008" s="47">
        <v>0</v>
      </c>
      <c r="L2008" s="47">
        <v>1</v>
      </c>
      <c r="M2008" s="893"/>
      <c r="N2008" s="20"/>
      <c r="O2008" s="20"/>
      <c r="P2008" s="20"/>
      <c r="Q2008" s="20"/>
      <c r="R2008" s="20"/>
    </row>
    <row r="2009" spans="1:18" s="103" customFormat="1" hidden="1" outlineLevel="1" x14ac:dyDescent="0.2">
      <c r="A2009" s="22" t="s">
        <v>1545</v>
      </c>
      <c r="B2009" s="2" t="s">
        <v>252</v>
      </c>
      <c r="C2009" s="2" t="s">
        <v>1266</v>
      </c>
      <c r="D2009" s="716">
        <v>1</v>
      </c>
      <c r="E2009" s="4" t="s">
        <v>20</v>
      </c>
      <c r="F2009" s="47">
        <f t="shared" ref="F2009:I2009" si="636">G2009</f>
        <v>1</v>
      </c>
      <c r="G2009" s="47">
        <f t="shared" si="636"/>
        <v>1</v>
      </c>
      <c r="H2009" s="47">
        <f t="shared" si="636"/>
        <v>1</v>
      </c>
      <c r="I2009" s="47">
        <f t="shared" si="636"/>
        <v>1</v>
      </c>
      <c r="J2009" s="47">
        <f t="shared" si="576"/>
        <v>1</v>
      </c>
      <c r="K2009" s="47">
        <v>1</v>
      </c>
      <c r="L2009" s="47">
        <v>1</v>
      </c>
      <c r="M2009" s="893"/>
      <c r="N2009" s="20"/>
      <c r="O2009" s="20"/>
      <c r="P2009" s="20"/>
      <c r="Q2009" s="20"/>
      <c r="R2009" s="20"/>
    </row>
    <row r="2010" spans="1:18" s="103" customFormat="1" hidden="1" outlineLevel="1" x14ac:dyDescent="0.2">
      <c r="A2010" s="22" t="s">
        <v>1545</v>
      </c>
      <c r="B2010" s="2" t="s">
        <v>252</v>
      </c>
      <c r="C2010" s="2" t="s">
        <v>1266</v>
      </c>
      <c r="D2010" s="716">
        <v>1</v>
      </c>
      <c r="E2010" s="4" t="s">
        <v>21</v>
      </c>
      <c r="F2010" s="47">
        <f t="shared" ref="F2010:I2010" si="637">G2010</f>
        <v>0</v>
      </c>
      <c r="G2010" s="47">
        <f t="shared" si="637"/>
        <v>0</v>
      </c>
      <c r="H2010" s="47">
        <f t="shared" si="637"/>
        <v>0</v>
      </c>
      <c r="I2010" s="47">
        <f t="shared" si="637"/>
        <v>0</v>
      </c>
      <c r="J2010" s="47">
        <f t="shared" si="576"/>
        <v>0</v>
      </c>
      <c r="K2010" s="47">
        <v>0</v>
      </c>
      <c r="L2010" s="47">
        <v>0</v>
      </c>
      <c r="M2010" s="893"/>
      <c r="N2010" s="20"/>
      <c r="O2010" s="20"/>
      <c r="P2010" s="20"/>
      <c r="Q2010" s="20"/>
      <c r="R2010" s="20"/>
    </row>
    <row r="2011" spans="1:18" s="103" customFormat="1" hidden="1" outlineLevel="1" x14ac:dyDescent="0.2">
      <c r="A2011" s="22" t="s">
        <v>1545</v>
      </c>
      <c r="B2011" s="2" t="s">
        <v>252</v>
      </c>
      <c r="C2011" s="2" t="s">
        <v>1266</v>
      </c>
      <c r="D2011" s="716">
        <v>1</v>
      </c>
      <c r="E2011" s="4" t="s">
        <v>1096</v>
      </c>
      <c r="F2011" s="47">
        <f t="shared" ref="F2011:I2011" si="638">G2011</f>
        <v>0</v>
      </c>
      <c r="G2011" s="47">
        <f t="shared" si="638"/>
        <v>0</v>
      </c>
      <c r="H2011" s="47">
        <f t="shared" si="638"/>
        <v>0</v>
      </c>
      <c r="I2011" s="47">
        <f t="shared" si="638"/>
        <v>0</v>
      </c>
      <c r="J2011" s="47">
        <f t="shared" si="576"/>
        <v>0</v>
      </c>
      <c r="K2011" s="47">
        <v>0</v>
      </c>
      <c r="L2011" s="47">
        <v>0</v>
      </c>
      <c r="M2011" s="893"/>
      <c r="N2011" s="20"/>
      <c r="O2011" s="20"/>
      <c r="P2011" s="20"/>
      <c r="Q2011" s="20"/>
      <c r="R2011" s="20"/>
    </row>
    <row r="2012" spans="1:18" s="103" customFormat="1" hidden="1" outlineLevel="1" x14ac:dyDescent="0.2">
      <c r="A2012" s="22" t="s">
        <v>1545</v>
      </c>
      <c r="B2012" s="2" t="s">
        <v>252</v>
      </c>
      <c r="C2012" s="2" t="s">
        <v>1266</v>
      </c>
      <c r="D2012" s="716">
        <v>1</v>
      </c>
      <c r="E2012" s="4" t="s">
        <v>22</v>
      </c>
      <c r="F2012" s="47">
        <f t="shared" ref="F2012:I2012" si="639">G2012</f>
        <v>1</v>
      </c>
      <c r="G2012" s="47">
        <f t="shared" si="639"/>
        <v>1</v>
      </c>
      <c r="H2012" s="47">
        <f t="shared" si="639"/>
        <v>1</v>
      </c>
      <c r="I2012" s="47">
        <f t="shared" si="639"/>
        <v>1</v>
      </c>
      <c r="J2012" s="47">
        <f t="shared" si="576"/>
        <v>1</v>
      </c>
      <c r="K2012" s="47">
        <v>1</v>
      </c>
      <c r="L2012" s="47">
        <v>1</v>
      </c>
      <c r="M2012" s="893"/>
      <c r="N2012" s="20"/>
      <c r="O2012" s="20"/>
      <c r="P2012" s="20"/>
      <c r="Q2012" s="20"/>
      <c r="R2012" s="20"/>
    </row>
    <row r="2013" spans="1:18" s="103" customFormat="1" hidden="1" outlineLevel="1" x14ac:dyDescent="0.2">
      <c r="A2013" s="22" t="s">
        <v>1545</v>
      </c>
      <c r="B2013" s="2" t="s">
        <v>252</v>
      </c>
      <c r="C2013" s="2" t="s">
        <v>1266</v>
      </c>
      <c r="D2013" s="717">
        <v>1</v>
      </c>
      <c r="E2013" s="4" t="s">
        <v>23</v>
      </c>
      <c r="F2013" s="48">
        <f t="shared" ref="F2013:I2013" si="640">G2013</f>
        <v>0</v>
      </c>
      <c r="G2013" s="48">
        <f t="shared" si="640"/>
        <v>0</v>
      </c>
      <c r="H2013" s="48">
        <f t="shared" si="640"/>
        <v>0</v>
      </c>
      <c r="I2013" s="48">
        <f t="shared" si="640"/>
        <v>0</v>
      </c>
      <c r="J2013" s="48">
        <f t="shared" ref="J2013:J2076" si="641">K2013</f>
        <v>0</v>
      </c>
      <c r="K2013" s="363">
        <v>0</v>
      </c>
      <c r="L2013" s="363">
        <v>0</v>
      </c>
      <c r="M2013" s="920"/>
      <c r="N2013" s="20"/>
      <c r="O2013" s="20"/>
      <c r="P2013" s="20"/>
      <c r="Q2013" s="20"/>
      <c r="R2013" s="20"/>
    </row>
    <row r="2014" spans="1:18" s="103" customFormat="1" hidden="1" outlineLevel="1" x14ac:dyDescent="0.2">
      <c r="A2014" s="92" t="s">
        <v>1545</v>
      </c>
      <c r="B2014" s="81" t="s">
        <v>252</v>
      </c>
      <c r="C2014" s="81" t="s">
        <v>1267</v>
      </c>
      <c r="D2014" s="715">
        <v>1</v>
      </c>
      <c r="E2014" s="468" t="s">
        <v>4</v>
      </c>
      <c r="F2014" s="380">
        <f t="shared" ref="F2014:I2014" si="642">G2014</f>
        <v>1</v>
      </c>
      <c r="G2014" s="89">
        <f t="shared" si="642"/>
        <v>1</v>
      </c>
      <c r="H2014" s="89">
        <f t="shared" si="642"/>
        <v>1</v>
      </c>
      <c r="I2014" s="89">
        <f t="shared" si="642"/>
        <v>1</v>
      </c>
      <c r="J2014" s="89">
        <f t="shared" si="641"/>
        <v>1</v>
      </c>
      <c r="K2014" s="380">
        <v>1</v>
      </c>
      <c r="L2014" s="380">
        <v>1</v>
      </c>
      <c r="M2014" s="892"/>
      <c r="N2014" s="20"/>
      <c r="O2014" s="20"/>
      <c r="P2014" s="20"/>
      <c r="Q2014" s="20"/>
      <c r="R2014" s="20"/>
    </row>
    <row r="2015" spans="1:18" s="103" customFormat="1" hidden="1" outlineLevel="1" x14ac:dyDescent="0.2">
      <c r="A2015" s="22" t="s">
        <v>1545</v>
      </c>
      <c r="B2015" s="2" t="s">
        <v>252</v>
      </c>
      <c r="C2015" s="2" t="s">
        <v>1267</v>
      </c>
      <c r="D2015" s="716">
        <v>1</v>
      </c>
      <c r="E2015" s="4" t="s">
        <v>5</v>
      </c>
      <c r="F2015" s="47">
        <f t="shared" ref="F2015:I2015" si="643">G2015</f>
        <v>0</v>
      </c>
      <c r="G2015" s="47">
        <f t="shared" si="643"/>
        <v>0</v>
      </c>
      <c r="H2015" s="47">
        <f t="shared" si="643"/>
        <v>0</v>
      </c>
      <c r="I2015" s="47">
        <f t="shared" si="643"/>
        <v>0</v>
      </c>
      <c r="J2015" s="47">
        <f t="shared" si="641"/>
        <v>0</v>
      </c>
      <c r="K2015" s="47">
        <v>0</v>
      </c>
      <c r="L2015" s="47">
        <v>0</v>
      </c>
      <c r="M2015" s="893"/>
      <c r="N2015" s="20"/>
      <c r="O2015" s="20"/>
      <c r="P2015" s="20"/>
      <c r="Q2015" s="20"/>
      <c r="R2015" s="20"/>
    </row>
    <row r="2016" spans="1:18" s="103" customFormat="1" hidden="1" outlineLevel="1" x14ac:dyDescent="0.2">
      <c r="A2016" s="22" t="s">
        <v>1545</v>
      </c>
      <c r="B2016" s="2" t="s">
        <v>252</v>
      </c>
      <c r="C2016" s="2" t="s">
        <v>1267</v>
      </c>
      <c r="D2016" s="716">
        <v>1</v>
      </c>
      <c r="E2016" s="4" t="s">
        <v>6</v>
      </c>
      <c r="F2016" s="47">
        <f t="shared" ref="F2016:I2016" si="644">G2016</f>
        <v>0</v>
      </c>
      <c r="G2016" s="47">
        <f t="shared" si="644"/>
        <v>0</v>
      </c>
      <c r="H2016" s="47">
        <f t="shared" si="644"/>
        <v>0</v>
      </c>
      <c r="I2016" s="47">
        <f t="shared" si="644"/>
        <v>0</v>
      </c>
      <c r="J2016" s="47">
        <f t="shared" si="641"/>
        <v>0</v>
      </c>
      <c r="K2016" s="47">
        <v>0</v>
      </c>
      <c r="L2016" s="47">
        <v>0</v>
      </c>
      <c r="M2016" s="893"/>
      <c r="N2016" s="20"/>
      <c r="O2016" s="20"/>
      <c r="P2016" s="20"/>
      <c r="Q2016" s="20"/>
      <c r="R2016" s="20"/>
    </row>
    <row r="2017" spans="1:18" s="103" customFormat="1" hidden="1" outlineLevel="1" x14ac:dyDescent="0.2">
      <c r="A2017" s="22" t="s">
        <v>1545</v>
      </c>
      <c r="B2017" s="2" t="s">
        <v>252</v>
      </c>
      <c r="C2017" s="2" t="s">
        <v>1267</v>
      </c>
      <c r="D2017" s="716">
        <v>1</v>
      </c>
      <c r="E2017" s="4" t="s">
        <v>143</v>
      </c>
      <c r="F2017" s="47">
        <f t="shared" ref="F2017:I2017" si="645">G2017</f>
        <v>1</v>
      </c>
      <c r="G2017" s="47">
        <f t="shared" si="645"/>
        <v>1</v>
      </c>
      <c r="H2017" s="47">
        <f t="shared" si="645"/>
        <v>1</v>
      </c>
      <c r="I2017" s="47">
        <f t="shared" si="645"/>
        <v>1</v>
      </c>
      <c r="J2017" s="47">
        <f t="shared" si="641"/>
        <v>1</v>
      </c>
      <c r="K2017" s="47">
        <v>1</v>
      </c>
      <c r="L2017" s="47">
        <v>1</v>
      </c>
      <c r="M2017" s="893"/>
      <c r="N2017" s="20"/>
      <c r="O2017" s="20"/>
      <c r="P2017" s="20"/>
      <c r="Q2017" s="20"/>
      <c r="R2017" s="20"/>
    </row>
    <row r="2018" spans="1:18" s="103" customFormat="1" hidden="1" outlineLevel="1" x14ac:dyDescent="0.2">
      <c r="A2018" s="22" t="s">
        <v>1545</v>
      </c>
      <c r="B2018" s="2" t="s">
        <v>252</v>
      </c>
      <c r="C2018" s="2" t="s">
        <v>1267</v>
      </c>
      <c r="D2018" s="716">
        <v>1</v>
      </c>
      <c r="E2018" s="4" t="s">
        <v>7</v>
      </c>
      <c r="F2018" s="47">
        <f t="shared" ref="F2018:I2018" si="646">G2018</f>
        <v>1</v>
      </c>
      <c r="G2018" s="47">
        <f t="shared" si="646"/>
        <v>1</v>
      </c>
      <c r="H2018" s="47">
        <f t="shared" si="646"/>
        <v>1</v>
      </c>
      <c r="I2018" s="47">
        <f t="shared" si="646"/>
        <v>1</v>
      </c>
      <c r="J2018" s="47">
        <f t="shared" si="641"/>
        <v>1</v>
      </c>
      <c r="K2018" s="47">
        <v>1</v>
      </c>
      <c r="L2018" s="47">
        <v>1</v>
      </c>
      <c r="M2018" s="893"/>
      <c r="N2018" s="20"/>
      <c r="O2018" s="20"/>
      <c r="P2018" s="20"/>
      <c r="Q2018" s="20"/>
      <c r="R2018" s="20"/>
    </row>
    <row r="2019" spans="1:18" s="103" customFormat="1" hidden="1" outlineLevel="1" x14ac:dyDescent="0.2">
      <c r="A2019" s="22" t="s">
        <v>1545</v>
      </c>
      <c r="B2019" s="2" t="s">
        <v>252</v>
      </c>
      <c r="C2019" s="2" t="s">
        <v>1267</v>
      </c>
      <c r="D2019" s="716">
        <v>1</v>
      </c>
      <c r="E2019" s="4" t="s">
        <v>31</v>
      </c>
      <c r="F2019" s="47">
        <f t="shared" ref="F2019:I2019" si="647">G2019</f>
        <v>1</v>
      </c>
      <c r="G2019" s="47">
        <f t="shared" si="647"/>
        <v>1</v>
      </c>
      <c r="H2019" s="47">
        <f t="shared" si="647"/>
        <v>1</v>
      </c>
      <c r="I2019" s="47">
        <f t="shared" si="647"/>
        <v>1</v>
      </c>
      <c r="J2019" s="47">
        <f t="shared" si="641"/>
        <v>1</v>
      </c>
      <c r="K2019" s="47">
        <v>1</v>
      </c>
      <c r="L2019" s="47">
        <v>1</v>
      </c>
      <c r="M2019" s="893"/>
      <c r="N2019" s="20"/>
      <c r="O2019" s="20"/>
      <c r="P2019" s="20"/>
      <c r="Q2019" s="20"/>
      <c r="R2019" s="20"/>
    </row>
    <row r="2020" spans="1:18" s="103" customFormat="1" hidden="1" outlineLevel="1" x14ac:dyDescent="0.2">
      <c r="A2020" s="22" t="s">
        <v>1545</v>
      </c>
      <c r="B2020" s="2" t="s">
        <v>252</v>
      </c>
      <c r="C2020" s="2" t="s">
        <v>1267</v>
      </c>
      <c r="D2020" s="716">
        <v>1</v>
      </c>
      <c r="E2020" s="4" t="s">
        <v>8</v>
      </c>
      <c r="F2020" s="47">
        <f t="shared" ref="F2020:I2020" si="648">G2020</f>
        <v>1</v>
      </c>
      <c r="G2020" s="47">
        <f t="shared" si="648"/>
        <v>1</v>
      </c>
      <c r="H2020" s="47">
        <f t="shared" si="648"/>
        <v>1</v>
      </c>
      <c r="I2020" s="47">
        <f t="shared" si="648"/>
        <v>1</v>
      </c>
      <c r="J2020" s="47">
        <f t="shared" si="641"/>
        <v>1</v>
      </c>
      <c r="K2020" s="47">
        <v>1</v>
      </c>
      <c r="L2020" s="47">
        <v>1</v>
      </c>
      <c r="M2020" s="893"/>
      <c r="N2020" s="20"/>
      <c r="O2020" s="20"/>
      <c r="P2020" s="20"/>
      <c r="Q2020" s="20"/>
      <c r="R2020" s="20"/>
    </row>
    <row r="2021" spans="1:18" s="103" customFormat="1" hidden="1" outlineLevel="1" x14ac:dyDescent="0.2">
      <c r="A2021" s="22" t="s">
        <v>1545</v>
      </c>
      <c r="B2021" s="2" t="s">
        <v>252</v>
      </c>
      <c r="C2021" s="2" t="s">
        <v>1267</v>
      </c>
      <c r="D2021" s="716">
        <v>1</v>
      </c>
      <c r="E2021" s="4" t="s">
        <v>9</v>
      </c>
      <c r="F2021" s="47">
        <f t="shared" ref="F2021:I2021" si="649">G2021</f>
        <v>1</v>
      </c>
      <c r="G2021" s="47">
        <f t="shared" si="649"/>
        <v>1</v>
      </c>
      <c r="H2021" s="47">
        <f t="shared" si="649"/>
        <v>1</v>
      </c>
      <c r="I2021" s="47">
        <f t="shared" si="649"/>
        <v>1</v>
      </c>
      <c r="J2021" s="47">
        <f t="shared" si="641"/>
        <v>1</v>
      </c>
      <c r="K2021" s="47">
        <v>1</v>
      </c>
      <c r="L2021" s="47">
        <v>1</v>
      </c>
      <c r="M2021" s="893"/>
      <c r="N2021" s="20"/>
      <c r="O2021" s="20"/>
      <c r="P2021" s="20"/>
      <c r="Q2021" s="20"/>
      <c r="R2021" s="20"/>
    </row>
    <row r="2022" spans="1:18" s="103" customFormat="1" hidden="1" outlineLevel="1" x14ac:dyDescent="0.2">
      <c r="A2022" s="22" t="s">
        <v>1545</v>
      </c>
      <c r="B2022" s="2" t="s">
        <v>252</v>
      </c>
      <c r="C2022" s="2" t="s">
        <v>1267</v>
      </c>
      <c r="D2022" s="716">
        <v>1</v>
      </c>
      <c r="E2022" s="4" t="s">
        <v>10</v>
      </c>
      <c r="F2022" s="47">
        <f t="shared" ref="F2022:I2022" si="650">G2022</f>
        <v>1</v>
      </c>
      <c r="G2022" s="47">
        <f t="shared" si="650"/>
        <v>1</v>
      </c>
      <c r="H2022" s="47">
        <f t="shared" si="650"/>
        <v>1</v>
      </c>
      <c r="I2022" s="47">
        <f t="shared" si="650"/>
        <v>1</v>
      </c>
      <c r="J2022" s="47">
        <f t="shared" si="641"/>
        <v>1</v>
      </c>
      <c r="K2022" s="47">
        <v>1</v>
      </c>
      <c r="L2022" s="47">
        <v>1</v>
      </c>
      <c r="M2022" s="893"/>
      <c r="N2022" s="20"/>
      <c r="O2022" s="20"/>
      <c r="P2022" s="20"/>
      <c r="Q2022" s="20"/>
      <c r="R2022" s="20"/>
    </row>
    <row r="2023" spans="1:18" s="103" customFormat="1" hidden="1" outlineLevel="1" x14ac:dyDescent="0.2">
      <c r="A2023" s="22" t="s">
        <v>1545</v>
      </c>
      <c r="B2023" s="2" t="s">
        <v>252</v>
      </c>
      <c r="C2023" s="2" t="s">
        <v>1267</v>
      </c>
      <c r="D2023" s="716">
        <v>1</v>
      </c>
      <c r="E2023" s="4" t="s">
        <v>11</v>
      </c>
      <c r="F2023" s="47">
        <f t="shared" ref="F2023:I2023" si="651">G2023</f>
        <v>0</v>
      </c>
      <c r="G2023" s="47">
        <f t="shared" si="651"/>
        <v>0</v>
      </c>
      <c r="H2023" s="47">
        <f t="shared" si="651"/>
        <v>0</v>
      </c>
      <c r="I2023" s="47">
        <f t="shared" si="651"/>
        <v>0</v>
      </c>
      <c r="J2023" s="47">
        <f t="shared" si="641"/>
        <v>0</v>
      </c>
      <c r="K2023" s="47">
        <v>0</v>
      </c>
      <c r="L2023" s="47">
        <v>0</v>
      </c>
      <c r="M2023" s="893"/>
      <c r="N2023" s="20"/>
      <c r="O2023" s="20"/>
      <c r="P2023" s="20"/>
      <c r="Q2023" s="20"/>
      <c r="R2023" s="20"/>
    </row>
    <row r="2024" spans="1:18" s="103" customFormat="1" hidden="1" outlineLevel="1" x14ac:dyDescent="0.2">
      <c r="A2024" s="22" t="s">
        <v>1545</v>
      </c>
      <c r="B2024" s="2" t="s">
        <v>252</v>
      </c>
      <c r="C2024" s="2" t="s">
        <v>1267</v>
      </c>
      <c r="D2024" s="716">
        <v>1</v>
      </c>
      <c r="E2024" s="4" t="s">
        <v>12</v>
      </c>
      <c r="F2024" s="47">
        <f t="shared" ref="F2024:I2024" si="652">G2024</f>
        <v>0</v>
      </c>
      <c r="G2024" s="47">
        <f t="shared" si="652"/>
        <v>0</v>
      </c>
      <c r="H2024" s="47">
        <f t="shared" si="652"/>
        <v>0</v>
      </c>
      <c r="I2024" s="47">
        <f t="shared" si="652"/>
        <v>0</v>
      </c>
      <c r="J2024" s="47">
        <f t="shared" si="641"/>
        <v>0</v>
      </c>
      <c r="K2024" s="47">
        <v>0</v>
      </c>
      <c r="L2024" s="47">
        <v>0</v>
      </c>
      <c r="M2024" s="893"/>
      <c r="N2024" s="20"/>
      <c r="O2024" s="20"/>
      <c r="P2024" s="20"/>
      <c r="Q2024" s="20"/>
      <c r="R2024" s="20"/>
    </row>
    <row r="2025" spans="1:18" s="103" customFormat="1" hidden="1" outlineLevel="1" x14ac:dyDescent="0.2">
      <c r="A2025" s="22" t="s">
        <v>1545</v>
      </c>
      <c r="B2025" s="2" t="s">
        <v>252</v>
      </c>
      <c r="C2025" s="2" t="s">
        <v>1267</v>
      </c>
      <c r="D2025" s="716">
        <v>1</v>
      </c>
      <c r="E2025" s="4" t="s">
        <v>1</v>
      </c>
      <c r="F2025" s="47">
        <f t="shared" ref="F2025:I2025" si="653">G2025</f>
        <v>1</v>
      </c>
      <c r="G2025" s="47">
        <f t="shared" si="653"/>
        <v>1</v>
      </c>
      <c r="H2025" s="47">
        <f t="shared" si="653"/>
        <v>1</v>
      </c>
      <c r="I2025" s="47">
        <f t="shared" si="653"/>
        <v>1</v>
      </c>
      <c r="J2025" s="47">
        <f t="shared" si="641"/>
        <v>1</v>
      </c>
      <c r="K2025" s="47">
        <v>1</v>
      </c>
      <c r="L2025" s="47">
        <v>1</v>
      </c>
      <c r="M2025" s="893"/>
      <c r="N2025" s="20"/>
      <c r="O2025" s="20"/>
      <c r="P2025" s="20"/>
      <c r="Q2025" s="20"/>
      <c r="R2025" s="20"/>
    </row>
    <row r="2026" spans="1:18" s="103" customFormat="1" hidden="1" outlineLevel="1" x14ac:dyDescent="0.2">
      <c r="A2026" s="22" t="s">
        <v>1545</v>
      </c>
      <c r="B2026" s="2" t="s">
        <v>252</v>
      </c>
      <c r="C2026" s="2" t="s">
        <v>1267</v>
      </c>
      <c r="D2026" s="716">
        <v>1</v>
      </c>
      <c r="E2026" s="4" t="s">
        <v>13</v>
      </c>
      <c r="F2026" s="47">
        <f t="shared" ref="F2026:I2026" si="654">G2026</f>
        <v>1</v>
      </c>
      <c r="G2026" s="47">
        <f t="shared" si="654"/>
        <v>1</v>
      </c>
      <c r="H2026" s="47">
        <f t="shared" si="654"/>
        <v>1</v>
      </c>
      <c r="I2026" s="47">
        <f t="shared" si="654"/>
        <v>1</v>
      </c>
      <c r="J2026" s="47">
        <f t="shared" si="641"/>
        <v>1</v>
      </c>
      <c r="K2026" s="47">
        <v>1</v>
      </c>
      <c r="L2026" s="47">
        <v>1</v>
      </c>
      <c r="M2026" s="893"/>
      <c r="N2026" s="20"/>
      <c r="O2026" s="20"/>
      <c r="P2026" s="20"/>
      <c r="Q2026" s="20"/>
      <c r="R2026" s="20"/>
    </row>
    <row r="2027" spans="1:18" s="103" customFormat="1" hidden="1" outlineLevel="1" x14ac:dyDescent="0.2">
      <c r="A2027" s="22" t="s">
        <v>1545</v>
      </c>
      <c r="B2027" s="2" t="s">
        <v>252</v>
      </c>
      <c r="C2027" s="2" t="s">
        <v>1267</v>
      </c>
      <c r="D2027" s="716">
        <v>1</v>
      </c>
      <c r="E2027" s="4" t="s">
        <v>14</v>
      </c>
      <c r="F2027" s="47">
        <f t="shared" ref="F2027:I2027" si="655">G2027</f>
        <v>0</v>
      </c>
      <c r="G2027" s="47">
        <f t="shared" si="655"/>
        <v>0</v>
      </c>
      <c r="H2027" s="47">
        <f t="shared" si="655"/>
        <v>0</v>
      </c>
      <c r="I2027" s="47">
        <f t="shared" si="655"/>
        <v>0</v>
      </c>
      <c r="J2027" s="47">
        <f t="shared" si="641"/>
        <v>0</v>
      </c>
      <c r="K2027" s="47">
        <v>0</v>
      </c>
      <c r="L2027" s="47">
        <v>0</v>
      </c>
      <c r="M2027" s="893"/>
      <c r="N2027" s="20"/>
      <c r="O2027" s="20"/>
      <c r="P2027" s="20"/>
      <c r="Q2027" s="20"/>
      <c r="R2027" s="20"/>
    </row>
    <row r="2028" spans="1:18" s="103" customFormat="1" hidden="1" outlineLevel="1" x14ac:dyDescent="0.2">
      <c r="A2028" s="22" t="s">
        <v>1545</v>
      </c>
      <c r="B2028" s="2" t="s">
        <v>252</v>
      </c>
      <c r="C2028" s="2" t="s">
        <v>1267</v>
      </c>
      <c r="D2028" s="716">
        <v>1</v>
      </c>
      <c r="E2028" s="4" t="s">
        <v>15</v>
      </c>
      <c r="F2028" s="47">
        <f t="shared" ref="F2028:I2028" si="656">G2028</f>
        <v>0</v>
      </c>
      <c r="G2028" s="47">
        <f t="shared" si="656"/>
        <v>0</v>
      </c>
      <c r="H2028" s="47">
        <f t="shared" si="656"/>
        <v>0</v>
      </c>
      <c r="I2028" s="47">
        <f t="shared" si="656"/>
        <v>0</v>
      </c>
      <c r="J2028" s="47">
        <f t="shared" si="641"/>
        <v>0</v>
      </c>
      <c r="K2028" s="47">
        <v>0</v>
      </c>
      <c r="L2028" s="47">
        <v>0</v>
      </c>
      <c r="M2028" s="893"/>
      <c r="N2028" s="20"/>
      <c r="O2028" s="20"/>
      <c r="P2028" s="20"/>
      <c r="Q2028" s="20"/>
      <c r="R2028" s="20"/>
    </row>
    <row r="2029" spans="1:18" s="103" customFormat="1" hidden="1" outlineLevel="1" x14ac:dyDescent="0.2">
      <c r="A2029" s="22" t="s">
        <v>1545</v>
      </c>
      <c r="B2029" s="2" t="s">
        <v>252</v>
      </c>
      <c r="C2029" s="2" t="s">
        <v>1267</v>
      </c>
      <c r="D2029" s="716">
        <v>1</v>
      </c>
      <c r="E2029" s="4" t="s">
        <v>16</v>
      </c>
      <c r="F2029" s="47">
        <f t="shared" ref="F2029:I2029" si="657">G2029</f>
        <v>1</v>
      </c>
      <c r="G2029" s="47">
        <f t="shared" si="657"/>
        <v>1</v>
      </c>
      <c r="H2029" s="47">
        <f t="shared" si="657"/>
        <v>1</v>
      </c>
      <c r="I2029" s="47">
        <f t="shared" si="657"/>
        <v>1</v>
      </c>
      <c r="J2029" s="47">
        <f t="shared" si="641"/>
        <v>1</v>
      </c>
      <c r="K2029" s="47">
        <v>1</v>
      </c>
      <c r="L2029" s="47">
        <v>1</v>
      </c>
      <c r="M2029" s="893"/>
      <c r="N2029" s="20"/>
      <c r="O2029" s="20"/>
      <c r="P2029" s="20"/>
      <c r="Q2029" s="20"/>
      <c r="R2029" s="20"/>
    </row>
    <row r="2030" spans="1:18" s="103" customFormat="1" hidden="1" outlineLevel="1" x14ac:dyDescent="0.2">
      <c r="A2030" s="22" t="s">
        <v>1545</v>
      </c>
      <c r="B2030" s="2" t="s">
        <v>252</v>
      </c>
      <c r="C2030" s="2" t="s">
        <v>1267</v>
      </c>
      <c r="D2030" s="716">
        <v>1</v>
      </c>
      <c r="E2030" s="4" t="s">
        <v>17</v>
      </c>
      <c r="F2030" s="47">
        <f t="shared" ref="F2030:I2030" si="658">G2030</f>
        <v>0</v>
      </c>
      <c r="G2030" s="47">
        <f t="shared" si="658"/>
        <v>0</v>
      </c>
      <c r="H2030" s="47">
        <f t="shared" si="658"/>
        <v>0</v>
      </c>
      <c r="I2030" s="47">
        <f t="shared" si="658"/>
        <v>0</v>
      </c>
      <c r="J2030" s="47">
        <f t="shared" si="641"/>
        <v>0</v>
      </c>
      <c r="K2030" s="47">
        <v>0</v>
      </c>
      <c r="L2030" s="47">
        <v>1</v>
      </c>
      <c r="M2030" s="893"/>
      <c r="N2030" s="20"/>
      <c r="O2030" s="20"/>
      <c r="P2030" s="20"/>
      <c r="Q2030" s="20"/>
      <c r="R2030" s="20"/>
    </row>
    <row r="2031" spans="1:18" s="103" customFormat="1" hidden="1" outlineLevel="1" x14ac:dyDescent="0.2">
      <c r="A2031" s="22" t="s">
        <v>1545</v>
      </c>
      <c r="B2031" s="2" t="s">
        <v>252</v>
      </c>
      <c r="C2031" s="2" t="s">
        <v>1267</v>
      </c>
      <c r="D2031" s="716">
        <v>1</v>
      </c>
      <c r="E2031" s="4" t="s">
        <v>18</v>
      </c>
      <c r="F2031" s="47">
        <f t="shared" ref="F2031:I2031" si="659">G2031</f>
        <v>1</v>
      </c>
      <c r="G2031" s="47">
        <f t="shared" si="659"/>
        <v>1</v>
      </c>
      <c r="H2031" s="47">
        <f t="shared" si="659"/>
        <v>1</v>
      </c>
      <c r="I2031" s="47">
        <f t="shared" si="659"/>
        <v>1</v>
      </c>
      <c r="J2031" s="47">
        <f t="shared" si="641"/>
        <v>1</v>
      </c>
      <c r="K2031" s="47">
        <v>1</v>
      </c>
      <c r="L2031" s="47">
        <v>1</v>
      </c>
      <c r="M2031" s="893"/>
      <c r="N2031" s="20"/>
      <c r="O2031" s="20"/>
      <c r="P2031" s="20"/>
      <c r="Q2031" s="20"/>
      <c r="R2031" s="20"/>
    </row>
    <row r="2032" spans="1:18" s="103" customFormat="1" hidden="1" outlineLevel="1" x14ac:dyDescent="0.2">
      <c r="A2032" s="22" t="s">
        <v>1545</v>
      </c>
      <c r="B2032" s="2" t="s">
        <v>252</v>
      </c>
      <c r="C2032" s="2" t="s">
        <v>1267</v>
      </c>
      <c r="D2032" s="716">
        <v>1</v>
      </c>
      <c r="E2032" s="4" t="s">
        <v>2</v>
      </c>
      <c r="F2032" s="47">
        <f t="shared" ref="F2032:I2032" si="660">G2032</f>
        <v>0</v>
      </c>
      <c r="G2032" s="47">
        <f t="shared" si="660"/>
        <v>0</v>
      </c>
      <c r="H2032" s="47">
        <f t="shared" si="660"/>
        <v>0</v>
      </c>
      <c r="I2032" s="47">
        <f t="shared" si="660"/>
        <v>0</v>
      </c>
      <c r="J2032" s="47">
        <f t="shared" si="641"/>
        <v>0</v>
      </c>
      <c r="K2032" s="47">
        <v>0</v>
      </c>
      <c r="L2032" s="47">
        <v>0</v>
      </c>
      <c r="M2032" s="893"/>
      <c r="N2032" s="20"/>
      <c r="O2032" s="20"/>
      <c r="P2032" s="20"/>
      <c r="Q2032" s="20"/>
      <c r="R2032" s="20"/>
    </row>
    <row r="2033" spans="1:18" s="103" customFormat="1" hidden="1" outlineLevel="1" x14ac:dyDescent="0.2">
      <c r="A2033" s="22" t="s">
        <v>1545</v>
      </c>
      <c r="B2033" s="2" t="s">
        <v>252</v>
      </c>
      <c r="C2033" s="2" t="s">
        <v>1267</v>
      </c>
      <c r="D2033" s="716">
        <v>1</v>
      </c>
      <c r="E2033" s="4" t="s">
        <v>19</v>
      </c>
      <c r="F2033" s="47">
        <f t="shared" ref="F2033:I2033" si="661">G2033</f>
        <v>0</v>
      </c>
      <c r="G2033" s="47">
        <f t="shared" si="661"/>
        <v>0</v>
      </c>
      <c r="H2033" s="47">
        <f t="shared" si="661"/>
        <v>0</v>
      </c>
      <c r="I2033" s="47">
        <f t="shared" si="661"/>
        <v>0</v>
      </c>
      <c r="J2033" s="47">
        <f t="shared" si="641"/>
        <v>0</v>
      </c>
      <c r="K2033" s="47">
        <v>0</v>
      </c>
      <c r="L2033" s="47">
        <v>1</v>
      </c>
      <c r="M2033" s="893"/>
      <c r="N2033" s="20"/>
      <c r="O2033" s="20"/>
      <c r="P2033" s="20"/>
      <c r="Q2033" s="20"/>
      <c r="R2033" s="20"/>
    </row>
    <row r="2034" spans="1:18" s="103" customFormat="1" hidden="1" outlineLevel="1" x14ac:dyDescent="0.2">
      <c r="A2034" s="22" t="s">
        <v>1545</v>
      </c>
      <c r="B2034" s="2" t="s">
        <v>252</v>
      </c>
      <c r="C2034" s="2" t="s">
        <v>1267</v>
      </c>
      <c r="D2034" s="716">
        <v>1</v>
      </c>
      <c r="E2034" s="4" t="s">
        <v>3</v>
      </c>
      <c r="F2034" s="47">
        <f t="shared" ref="F2034:I2034" si="662">G2034</f>
        <v>0</v>
      </c>
      <c r="G2034" s="47">
        <f t="shared" si="662"/>
        <v>0</v>
      </c>
      <c r="H2034" s="47">
        <f t="shared" si="662"/>
        <v>0</v>
      </c>
      <c r="I2034" s="47">
        <f t="shared" si="662"/>
        <v>0</v>
      </c>
      <c r="J2034" s="47">
        <f t="shared" si="641"/>
        <v>0</v>
      </c>
      <c r="K2034" s="47">
        <v>0</v>
      </c>
      <c r="L2034" s="47">
        <v>1</v>
      </c>
      <c r="M2034" s="893"/>
      <c r="N2034" s="20"/>
      <c r="O2034" s="20"/>
      <c r="P2034" s="20"/>
      <c r="Q2034" s="20"/>
      <c r="R2034" s="20"/>
    </row>
    <row r="2035" spans="1:18" s="103" customFormat="1" hidden="1" outlineLevel="1" x14ac:dyDescent="0.2">
      <c r="A2035" s="22" t="s">
        <v>1545</v>
      </c>
      <c r="B2035" s="2" t="s">
        <v>252</v>
      </c>
      <c r="C2035" s="2" t="s">
        <v>1267</v>
      </c>
      <c r="D2035" s="716">
        <v>1</v>
      </c>
      <c r="E2035" s="4" t="s">
        <v>20</v>
      </c>
      <c r="F2035" s="47">
        <f t="shared" ref="F2035:I2035" si="663">G2035</f>
        <v>1</v>
      </c>
      <c r="G2035" s="47">
        <f t="shared" si="663"/>
        <v>1</v>
      </c>
      <c r="H2035" s="47">
        <f t="shared" si="663"/>
        <v>1</v>
      </c>
      <c r="I2035" s="47">
        <f t="shared" si="663"/>
        <v>1</v>
      </c>
      <c r="J2035" s="47">
        <f t="shared" si="641"/>
        <v>1</v>
      </c>
      <c r="K2035" s="47">
        <v>1</v>
      </c>
      <c r="L2035" s="47">
        <v>1</v>
      </c>
      <c r="M2035" s="893"/>
      <c r="N2035" s="20"/>
      <c r="O2035" s="20"/>
      <c r="P2035" s="20"/>
      <c r="Q2035" s="20"/>
      <c r="R2035" s="20"/>
    </row>
    <row r="2036" spans="1:18" s="103" customFormat="1" hidden="1" outlineLevel="1" x14ac:dyDescent="0.2">
      <c r="A2036" s="22" t="s">
        <v>1545</v>
      </c>
      <c r="B2036" s="2" t="s">
        <v>252</v>
      </c>
      <c r="C2036" s="2" t="s">
        <v>1267</v>
      </c>
      <c r="D2036" s="716">
        <v>1</v>
      </c>
      <c r="E2036" s="4" t="s">
        <v>21</v>
      </c>
      <c r="F2036" s="47">
        <f t="shared" ref="F2036:I2036" si="664">G2036</f>
        <v>0</v>
      </c>
      <c r="G2036" s="47">
        <f t="shared" si="664"/>
        <v>0</v>
      </c>
      <c r="H2036" s="47">
        <f t="shared" si="664"/>
        <v>0</v>
      </c>
      <c r="I2036" s="47">
        <f t="shared" si="664"/>
        <v>0</v>
      </c>
      <c r="J2036" s="47">
        <f t="shared" si="641"/>
        <v>0</v>
      </c>
      <c r="K2036" s="47">
        <v>0</v>
      </c>
      <c r="L2036" s="47">
        <v>0</v>
      </c>
      <c r="M2036" s="893"/>
      <c r="N2036" s="20"/>
      <c r="O2036" s="20"/>
      <c r="P2036" s="20"/>
      <c r="Q2036" s="20"/>
      <c r="R2036" s="20"/>
    </row>
    <row r="2037" spans="1:18" s="103" customFormat="1" hidden="1" outlineLevel="1" x14ac:dyDescent="0.2">
      <c r="A2037" s="22" t="s">
        <v>1545</v>
      </c>
      <c r="B2037" s="2" t="s">
        <v>252</v>
      </c>
      <c r="C2037" s="2" t="s">
        <v>1267</v>
      </c>
      <c r="D2037" s="716">
        <v>1</v>
      </c>
      <c r="E2037" s="4" t="s">
        <v>1096</v>
      </c>
      <c r="F2037" s="47">
        <f t="shared" ref="F2037:I2037" si="665">G2037</f>
        <v>0</v>
      </c>
      <c r="G2037" s="47">
        <f t="shared" si="665"/>
        <v>0</v>
      </c>
      <c r="H2037" s="47">
        <f t="shared" si="665"/>
        <v>0</v>
      </c>
      <c r="I2037" s="47">
        <f t="shared" si="665"/>
        <v>0</v>
      </c>
      <c r="J2037" s="47">
        <f t="shared" si="641"/>
        <v>0</v>
      </c>
      <c r="K2037" s="47">
        <v>0</v>
      </c>
      <c r="L2037" s="47">
        <v>0</v>
      </c>
      <c r="M2037" s="893"/>
      <c r="N2037" s="20"/>
      <c r="O2037" s="20"/>
      <c r="P2037" s="20"/>
      <c r="Q2037" s="20"/>
      <c r="R2037" s="20"/>
    </row>
    <row r="2038" spans="1:18" s="103" customFormat="1" hidden="1" outlineLevel="1" x14ac:dyDescent="0.2">
      <c r="A2038" s="22" t="s">
        <v>1545</v>
      </c>
      <c r="B2038" s="2" t="s">
        <v>252</v>
      </c>
      <c r="C2038" s="2" t="s">
        <v>1267</v>
      </c>
      <c r="D2038" s="716">
        <v>1</v>
      </c>
      <c r="E2038" s="4" t="s">
        <v>22</v>
      </c>
      <c r="F2038" s="47">
        <f t="shared" ref="F2038:I2038" si="666">G2038</f>
        <v>1</v>
      </c>
      <c r="G2038" s="47">
        <f t="shared" si="666"/>
        <v>1</v>
      </c>
      <c r="H2038" s="47">
        <f t="shared" si="666"/>
        <v>1</v>
      </c>
      <c r="I2038" s="47">
        <f t="shared" si="666"/>
        <v>1</v>
      </c>
      <c r="J2038" s="47">
        <f t="shared" si="641"/>
        <v>1</v>
      </c>
      <c r="K2038" s="47">
        <v>1</v>
      </c>
      <c r="L2038" s="47">
        <v>1</v>
      </c>
      <c r="M2038" s="893"/>
      <c r="N2038" s="20"/>
      <c r="O2038" s="20"/>
      <c r="P2038" s="20"/>
      <c r="Q2038" s="20"/>
      <c r="R2038" s="20"/>
    </row>
    <row r="2039" spans="1:18" s="103" customFormat="1" hidden="1" outlineLevel="1" x14ac:dyDescent="0.2">
      <c r="A2039" s="22" t="s">
        <v>1545</v>
      </c>
      <c r="B2039" s="2" t="s">
        <v>252</v>
      </c>
      <c r="C2039" s="2" t="s">
        <v>1267</v>
      </c>
      <c r="D2039" s="717">
        <v>1</v>
      </c>
      <c r="E2039" s="4" t="s">
        <v>23</v>
      </c>
      <c r="F2039" s="48">
        <f t="shared" ref="F2039:I2039" si="667">G2039</f>
        <v>0</v>
      </c>
      <c r="G2039" s="48">
        <f t="shared" si="667"/>
        <v>0</v>
      </c>
      <c r="H2039" s="48">
        <f t="shared" si="667"/>
        <v>0</v>
      </c>
      <c r="I2039" s="48">
        <f t="shared" si="667"/>
        <v>0</v>
      </c>
      <c r="J2039" s="48">
        <f t="shared" si="641"/>
        <v>0</v>
      </c>
      <c r="K2039" s="363">
        <v>0</v>
      </c>
      <c r="L2039" s="363">
        <v>0</v>
      </c>
      <c r="M2039" s="920"/>
      <c r="N2039" s="20"/>
      <c r="O2039" s="20"/>
      <c r="P2039" s="20"/>
      <c r="Q2039" s="20"/>
      <c r="R2039" s="20"/>
    </row>
    <row r="2040" spans="1:18" s="103" customFormat="1" hidden="1" outlineLevel="1" x14ac:dyDescent="0.2">
      <c r="A2040" s="92" t="s">
        <v>1545</v>
      </c>
      <c r="B2040" s="81" t="s">
        <v>252</v>
      </c>
      <c r="C2040" s="81" t="s">
        <v>1268</v>
      </c>
      <c r="D2040" s="715">
        <v>1</v>
      </c>
      <c r="E2040" s="468" t="s">
        <v>4</v>
      </c>
      <c r="F2040" s="380">
        <f t="shared" ref="F2040:I2040" si="668">G2040</f>
        <v>0</v>
      </c>
      <c r="G2040" s="89">
        <f t="shared" si="668"/>
        <v>0</v>
      </c>
      <c r="H2040" s="89">
        <f t="shared" si="668"/>
        <v>0</v>
      </c>
      <c r="I2040" s="89">
        <f t="shared" si="668"/>
        <v>0</v>
      </c>
      <c r="J2040" s="89">
        <f t="shared" si="641"/>
        <v>0</v>
      </c>
      <c r="K2040" s="380">
        <v>0</v>
      </c>
      <c r="L2040" s="380">
        <v>1</v>
      </c>
      <c r="M2040" s="892"/>
      <c r="N2040" s="20"/>
      <c r="O2040" s="20"/>
      <c r="P2040" s="20"/>
      <c r="Q2040" s="20"/>
      <c r="R2040" s="20"/>
    </row>
    <row r="2041" spans="1:18" s="103" customFormat="1" hidden="1" outlineLevel="1" x14ac:dyDescent="0.2">
      <c r="A2041" s="22" t="s">
        <v>1545</v>
      </c>
      <c r="B2041" s="2" t="s">
        <v>252</v>
      </c>
      <c r="C2041" s="2" t="s">
        <v>1268</v>
      </c>
      <c r="D2041" s="716">
        <v>1</v>
      </c>
      <c r="E2041" s="4" t="s">
        <v>5</v>
      </c>
      <c r="F2041" s="47">
        <f t="shared" ref="F2041:I2041" si="669">G2041</f>
        <v>0</v>
      </c>
      <c r="G2041" s="47">
        <f t="shared" si="669"/>
        <v>0</v>
      </c>
      <c r="H2041" s="47">
        <f t="shared" si="669"/>
        <v>0</v>
      </c>
      <c r="I2041" s="47">
        <f t="shared" si="669"/>
        <v>0</v>
      </c>
      <c r="J2041" s="47">
        <f t="shared" si="641"/>
        <v>0</v>
      </c>
      <c r="K2041" s="47">
        <v>0</v>
      </c>
      <c r="L2041" s="47">
        <v>0</v>
      </c>
      <c r="M2041" s="893"/>
      <c r="N2041" s="20"/>
      <c r="O2041" s="20"/>
      <c r="P2041" s="20"/>
      <c r="Q2041" s="20"/>
      <c r="R2041" s="20"/>
    </row>
    <row r="2042" spans="1:18" s="103" customFormat="1" hidden="1" outlineLevel="1" x14ac:dyDescent="0.2">
      <c r="A2042" s="22" t="s">
        <v>1545</v>
      </c>
      <c r="B2042" s="2" t="s">
        <v>252</v>
      </c>
      <c r="C2042" s="2" t="s">
        <v>1268</v>
      </c>
      <c r="D2042" s="716">
        <v>1</v>
      </c>
      <c r="E2042" s="4" t="s">
        <v>6</v>
      </c>
      <c r="F2042" s="47">
        <f t="shared" ref="F2042:I2042" si="670">G2042</f>
        <v>0</v>
      </c>
      <c r="G2042" s="47">
        <f t="shared" si="670"/>
        <v>0</v>
      </c>
      <c r="H2042" s="47">
        <f t="shared" si="670"/>
        <v>0</v>
      </c>
      <c r="I2042" s="47">
        <f t="shared" si="670"/>
        <v>0</v>
      </c>
      <c r="J2042" s="47">
        <f t="shared" si="641"/>
        <v>0</v>
      </c>
      <c r="K2042" s="47">
        <v>0</v>
      </c>
      <c r="L2042" s="47">
        <v>0</v>
      </c>
      <c r="M2042" s="893"/>
      <c r="N2042" s="20"/>
      <c r="O2042" s="20"/>
      <c r="P2042" s="20"/>
      <c r="Q2042" s="20"/>
      <c r="R2042" s="20"/>
    </row>
    <row r="2043" spans="1:18" s="103" customFormat="1" hidden="1" outlineLevel="1" x14ac:dyDescent="0.2">
      <c r="A2043" s="22" t="s">
        <v>1545</v>
      </c>
      <c r="B2043" s="2" t="s">
        <v>252</v>
      </c>
      <c r="C2043" s="2" t="s">
        <v>1268</v>
      </c>
      <c r="D2043" s="716">
        <v>1</v>
      </c>
      <c r="E2043" s="4" t="s">
        <v>143</v>
      </c>
      <c r="F2043" s="47">
        <f t="shared" ref="F2043:I2043" si="671">G2043</f>
        <v>0</v>
      </c>
      <c r="G2043" s="47">
        <f t="shared" si="671"/>
        <v>0</v>
      </c>
      <c r="H2043" s="47">
        <f t="shared" si="671"/>
        <v>0</v>
      </c>
      <c r="I2043" s="47">
        <f t="shared" si="671"/>
        <v>0</v>
      </c>
      <c r="J2043" s="47">
        <f t="shared" si="641"/>
        <v>0</v>
      </c>
      <c r="K2043" s="47">
        <v>0</v>
      </c>
      <c r="L2043" s="47">
        <v>0</v>
      </c>
      <c r="M2043" s="893"/>
      <c r="N2043" s="20"/>
      <c r="O2043" s="20"/>
      <c r="P2043" s="20"/>
      <c r="Q2043" s="20"/>
      <c r="R2043" s="20"/>
    </row>
    <row r="2044" spans="1:18" s="103" customFormat="1" hidden="1" outlineLevel="1" x14ac:dyDescent="0.2">
      <c r="A2044" s="22" t="s">
        <v>1545</v>
      </c>
      <c r="B2044" s="2" t="s">
        <v>252</v>
      </c>
      <c r="C2044" s="2" t="s">
        <v>1268</v>
      </c>
      <c r="D2044" s="716">
        <v>1</v>
      </c>
      <c r="E2044" s="4" t="s">
        <v>7</v>
      </c>
      <c r="F2044" s="47">
        <f t="shared" ref="F2044:I2044" si="672">G2044</f>
        <v>0</v>
      </c>
      <c r="G2044" s="47">
        <f t="shared" si="672"/>
        <v>0</v>
      </c>
      <c r="H2044" s="47">
        <f t="shared" si="672"/>
        <v>0</v>
      </c>
      <c r="I2044" s="47">
        <f t="shared" si="672"/>
        <v>0</v>
      </c>
      <c r="J2044" s="47">
        <f t="shared" si="641"/>
        <v>0</v>
      </c>
      <c r="K2044" s="47">
        <v>0</v>
      </c>
      <c r="L2044" s="47">
        <v>0</v>
      </c>
      <c r="M2044" s="893"/>
      <c r="N2044" s="20"/>
      <c r="O2044" s="20"/>
      <c r="P2044" s="20"/>
      <c r="Q2044" s="20"/>
      <c r="R2044" s="20"/>
    </row>
    <row r="2045" spans="1:18" s="103" customFormat="1" hidden="1" outlineLevel="1" x14ac:dyDescent="0.2">
      <c r="A2045" s="22" t="s">
        <v>1545</v>
      </c>
      <c r="B2045" s="2" t="s">
        <v>252</v>
      </c>
      <c r="C2045" s="2" t="s">
        <v>1268</v>
      </c>
      <c r="D2045" s="716">
        <v>1</v>
      </c>
      <c r="E2045" s="4" t="s">
        <v>31</v>
      </c>
      <c r="F2045" s="47">
        <f t="shared" ref="F2045:I2045" si="673">G2045</f>
        <v>1</v>
      </c>
      <c r="G2045" s="47">
        <f t="shared" si="673"/>
        <v>1</v>
      </c>
      <c r="H2045" s="47">
        <f t="shared" si="673"/>
        <v>1</v>
      </c>
      <c r="I2045" s="47">
        <f t="shared" si="673"/>
        <v>1</v>
      </c>
      <c r="J2045" s="47">
        <f t="shared" si="641"/>
        <v>1</v>
      </c>
      <c r="K2045" s="47">
        <v>1</v>
      </c>
      <c r="L2045" s="47">
        <v>1</v>
      </c>
      <c r="M2045" s="893"/>
      <c r="N2045" s="20"/>
      <c r="O2045" s="20"/>
      <c r="P2045" s="20"/>
      <c r="Q2045" s="20"/>
      <c r="R2045" s="20"/>
    </row>
    <row r="2046" spans="1:18" s="103" customFormat="1" hidden="1" outlineLevel="1" x14ac:dyDescent="0.2">
      <c r="A2046" s="22" t="s">
        <v>1545</v>
      </c>
      <c r="B2046" s="2" t="s">
        <v>252</v>
      </c>
      <c r="C2046" s="2" t="s">
        <v>1268</v>
      </c>
      <c r="D2046" s="716">
        <v>1</v>
      </c>
      <c r="E2046" s="4" t="s">
        <v>8</v>
      </c>
      <c r="F2046" s="47">
        <f t="shared" ref="F2046:I2046" si="674">G2046</f>
        <v>0</v>
      </c>
      <c r="G2046" s="47">
        <f t="shared" si="674"/>
        <v>0</v>
      </c>
      <c r="H2046" s="47">
        <f t="shared" si="674"/>
        <v>0</v>
      </c>
      <c r="I2046" s="47">
        <f t="shared" si="674"/>
        <v>0</v>
      </c>
      <c r="J2046" s="47">
        <f t="shared" si="641"/>
        <v>0</v>
      </c>
      <c r="K2046" s="47">
        <v>0</v>
      </c>
      <c r="L2046" s="47">
        <v>0</v>
      </c>
      <c r="M2046" s="893"/>
      <c r="N2046" s="20"/>
      <c r="O2046" s="20"/>
      <c r="P2046" s="20"/>
      <c r="Q2046" s="20"/>
      <c r="R2046" s="20"/>
    </row>
    <row r="2047" spans="1:18" s="103" customFormat="1" hidden="1" outlineLevel="1" x14ac:dyDescent="0.2">
      <c r="A2047" s="22" t="s">
        <v>1545</v>
      </c>
      <c r="B2047" s="2" t="s">
        <v>252</v>
      </c>
      <c r="C2047" s="2" t="s">
        <v>1268</v>
      </c>
      <c r="D2047" s="716">
        <v>1</v>
      </c>
      <c r="E2047" s="4" t="s">
        <v>9</v>
      </c>
      <c r="F2047" s="47">
        <f t="shared" ref="F2047:I2047" si="675">G2047</f>
        <v>0</v>
      </c>
      <c r="G2047" s="47">
        <f t="shared" si="675"/>
        <v>0</v>
      </c>
      <c r="H2047" s="47">
        <f t="shared" si="675"/>
        <v>0</v>
      </c>
      <c r="I2047" s="47">
        <f t="shared" si="675"/>
        <v>0</v>
      </c>
      <c r="J2047" s="47">
        <f t="shared" si="641"/>
        <v>0</v>
      </c>
      <c r="K2047" s="47">
        <v>0</v>
      </c>
      <c r="L2047" s="47">
        <v>0</v>
      </c>
      <c r="M2047" s="893"/>
      <c r="N2047" s="20"/>
      <c r="O2047" s="20"/>
      <c r="P2047" s="20"/>
      <c r="Q2047" s="20"/>
      <c r="R2047" s="20"/>
    </row>
    <row r="2048" spans="1:18" s="103" customFormat="1" hidden="1" outlineLevel="1" x14ac:dyDescent="0.2">
      <c r="A2048" s="22" t="s">
        <v>1545</v>
      </c>
      <c r="B2048" s="2" t="s">
        <v>252</v>
      </c>
      <c r="C2048" s="2" t="s">
        <v>1268</v>
      </c>
      <c r="D2048" s="716">
        <v>1</v>
      </c>
      <c r="E2048" s="4" t="s">
        <v>10</v>
      </c>
      <c r="F2048" s="47">
        <f t="shared" ref="F2048:I2048" si="676">G2048</f>
        <v>0</v>
      </c>
      <c r="G2048" s="47">
        <f t="shared" si="676"/>
        <v>0</v>
      </c>
      <c r="H2048" s="47">
        <f t="shared" si="676"/>
        <v>0</v>
      </c>
      <c r="I2048" s="47">
        <f t="shared" si="676"/>
        <v>0</v>
      </c>
      <c r="J2048" s="47">
        <f t="shared" si="641"/>
        <v>0</v>
      </c>
      <c r="K2048" s="47">
        <v>0</v>
      </c>
      <c r="L2048" s="47">
        <v>0</v>
      </c>
      <c r="M2048" s="893"/>
      <c r="N2048" s="20"/>
      <c r="O2048" s="20"/>
      <c r="P2048" s="20"/>
      <c r="Q2048" s="20"/>
      <c r="R2048" s="20"/>
    </row>
    <row r="2049" spans="1:18" s="103" customFormat="1" hidden="1" outlineLevel="1" x14ac:dyDescent="0.2">
      <c r="A2049" s="22" t="s">
        <v>1545</v>
      </c>
      <c r="B2049" s="2" t="s">
        <v>252</v>
      </c>
      <c r="C2049" s="2" t="s">
        <v>1268</v>
      </c>
      <c r="D2049" s="716">
        <v>1</v>
      </c>
      <c r="E2049" s="4" t="s">
        <v>11</v>
      </c>
      <c r="F2049" s="47">
        <f t="shared" ref="F2049:I2049" si="677">G2049</f>
        <v>0</v>
      </c>
      <c r="G2049" s="47">
        <f t="shared" si="677"/>
        <v>0</v>
      </c>
      <c r="H2049" s="47">
        <f t="shared" si="677"/>
        <v>0</v>
      </c>
      <c r="I2049" s="47">
        <f t="shared" si="677"/>
        <v>0</v>
      </c>
      <c r="J2049" s="47">
        <f t="shared" si="641"/>
        <v>0</v>
      </c>
      <c r="K2049" s="47">
        <v>0</v>
      </c>
      <c r="L2049" s="47">
        <v>0</v>
      </c>
      <c r="M2049" s="893"/>
      <c r="N2049" s="20"/>
      <c r="O2049" s="20"/>
      <c r="P2049" s="20"/>
      <c r="Q2049" s="20"/>
      <c r="R2049" s="20"/>
    </row>
    <row r="2050" spans="1:18" s="103" customFormat="1" hidden="1" outlineLevel="1" x14ac:dyDescent="0.2">
      <c r="A2050" s="22" t="s">
        <v>1545</v>
      </c>
      <c r="B2050" s="2" t="s">
        <v>252</v>
      </c>
      <c r="C2050" s="2" t="s">
        <v>1268</v>
      </c>
      <c r="D2050" s="716">
        <v>1</v>
      </c>
      <c r="E2050" s="4" t="s">
        <v>12</v>
      </c>
      <c r="F2050" s="47">
        <f t="shared" ref="F2050:I2050" si="678">G2050</f>
        <v>1</v>
      </c>
      <c r="G2050" s="47">
        <f t="shared" si="678"/>
        <v>1</v>
      </c>
      <c r="H2050" s="47">
        <f t="shared" si="678"/>
        <v>1</v>
      </c>
      <c r="I2050" s="47">
        <f t="shared" si="678"/>
        <v>1</v>
      </c>
      <c r="J2050" s="47">
        <f t="shared" si="641"/>
        <v>1</v>
      </c>
      <c r="K2050" s="47">
        <v>1</v>
      </c>
      <c r="L2050" s="47">
        <v>1</v>
      </c>
      <c r="M2050" s="893"/>
      <c r="N2050" s="20"/>
      <c r="O2050" s="20"/>
      <c r="P2050" s="20"/>
      <c r="Q2050" s="20"/>
      <c r="R2050" s="20"/>
    </row>
    <row r="2051" spans="1:18" s="103" customFormat="1" hidden="1" outlineLevel="1" x14ac:dyDescent="0.2">
      <c r="A2051" s="22" t="s">
        <v>1545</v>
      </c>
      <c r="B2051" s="2" t="s">
        <v>252</v>
      </c>
      <c r="C2051" s="2" t="s">
        <v>1268</v>
      </c>
      <c r="D2051" s="716">
        <v>1</v>
      </c>
      <c r="E2051" s="4" t="s">
        <v>1</v>
      </c>
      <c r="F2051" s="47">
        <f t="shared" ref="F2051:I2051" si="679">G2051</f>
        <v>0</v>
      </c>
      <c r="G2051" s="47">
        <f t="shared" si="679"/>
        <v>0</v>
      </c>
      <c r="H2051" s="47">
        <f t="shared" si="679"/>
        <v>0</v>
      </c>
      <c r="I2051" s="47">
        <f t="shared" si="679"/>
        <v>0</v>
      </c>
      <c r="J2051" s="47">
        <f t="shared" si="641"/>
        <v>0</v>
      </c>
      <c r="K2051" s="47">
        <v>0</v>
      </c>
      <c r="L2051" s="47">
        <v>0</v>
      </c>
      <c r="M2051" s="893"/>
      <c r="N2051" s="20"/>
      <c r="O2051" s="20"/>
      <c r="P2051" s="20"/>
      <c r="Q2051" s="20"/>
      <c r="R2051" s="20"/>
    </row>
    <row r="2052" spans="1:18" s="103" customFormat="1" hidden="1" outlineLevel="1" x14ac:dyDescent="0.2">
      <c r="A2052" s="22" t="s">
        <v>1545</v>
      </c>
      <c r="B2052" s="2" t="s">
        <v>252</v>
      </c>
      <c r="C2052" s="2" t="s">
        <v>1268</v>
      </c>
      <c r="D2052" s="716">
        <v>1</v>
      </c>
      <c r="E2052" s="4" t="s">
        <v>13</v>
      </c>
      <c r="F2052" s="47">
        <f t="shared" ref="F2052:I2052" si="680">G2052</f>
        <v>0</v>
      </c>
      <c r="G2052" s="47">
        <f t="shared" si="680"/>
        <v>0</v>
      </c>
      <c r="H2052" s="47">
        <f t="shared" si="680"/>
        <v>0</v>
      </c>
      <c r="I2052" s="47">
        <f t="shared" si="680"/>
        <v>0</v>
      </c>
      <c r="J2052" s="47">
        <f t="shared" si="641"/>
        <v>0</v>
      </c>
      <c r="K2052" s="47">
        <v>0</v>
      </c>
      <c r="L2052" s="47">
        <v>0</v>
      </c>
      <c r="M2052" s="893"/>
      <c r="N2052" s="20"/>
      <c r="O2052" s="20"/>
      <c r="P2052" s="20"/>
      <c r="Q2052" s="20"/>
      <c r="R2052" s="20"/>
    </row>
    <row r="2053" spans="1:18" s="103" customFormat="1" hidden="1" outlineLevel="1" x14ac:dyDescent="0.2">
      <c r="A2053" s="22" t="s">
        <v>1545</v>
      </c>
      <c r="B2053" s="2" t="s">
        <v>252</v>
      </c>
      <c r="C2053" s="2" t="s">
        <v>1268</v>
      </c>
      <c r="D2053" s="716">
        <v>1</v>
      </c>
      <c r="E2053" s="4" t="s">
        <v>14</v>
      </c>
      <c r="F2053" s="47">
        <f t="shared" ref="F2053:I2053" si="681">G2053</f>
        <v>0</v>
      </c>
      <c r="G2053" s="47">
        <f t="shared" si="681"/>
        <v>0</v>
      </c>
      <c r="H2053" s="47">
        <f t="shared" si="681"/>
        <v>0</v>
      </c>
      <c r="I2053" s="47">
        <f t="shared" si="681"/>
        <v>0</v>
      </c>
      <c r="J2053" s="47">
        <f t="shared" si="641"/>
        <v>0</v>
      </c>
      <c r="K2053" s="47">
        <v>0</v>
      </c>
      <c r="L2053" s="47">
        <v>0</v>
      </c>
      <c r="M2053" s="893"/>
      <c r="N2053" s="20"/>
      <c r="O2053" s="20"/>
      <c r="P2053" s="20"/>
      <c r="Q2053" s="20"/>
      <c r="R2053" s="20"/>
    </row>
    <row r="2054" spans="1:18" s="103" customFormat="1" hidden="1" outlineLevel="1" x14ac:dyDescent="0.2">
      <c r="A2054" s="22" t="s">
        <v>1545</v>
      </c>
      <c r="B2054" s="2" t="s">
        <v>252</v>
      </c>
      <c r="C2054" s="2" t="s">
        <v>1268</v>
      </c>
      <c r="D2054" s="716">
        <v>1</v>
      </c>
      <c r="E2054" s="4" t="s">
        <v>15</v>
      </c>
      <c r="F2054" s="47">
        <f t="shared" ref="F2054:I2054" si="682">G2054</f>
        <v>0</v>
      </c>
      <c r="G2054" s="47">
        <f t="shared" si="682"/>
        <v>0</v>
      </c>
      <c r="H2054" s="47">
        <f t="shared" si="682"/>
        <v>0</v>
      </c>
      <c r="I2054" s="47">
        <f t="shared" si="682"/>
        <v>0</v>
      </c>
      <c r="J2054" s="47">
        <f t="shared" si="641"/>
        <v>0</v>
      </c>
      <c r="K2054" s="47">
        <v>0</v>
      </c>
      <c r="L2054" s="47">
        <v>0</v>
      </c>
      <c r="M2054" s="893"/>
      <c r="N2054" s="20"/>
      <c r="O2054" s="20"/>
      <c r="P2054" s="20"/>
      <c r="Q2054" s="20"/>
      <c r="R2054" s="20"/>
    </row>
    <row r="2055" spans="1:18" s="103" customFormat="1" hidden="1" outlineLevel="1" x14ac:dyDescent="0.2">
      <c r="A2055" s="22" t="s">
        <v>1545</v>
      </c>
      <c r="B2055" s="2" t="s">
        <v>252</v>
      </c>
      <c r="C2055" s="2" t="s">
        <v>1268</v>
      </c>
      <c r="D2055" s="716">
        <v>1</v>
      </c>
      <c r="E2055" s="4" t="s">
        <v>16</v>
      </c>
      <c r="F2055" s="47">
        <f t="shared" ref="F2055:I2055" si="683">G2055</f>
        <v>0</v>
      </c>
      <c r="G2055" s="47">
        <f t="shared" si="683"/>
        <v>0</v>
      </c>
      <c r="H2055" s="47">
        <f t="shared" si="683"/>
        <v>0</v>
      </c>
      <c r="I2055" s="47">
        <f t="shared" si="683"/>
        <v>0</v>
      </c>
      <c r="J2055" s="47">
        <f t="shared" si="641"/>
        <v>0</v>
      </c>
      <c r="K2055" s="47">
        <v>0</v>
      </c>
      <c r="L2055" s="47">
        <v>0</v>
      </c>
      <c r="M2055" s="893"/>
      <c r="N2055" s="20"/>
      <c r="O2055" s="20"/>
      <c r="P2055" s="20"/>
      <c r="Q2055" s="20"/>
      <c r="R2055" s="20"/>
    </row>
    <row r="2056" spans="1:18" s="103" customFormat="1" hidden="1" outlineLevel="1" x14ac:dyDescent="0.2">
      <c r="A2056" s="22" t="s">
        <v>1545</v>
      </c>
      <c r="B2056" s="2" t="s">
        <v>252</v>
      </c>
      <c r="C2056" s="2" t="s">
        <v>1268</v>
      </c>
      <c r="D2056" s="716">
        <v>1</v>
      </c>
      <c r="E2056" s="4" t="s">
        <v>17</v>
      </c>
      <c r="F2056" s="47">
        <f t="shared" ref="F2056:I2056" si="684">G2056</f>
        <v>0</v>
      </c>
      <c r="G2056" s="47">
        <f t="shared" si="684"/>
        <v>0</v>
      </c>
      <c r="H2056" s="47">
        <f t="shared" si="684"/>
        <v>0</v>
      </c>
      <c r="I2056" s="47">
        <f t="shared" si="684"/>
        <v>0</v>
      </c>
      <c r="J2056" s="47">
        <f t="shared" si="641"/>
        <v>0</v>
      </c>
      <c r="K2056" s="47">
        <v>0</v>
      </c>
      <c r="L2056" s="47">
        <v>0</v>
      </c>
      <c r="M2056" s="893"/>
      <c r="N2056" s="20"/>
      <c r="O2056" s="20"/>
      <c r="P2056" s="20"/>
      <c r="Q2056" s="20"/>
      <c r="R2056" s="20"/>
    </row>
    <row r="2057" spans="1:18" s="103" customFormat="1" hidden="1" outlineLevel="1" x14ac:dyDescent="0.2">
      <c r="A2057" s="22" t="s">
        <v>1545</v>
      </c>
      <c r="B2057" s="2" t="s">
        <v>252</v>
      </c>
      <c r="C2057" s="2" t="s">
        <v>1268</v>
      </c>
      <c r="D2057" s="716">
        <v>1</v>
      </c>
      <c r="E2057" s="4" t="s">
        <v>18</v>
      </c>
      <c r="F2057" s="47">
        <f t="shared" ref="F2057:I2057" si="685">G2057</f>
        <v>0</v>
      </c>
      <c r="G2057" s="47">
        <f t="shared" si="685"/>
        <v>0</v>
      </c>
      <c r="H2057" s="47">
        <f t="shared" si="685"/>
        <v>0</v>
      </c>
      <c r="I2057" s="47">
        <f t="shared" si="685"/>
        <v>0</v>
      </c>
      <c r="J2057" s="47">
        <f t="shared" si="641"/>
        <v>0</v>
      </c>
      <c r="K2057" s="47">
        <v>0</v>
      </c>
      <c r="L2057" s="47">
        <v>0</v>
      </c>
      <c r="M2057" s="893"/>
      <c r="N2057" s="20"/>
      <c r="O2057" s="20"/>
      <c r="P2057" s="20"/>
      <c r="Q2057" s="20"/>
      <c r="R2057" s="20"/>
    </row>
    <row r="2058" spans="1:18" s="103" customFormat="1" hidden="1" outlineLevel="1" x14ac:dyDescent="0.2">
      <c r="A2058" s="22" t="s">
        <v>1545</v>
      </c>
      <c r="B2058" s="2" t="s">
        <v>252</v>
      </c>
      <c r="C2058" s="2" t="s">
        <v>1268</v>
      </c>
      <c r="D2058" s="716">
        <v>1</v>
      </c>
      <c r="E2058" s="4" t="s">
        <v>2</v>
      </c>
      <c r="F2058" s="47">
        <f t="shared" ref="F2058:I2058" si="686">G2058</f>
        <v>0</v>
      </c>
      <c r="G2058" s="47">
        <f t="shared" si="686"/>
        <v>0</v>
      </c>
      <c r="H2058" s="47">
        <f t="shared" si="686"/>
        <v>0</v>
      </c>
      <c r="I2058" s="47">
        <f t="shared" si="686"/>
        <v>0</v>
      </c>
      <c r="J2058" s="47">
        <f t="shared" si="641"/>
        <v>0</v>
      </c>
      <c r="K2058" s="47">
        <v>0</v>
      </c>
      <c r="L2058" s="47">
        <v>0</v>
      </c>
      <c r="M2058" s="893"/>
      <c r="N2058" s="20"/>
      <c r="O2058" s="20"/>
      <c r="P2058" s="20"/>
      <c r="Q2058" s="20"/>
      <c r="R2058" s="20"/>
    </row>
    <row r="2059" spans="1:18" s="103" customFormat="1" hidden="1" outlineLevel="1" x14ac:dyDescent="0.2">
      <c r="A2059" s="22" t="s">
        <v>1545</v>
      </c>
      <c r="B2059" s="2" t="s">
        <v>252</v>
      </c>
      <c r="C2059" s="2" t="s">
        <v>1268</v>
      </c>
      <c r="D2059" s="716">
        <v>1</v>
      </c>
      <c r="E2059" s="4" t="s">
        <v>19</v>
      </c>
      <c r="F2059" s="47">
        <f t="shared" ref="F2059:I2059" si="687">G2059</f>
        <v>0</v>
      </c>
      <c r="G2059" s="47">
        <f t="shared" si="687"/>
        <v>0</v>
      </c>
      <c r="H2059" s="47">
        <f t="shared" si="687"/>
        <v>0</v>
      </c>
      <c r="I2059" s="47">
        <f t="shared" si="687"/>
        <v>0</v>
      </c>
      <c r="J2059" s="47">
        <f t="shared" si="641"/>
        <v>0</v>
      </c>
      <c r="K2059" s="47">
        <v>0</v>
      </c>
      <c r="L2059" s="47">
        <v>0</v>
      </c>
      <c r="M2059" s="893"/>
      <c r="N2059" s="20"/>
      <c r="O2059" s="20"/>
      <c r="P2059" s="20"/>
      <c r="Q2059" s="20"/>
      <c r="R2059" s="20"/>
    </row>
    <row r="2060" spans="1:18" s="103" customFormat="1" hidden="1" outlineLevel="1" x14ac:dyDescent="0.2">
      <c r="A2060" s="22" t="s">
        <v>1545</v>
      </c>
      <c r="B2060" s="2" t="s">
        <v>252</v>
      </c>
      <c r="C2060" s="2" t="s">
        <v>1268</v>
      </c>
      <c r="D2060" s="716">
        <v>1</v>
      </c>
      <c r="E2060" s="4" t="s">
        <v>3</v>
      </c>
      <c r="F2060" s="47">
        <f t="shared" ref="F2060:I2060" si="688">G2060</f>
        <v>1</v>
      </c>
      <c r="G2060" s="47">
        <f t="shared" si="688"/>
        <v>1</v>
      </c>
      <c r="H2060" s="47">
        <f t="shared" si="688"/>
        <v>1</v>
      </c>
      <c r="I2060" s="47">
        <f t="shared" si="688"/>
        <v>1</v>
      </c>
      <c r="J2060" s="47">
        <f t="shared" si="641"/>
        <v>1</v>
      </c>
      <c r="K2060" s="47">
        <v>1</v>
      </c>
      <c r="L2060" s="47">
        <v>1</v>
      </c>
      <c r="M2060" s="893"/>
      <c r="N2060" s="20"/>
      <c r="O2060" s="20"/>
      <c r="P2060" s="20"/>
      <c r="Q2060" s="20"/>
      <c r="R2060" s="20"/>
    </row>
    <row r="2061" spans="1:18" s="103" customFormat="1" hidden="1" outlineLevel="1" x14ac:dyDescent="0.2">
      <c r="A2061" s="22" t="s">
        <v>1545</v>
      </c>
      <c r="B2061" s="2" t="s">
        <v>252</v>
      </c>
      <c r="C2061" s="2" t="s">
        <v>1268</v>
      </c>
      <c r="D2061" s="716">
        <v>1</v>
      </c>
      <c r="E2061" s="4" t="s">
        <v>20</v>
      </c>
      <c r="F2061" s="47">
        <f t="shared" ref="F2061:I2061" si="689">G2061</f>
        <v>1</v>
      </c>
      <c r="G2061" s="47">
        <f t="shared" si="689"/>
        <v>1</v>
      </c>
      <c r="H2061" s="47">
        <f t="shared" si="689"/>
        <v>1</v>
      </c>
      <c r="I2061" s="47">
        <f t="shared" si="689"/>
        <v>1</v>
      </c>
      <c r="J2061" s="47">
        <f t="shared" si="641"/>
        <v>1</v>
      </c>
      <c r="K2061" s="47">
        <v>1</v>
      </c>
      <c r="L2061" s="47">
        <v>1</v>
      </c>
      <c r="M2061" s="893"/>
      <c r="N2061" s="20"/>
      <c r="O2061" s="20"/>
      <c r="P2061" s="20"/>
      <c r="Q2061" s="20"/>
      <c r="R2061" s="20"/>
    </row>
    <row r="2062" spans="1:18" s="103" customFormat="1" hidden="1" outlineLevel="1" x14ac:dyDescent="0.2">
      <c r="A2062" s="22" t="s">
        <v>1545</v>
      </c>
      <c r="B2062" s="2" t="s">
        <v>252</v>
      </c>
      <c r="C2062" s="2" t="s">
        <v>1268</v>
      </c>
      <c r="D2062" s="716">
        <v>1</v>
      </c>
      <c r="E2062" s="4" t="s">
        <v>21</v>
      </c>
      <c r="F2062" s="47">
        <f t="shared" ref="F2062:I2062" si="690">G2062</f>
        <v>0</v>
      </c>
      <c r="G2062" s="47">
        <f t="shared" si="690"/>
        <v>0</v>
      </c>
      <c r="H2062" s="47">
        <f t="shared" si="690"/>
        <v>0</v>
      </c>
      <c r="I2062" s="47">
        <f t="shared" si="690"/>
        <v>0</v>
      </c>
      <c r="J2062" s="47">
        <f t="shared" si="641"/>
        <v>0</v>
      </c>
      <c r="K2062" s="47">
        <v>0</v>
      </c>
      <c r="L2062" s="47">
        <v>0</v>
      </c>
      <c r="M2062" s="893"/>
      <c r="N2062" s="20"/>
      <c r="O2062" s="20"/>
      <c r="P2062" s="20"/>
      <c r="Q2062" s="20"/>
      <c r="R2062" s="20"/>
    </row>
    <row r="2063" spans="1:18" s="103" customFormat="1" hidden="1" outlineLevel="1" x14ac:dyDescent="0.2">
      <c r="A2063" s="22" t="s">
        <v>1545</v>
      </c>
      <c r="B2063" s="2" t="s">
        <v>252</v>
      </c>
      <c r="C2063" s="2" t="s">
        <v>1268</v>
      </c>
      <c r="D2063" s="716">
        <v>1</v>
      </c>
      <c r="E2063" s="4" t="s">
        <v>1096</v>
      </c>
      <c r="F2063" s="47">
        <f t="shared" ref="F2063:I2063" si="691">G2063</f>
        <v>1</v>
      </c>
      <c r="G2063" s="47">
        <f t="shared" si="691"/>
        <v>1</v>
      </c>
      <c r="H2063" s="47">
        <f t="shared" si="691"/>
        <v>1</v>
      </c>
      <c r="I2063" s="47">
        <f t="shared" si="691"/>
        <v>1</v>
      </c>
      <c r="J2063" s="47">
        <f t="shared" si="641"/>
        <v>1</v>
      </c>
      <c r="K2063" s="47">
        <v>1</v>
      </c>
      <c r="L2063" s="47">
        <v>1</v>
      </c>
      <c r="M2063" s="893"/>
      <c r="N2063" s="20"/>
      <c r="O2063" s="20"/>
      <c r="P2063" s="20"/>
      <c r="Q2063" s="20"/>
      <c r="R2063" s="20"/>
    </row>
    <row r="2064" spans="1:18" s="103" customFormat="1" hidden="1" outlineLevel="1" x14ac:dyDescent="0.2">
      <c r="A2064" s="22" t="s">
        <v>1545</v>
      </c>
      <c r="B2064" s="2" t="s">
        <v>252</v>
      </c>
      <c r="C2064" s="2" t="s">
        <v>1268</v>
      </c>
      <c r="D2064" s="716">
        <v>1</v>
      </c>
      <c r="E2064" s="4" t="s">
        <v>22</v>
      </c>
      <c r="F2064" s="47">
        <f t="shared" ref="F2064:I2064" si="692">G2064</f>
        <v>0</v>
      </c>
      <c r="G2064" s="47">
        <f t="shared" si="692"/>
        <v>0</v>
      </c>
      <c r="H2064" s="47">
        <f t="shared" si="692"/>
        <v>0</v>
      </c>
      <c r="I2064" s="47">
        <f t="shared" si="692"/>
        <v>0</v>
      </c>
      <c r="J2064" s="47">
        <f t="shared" si="641"/>
        <v>0</v>
      </c>
      <c r="K2064" s="47">
        <v>0</v>
      </c>
      <c r="L2064" s="47">
        <v>0</v>
      </c>
      <c r="M2064" s="893"/>
      <c r="N2064" s="20"/>
      <c r="O2064" s="20"/>
      <c r="P2064" s="20"/>
      <c r="Q2064" s="20"/>
      <c r="R2064" s="20"/>
    </row>
    <row r="2065" spans="1:18" s="103" customFormat="1" hidden="1" outlineLevel="1" x14ac:dyDescent="0.2">
      <c r="A2065" s="22" t="s">
        <v>1545</v>
      </c>
      <c r="B2065" s="2" t="s">
        <v>252</v>
      </c>
      <c r="C2065" s="2" t="s">
        <v>1268</v>
      </c>
      <c r="D2065" s="717">
        <v>1</v>
      </c>
      <c r="E2065" s="4" t="s">
        <v>23</v>
      </c>
      <c r="F2065" s="48">
        <f t="shared" ref="F2065:I2065" si="693">G2065</f>
        <v>0</v>
      </c>
      <c r="G2065" s="48">
        <f t="shared" si="693"/>
        <v>0</v>
      </c>
      <c r="H2065" s="48">
        <f t="shared" si="693"/>
        <v>0</v>
      </c>
      <c r="I2065" s="48">
        <f t="shared" si="693"/>
        <v>0</v>
      </c>
      <c r="J2065" s="48">
        <f t="shared" si="641"/>
        <v>0</v>
      </c>
      <c r="K2065" s="363">
        <v>0</v>
      </c>
      <c r="L2065" s="363">
        <v>0</v>
      </c>
      <c r="M2065" s="920"/>
      <c r="N2065" s="20"/>
      <c r="O2065" s="20"/>
      <c r="P2065" s="20"/>
      <c r="Q2065" s="20"/>
      <c r="R2065" s="20"/>
    </row>
    <row r="2066" spans="1:18" s="103" customFormat="1" hidden="1" outlineLevel="1" x14ac:dyDescent="0.2">
      <c r="A2066" s="92" t="s">
        <v>1545</v>
      </c>
      <c r="B2066" s="81" t="s">
        <v>252</v>
      </c>
      <c r="C2066" s="81" t="s">
        <v>1269</v>
      </c>
      <c r="D2066" s="715">
        <v>1</v>
      </c>
      <c r="E2066" s="468" t="s">
        <v>4</v>
      </c>
      <c r="F2066" s="380">
        <f t="shared" ref="F2066:I2066" si="694">G2066</f>
        <v>1</v>
      </c>
      <c r="G2066" s="89">
        <f t="shared" si="694"/>
        <v>1</v>
      </c>
      <c r="H2066" s="89">
        <f t="shared" si="694"/>
        <v>1</v>
      </c>
      <c r="I2066" s="89">
        <f t="shared" si="694"/>
        <v>1</v>
      </c>
      <c r="J2066" s="89">
        <f t="shared" si="641"/>
        <v>1</v>
      </c>
      <c r="K2066" s="380">
        <v>1</v>
      </c>
      <c r="L2066" s="380">
        <v>1</v>
      </c>
      <c r="M2066" s="892"/>
      <c r="N2066" s="20"/>
      <c r="O2066" s="20"/>
      <c r="P2066" s="20"/>
      <c r="Q2066" s="20"/>
      <c r="R2066" s="20"/>
    </row>
    <row r="2067" spans="1:18" s="103" customFormat="1" hidden="1" outlineLevel="1" x14ac:dyDescent="0.2">
      <c r="A2067" s="22" t="s">
        <v>1545</v>
      </c>
      <c r="B2067" s="2" t="s">
        <v>252</v>
      </c>
      <c r="C2067" s="2" t="s">
        <v>1269</v>
      </c>
      <c r="D2067" s="716">
        <v>1</v>
      </c>
      <c r="E2067" s="4" t="s">
        <v>5</v>
      </c>
      <c r="F2067" s="47">
        <f t="shared" ref="F2067:I2067" si="695">G2067</f>
        <v>0</v>
      </c>
      <c r="G2067" s="47">
        <f t="shared" si="695"/>
        <v>0</v>
      </c>
      <c r="H2067" s="47">
        <f t="shared" si="695"/>
        <v>0</v>
      </c>
      <c r="I2067" s="47">
        <f t="shared" si="695"/>
        <v>0</v>
      </c>
      <c r="J2067" s="47">
        <f t="shared" si="641"/>
        <v>0</v>
      </c>
      <c r="K2067" s="47">
        <v>0</v>
      </c>
      <c r="L2067" s="47">
        <v>1</v>
      </c>
      <c r="M2067" s="893"/>
      <c r="N2067" s="20"/>
      <c r="O2067" s="20"/>
      <c r="P2067" s="20"/>
      <c r="Q2067" s="20"/>
      <c r="R2067" s="20"/>
    </row>
    <row r="2068" spans="1:18" s="103" customFormat="1" hidden="1" outlineLevel="1" x14ac:dyDescent="0.2">
      <c r="A2068" s="22" t="s">
        <v>1545</v>
      </c>
      <c r="B2068" s="2" t="s">
        <v>252</v>
      </c>
      <c r="C2068" s="2" t="s">
        <v>1269</v>
      </c>
      <c r="D2068" s="716">
        <v>1</v>
      </c>
      <c r="E2068" s="4" t="s">
        <v>6</v>
      </c>
      <c r="F2068" s="47">
        <f t="shared" ref="F2068:I2068" si="696">G2068</f>
        <v>0</v>
      </c>
      <c r="G2068" s="47">
        <f t="shared" si="696"/>
        <v>0</v>
      </c>
      <c r="H2068" s="47">
        <f t="shared" si="696"/>
        <v>0</v>
      </c>
      <c r="I2068" s="47">
        <f t="shared" si="696"/>
        <v>0</v>
      </c>
      <c r="J2068" s="47">
        <f t="shared" si="641"/>
        <v>0</v>
      </c>
      <c r="K2068" s="47">
        <v>0</v>
      </c>
      <c r="L2068" s="47">
        <v>0</v>
      </c>
      <c r="M2068" s="893"/>
      <c r="N2068" s="20"/>
      <c r="O2068" s="20"/>
      <c r="P2068" s="20"/>
      <c r="Q2068" s="20"/>
      <c r="R2068" s="20"/>
    </row>
    <row r="2069" spans="1:18" s="103" customFormat="1" hidden="1" outlineLevel="1" x14ac:dyDescent="0.2">
      <c r="A2069" s="22" t="s">
        <v>1545</v>
      </c>
      <c r="B2069" s="2" t="s">
        <v>252</v>
      </c>
      <c r="C2069" s="2" t="s">
        <v>1269</v>
      </c>
      <c r="D2069" s="716">
        <v>1</v>
      </c>
      <c r="E2069" s="4" t="s">
        <v>143</v>
      </c>
      <c r="F2069" s="47">
        <f t="shared" ref="F2069:I2069" si="697">G2069</f>
        <v>0</v>
      </c>
      <c r="G2069" s="47">
        <f t="shared" si="697"/>
        <v>0</v>
      </c>
      <c r="H2069" s="47">
        <f t="shared" si="697"/>
        <v>0</v>
      </c>
      <c r="I2069" s="47">
        <f t="shared" si="697"/>
        <v>0</v>
      </c>
      <c r="J2069" s="47">
        <f t="shared" si="641"/>
        <v>0</v>
      </c>
      <c r="K2069" s="47">
        <v>0</v>
      </c>
      <c r="L2069" s="47">
        <v>0</v>
      </c>
      <c r="M2069" s="893"/>
      <c r="N2069" s="20"/>
      <c r="O2069" s="20"/>
      <c r="P2069" s="20"/>
      <c r="Q2069" s="20"/>
      <c r="R2069" s="20"/>
    </row>
    <row r="2070" spans="1:18" s="103" customFormat="1" hidden="1" outlineLevel="1" x14ac:dyDescent="0.2">
      <c r="A2070" s="22" t="s">
        <v>1545</v>
      </c>
      <c r="B2070" s="2" t="s">
        <v>252</v>
      </c>
      <c r="C2070" s="2" t="s">
        <v>1269</v>
      </c>
      <c r="D2070" s="716">
        <v>1</v>
      </c>
      <c r="E2070" s="4" t="s">
        <v>7</v>
      </c>
      <c r="F2070" s="47">
        <f t="shared" ref="F2070:I2070" si="698">G2070</f>
        <v>0</v>
      </c>
      <c r="G2070" s="47">
        <f t="shared" si="698"/>
        <v>0</v>
      </c>
      <c r="H2070" s="47">
        <f t="shared" si="698"/>
        <v>0</v>
      </c>
      <c r="I2070" s="47">
        <f t="shared" si="698"/>
        <v>0</v>
      </c>
      <c r="J2070" s="47">
        <f t="shared" si="641"/>
        <v>0</v>
      </c>
      <c r="K2070" s="47">
        <v>0</v>
      </c>
      <c r="L2070" s="47">
        <v>0</v>
      </c>
      <c r="M2070" s="893"/>
      <c r="N2070" s="20"/>
      <c r="O2070" s="20"/>
      <c r="P2070" s="20"/>
      <c r="Q2070" s="20"/>
      <c r="R2070" s="20"/>
    </row>
    <row r="2071" spans="1:18" s="103" customFormat="1" hidden="1" outlineLevel="1" x14ac:dyDescent="0.2">
      <c r="A2071" s="22" t="s">
        <v>1545</v>
      </c>
      <c r="B2071" s="2" t="s">
        <v>252</v>
      </c>
      <c r="C2071" s="2" t="s">
        <v>1269</v>
      </c>
      <c r="D2071" s="716">
        <v>1</v>
      </c>
      <c r="E2071" s="4" t="s">
        <v>31</v>
      </c>
      <c r="F2071" s="47">
        <f t="shared" ref="F2071:I2071" si="699">G2071</f>
        <v>1</v>
      </c>
      <c r="G2071" s="47">
        <f t="shared" si="699"/>
        <v>1</v>
      </c>
      <c r="H2071" s="47">
        <f t="shared" si="699"/>
        <v>1</v>
      </c>
      <c r="I2071" s="47">
        <f t="shared" si="699"/>
        <v>1</v>
      </c>
      <c r="J2071" s="47">
        <f t="shared" si="641"/>
        <v>1</v>
      </c>
      <c r="K2071" s="47">
        <v>1</v>
      </c>
      <c r="L2071" s="47">
        <v>1</v>
      </c>
      <c r="M2071" s="893"/>
      <c r="N2071" s="20"/>
      <c r="O2071" s="20"/>
      <c r="P2071" s="20"/>
      <c r="Q2071" s="20"/>
      <c r="R2071" s="20"/>
    </row>
    <row r="2072" spans="1:18" s="103" customFormat="1" hidden="1" outlineLevel="1" x14ac:dyDescent="0.2">
      <c r="A2072" s="22" t="s">
        <v>1545</v>
      </c>
      <c r="B2072" s="2" t="s">
        <v>252</v>
      </c>
      <c r="C2072" s="2" t="s">
        <v>1269</v>
      </c>
      <c r="D2072" s="716">
        <v>1</v>
      </c>
      <c r="E2072" s="4" t="s">
        <v>8</v>
      </c>
      <c r="F2072" s="47">
        <f t="shared" ref="F2072:I2072" si="700">G2072</f>
        <v>0</v>
      </c>
      <c r="G2072" s="47">
        <f t="shared" si="700"/>
        <v>0</v>
      </c>
      <c r="H2072" s="47">
        <f t="shared" si="700"/>
        <v>0</v>
      </c>
      <c r="I2072" s="47">
        <f t="shared" si="700"/>
        <v>0</v>
      </c>
      <c r="J2072" s="47">
        <f t="shared" si="641"/>
        <v>0</v>
      </c>
      <c r="K2072" s="47">
        <v>0</v>
      </c>
      <c r="L2072" s="47">
        <v>1</v>
      </c>
      <c r="M2072" s="893"/>
      <c r="N2072" s="20"/>
      <c r="O2072" s="20"/>
      <c r="P2072" s="20"/>
      <c r="Q2072" s="20"/>
      <c r="R2072" s="20"/>
    </row>
    <row r="2073" spans="1:18" s="103" customFormat="1" hidden="1" outlineLevel="1" x14ac:dyDescent="0.2">
      <c r="A2073" s="22" t="s">
        <v>1545</v>
      </c>
      <c r="B2073" s="2" t="s">
        <v>252</v>
      </c>
      <c r="C2073" s="2" t="s">
        <v>1269</v>
      </c>
      <c r="D2073" s="716">
        <v>1</v>
      </c>
      <c r="E2073" s="4" t="s">
        <v>9</v>
      </c>
      <c r="F2073" s="47">
        <f t="shared" ref="F2073:I2073" si="701">G2073</f>
        <v>1</v>
      </c>
      <c r="G2073" s="47">
        <f t="shared" si="701"/>
        <v>1</v>
      </c>
      <c r="H2073" s="47">
        <f t="shared" si="701"/>
        <v>1</v>
      </c>
      <c r="I2073" s="47">
        <f t="shared" si="701"/>
        <v>1</v>
      </c>
      <c r="J2073" s="47">
        <f t="shared" si="641"/>
        <v>1</v>
      </c>
      <c r="K2073" s="47">
        <v>1</v>
      </c>
      <c r="L2073" s="47">
        <v>1</v>
      </c>
      <c r="M2073" s="893"/>
      <c r="N2073" s="20"/>
      <c r="O2073" s="20"/>
      <c r="P2073" s="20"/>
      <c r="Q2073" s="20"/>
      <c r="R2073" s="20"/>
    </row>
    <row r="2074" spans="1:18" s="103" customFormat="1" hidden="1" outlineLevel="1" x14ac:dyDescent="0.2">
      <c r="A2074" s="22" t="s">
        <v>1545</v>
      </c>
      <c r="B2074" s="2" t="s">
        <v>252</v>
      </c>
      <c r="C2074" s="2" t="s">
        <v>1269</v>
      </c>
      <c r="D2074" s="716">
        <v>1</v>
      </c>
      <c r="E2074" s="4" t="s">
        <v>10</v>
      </c>
      <c r="F2074" s="47">
        <f t="shared" ref="F2074:I2074" si="702">G2074</f>
        <v>1</v>
      </c>
      <c r="G2074" s="47">
        <f t="shared" si="702"/>
        <v>1</v>
      </c>
      <c r="H2074" s="47">
        <f t="shared" si="702"/>
        <v>1</v>
      </c>
      <c r="I2074" s="47">
        <f t="shared" si="702"/>
        <v>1</v>
      </c>
      <c r="J2074" s="47">
        <f t="shared" si="641"/>
        <v>1</v>
      </c>
      <c r="K2074" s="47">
        <v>1</v>
      </c>
      <c r="L2074" s="47">
        <v>1</v>
      </c>
      <c r="M2074" s="893"/>
      <c r="N2074" s="20"/>
      <c r="O2074" s="20"/>
      <c r="P2074" s="20"/>
      <c r="Q2074" s="20"/>
      <c r="R2074" s="20"/>
    </row>
    <row r="2075" spans="1:18" s="103" customFormat="1" hidden="1" outlineLevel="1" x14ac:dyDescent="0.2">
      <c r="A2075" s="22" t="s">
        <v>1545</v>
      </c>
      <c r="B2075" s="2" t="s">
        <v>252</v>
      </c>
      <c r="C2075" s="2" t="s">
        <v>1269</v>
      </c>
      <c r="D2075" s="716">
        <v>1</v>
      </c>
      <c r="E2075" s="4" t="s">
        <v>11</v>
      </c>
      <c r="F2075" s="47">
        <f t="shared" ref="F2075:I2075" si="703">G2075</f>
        <v>1</v>
      </c>
      <c r="G2075" s="47">
        <f t="shared" si="703"/>
        <v>1</v>
      </c>
      <c r="H2075" s="47">
        <f t="shared" si="703"/>
        <v>1</v>
      </c>
      <c r="I2075" s="47">
        <f t="shared" si="703"/>
        <v>1</v>
      </c>
      <c r="J2075" s="47">
        <f t="shared" si="641"/>
        <v>1</v>
      </c>
      <c r="K2075" s="47">
        <v>1</v>
      </c>
      <c r="L2075" s="47">
        <v>1</v>
      </c>
      <c r="M2075" s="893"/>
      <c r="N2075" s="20"/>
      <c r="O2075" s="20"/>
      <c r="P2075" s="20"/>
      <c r="Q2075" s="20"/>
      <c r="R2075" s="20"/>
    </row>
    <row r="2076" spans="1:18" s="103" customFormat="1" hidden="1" outlineLevel="1" x14ac:dyDescent="0.2">
      <c r="A2076" s="22" t="s">
        <v>1545</v>
      </c>
      <c r="B2076" s="2" t="s">
        <v>252</v>
      </c>
      <c r="C2076" s="2" t="s">
        <v>1269</v>
      </c>
      <c r="D2076" s="716">
        <v>1</v>
      </c>
      <c r="E2076" s="4" t="s">
        <v>12</v>
      </c>
      <c r="F2076" s="47">
        <f t="shared" ref="F2076:I2076" si="704">G2076</f>
        <v>0</v>
      </c>
      <c r="G2076" s="47">
        <f t="shared" si="704"/>
        <v>0</v>
      </c>
      <c r="H2076" s="47">
        <f t="shared" si="704"/>
        <v>0</v>
      </c>
      <c r="I2076" s="47">
        <f t="shared" si="704"/>
        <v>0</v>
      </c>
      <c r="J2076" s="47">
        <f t="shared" si="641"/>
        <v>0</v>
      </c>
      <c r="K2076" s="47">
        <v>0</v>
      </c>
      <c r="L2076" s="47">
        <v>1</v>
      </c>
      <c r="M2076" s="893"/>
      <c r="N2076" s="20"/>
      <c r="O2076" s="20"/>
      <c r="P2076" s="20"/>
      <c r="Q2076" s="20"/>
      <c r="R2076" s="20"/>
    </row>
    <row r="2077" spans="1:18" s="103" customFormat="1" hidden="1" outlineLevel="1" x14ac:dyDescent="0.2">
      <c r="A2077" s="22" t="s">
        <v>1545</v>
      </c>
      <c r="B2077" s="2" t="s">
        <v>252</v>
      </c>
      <c r="C2077" s="2" t="s">
        <v>1269</v>
      </c>
      <c r="D2077" s="716">
        <v>1</v>
      </c>
      <c r="E2077" s="4" t="s">
        <v>1</v>
      </c>
      <c r="F2077" s="47">
        <f t="shared" ref="F2077:I2077" si="705">G2077</f>
        <v>1</v>
      </c>
      <c r="G2077" s="47">
        <f t="shared" si="705"/>
        <v>1</v>
      </c>
      <c r="H2077" s="47">
        <f t="shared" si="705"/>
        <v>1</v>
      </c>
      <c r="I2077" s="47">
        <f t="shared" si="705"/>
        <v>1</v>
      </c>
      <c r="J2077" s="47">
        <f t="shared" ref="J2077:J2140" si="706">K2077</f>
        <v>1</v>
      </c>
      <c r="K2077" s="47">
        <v>1</v>
      </c>
      <c r="L2077" s="47">
        <v>1</v>
      </c>
      <c r="M2077" s="893"/>
      <c r="N2077" s="20"/>
      <c r="O2077" s="20"/>
      <c r="P2077" s="20"/>
      <c r="Q2077" s="20"/>
      <c r="R2077" s="20"/>
    </row>
    <row r="2078" spans="1:18" s="103" customFormat="1" hidden="1" outlineLevel="1" x14ac:dyDescent="0.2">
      <c r="A2078" s="22" t="s">
        <v>1545</v>
      </c>
      <c r="B2078" s="2" t="s">
        <v>252</v>
      </c>
      <c r="C2078" s="2" t="s">
        <v>1269</v>
      </c>
      <c r="D2078" s="716">
        <v>1</v>
      </c>
      <c r="E2078" s="4" t="s">
        <v>13</v>
      </c>
      <c r="F2078" s="47">
        <f t="shared" ref="F2078:I2078" si="707">G2078</f>
        <v>1</v>
      </c>
      <c r="G2078" s="47">
        <f t="shared" si="707"/>
        <v>1</v>
      </c>
      <c r="H2078" s="47">
        <f t="shared" si="707"/>
        <v>1</v>
      </c>
      <c r="I2078" s="47">
        <f t="shared" si="707"/>
        <v>1</v>
      </c>
      <c r="J2078" s="47">
        <f t="shared" si="706"/>
        <v>1</v>
      </c>
      <c r="K2078" s="47">
        <v>1</v>
      </c>
      <c r="L2078" s="47">
        <v>1</v>
      </c>
      <c r="M2078" s="893"/>
      <c r="N2078" s="20"/>
      <c r="O2078" s="20"/>
      <c r="P2078" s="20"/>
      <c r="Q2078" s="20"/>
      <c r="R2078" s="20"/>
    </row>
    <row r="2079" spans="1:18" s="103" customFormat="1" hidden="1" outlineLevel="1" x14ac:dyDescent="0.2">
      <c r="A2079" s="22" t="s">
        <v>1545</v>
      </c>
      <c r="B2079" s="2" t="s">
        <v>252</v>
      </c>
      <c r="C2079" s="2" t="s">
        <v>1269</v>
      </c>
      <c r="D2079" s="716">
        <v>1</v>
      </c>
      <c r="E2079" s="4" t="s">
        <v>14</v>
      </c>
      <c r="F2079" s="47">
        <f t="shared" ref="F2079:I2079" si="708">G2079</f>
        <v>0</v>
      </c>
      <c r="G2079" s="47">
        <f t="shared" si="708"/>
        <v>0</v>
      </c>
      <c r="H2079" s="47">
        <f t="shared" si="708"/>
        <v>0</v>
      </c>
      <c r="I2079" s="47">
        <f t="shared" si="708"/>
        <v>0</v>
      </c>
      <c r="J2079" s="47">
        <f t="shared" si="706"/>
        <v>0</v>
      </c>
      <c r="K2079" s="47">
        <v>0</v>
      </c>
      <c r="L2079" s="47">
        <v>0</v>
      </c>
      <c r="M2079" s="893"/>
      <c r="N2079" s="20"/>
      <c r="O2079" s="20"/>
      <c r="P2079" s="20"/>
      <c r="Q2079" s="20"/>
      <c r="R2079" s="20"/>
    </row>
    <row r="2080" spans="1:18" s="103" customFormat="1" hidden="1" outlineLevel="1" x14ac:dyDescent="0.2">
      <c r="A2080" s="22" t="s">
        <v>1545</v>
      </c>
      <c r="B2080" s="2" t="s">
        <v>252</v>
      </c>
      <c r="C2080" s="2" t="s">
        <v>1269</v>
      </c>
      <c r="D2080" s="716">
        <v>1</v>
      </c>
      <c r="E2080" s="4" t="s">
        <v>15</v>
      </c>
      <c r="F2080" s="47">
        <f t="shared" ref="F2080:I2080" si="709">G2080</f>
        <v>0</v>
      </c>
      <c r="G2080" s="47">
        <f t="shared" si="709"/>
        <v>0</v>
      </c>
      <c r="H2080" s="47">
        <f t="shared" si="709"/>
        <v>0</v>
      </c>
      <c r="I2080" s="47">
        <f t="shared" si="709"/>
        <v>0</v>
      </c>
      <c r="J2080" s="47">
        <f t="shared" si="706"/>
        <v>0</v>
      </c>
      <c r="K2080" s="47">
        <v>0</v>
      </c>
      <c r="L2080" s="47">
        <v>0</v>
      </c>
      <c r="M2080" s="893"/>
      <c r="N2080" s="20"/>
      <c r="O2080" s="20"/>
      <c r="P2080" s="20"/>
      <c r="Q2080" s="20"/>
      <c r="R2080" s="20"/>
    </row>
    <row r="2081" spans="1:18" s="103" customFormat="1" hidden="1" outlineLevel="1" x14ac:dyDescent="0.2">
      <c r="A2081" s="22" t="s">
        <v>1545</v>
      </c>
      <c r="B2081" s="2" t="s">
        <v>252</v>
      </c>
      <c r="C2081" s="2" t="s">
        <v>1269</v>
      </c>
      <c r="D2081" s="716">
        <v>1</v>
      </c>
      <c r="E2081" s="4" t="s">
        <v>16</v>
      </c>
      <c r="F2081" s="47">
        <f t="shared" ref="F2081:I2081" si="710">G2081</f>
        <v>0</v>
      </c>
      <c r="G2081" s="47">
        <f t="shared" si="710"/>
        <v>0</v>
      </c>
      <c r="H2081" s="47">
        <f t="shared" si="710"/>
        <v>0</v>
      </c>
      <c r="I2081" s="47">
        <f t="shared" si="710"/>
        <v>0</v>
      </c>
      <c r="J2081" s="47">
        <f t="shared" si="706"/>
        <v>0</v>
      </c>
      <c r="K2081" s="47">
        <v>0</v>
      </c>
      <c r="L2081" s="47">
        <v>0</v>
      </c>
      <c r="M2081" s="893"/>
      <c r="N2081" s="20"/>
      <c r="O2081" s="20"/>
      <c r="P2081" s="20"/>
      <c r="Q2081" s="20"/>
      <c r="R2081" s="20"/>
    </row>
    <row r="2082" spans="1:18" s="103" customFormat="1" hidden="1" outlineLevel="1" x14ac:dyDescent="0.2">
      <c r="A2082" s="22" t="s">
        <v>1545</v>
      </c>
      <c r="B2082" s="2" t="s">
        <v>252</v>
      </c>
      <c r="C2082" s="2" t="s">
        <v>1269</v>
      </c>
      <c r="D2082" s="716">
        <v>1</v>
      </c>
      <c r="E2082" s="4" t="s">
        <v>17</v>
      </c>
      <c r="F2082" s="47">
        <f t="shared" ref="F2082:I2082" si="711">G2082</f>
        <v>1</v>
      </c>
      <c r="G2082" s="47">
        <f t="shared" si="711"/>
        <v>1</v>
      </c>
      <c r="H2082" s="47">
        <f t="shared" si="711"/>
        <v>1</v>
      </c>
      <c r="I2082" s="47">
        <f t="shared" si="711"/>
        <v>1</v>
      </c>
      <c r="J2082" s="47">
        <f t="shared" si="706"/>
        <v>1</v>
      </c>
      <c r="K2082" s="47">
        <v>1</v>
      </c>
      <c r="L2082" s="47">
        <v>1</v>
      </c>
      <c r="M2082" s="893"/>
      <c r="N2082" s="20"/>
      <c r="O2082" s="20"/>
      <c r="P2082" s="20"/>
      <c r="Q2082" s="20"/>
      <c r="R2082" s="20"/>
    </row>
    <row r="2083" spans="1:18" s="103" customFormat="1" hidden="1" outlineLevel="1" x14ac:dyDescent="0.2">
      <c r="A2083" s="22" t="s">
        <v>1545</v>
      </c>
      <c r="B2083" s="2" t="s">
        <v>252</v>
      </c>
      <c r="C2083" s="2" t="s">
        <v>1269</v>
      </c>
      <c r="D2083" s="716">
        <v>1</v>
      </c>
      <c r="E2083" s="4" t="s">
        <v>18</v>
      </c>
      <c r="F2083" s="47">
        <f t="shared" ref="F2083:I2083" si="712">G2083</f>
        <v>1</v>
      </c>
      <c r="G2083" s="47">
        <f t="shared" si="712"/>
        <v>1</v>
      </c>
      <c r="H2083" s="47">
        <f t="shared" si="712"/>
        <v>1</v>
      </c>
      <c r="I2083" s="47">
        <f t="shared" si="712"/>
        <v>1</v>
      </c>
      <c r="J2083" s="47">
        <f t="shared" si="706"/>
        <v>1</v>
      </c>
      <c r="K2083" s="47">
        <v>1</v>
      </c>
      <c r="L2083" s="47">
        <v>1</v>
      </c>
      <c r="M2083" s="893"/>
      <c r="N2083" s="20"/>
      <c r="O2083" s="20"/>
      <c r="P2083" s="20"/>
      <c r="Q2083" s="20"/>
      <c r="R2083" s="20"/>
    </row>
    <row r="2084" spans="1:18" s="103" customFormat="1" hidden="1" outlineLevel="1" x14ac:dyDescent="0.2">
      <c r="A2084" s="22" t="s">
        <v>1545</v>
      </c>
      <c r="B2084" s="2" t="s">
        <v>252</v>
      </c>
      <c r="C2084" s="2" t="s">
        <v>1269</v>
      </c>
      <c r="D2084" s="716">
        <v>1</v>
      </c>
      <c r="E2084" s="4" t="s">
        <v>2</v>
      </c>
      <c r="F2084" s="47">
        <f t="shared" ref="F2084:I2084" si="713">G2084</f>
        <v>0</v>
      </c>
      <c r="G2084" s="47">
        <f t="shared" si="713"/>
        <v>0</v>
      </c>
      <c r="H2084" s="47">
        <f t="shared" si="713"/>
        <v>0</v>
      </c>
      <c r="I2084" s="47">
        <f t="shared" si="713"/>
        <v>0</v>
      </c>
      <c r="J2084" s="47">
        <f t="shared" si="706"/>
        <v>0</v>
      </c>
      <c r="K2084" s="47">
        <v>0</v>
      </c>
      <c r="L2084" s="47">
        <v>0</v>
      </c>
      <c r="M2084" s="893"/>
      <c r="N2084" s="20"/>
      <c r="O2084" s="20"/>
      <c r="P2084" s="20"/>
      <c r="Q2084" s="20"/>
      <c r="R2084" s="20"/>
    </row>
    <row r="2085" spans="1:18" s="103" customFormat="1" hidden="1" outlineLevel="1" x14ac:dyDescent="0.2">
      <c r="A2085" s="22" t="s">
        <v>1545</v>
      </c>
      <c r="B2085" s="2" t="s">
        <v>252</v>
      </c>
      <c r="C2085" s="2" t="s">
        <v>1269</v>
      </c>
      <c r="D2085" s="716">
        <v>1</v>
      </c>
      <c r="E2085" s="4" t="s">
        <v>19</v>
      </c>
      <c r="F2085" s="47">
        <f t="shared" ref="F2085:I2085" si="714">G2085</f>
        <v>0</v>
      </c>
      <c r="G2085" s="47">
        <f t="shared" si="714"/>
        <v>0</v>
      </c>
      <c r="H2085" s="47">
        <f t="shared" si="714"/>
        <v>0</v>
      </c>
      <c r="I2085" s="47">
        <f t="shared" si="714"/>
        <v>0</v>
      </c>
      <c r="J2085" s="47">
        <f t="shared" si="706"/>
        <v>0</v>
      </c>
      <c r="K2085" s="47">
        <v>0</v>
      </c>
      <c r="L2085" s="47">
        <v>0</v>
      </c>
      <c r="M2085" s="893"/>
      <c r="N2085" s="20"/>
      <c r="O2085" s="20"/>
      <c r="P2085" s="20"/>
      <c r="Q2085" s="20"/>
      <c r="R2085" s="20"/>
    </row>
    <row r="2086" spans="1:18" s="103" customFormat="1" hidden="1" outlineLevel="1" x14ac:dyDescent="0.2">
      <c r="A2086" s="22" t="s">
        <v>1545</v>
      </c>
      <c r="B2086" s="2" t="s">
        <v>252</v>
      </c>
      <c r="C2086" s="2" t="s">
        <v>1269</v>
      </c>
      <c r="D2086" s="716">
        <v>1</v>
      </c>
      <c r="E2086" s="4" t="s">
        <v>3</v>
      </c>
      <c r="F2086" s="47">
        <f t="shared" ref="F2086:I2086" si="715">G2086</f>
        <v>1</v>
      </c>
      <c r="G2086" s="47">
        <f t="shared" si="715"/>
        <v>1</v>
      </c>
      <c r="H2086" s="47">
        <f t="shared" si="715"/>
        <v>1</v>
      </c>
      <c r="I2086" s="47">
        <f t="shared" si="715"/>
        <v>1</v>
      </c>
      <c r="J2086" s="47">
        <f t="shared" si="706"/>
        <v>1</v>
      </c>
      <c r="K2086" s="47">
        <v>1</v>
      </c>
      <c r="L2086" s="47">
        <v>1</v>
      </c>
      <c r="M2086" s="893"/>
      <c r="N2086" s="20"/>
      <c r="O2086" s="20"/>
      <c r="P2086" s="20"/>
      <c r="Q2086" s="20"/>
      <c r="R2086" s="20"/>
    </row>
    <row r="2087" spans="1:18" s="103" customFormat="1" hidden="1" outlineLevel="1" x14ac:dyDescent="0.2">
      <c r="A2087" s="22" t="s">
        <v>1545</v>
      </c>
      <c r="B2087" s="2" t="s">
        <v>252</v>
      </c>
      <c r="C2087" s="2" t="s">
        <v>1269</v>
      </c>
      <c r="D2087" s="716">
        <v>1</v>
      </c>
      <c r="E2087" s="4" t="s">
        <v>20</v>
      </c>
      <c r="F2087" s="47">
        <f t="shared" ref="F2087:I2087" si="716">G2087</f>
        <v>1</v>
      </c>
      <c r="G2087" s="47">
        <f t="shared" si="716"/>
        <v>1</v>
      </c>
      <c r="H2087" s="47">
        <f t="shared" si="716"/>
        <v>1</v>
      </c>
      <c r="I2087" s="47">
        <f t="shared" si="716"/>
        <v>1</v>
      </c>
      <c r="J2087" s="47">
        <f t="shared" si="706"/>
        <v>1</v>
      </c>
      <c r="K2087" s="47">
        <v>1</v>
      </c>
      <c r="L2087" s="47">
        <v>1</v>
      </c>
      <c r="M2087" s="893"/>
      <c r="N2087" s="20"/>
      <c r="O2087" s="20"/>
      <c r="P2087" s="20"/>
      <c r="Q2087" s="20"/>
      <c r="R2087" s="20"/>
    </row>
    <row r="2088" spans="1:18" s="103" customFormat="1" hidden="1" outlineLevel="1" x14ac:dyDescent="0.2">
      <c r="A2088" s="22" t="s">
        <v>1545</v>
      </c>
      <c r="B2088" s="2" t="s">
        <v>252</v>
      </c>
      <c r="C2088" s="2" t="s">
        <v>1269</v>
      </c>
      <c r="D2088" s="716">
        <v>1</v>
      </c>
      <c r="E2088" s="4" t="s">
        <v>21</v>
      </c>
      <c r="F2088" s="47">
        <f t="shared" ref="F2088:I2088" si="717">G2088</f>
        <v>0</v>
      </c>
      <c r="G2088" s="47">
        <f t="shared" si="717"/>
        <v>0</v>
      </c>
      <c r="H2088" s="47">
        <f t="shared" si="717"/>
        <v>0</v>
      </c>
      <c r="I2088" s="47">
        <f t="shared" si="717"/>
        <v>0</v>
      </c>
      <c r="J2088" s="47">
        <f t="shared" si="706"/>
        <v>0</v>
      </c>
      <c r="K2088" s="47">
        <v>0</v>
      </c>
      <c r="L2088" s="47">
        <v>1</v>
      </c>
      <c r="M2088" s="893"/>
      <c r="N2088" s="20"/>
      <c r="O2088" s="20"/>
      <c r="P2088" s="20"/>
      <c r="Q2088" s="20"/>
      <c r="R2088" s="20"/>
    </row>
    <row r="2089" spans="1:18" s="103" customFormat="1" hidden="1" outlineLevel="1" x14ac:dyDescent="0.2">
      <c r="A2089" s="22" t="s">
        <v>1545</v>
      </c>
      <c r="B2089" s="2" t="s">
        <v>252</v>
      </c>
      <c r="C2089" s="2" t="s">
        <v>1269</v>
      </c>
      <c r="D2089" s="716">
        <v>1</v>
      </c>
      <c r="E2089" s="4" t="s">
        <v>1096</v>
      </c>
      <c r="F2089" s="47">
        <f t="shared" ref="F2089:I2089" si="718">G2089</f>
        <v>1</v>
      </c>
      <c r="G2089" s="47">
        <f t="shared" si="718"/>
        <v>1</v>
      </c>
      <c r="H2089" s="47">
        <f t="shared" si="718"/>
        <v>1</v>
      </c>
      <c r="I2089" s="47">
        <f t="shared" si="718"/>
        <v>1</v>
      </c>
      <c r="J2089" s="47">
        <f t="shared" si="706"/>
        <v>1</v>
      </c>
      <c r="K2089" s="47">
        <v>1</v>
      </c>
      <c r="L2089" s="47">
        <v>0</v>
      </c>
      <c r="M2089" s="893"/>
      <c r="N2089" s="20"/>
      <c r="O2089" s="20"/>
      <c r="P2089" s="20"/>
      <c r="Q2089" s="20"/>
      <c r="R2089" s="20"/>
    </row>
    <row r="2090" spans="1:18" s="103" customFormat="1" hidden="1" outlineLevel="1" x14ac:dyDescent="0.2">
      <c r="A2090" s="22" t="s">
        <v>1545</v>
      </c>
      <c r="B2090" s="2" t="s">
        <v>252</v>
      </c>
      <c r="C2090" s="2" t="s">
        <v>1269</v>
      </c>
      <c r="D2090" s="716">
        <v>1</v>
      </c>
      <c r="E2090" s="4" t="s">
        <v>22</v>
      </c>
      <c r="F2090" s="47">
        <f t="shared" ref="F2090:I2090" si="719">G2090</f>
        <v>1</v>
      </c>
      <c r="G2090" s="47">
        <f t="shared" si="719"/>
        <v>1</v>
      </c>
      <c r="H2090" s="47">
        <f t="shared" si="719"/>
        <v>1</v>
      </c>
      <c r="I2090" s="47">
        <f t="shared" si="719"/>
        <v>1</v>
      </c>
      <c r="J2090" s="47">
        <f t="shared" si="706"/>
        <v>1</v>
      </c>
      <c r="K2090" s="47">
        <v>1</v>
      </c>
      <c r="L2090" s="47">
        <v>1</v>
      </c>
      <c r="M2090" s="893"/>
      <c r="N2090" s="20"/>
      <c r="O2090" s="20"/>
      <c r="P2090" s="20"/>
      <c r="Q2090" s="20"/>
      <c r="R2090" s="20"/>
    </row>
    <row r="2091" spans="1:18" s="103" customFormat="1" hidden="1" outlineLevel="1" x14ac:dyDescent="0.2">
      <c r="A2091" s="22" t="s">
        <v>1545</v>
      </c>
      <c r="B2091" s="2" t="s">
        <v>252</v>
      </c>
      <c r="C2091" s="2" t="s">
        <v>1269</v>
      </c>
      <c r="D2091" s="717">
        <v>1</v>
      </c>
      <c r="E2091" s="4" t="s">
        <v>23</v>
      </c>
      <c r="F2091" s="48">
        <f t="shared" ref="F2091:I2091" si="720">G2091</f>
        <v>1</v>
      </c>
      <c r="G2091" s="48">
        <f t="shared" si="720"/>
        <v>1</v>
      </c>
      <c r="H2091" s="48">
        <f t="shared" si="720"/>
        <v>1</v>
      </c>
      <c r="I2091" s="48">
        <f t="shared" si="720"/>
        <v>1</v>
      </c>
      <c r="J2091" s="48">
        <f t="shared" si="706"/>
        <v>1</v>
      </c>
      <c r="K2091" s="363">
        <v>1</v>
      </c>
      <c r="L2091" s="363">
        <v>1</v>
      </c>
      <c r="M2091" s="920"/>
      <c r="N2091" s="20"/>
      <c r="O2091" s="20"/>
      <c r="P2091" s="20"/>
      <c r="Q2091" s="20"/>
      <c r="R2091" s="20"/>
    </row>
    <row r="2092" spans="1:18" s="103" customFormat="1" hidden="1" outlineLevel="1" x14ac:dyDescent="0.2">
      <c r="A2092" s="92" t="s">
        <v>1545</v>
      </c>
      <c r="B2092" s="81" t="s">
        <v>252</v>
      </c>
      <c r="C2092" s="81" t="s">
        <v>1270</v>
      </c>
      <c r="D2092" s="715">
        <v>1</v>
      </c>
      <c r="E2092" s="468" t="s">
        <v>4</v>
      </c>
      <c r="F2092" s="380">
        <f t="shared" ref="F2092:I2092" si="721">G2092</f>
        <v>1</v>
      </c>
      <c r="G2092" s="89">
        <f t="shared" si="721"/>
        <v>1</v>
      </c>
      <c r="H2092" s="89">
        <f t="shared" si="721"/>
        <v>1</v>
      </c>
      <c r="I2092" s="89">
        <f t="shared" si="721"/>
        <v>1</v>
      </c>
      <c r="J2092" s="89">
        <f t="shared" si="706"/>
        <v>1</v>
      </c>
      <c r="K2092" s="380">
        <v>1</v>
      </c>
      <c r="L2092" s="380">
        <v>1</v>
      </c>
      <c r="M2092" s="892"/>
      <c r="N2092" s="20"/>
      <c r="O2092" s="20"/>
      <c r="P2092" s="20"/>
      <c r="Q2092" s="20"/>
      <c r="R2092" s="20"/>
    </row>
    <row r="2093" spans="1:18" s="103" customFormat="1" hidden="1" outlineLevel="1" x14ac:dyDescent="0.2">
      <c r="A2093" s="22" t="s">
        <v>1545</v>
      </c>
      <c r="B2093" s="2" t="s">
        <v>252</v>
      </c>
      <c r="C2093" s="2" t="s">
        <v>1270</v>
      </c>
      <c r="D2093" s="716">
        <v>1</v>
      </c>
      <c r="E2093" s="4" t="s">
        <v>5</v>
      </c>
      <c r="F2093" s="47">
        <f t="shared" ref="F2093:I2093" si="722">G2093</f>
        <v>0</v>
      </c>
      <c r="G2093" s="47">
        <f t="shared" si="722"/>
        <v>0</v>
      </c>
      <c r="H2093" s="47">
        <f t="shared" si="722"/>
        <v>0</v>
      </c>
      <c r="I2093" s="47">
        <f t="shared" si="722"/>
        <v>0</v>
      </c>
      <c r="J2093" s="47">
        <f t="shared" si="706"/>
        <v>0</v>
      </c>
      <c r="K2093" s="47">
        <v>0</v>
      </c>
      <c r="L2093" s="47">
        <v>0</v>
      </c>
      <c r="M2093" s="893"/>
      <c r="N2093" s="20"/>
      <c r="O2093" s="20"/>
      <c r="P2093" s="20"/>
      <c r="Q2093" s="20"/>
      <c r="R2093" s="20"/>
    </row>
    <row r="2094" spans="1:18" s="103" customFormat="1" hidden="1" outlineLevel="1" x14ac:dyDescent="0.2">
      <c r="A2094" s="22" t="s">
        <v>1545</v>
      </c>
      <c r="B2094" s="2" t="s">
        <v>252</v>
      </c>
      <c r="C2094" s="2" t="s">
        <v>1270</v>
      </c>
      <c r="D2094" s="716">
        <v>1</v>
      </c>
      <c r="E2094" s="4" t="s">
        <v>6</v>
      </c>
      <c r="F2094" s="47">
        <f t="shared" ref="F2094:I2094" si="723">G2094</f>
        <v>0</v>
      </c>
      <c r="G2094" s="47">
        <f t="shared" si="723"/>
        <v>0</v>
      </c>
      <c r="H2094" s="47">
        <f t="shared" si="723"/>
        <v>0</v>
      </c>
      <c r="I2094" s="47">
        <f t="shared" si="723"/>
        <v>0</v>
      </c>
      <c r="J2094" s="47">
        <f t="shared" si="706"/>
        <v>0</v>
      </c>
      <c r="K2094" s="47">
        <v>0</v>
      </c>
      <c r="L2094" s="47">
        <v>0</v>
      </c>
      <c r="M2094" s="893"/>
      <c r="N2094" s="20"/>
      <c r="O2094" s="20"/>
      <c r="P2094" s="20"/>
      <c r="Q2094" s="20"/>
      <c r="R2094" s="20"/>
    </row>
    <row r="2095" spans="1:18" s="103" customFormat="1" hidden="1" outlineLevel="1" x14ac:dyDescent="0.2">
      <c r="A2095" s="22" t="s">
        <v>1545</v>
      </c>
      <c r="B2095" s="2" t="s">
        <v>252</v>
      </c>
      <c r="C2095" s="2" t="s">
        <v>1270</v>
      </c>
      <c r="D2095" s="716">
        <v>1</v>
      </c>
      <c r="E2095" s="4" t="s">
        <v>143</v>
      </c>
      <c r="F2095" s="47">
        <f t="shared" ref="F2095:I2095" si="724">G2095</f>
        <v>0</v>
      </c>
      <c r="G2095" s="47">
        <f t="shared" si="724"/>
        <v>0</v>
      </c>
      <c r="H2095" s="47">
        <f t="shared" si="724"/>
        <v>0</v>
      </c>
      <c r="I2095" s="47">
        <f t="shared" si="724"/>
        <v>0</v>
      </c>
      <c r="J2095" s="47">
        <f t="shared" si="706"/>
        <v>0</v>
      </c>
      <c r="K2095" s="47">
        <v>0</v>
      </c>
      <c r="L2095" s="47">
        <v>0</v>
      </c>
      <c r="M2095" s="893"/>
      <c r="N2095" s="20"/>
      <c r="O2095" s="20"/>
      <c r="P2095" s="20"/>
      <c r="Q2095" s="20"/>
      <c r="R2095" s="20"/>
    </row>
    <row r="2096" spans="1:18" s="103" customFormat="1" hidden="1" outlineLevel="1" x14ac:dyDescent="0.2">
      <c r="A2096" s="22" t="s">
        <v>1545</v>
      </c>
      <c r="B2096" s="2" t="s">
        <v>252</v>
      </c>
      <c r="C2096" s="2" t="s">
        <v>1270</v>
      </c>
      <c r="D2096" s="716">
        <v>1</v>
      </c>
      <c r="E2096" s="4" t="s">
        <v>7</v>
      </c>
      <c r="F2096" s="47">
        <f t="shared" ref="F2096:I2096" si="725">G2096</f>
        <v>0</v>
      </c>
      <c r="G2096" s="47">
        <f t="shared" si="725"/>
        <v>0</v>
      </c>
      <c r="H2096" s="47">
        <f t="shared" si="725"/>
        <v>0</v>
      </c>
      <c r="I2096" s="47">
        <f t="shared" si="725"/>
        <v>0</v>
      </c>
      <c r="J2096" s="47">
        <f t="shared" si="706"/>
        <v>0</v>
      </c>
      <c r="K2096" s="47">
        <v>0</v>
      </c>
      <c r="L2096" s="47">
        <v>0</v>
      </c>
      <c r="M2096" s="893"/>
      <c r="N2096" s="20"/>
      <c r="O2096" s="20"/>
      <c r="P2096" s="20"/>
      <c r="Q2096" s="20"/>
      <c r="R2096" s="20"/>
    </row>
    <row r="2097" spans="1:18" s="103" customFormat="1" hidden="1" outlineLevel="1" x14ac:dyDescent="0.2">
      <c r="A2097" s="22" t="s">
        <v>1545</v>
      </c>
      <c r="B2097" s="2" t="s">
        <v>252</v>
      </c>
      <c r="C2097" s="2" t="s">
        <v>1270</v>
      </c>
      <c r="D2097" s="716">
        <v>1</v>
      </c>
      <c r="E2097" s="4" t="s">
        <v>31</v>
      </c>
      <c r="F2097" s="47">
        <f t="shared" ref="F2097:I2097" si="726">G2097</f>
        <v>1</v>
      </c>
      <c r="G2097" s="47">
        <f t="shared" si="726"/>
        <v>1</v>
      </c>
      <c r="H2097" s="47">
        <f t="shared" si="726"/>
        <v>1</v>
      </c>
      <c r="I2097" s="47">
        <f t="shared" si="726"/>
        <v>1</v>
      </c>
      <c r="J2097" s="47">
        <f t="shared" si="706"/>
        <v>1</v>
      </c>
      <c r="K2097" s="47">
        <v>1</v>
      </c>
      <c r="L2097" s="47">
        <v>1</v>
      </c>
      <c r="M2097" s="893"/>
      <c r="N2097" s="20"/>
      <c r="O2097" s="20"/>
      <c r="P2097" s="20"/>
      <c r="Q2097" s="20"/>
      <c r="R2097" s="20"/>
    </row>
    <row r="2098" spans="1:18" s="103" customFormat="1" hidden="1" outlineLevel="1" x14ac:dyDescent="0.2">
      <c r="A2098" s="22" t="s">
        <v>1545</v>
      </c>
      <c r="B2098" s="2" t="s">
        <v>252</v>
      </c>
      <c r="C2098" s="2" t="s">
        <v>1270</v>
      </c>
      <c r="D2098" s="716">
        <v>1</v>
      </c>
      <c r="E2098" s="4" t="s">
        <v>8</v>
      </c>
      <c r="F2098" s="47">
        <f t="shared" ref="F2098:I2098" si="727">G2098</f>
        <v>0</v>
      </c>
      <c r="G2098" s="47">
        <f t="shared" si="727"/>
        <v>0</v>
      </c>
      <c r="H2098" s="47">
        <f t="shared" si="727"/>
        <v>0</v>
      </c>
      <c r="I2098" s="47">
        <f t="shared" si="727"/>
        <v>0</v>
      </c>
      <c r="J2098" s="47">
        <f t="shared" si="706"/>
        <v>0</v>
      </c>
      <c r="K2098" s="47">
        <v>0</v>
      </c>
      <c r="L2098" s="47">
        <v>0</v>
      </c>
      <c r="M2098" s="893"/>
      <c r="N2098" s="20"/>
      <c r="O2098" s="20"/>
      <c r="P2098" s="20"/>
      <c r="Q2098" s="20"/>
      <c r="R2098" s="20"/>
    </row>
    <row r="2099" spans="1:18" s="103" customFormat="1" hidden="1" outlineLevel="1" x14ac:dyDescent="0.2">
      <c r="A2099" s="22" t="s">
        <v>1545</v>
      </c>
      <c r="B2099" s="2" t="s">
        <v>252</v>
      </c>
      <c r="C2099" s="2" t="s">
        <v>1270</v>
      </c>
      <c r="D2099" s="716">
        <v>1</v>
      </c>
      <c r="E2099" s="4" t="s">
        <v>9</v>
      </c>
      <c r="F2099" s="47">
        <f t="shared" ref="F2099:I2099" si="728">G2099</f>
        <v>0</v>
      </c>
      <c r="G2099" s="47">
        <f t="shared" si="728"/>
        <v>0</v>
      </c>
      <c r="H2099" s="47">
        <f t="shared" si="728"/>
        <v>0</v>
      </c>
      <c r="I2099" s="47">
        <f t="shared" si="728"/>
        <v>0</v>
      </c>
      <c r="J2099" s="47">
        <f t="shared" si="706"/>
        <v>0</v>
      </c>
      <c r="K2099" s="47">
        <v>0</v>
      </c>
      <c r="L2099" s="47">
        <v>0</v>
      </c>
      <c r="M2099" s="893"/>
      <c r="N2099" s="20"/>
      <c r="O2099" s="20"/>
      <c r="P2099" s="20"/>
      <c r="Q2099" s="20"/>
      <c r="R2099" s="20"/>
    </row>
    <row r="2100" spans="1:18" s="103" customFormat="1" hidden="1" outlineLevel="1" x14ac:dyDescent="0.2">
      <c r="A2100" s="22" t="s">
        <v>1545</v>
      </c>
      <c r="B2100" s="2" t="s">
        <v>252</v>
      </c>
      <c r="C2100" s="2" t="s">
        <v>1270</v>
      </c>
      <c r="D2100" s="716">
        <v>1</v>
      </c>
      <c r="E2100" s="4" t="s">
        <v>10</v>
      </c>
      <c r="F2100" s="47">
        <f t="shared" ref="F2100:I2100" si="729">G2100</f>
        <v>0</v>
      </c>
      <c r="G2100" s="47">
        <f t="shared" si="729"/>
        <v>0</v>
      </c>
      <c r="H2100" s="47">
        <f t="shared" si="729"/>
        <v>0</v>
      </c>
      <c r="I2100" s="47">
        <f t="shared" si="729"/>
        <v>0</v>
      </c>
      <c r="J2100" s="47">
        <f t="shared" si="706"/>
        <v>0</v>
      </c>
      <c r="K2100" s="47">
        <v>0</v>
      </c>
      <c r="L2100" s="47">
        <v>0</v>
      </c>
      <c r="M2100" s="893"/>
      <c r="N2100" s="20"/>
      <c r="O2100" s="20"/>
      <c r="P2100" s="20"/>
      <c r="Q2100" s="20"/>
      <c r="R2100" s="20"/>
    </row>
    <row r="2101" spans="1:18" s="103" customFormat="1" hidden="1" outlineLevel="1" x14ac:dyDescent="0.2">
      <c r="A2101" s="22" t="s">
        <v>1545</v>
      </c>
      <c r="B2101" s="2" t="s">
        <v>252</v>
      </c>
      <c r="C2101" s="2" t="s">
        <v>1270</v>
      </c>
      <c r="D2101" s="716">
        <v>1</v>
      </c>
      <c r="E2101" s="4" t="s">
        <v>11</v>
      </c>
      <c r="F2101" s="47">
        <f t="shared" ref="F2101:I2101" si="730">G2101</f>
        <v>0</v>
      </c>
      <c r="G2101" s="47">
        <f t="shared" si="730"/>
        <v>0</v>
      </c>
      <c r="H2101" s="47">
        <f t="shared" si="730"/>
        <v>0</v>
      </c>
      <c r="I2101" s="47">
        <f t="shared" si="730"/>
        <v>0</v>
      </c>
      <c r="J2101" s="47">
        <f t="shared" si="706"/>
        <v>0</v>
      </c>
      <c r="K2101" s="47">
        <v>0</v>
      </c>
      <c r="L2101" s="47">
        <v>0</v>
      </c>
      <c r="M2101" s="893"/>
      <c r="N2101" s="20"/>
      <c r="O2101" s="20"/>
      <c r="P2101" s="20"/>
      <c r="Q2101" s="20"/>
      <c r="R2101" s="20"/>
    </row>
    <row r="2102" spans="1:18" s="103" customFormat="1" hidden="1" outlineLevel="1" x14ac:dyDescent="0.2">
      <c r="A2102" s="22" t="s">
        <v>1545</v>
      </c>
      <c r="B2102" s="2" t="s">
        <v>252</v>
      </c>
      <c r="C2102" s="2" t="s">
        <v>1270</v>
      </c>
      <c r="D2102" s="716">
        <v>1</v>
      </c>
      <c r="E2102" s="4" t="s">
        <v>12</v>
      </c>
      <c r="F2102" s="47">
        <f t="shared" ref="F2102:I2102" si="731">G2102</f>
        <v>0</v>
      </c>
      <c r="G2102" s="47">
        <f t="shared" si="731"/>
        <v>0</v>
      </c>
      <c r="H2102" s="47">
        <f t="shared" si="731"/>
        <v>0</v>
      </c>
      <c r="I2102" s="47">
        <f t="shared" si="731"/>
        <v>0</v>
      </c>
      <c r="J2102" s="47">
        <f t="shared" si="706"/>
        <v>0</v>
      </c>
      <c r="K2102" s="47">
        <v>0</v>
      </c>
      <c r="L2102" s="47">
        <v>0</v>
      </c>
      <c r="M2102" s="893"/>
      <c r="N2102" s="20"/>
      <c r="O2102" s="20"/>
      <c r="P2102" s="20"/>
      <c r="Q2102" s="20"/>
      <c r="R2102" s="20"/>
    </row>
    <row r="2103" spans="1:18" s="103" customFormat="1" hidden="1" outlineLevel="1" x14ac:dyDescent="0.2">
      <c r="A2103" s="22" t="s">
        <v>1545</v>
      </c>
      <c r="B2103" s="2" t="s">
        <v>252</v>
      </c>
      <c r="C2103" s="2" t="s">
        <v>1270</v>
      </c>
      <c r="D2103" s="716">
        <v>1</v>
      </c>
      <c r="E2103" s="4" t="s">
        <v>1</v>
      </c>
      <c r="F2103" s="47">
        <f t="shared" ref="F2103:I2103" si="732">G2103</f>
        <v>0</v>
      </c>
      <c r="G2103" s="47">
        <f t="shared" si="732"/>
        <v>0</v>
      </c>
      <c r="H2103" s="47">
        <f t="shared" si="732"/>
        <v>0</v>
      </c>
      <c r="I2103" s="47">
        <f t="shared" si="732"/>
        <v>0</v>
      </c>
      <c r="J2103" s="47">
        <f t="shared" si="706"/>
        <v>0</v>
      </c>
      <c r="K2103" s="47">
        <v>0</v>
      </c>
      <c r="L2103" s="47">
        <v>0</v>
      </c>
      <c r="M2103" s="893"/>
      <c r="N2103" s="20"/>
      <c r="O2103" s="20"/>
      <c r="P2103" s="20"/>
      <c r="Q2103" s="20"/>
      <c r="R2103" s="20"/>
    </row>
    <row r="2104" spans="1:18" s="103" customFormat="1" hidden="1" outlineLevel="1" x14ac:dyDescent="0.2">
      <c r="A2104" s="22" t="s">
        <v>1545</v>
      </c>
      <c r="B2104" s="2" t="s">
        <v>252</v>
      </c>
      <c r="C2104" s="2" t="s">
        <v>1270</v>
      </c>
      <c r="D2104" s="716">
        <v>1</v>
      </c>
      <c r="E2104" s="4" t="s">
        <v>13</v>
      </c>
      <c r="F2104" s="47">
        <f t="shared" ref="F2104:I2104" si="733">G2104</f>
        <v>0</v>
      </c>
      <c r="G2104" s="47">
        <f t="shared" si="733"/>
        <v>0</v>
      </c>
      <c r="H2104" s="47">
        <f t="shared" si="733"/>
        <v>0</v>
      </c>
      <c r="I2104" s="47">
        <f t="shared" si="733"/>
        <v>0</v>
      </c>
      <c r="J2104" s="47">
        <f t="shared" si="706"/>
        <v>0</v>
      </c>
      <c r="K2104" s="47">
        <v>0</v>
      </c>
      <c r="L2104" s="47">
        <v>0</v>
      </c>
      <c r="M2104" s="893"/>
      <c r="N2104" s="20"/>
      <c r="O2104" s="20"/>
      <c r="P2104" s="20"/>
      <c r="Q2104" s="20"/>
      <c r="R2104" s="20"/>
    </row>
    <row r="2105" spans="1:18" s="103" customFormat="1" hidden="1" outlineLevel="1" x14ac:dyDescent="0.2">
      <c r="A2105" s="22" t="s">
        <v>1545</v>
      </c>
      <c r="B2105" s="2" t="s">
        <v>252</v>
      </c>
      <c r="C2105" s="2" t="s">
        <v>1270</v>
      </c>
      <c r="D2105" s="716">
        <v>1</v>
      </c>
      <c r="E2105" s="4" t="s">
        <v>14</v>
      </c>
      <c r="F2105" s="47">
        <f t="shared" ref="F2105:I2105" si="734">G2105</f>
        <v>0</v>
      </c>
      <c r="G2105" s="47">
        <f t="shared" si="734"/>
        <v>0</v>
      </c>
      <c r="H2105" s="47">
        <f t="shared" si="734"/>
        <v>0</v>
      </c>
      <c r="I2105" s="47">
        <f t="shared" si="734"/>
        <v>0</v>
      </c>
      <c r="J2105" s="47">
        <f t="shared" si="706"/>
        <v>0</v>
      </c>
      <c r="K2105" s="47">
        <v>0</v>
      </c>
      <c r="L2105" s="47">
        <v>0</v>
      </c>
      <c r="M2105" s="893"/>
      <c r="N2105" s="20"/>
      <c r="O2105" s="20"/>
      <c r="P2105" s="20"/>
      <c r="Q2105" s="20"/>
      <c r="R2105" s="20"/>
    </row>
    <row r="2106" spans="1:18" s="103" customFormat="1" hidden="1" outlineLevel="1" x14ac:dyDescent="0.2">
      <c r="A2106" s="22" t="s">
        <v>1545</v>
      </c>
      <c r="B2106" s="2" t="s">
        <v>252</v>
      </c>
      <c r="C2106" s="2" t="s">
        <v>1270</v>
      </c>
      <c r="D2106" s="716">
        <v>1</v>
      </c>
      <c r="E2106" s="4" t="s">
        <v>15</v>
      </c>
      <c r="F2106" s="47">
        <f t="shared" ref="F2106:I2106" si="735">G2106</f>
        <v>0</v>
      </c>
      <c r="G2106" s="47">
        <f t="shared" si="735"/>
        <v>0</v>
      </c>
      <c r="H2106" s="47">
        <f t="shared" si="735"/>
        <v>0</v>
      </c>
      <c r="I2106" s="47">
        <f t="shared" si="735"/>
        <v>0</v>
      </c>
      <c r="J2106" s="47">
        <f t="shared" si="706"/>
        <v>0</v>
      </c>
      <c r="K2106" s="47">
        <v>0</v>
      </c>
      <c r="L2106" s="47">
        <v>0</v>
      </c>
      <c r="M2106" s="893"/>
      <c r="N2106" s="20"/>
      <c r="O2106" s="20"/>
      <c r="P2106" s="20"/>
      <c r="Q2106" s="20"/>
      <c r="R2106" s="20"/>
    </row>
    <row r="2107" spans="1:18" s="103" customFormat="1" hidden="1" outlineLevel="1" x14ac:dyDescent="0.2">
      <c r="A2107" s="22" t="s">
        <v>1545</v>
      </c>
      <c r="B2107" s="2" t="s">
        <v>252</v>
      </c>
      <c r="C2107" s="2" t="s">
        <v>1270</v>
      </c>
      <c r="D2107" s="716">
        <v>1</v>
      </c>
      <c r="E2107" s="4" t="s">
        <v>16</v>
      </c>
      <c r="F2107" s="47">
        <f t="shared" ref="F2107:I2107" si="736">G2107</f>
        <v>0</v>
      </c>
      <c r="G2107" s="47">
        <f t="shared" si="736"/>
        <v>0</v>
      </c>
      <c r="H2107" s="47">
        <f t="shared" si="736"/>
        <v>0</v>
      </c>
      <c r="I2107" s="47">
        <f t="shared" si="736"/>
        <v>0</v>
      </c>
      <c r="J2107" s="47">
        <f t="shared" si="706"/>
        <v>0</v>
      </c>
      <c r="K2107" s="47">
        <v>0</v>
      </c>
      <c r="L2107" s="47">
        <v>0</v>
      </c>
      <c r="M2107" s="893"/>
      <c r="N2107" s="20"/>
      <c r="O2107" s="20"/>
      <c r="P2107" s="20"/>
      <c r="Q2107" s="20"/>
      <c r="R2107" s="20"/>
    </row>
    <row r="2108" spans="1:18" s="103" customFormat="1" hidden="1" outlineLevel="1" x14ac:dyDescent="0.2">
      <c r="A2108" s="22" t="s">
        <v>1545</v>
      </c>
      <c r="B2108" s="2" t="s">
        <v>252</v>
      </c>
      <c r="C2108" s="2" t="s">
        <v>1270</v>
      </c>
      <c r="D2108" s="716">
        <v>1</v>
      </c>
      <c r="E2108" s="4" t="s">
        <v>17</v>
      </c>
      <c r="F2108" s="47">
        <f t="shared" ref="F2108:I2108" si="737">G2108</f>
        <v>0</v>
      </c>
      <c r="G2108" s="47">
        <f t="shared" si="737"/>
        <v>0</v>
      </c>
      <c r="H2108" s="47">
        <f t="shared" si="737"/>
        <v>0</v>
      </c>
      <c r="I2108" s="47">
        <f t="shared" si="737"/>
        <v>0</v>
      </c>
      <c r="J2108" s="47">
        <f t="shared" si="706"/>
        <v>0</v>
      </c>
      <c r="K2108" s="47">
        <v>0</v>
      </c>
      <c r="L2108" s="47">
        <v>0</v>
      </c>
      <c r="M2108" s="893"/>
      <c r="N2108" s="20"/>
      <c r="O2108" s="20"/>
      <c r="P2108" s="20"/>
      <c r="Q2108" s="20"/>
      <c r="R2108" s="20"/>
    </row>
    <row r="2109" spans="1:18" s="103" customFormat="1" hidden="1" outlineLevel="1" x14ac:dyDescent="0.2">
      <c r="A2109" s="22" t="s">
        <v>1545</v>
      </c>
      <c r="B2109" s="2" t="s">
        <v>252</v>
      </c>
      <c r="C2109" s="2" t="s">
        <v>1270</v>
      </c>
      <c r="D2109" s="716">
        <v>1</v>
      </c>
      <c r="E2109" s="4" t="s">
        <v>18</v>
      </c>
      <c r="F2109" s="47">
        <f t="shared" ref="F2109:I2109" si="738">G2109</f>
        <v>1</v>
      </c>
      <c r="G2109" s="47">
        <f t="shared" si="738"/>
        <v>1</v>
      </c>
      <c r="H2109" s="47">
        <f t="shared" si="738"/>
        <v>1</v>
      </c>
      <c r="I2109" s="47">
        <f t="shared" si="738"/>
        <v>1</v>
      </c>
      <c r="J2109" s="47">
        <f t="shared" si="706"/>
        <v>1</v>
      </c>
      <c r="K2109" s="47">
        <v>1</v>
      </c>
      <c r="L2109" s="47">
        <v>0</v>
      </c>
      <c r="M2109" s="893"/>
      <c r="N2109" s="20"/>
      <c r="O2109" s="20"/>
      <c r="P2109" s="20"/>
      <c r="Q2109" s="20"/>
      <c r="R2109" s="20"/>
    </row>
    <row r="2110" spans="1:18" s="103" customFormat="1" hidden="1" outlineLevel="1" x14ac:dyDescent="0.2">
      <c r="A2110" s="22" t="s">
        <v>1545</v>
      </c>
      <c r="B2110" s="2" t="s">
        <v>252</v>
      </c>
      <c r="C2110" s="2" t="s">
        <v>1270</v>
      </c>
      <c r="D2110" s="716">
        <v>1</v>
      </c>
      <c r="E2110" s="4" t="s">
        <v>2</v>
      </c>
      <c r="F2110" s="47">
        <f t="shared" ref="F2110:I2110" si="739">G2110</f>
        <v>0</v>
      </c>
      <c r="G2110" s="47">
        <f t="shared" si="739"/>
        <v>0</v>
      </c>
      <c r="H2110" s="47">
        <f t="shared" si="739"/>
        <v>0</v>
      </c>
      <c r="I2110" s="47">
        <f t="shared" si="739"/>
        <v>0</v>
      </c>
      <c r="J2110" s="47">
        <f t="shared" si="706"/>
        <v>0</v>
      </c>
      <c r="K2110" s="47">
        <v>0</v>
      </c>
      <c r="L2110" s="47">
        <v>0</v>
      </c>
      <c r="M2110" s="893"/>
      <c r="N2110" s="20"/>
      <c r="O2110" s="20"/>
      <c r="P2110" s="20"/>
      <c r="Q2110" s="20"/>
      <c r="R2110" s="20"/>
    </row>
    <row r="2111" spans="1:18" s="103" customFormat="1" hidden="1" outlineLevel="1" x14ac:dyDescent="0.2">
      <c r="A2111" s="22" t="s">
        <v>1545</v>
      </c>
      <c r="B2111" s="2" t="s">
        <v>252</v>
      </c>
      <c r="C2111" s="2" t="s">
        <v>1270</v>
      </c>
      <c r="D2111" s="716">
        <v>1</v>
      </c>
      <c r="E2111" s="4" t="s">
        <v>19</v>
      </c>
      <c r="F2111" s="47">
        <f t="shared" ref="F2111:I2111" si="740">G2111</f>
        <v>0</v>
      </c>
      <c r="G2111" s="47">
        <f t="shared" si="740"/>
        <v>0</v>
      </c>
      <c r="H2111" s="47">
        <f t="shared" si="740"/>
        <v>0</v>
      </c>
      <c r="I2111" s="47">
        <f t="shared" si="740"/>
        <v>0</v>
      </c>
      <c r="J2111" s="47">
        <f t="shared" si="706"/>
        <v>0</v>
      </c>
      <c r="K2111" s="47">
        <v>0</v>
      </c>
      <c r="L2111" s="47">
        <v>0</v>
      </c>
      <c r="M2111" s="893"/>
      <c r="N2111" s="20"/>
      <c r="O2111" s="20"/>
      <c r="P2111" s="20"/>
      <c r="Q2111" s="20"/>
      <c r="R2111" s="20"/>
    </row>
    <row r="2112" spans="1:18" s="103" customFormat="1" hidden="1" outlineLevel="1" x14ac:dyDescent="0.2">
      <c r="A2112" s="22" t="s">
        <v>1545</v>
      </c>
      <c r="B2112" s="2" t="s">
        <v>252</v>
      </c>
      <c r="C2112" s="2" t="s">
        <v>1270</v>
      </c>
      <c r="D2112" s="716">
        <v>1</v>
      </c>
      <c r="E2112" s="4" t="s">
        <v>3</v>
      </c>
      <c r="F2112" s="47">
        <f t="shared" ref="F2112:I2112" si="741">G2112</f>
        <v>0</v>
      </c>
      <c r="G2112" s="47">
        <f t="shared" si="741"/>
        <v>0</v>
      </c>
      <c r="H2112" s="47">
        <f t="shared" si="741"/>
        <v>0</v>
      </c>
      <c r="I2112" s="47">
        <f t="shared" si="741"/>
        <v>0</v>
      </c>
      <c r="J2112" s="47">
        <f t="shared" si="706"/>
        <v>0</v>
      </c>
      <c r="K2112" s="47">
        <v>0</v>
      </c>
      <c r="L2112" s="47">
        <v>0</v>
      </c>
      <c r="M2112" s="893"/>
      <c r="N2112" s="20"/>
      <c r="O2112" s="20"/>
      <c r="P2112" s="20"/>
      <c r="Q2112" s="20"/>
      <c r="R2112" s="20"/>
    </row>
    <row r="2113" spans="1:18" s="103" customFormat="1" hidden="1" outlineLevel="1" x14ac:dyDescent="0.2">
      <c r="A2113" s="22" t="s">
        <v>1545</v>
      </c>
      <c r="B2113" s="2" t="s">
        <v>252</v>
      </c>
      <c r="C2113" s="2" t="s">
        <v>1270</v>
      </c>
      <c r="D2113" s="716">
        <v>1</v>
      </c>
      <c r="E2113" s="4" t="s">
        <v>20</v>
      </c>
      <c r="F2113" s="47">
        <f t="shared" ref="F2113:I2113" si="742">G2113</f>
        <v>1</v>
      </c>
      <c r="G2113" s="47">
        <f t="shared" si="742"/>
        <v>1</v>
      </c>
      <c r="H2113" s="47">
        <f t="shared" si="742"/>
        <v>1</v>
      </c>
      <c r="I2113" s="47">
        <f t="shared" si="742"/>
        <v>1</v>
      </c>
      <c r="J2113" s="47">
        <f t="shared" si="706"/>
        <v>1</v>
      </c>
      <c r="K2113" s="47">
        <v>1</v>
      </c>
      <c r="L2113" s="47">
        <v>0</v>
      </c>
      <c r="M2113" s="893"/>
      <c r="N2113" s="20"/>
      <c r="O2113" s="20"/>
      <c r="P2113" s="20"/>
      <c r="Q2113" s="20"/>
      <c r="R2113" s="20"/>
    </row>
    <row r="2114" spans="1:18" s="103" customFormat="1" hidden="1" outlineLevel="1" x14ac:dyDescent="0.2">
      <c r="A2114" s="22" t="s">
        <v>1545</v>
      </c>
      <c r="B2114" s="2" t="s">
        <v>252</v>
      </c>
      <c r="C2114" s="2" t="s">
        <v>1270</v>
      </c>
      <c r="D2114" s="716">
        <v>1</v>
      </c>
      <c r="E2114" s="4" t="s">
        <v>21</v>
      </c>
      <c r="F2114" s="47">
        <f t="shared" ref="F2114:I2114" si="743">G2114</f>
        <v>0</v>
      </c>
      <c r="G2114" s="47">
        <f t="shared" si="743"/>
        <v>0</v>
      </c>
      <c r="H2114" s="47">
        <f t="shared" si="743"/>
        <v>0</v>
      </c>
      <c r="I2114" s="47">
        <f t="shared" si="743"/>
        <v>0</v>
      </c>
      <c r="J2114" s="47">
        <f t="shared" si="706"/>
        <v>0</v>
      </c>
      <c r="K2114" s="47">
        <v>0</v>
      </c>
      <c r="L2114" s="47">
        <v>0</v>
      </c>
      <c r="M2114" s="893"/>
      <c r="N2114" s="20"/>
      <c r="O2114" s="20"/>
      <c r="P2114" s="20"/>
      <c r="Q2114" s="20"/>
      <c r="R2114" s="20"/>
    </row>
    <row r="2115" spans="1:18" s="103" customFormat="1" hidden="1" outlineLevel="1" x14ac:dyDescent="0.2">
      <c r="A2115" s="22" t="s">
        <v>1545</v>
      </c>
      <c r="B2115" s="2" t="s">
        <v>252</v>
      </c>
      <c r="C2115" s="2" t="s">
        <v>1270</v>
      </c>
      <c r="D2115" s="716">
        <v>1</v>
      </c>
      <c r="E2115" s="4" t="s">
        <v>1096</v>
      </c>
      <c r="F2115" s="47">
        <f t="shared" ref="F2115:I2115" si="744">G2115</f>
        <v>0</v>
      </c>
      <c r="G2115" s="47">
        <f t="shared" si="744"/>
        <v>0</v>
      </c>
      <c r="H2115" s="47">
        <f t="shared" si="744"/>
        <v>0</v>
      </c>
      <c r="I2115" s="47">
        <f t="shared" si="744"/>
        <v>0</v>
      </c>
      <c r="J2115" s="47">
        <f t="shared" si="706"/>
        <v>0</v>
      </c>
      <c r="K2115" s="47">
        <v>0</v>
      </c>
      <c r="L2115" s="47">
        <v>0</v>
      </c>
      <c r="M2115" s="893"/>
      <c r="N2115" s="20"/>
      <c r="O2115" s="20"/>
      <c r="P2115" s="20"/>
      <c r="Q2115" s="20"/>
      <c r="R2115" s="20"/>
    </row>
    <row r="2116" spans="1:18" s="103" customFormat="1" hidden="1" outlineLevel="1" x14ac:dyDescent="0.2">
      <c r="A2116" s="22" t="s">
        <v>1545</v>
      </c>
      <c r="B2116" s="2" t="s">
        <v>252</v>
      </c>
      <c r="C2116" s="2" t="s">
        <v>1270</v>
      </c>
      <c r="D2116" s="716">
        <v>1</v>
      </c>
      <c r="E2116" s="4" t="s">
        <v>22</v>
      </c>
      <c r="F2116" s="47">
        <f t="shared" ref="F2116:I2116" si="745">G2116</f>
        <v>0</v>
      </c>
      <c r="G2116" s="47">
        <f t="shared" si="745"/>
        <v>0</v>
      </c>
      <c r="H2116" s="47">
        <f t="shared" si="745"/>
        <v>0</v>
      </c>
      <c r="I2116" s="47">
        <f t="shared" si="745"/>
        <v>0</v>
      </c>
      <c r="J2116" s="47">
        <f t="shared" si="706"/>
        <v>0</v>
      </c>
      <c r="K2116" s="47">
        <v>0</v>
      </c>
      <c r="L2116" s="47">
        <v>1</v>
      </c>
      <c r="M2116" s="893"/>
      <c r="N2116" s="20"/>
      <c r="O2116" s="20"/>
      <c r="P2116" s="20"/>
      <c r="Q2116" s="20"/>
      <c r="R2116" s="20"/>
    </row>
    <row r="2117" spans="1:18" s="103" customFormat="1" hidden="1" outlineLevel="1" x14ac:dyDescent="0.2">
      <c r="A2117" s="22" t="s">
        <v>1545</v>
      </c>
      <c r="B2117" s="2" t="s">
        <v>252</v>
      </c>
      <c r="C2117" s="2" t="s">
        <v>1270</v>
      </c>
      <c r="D2117" s="717">
        <v>1</v>
      </c>
      <c r="E2117" s="4" t="s">
        <v>23</v>
      </c>
      <c r="F2117" s="48">
        <f t="shared" ref="F2117:I2117" si="746">G2117</f>
        <v>0</v>
      </c>
      <c r="G2117" s="48">
        <f t="shared" si="746"/>
        <v>0</v>
      </c>
      <c r="H2117" s="48">
        <f t="shared" si="746"/>
        <v>0</v>
      </c>
      <c r="I2117" s="48">
        <f t="shared" si="746"/>
        <v>0</v>
      </c>
      <c r="J2117" s="48">
        <f t="shared" si="706"/>
        <v>0</v>
      </c>
      <c r="K2117" s="363">
        <v>0</v>
      </c>
      <c r="L2117" s="363">
        <v>0</v>
      </c>
      <c r="M2117" s="920"/>
      <c r="N2117" s="20"/>
      <c r="O2117" s="20"/>
      <c r="P2117" s="20"/>
      <c r="Q2117" s="20"/>
      <c r="R2117" s="20"/>
    </row>
    <row r="2118" spans="1:18" s="103" customFormat="1" hidden="1" outlineLevel="1" x14ac:dyDescent="0.2">
      <c r="A2118" s="92" t="s">
        <v>1545</v>
      </c>
      <c r="B2118" s="81" t="s">
        <v>252</v>
      </c>
      <c r="C2118" s="81" t="s">
        <v>1271</v>
      </c>
      <c r="D2118" s="715">
        <v>1</v>
      </c>
      <c r="E2118" s="468" t="s">
        <v>4</v>
      </c>
      <c r="F2118" s="380">
        <f t="shared" ref="F2118:I2118" si="747">G2118</f>
        <v>1</v>
      </c>
      <c r="G2118" s="89">
        <f t="shared" si="747"/>
        <v>1</v>
      </c>
      <c r="H2118" s="89">
        <f t="shared" si="747"/>
        <v>1</v>
      </c>
      <c r="I2118" s="89">
        <f t="shared" si="747"/>
        <v>1</v>
      </c>
      <c r="J2118" s="89">
        <f t="shared" si="706"/>
        <v>1</v>
      </c>
      <c r="K2118" s="380">
        <v>1</v>
      </c>
      <c r="L2118" s="380">
        <v>1</v>
      </c>
      <c r="M2118" s="892"/>
      <c r="N2118" s="20"/>
      <c r="O2118" s="20"/>
      <c r="P2118" s="20"/>
      <c r="Q2118" s="20"/>
      <c r="R2118" s="20"/>
    </row>
    <row r="2119" spans="1:18" s="103" customFormat="1" hidden="1" outlineLevel="1" x14ac:dyDescent="0.2">
      <c r="A2119" s="22" t="s">
        <v>1545</v>
      </c>
      <c r="B2119" s="2" t="s">
        <v>252</v>
      </c>
      <c r="C2119" s="2" t="s">
        <v>1271</v>
      </c>
      <c r="D2119" s="716">
        <v>1</v>
      </c>
      <c r="E2119" s="4" t="s">
        <v>5</v>
      </c>
      <c r="F2119" s="47">
        <f t="shared" ref="F2119:I2119" si="748">G2119</f>
        <v>0</v>
      </c>
      <c r="G2119" s="47">
        <f t="shared" si="748"/>
        <v>0</v>
      </c>
      <c r="H2119" s="47">
        <f t="shared" si="748"/>
        <v>0</v>
      </c>
      <c r="I2119" s="47">
        <f t="shared" si="748"/>
        <v>0</v>
      </c>
      <c r="J2119" s="47">
        <f t="shared" si="706"/>
        <v>0</v>
      </c>
      <c r="K2119" s="47">
        <v>0</v>
      </c>
      <c r="L2119" s="47">
        <v>0</v>
      </c>
      <c r="M2119" s="893"/>
      <c r="N2119" s="20"/>
      <c r="O2119" s="20"/>
      <c r="P2119" s="20"/>
      <c r="Q2119" s="20"/>
      <c r="R2119" s="20"/>
    </row>
    <row r="2120" spans="1:18" s="103" customFormat="1" hidden="1" outlineLevel="1" x14ac:dyDescent="0.2">
      <c r="A2120" s="22" t="s">
        <v>1545</v>
      </c>
      <c r="B2120" s="2" t="s">
        <v>252</v>
      </c>
      <c r="C2120" s="2" t="s">
        <v>1271</v>
      </c>
      <c r="D2120" s="716">
        <v>1</v>
      </c>
      <c r="E2120" s="4" t="s">
        <v>6</v>
      </c>
      <c r="F2120" s="47">
        <f t="shared" ref="F2120:I2120" si="749">G2120</f>
        <v>0</v>
      </c>
      <c r="G2120" s="47">
        <f t="shared" si="749"/>
        <v>0</v>
      </c>
      <c r="H2120" s="47">
        <f t="shared" si="749"/>
        <v>0</v>
      </c>
      <c r="I2120" s="47">
        <f t="shared" si="749"/>
        <v>0</v>
      </c>
      <c r="J2120" s="47">
        <f t="shared" si="706"/>
        <v>0</v>
      </c>
      <c r="K2120" s="47">
        <v>0</v>
      </c>
      <c r="L2120" s="47">
        <v>0</v>
      </c>
      <c r="M2120" s="893"/>
      <c r="N2120" s="20"/>
      <c r="O2120" s="20"/>
      <c r="P2120" s="20"/>
      <c r="Q2120" s="20"/>
      <c r="R2120" s="20"/>
    </row>
    <row r="2121" spans="1:18" s="103" customFormat="1" hidden="1" outlineLevel="1" x14ac:dyDescent="0.2">
      <c r="A2121" s="22" t="s">
        <v>1545</v>
      </c>
      <c r="B2121" s="2" t="s">
        <v>252</v>
      </c>
      <c r="C2121" s="2" t="s">
        <v>1271</v>
      </c>
      <c r="D2121" s="716">
        <v>1</v>
      </c>
      <c r="E2121" s="4" t="s">
        <v>143</v>
      </c>
      <c r="F2121" s="47">
        <f t="shared" ref="F2121:I2121" si="750">G2121</f>
        <v>0</v>
      </c>
      <c r="G2121" s="47">
        <f t="shared" si="750"/>
        <v>0</v>
      </c>
      <c r="H2121" s="47">
        <f t="shared" si="750"/>
        <v>0</v>
      </c>
      <c r="I2121" s="47">
        <f t="shared" si="750"/>
        <v>0</v>
      </c>
      <c r="J2121" s="47">
        <f t="shared" si="706"/>
        <v>0</v>
      </c>
      <c r="K2121" s="47">
        <v>0</v>
      </c>
      <c r="L2121" s="47">
        <v>0</v>
      </c>
      <c r="M2121" s="893"/>
      <c r="N2121" s="20"/>
      <c r="O2121" s="20"/>
      <c r="P2121" s="20"/>
      <c r="Q2121" s="20"/>
      <c r="R2121" s="20"/>
    </row>
    <row r="2122" spans="1:18" s="103" customFormat="1" hidden="1" outlineLevel="1" x14ac:dyDescent="0.2">
      <c r="A2122" s="22" t="s">
        <v>1545</v>
      </c>
      <c r="B2122" s="2" t="s">
        <v>252</v>
      </c>
      <c r="C2122" s="2" t="s">
        <v>1271</v>
      </c>
      <c r="D2122" s="716">
        <v>1</v>
      </c>
      <c r="E2122" s="4" t="s">
        <v>7</v>
      </c>
      <c r="F2122" s="47">
        <f t="shared" ref="F2122:I2122" si="751">G2122</f>
        <v>0</v>
      </c>
      <c r="G2122" s="47">
        <f t="shared" si="751"/>
        <v>0</v>
      </c>
      <c r="H2122" s="47">
        <f t="shared" si="751"/>
        <v>0</v>
      </c>
      <c r="I2122" s="47">
        <f t="shared" si="751"/>
        <v>0</v>
      </c>
      <c r="J2122" s="47">
        <f t="shared" si="706"/>
        <v>0</v>
      </c>
      <c r="K2122" s="47">
        <v>0</v>
      </c>
      <c r="L2122" s="47">
        <v>0</v>
      </c>
      <c r="M2122" s="893"/>
      <c r="N2122" s="20"/>
      <c r="O2122" s="20"/>
      <c r="P2122" s="20"/>
      <c r="Q2122" s="20"/>
      <c r="R2122" s="20"/>
    </row>
    <row r="2123" spans="1:18" s="103" customFormat="1" hidden="1" outlineLevel="1" x14ac:dyDescent="0.2">
      <c r="A2123" s="22" t="s">
        <v>1545</v>
      </c>
      <c r="B2123" s="2" t="s">
        <v>252</v>
      </c>
      <c r="C2123" s="2" t="s">
        <v>1271</v>
      </c>
      <c r="D2123" s="716">
        <v>1</v>
      </c>
      <c r="E2123" s="4" t="s">
        <v>31</v>
      </c>
      <c r="F2123" s="47">
        <f t="shared" ref="F2123:I2123" si="752">G2123</f>
        <v>0</v>
      </c>
      <c r="G2123" s="47">
        <f t="shared" si="752"/>
        <v>0</v>
      </c>
      <c r="H2123" s="47">
        <f t="shared" si="752"/>
        <v>0</v>
      </c>
      <c r="I2123" s="47">
        <f t="shared" si="752"/>
        <v>0</v>
      </c>
      <c r="J2123" s="47">
        <f t="shared" si="706"/>
        <v>0</v>
      </c>
      <c r="K2123" s="47">
        <v>0</v>
      </c>
      <c r="L2123" s="47">
        <v>1</v>
      </c>
      <c r="M2123" s="893"/>
      <c r="N2123" s="20"/>
      <c r="O2123" s="20"/>
      <c r="P2123" s="20"/>
      <c r="Q2123" s="20"/>
      <c r="R2123" s="20"/>
    </row>
    <row r="2124" spans="1:18" s="103" customFormat="1" hidden="1" outlineLevel="1" x14ac:dyDescent="0.2">
      <c r="A2124" s="22" t="s">
        <v>1545</v>
      </c>
      <c r="B2124" s="2" t="s">
        <v>252</v>
      </c>
      <c r="C2124" s="2" t="s">
        <v>1271</v>
      </c>
      <c r="D2124" s="716">
        <v>1</v>
      </c>
      <c r="E2124" s="4" t="s">
        <v>8</v>
      </c>
      <c r="F2124" s="47">
        <f t="shared" ref="F2124:I2124" si="753">G2124</f>
        <v>1</v>
      </c>
      <c r="G2124" s="47">
        <f t="shared" si="753"/>
        <v>1</v>
      </c>
      <c r="H2124" s="47">
        <f t="shared" si="753"/>
        <v>1</v>
      </c>
      <c r="I2124" s="47">
        <f t="shared" si="753"/>
        <v>1</v>
      </c>
      <c r="J2124" s="47">
        <f t="shared" si="706"/>
        <v>1</v>
      </c>
      <c r="K2124" s="47">
        <v>1</v>
      </c>
      <c r="L2124" s="47">
        <v>1</v>
      </c>
      <c r="M2124" s="893"/>
      <c r="N2124" s="20"/>
      <c r="O2124" s="20"/>
      <c r="P2124" s="20"/>
      <c r="Q2124" s="20"/>
      <c r="R2124" s="20"/>
    </row>
    <row r="2125" spans="1:18" s="103" customFormat="1" hidden="1" outlineLevel="1" x14ac:dyDescent="0.2">
      <c r="A2125" s="22" t="s">
        <v>1545</v>
      </c>
      <c r="B2125" s="2" t="s">
        <v>252</v>
      </c>
      <c r="C2125" s="2" t="s">
        <v>1271</v>
      </c>
      <c r="D2125" s="716">
        <v>1</v>
      </c>
      <c r="E2125" s="4" t="s">
        <v>9</v>
      </c>
      <c r="F2125" s="47">
        <f t="shared" ref="F2125:I2125" si="754">G2125</f>
        <v>0</v>
      </c>
      <c r="G2125" s="47">
        <f t="shared" si="754"/>
        <v>0</v>
      </c>
      <c r="H2125" s="47">
        <f t="shared" si="754"/>
        <v>0</v>
      </c>
      <c r="I2125" s="47">
        <f t="shared" si="754"/>
        <v>0</v>
      </c>
      <c r="J2125" s="47">
        <f t="shared" si="706"/>
        <v>0</v>
      </c>
      <c r="K2125" s="47">
        <v>0</v>
      </c>
      <c r="L2125" s="47">
        <v>0</v>
      </c>
      <c r="M2125" s="893"/>
      <c r="N2125" s="20"/>
      <c r="O2125" s="20"/>
      <c r="P2125" s="20"/>
      <c r="Q2125" s="20"/>
      <c r="R2125" s="20"/>
    </row>
    <row r="2126" spans="1:18" s="103" customFormat="1" hidden="1" outlineLevel="1" x14ac:dyDescent="0.2">
      <c r="A2126" s="22" t="s">
        <v>1545</v>
      </c>
      <c r="B2126" s="2" t="s">
        <v>252</v>
      </c>
      <c r="C2126" s="2" t="s">
        <v>1271</v>
      </c>
      <c r="D2126" s="716">
        <v>1</v>
      </c>
      <c r="E2126" s="4" t="s">
        <v>10</v>
      </c>
      <c r="F2126" s="47">
        <f t="shared" ref="F2126:I2126" si="755">G2126</f>
        <v>1</v>
      </c>
      <c r="G2126" s="47">
        <f t="shared" si="755"/>
        <v>1</v>
      </c>
      <c r="H2126" s="47">
        <f t="shared" si="755"/>
        <v>1</v>
      </c>
      <c r="I2126" s="47">
        <f t="shared" si="755"/>
        <v>1</v>
      </c>
      <c r="J2126" s="47">
        <f t="shared" si="706"/>
        <v>1</v>
      </c>
      <c r="K2126" s="47">
        <v>1</v>
      </c>
      <c r="L2126" s="47">
        <v>1</v>
      </c>
      <c r="M2126" s="893"/>
      <c r="N2126" s="20"/>
      <c r="O2126" s="20"/>
      <c r="P2126" s="20"/>
      <c r="Q2126" s="20"/>
      <c r="R2126" s="20"/>
    </row>
    <row r="2127" spans="1:18" s="103" customFormat="1" hidden="1" outlineLevel="1" x14ac:dyDescent="0.2">
      <c r="A2127" s="22" t="s">
        <v>1545</v>
      </c>
      <c r="B2127" s="2" t="s">
        <v>252</v>
      </c>
      <c r="C2127" s="2" t="s">
        <v>1271</v>
      </c>
      <c r="D2127" s="716">
        <v>1</v>
      </c>
      <c r="E2127" s="4" t="s">
        <v>11</v>
      </c>
      <c r="F2127" s="47">
        <f t="shared" ref="F2127:I2127" si="756">G2127</f>
        <v>0</v>
      </c>
      <c r="G2127" s="47">
        <f t="shared" si="756"/>
        <v>0</v>
      </c>
      <c r="H2127" s="47">
        <f t="shared" si="756"/>
        <v>0</v>
      </c>
      <c r="I2127" s="47">
        <f t="shared" si="756"/>
        <v>0</v>
      </c>
      <c r="J2127" s="47">
        <f t="shared" si="706"/>
        <v>0</v>
      </c>
      <c r="K2127" s="47">
        <v>0</v>
      </c>
      <c r="L2127" s="47">
        <v>0</v>
      </c>
      <c r="M2127" s="893"/>
      <c r="N2127" s="20"/>
      <c r="O2127" s="20"/>
      <c r="P2127" s="20"/>
      <c r="Q2127" s="20"/>
      <c r="R2127" s="20"/>
    </row>
    <row r="2128" spans="1:18" s="103" customFormat="1" hidden="1" outlineLevel="1" x14ac:dyDescent="0.2">
      <c r="A2128" s="22" t="s">
        <v>1545</v>
      </c>
      <c r="B2128" s="2" t="s">
        <v>252</v>
      </c>
      <c r="C2128" s="2" t="s">
        <v>1271</v>
      </c>
      <c r="D2128" s="716">
        <v>1</v>
      </c>
      <c r="E2128" s="4" t="s">
        <v>12</v>
      </c>
      <c r="F2128" s="47">
        <f t="shared" ref="F2128:I2128" si="757">G2128</f>
        <v>0</v>
      </c>
      <c r="G2128" s="47">
        <f t="shared" si="757"/>
        <v>0</v>
      </c>
      <c r="H2128" s="47">
        <f t="shared" si="757"/>
        <v>0</v>
      </c>
      <c r="I2128" s="47">
        <f t="shared" si="757"/>
        <v>0</v>
      </c>
      <c r="J2128" s="47">
        <f t="shared" si="706"/>
        <v>0</v>
      </c>
      <c r="K2128" s="47">
        <v>0</v>
      </c>
      <c r="L2128" s="47">
        <v>0</v>
      </c>
      <c r="M2128" s="893"/>
      <c r="N2128" s="20"/>
      <c r="O2128" s="20"/>
      <c r="P2128" s="20"/>
      <c r="Q2128" s="20"/>
      <c r="R2128" s="20"/>
    </row>
    <row r="2129" spans="1:18" s="103" customFormat="1" hidden="1" outlineLevel="1" x14ac:dyDescent="0.2">
      <c r="A2129" s="22" t="s">
        <v>1545</v>
      </c>
      <c r="B2129" s="2" t="s">
        <v>252</v>
      </c>
      <c r="C2129" s="2" t="s">
        <v>1271</v>
      </c>
      <c r="D2129" s="716">
        <v>1</v>
      </c>
      <c r="E2129" s="4" t="s">
        <v>1</v>
      </c>
      <c r="F2129" s="47">
        <f t="shared" ref="F2129:I2129" si="758">G2129</f>
        <v>1</v>
      </c>
      <c r="G2129" s="47">
        <f t="shared" si="758"/>
        <v>1</v>
      </c>
      <c r="H2129" s="47">
        <f t="shared" si="758"/>
        <v>1</v>
      </c>
      <c r="I2129" s="47">
        <f t="shared" si="758"/>
        <v>1</v>
      </c>
      <c r="J2129" s="47">
        <f t="shared" si="706"/>
        <v>1</v>
      </c>
      <c r="K2129" s="47">
        <v>1</v>
      </c>
      <c r="L2129" s="47">
        <v>1</v>
      </c>
      <c r="M2129" s="893"/>
      <c r="N2129" s="20"/>
      <c r="O2129" s="20"/>
      <c r="P2129" s="20"/>
      <c r="Q2129" s="20"/>
      <c r="R2129" s="20"/>
    </row>
    <row r="2130" spans="1:18" s="103" customFormat="1" hidden="1" outlineLevel="1" x14ac:dyDescent="0.2">
      <c r="A2130" s="22" t="s">
        <v>1545</v>
      </c>
      <c r="B2130" s="2" t="s">
        <v>252</v>
      </c>
      <c r="C2130" s="2" t="s">
        <v>1271</v>
      </c>
      <c r="D2130" s="716">
        <v>1</v>
      </c>
      <c r="E2130" s="4" t="s">
        <v>13</v>
      </c>
      <c r="F2130" s="47">
        <f t="shared" ref="F2130:I2130" si="759">G2130</f>
        <v>1</v>
      </c>
      <c r="G2130" s="47">
        <f t="shared" si="759"/>
        <v>1</v>
      </c>
      <c r="H2130" s="47">
        <f t="shared" si="759"/>
        <v>1</v>
      </c>
      <c r="I2130" s="47">
        <f t="shared" si="759"/>
        <v>1</v>
      </c>
      <c r="J2130" s="47">
        <f t="shared" si="706"/>
        <v>1</v>
      </c>
      <c r="K2130" s="47">
        <v>1</v>
      </c>
      <c r="L2130" s="47">
        <v>1</v>
      </c>
      <c r="M2130" s="893"/>
      <c r="N2130" s="20"/>
      <c r="O2130" s="20"/>
      <c r="P2130" s="20"/>
      <c r="Q2130" s="20"/>
      <c r="R2130" s="20"/>
    </row>
    <row r="2131" spans="1:18" s="103" customFormat="1" hidden="1" outlineLevel="1" x14ac:dyDescent="0.2">
      <c r="A2131" s="22" t="s">
        <v>1545</v>
      </c>
      <c r="B2131" s="2" t="s">
        <v>252</v>
      </c>
      <c r="C2131" s="2" t="s">
        <v>1271</v>
      </c>
      <c r="D2131" s="716">
        <v>1</v>
      </c>
      <c r="E2131" s="4" t="s">
        <v>14</v>
      </c>
      <c r="F2131" s="47">
        <f t="shared" ref="F2131:I2131" si="760">G2131</f>
        <v>0</v>
      </c>
      <c r="G2131" s="47">
        <f t="shared" si="760"/>
        <v>0</v>
      </c>
      <c r="H2131" s="47">
        <f t="shared" si="760"/>
        <v>0</v>
      </c>
      <c r="I2131" s="47">
        <f t="shared" si="760"/>
        <v>0</v>
      </c>
      <c r="J2131" s="47">
        <f t="shared" si="706"/>
        <v>0</v>
      </c>
      <c r="K2131" s="47">
        <v>0</v>
      </c>
      <c r="L2131" s="47">
        <v>0</v>
      </c>
      <c r="M2131" s="893"/>
      <c r="N2131" s="20"/>
      <c r="O2131" s="20"/>
      <c r="P2131" s="20"/>
      <c r="Q2131" s="20"/>
      <c r="R2131" s="20"/>
    </row>
    <row r="2132" spans="1:18" s="103" customFormat="1" hidden="1" outlineLevel="1" x14ac:dyDescent="0.2">
      <c r="A2132" s="22" t="s">
        <v>1545</v>
      </c>
      <c r="B2132" s="2" t="s">
        <v>252</v>
      </c>
      <c r="C2132" s="2" t="s">
        <v>1271</v>
      </c>
      <c r="D2132" s="716">
        <v>1</v>
      </c>
      <c r="E2132" s="4" t="s">
        <v>15</v>
      </c>
      <c r="F2132" s="47">
        <f t="shared" ref="F2132:I2132" si="761">G2132</f>
        <v>0</v>
      </c>
      <c r="G2132" s="47">
        <f t="shared" si="761"/>
        <v>0</v>
      </c>
      <c r="H2132" s="47">
        <f t="shared" si="761"/>
        <v>0</v>
      </c>
      <c r="I2132" s="47">
        <f t="shared" si="761"/>
        <v>0</v>
      </c>
      <c r="J2132" s="47">
        <f t="shared" si="706"/>
        <v>0</v>
      </c>
      <c r="K2132" s="47">
        <v>0</v>
      </c>
      <c r="L2132" s="47">
        <v>0</v>
      </c>
      <c r="M2132" s="893"/>
      <c r="N2132" s="20"/>
      <c r="O2132" s="20"/>
      <c r="P2132" s="20"/>
      <c r="Q2132" s="20"/>
      <c r="R2132" s="20"/>
    </row>
    <row r="2133" spans="1:18" s="103" customFormat="1" hidden="1" outlineLevel="1" x14ac:dyDescent="0.2">
      <c r="A2133" s="22" t="s">
        <v>1545</v>
      </c>
      <c r="B2133" s="2" t="s">
        <v>252</v>
      </c>
      <c r="C2133" s="2" t="s">
        <v>1271</v>
      </c>
      <c r="D2133" s="716">
        <v>1</v>
      </c>
      <c r="E2133" s="4" t="s">
        <v>16</v>
      </c>
      <c r="F2133" s="47">
        <f t="shared" ref="F2133:I2133" si="762">G2133</f>
        <v>1</v>
      </c>
      <c r="G2133" s="47">
        <f t="shared" si="762"/>
        <v>1</v>
      </c>
      <c r="H2133" s="47">
        <f t="shared" si="762"/>
        <v>1</v>
      </c>
      <c r="I2133" s="47">
        <f t="shared" si="762"/>
        <v>1</v>
      </c>
      <c r="J2133" s="47">
        <f t="shared" si="706"/>
        <v>1</v>
      </c>
      <c r="K2133" s="47">
        <v>1</v>
      </c>
      <c r="L2133" s="47">
        <v>1</v>
      </c>
      <c r="M2133" s="893"/>
      <c r="N2133" s="20"/>
      <c r="O2133" s="20"/>
      <c r="P2133" s="20"/>
      <c r="Q2133" s="20"/>
      <c r="R2133" s="20"/>
    </row>
    <row r="2134" spans="1:18" s="103" customFormat="1" hidden="1" outlineLevel="1" x14ac:dyDescent="0.2">
      <c r="A2134" s="22" t="s">
        <v>1545</v>
      </c>
      <c r="B2134" s="2" t="s">
        <v>252</v>
      </c>
      <c r="C2134" s="2" t="s">
        <v>1271</v>
      </c>
      <c r="D2134" s="716">
        <v>1</v>
      </c>
      <c r="E2134" s="4" t="s">
        <v>17</v>
      </c>
      <c r="F2134" s="47">
        <f t="shared" ref="F2134:I2134" si="763">G2134</f>
        <v>0</v>
      </c>
      <c r="G2134" s="47">
        <f t="shared" si="763"/>
        <v>0</v>
      </c>
      <c r="H2134" s="47">
        <f t="shared" si="763"/>
        <v>0</v>
      </c>
      <c r="I2134" s="47">
        <f t="shared" si="763"/>
        <v>0</v>
      </c>
      <c r="J2134" s="47">
        <f t="shared" si="706"/>
        <v>0</v>
      </c>
      <c r="K2134" s="47">
        <v>0</v>
      </c>
      <c r="L2134" s="47">
        <v>0</v>
      </c>
      <c r="M2134" s="893"/>
      <c r="N2134" s="20"/>
      <c r="O2134" s="20"/>
      <c r="P2134" s="20"/>
      <c r="Q2134" s="20"/>
      <c r="R2134" s="20"/>
    </row>
    <row r="2135" spans="1:18" s="103" customFormat="1" hidden="1" outlineLevel="1" x14ac:dyDescent="0.2">
      <c r="A2135" s="22" t="s">
        <v>1545</v>
      </c>
      <c r="B2135" s="2" t="s">
        <v>252</v>
      </c>
      <c r="C2135" s="2" t="s">
        <v>1271</v>
      </c>
      <c r="D2135" s="716">
        <v>1</v>
      </c>
      <c r="E2135" s="4" t="s">
        <v>18</v>
      </c>
      <c r="F2135" s="47">
        <f t="shared" ref="F2135:I2135" si="764">G2135</f>
        <v>1</v>
      </c>
      <c r="G2135" s="47">
        <f t="shared" si="764"/>
        <v>1</v>
      </c>
      <c r="H2135" s="47">
        <f t="shared" si="764"/>
        <v>1</v>
      </c>
      <c r="I2135" s="47">
        <f t="shared" si="764"/>
        <v>1</v>
      </c>
      <c r="J2135" s="47">
        <f t="shared" si="706"/>
        <v>1</v>
      </c>
      <c r="K2135" s="47">
        <v>1</v>
      </c>
      <c r="L2135" s="47">
        <v>1</v>
      </c>
      <c r="M2135" s="893"/>
      <c r="N2135" s="20"/>
      <c r="O2135" s="20"/>
      <c r="P2135" s="20"/>
      <c r="Q2135" s="20"/>
      <c r="R2135" s="20"/>
    </row>
    <row r="2136" spans="1:18" s="103" customFormat="1" hidden="1" outlineLevel="1" x14ac:dyDescent="0.2">
      <c r="A2136" s="22" t="s">
        <v>1545</v>
      </c>
      <c r="B2136" s="2" t="s">
        <v>252</v>
      </c>
      <c r="C2136" s="2" t="s">
        <v>1271</v>
      </c>
      <c r="D2136" s="716">
        <v>1</v>
      </c>
      <c r="E2136" s="4" t="s">
        <v>2</v>
      </c>
      <c r="F2136" s="47">
        <f t="shared" ref="F2136:I2136" si="765">G2136</f>
        <v>1</v>
      </c>
      <c r="G2136" s="47">
        <f t="shared" si="765"/>
        <v>1</v>
      </c>
      <c r="H2136" s="47">
        <f t="shared" si="765"/>
        <v>1</v>
      </c>
      <c r="I2136" s="47">
        <f t="shared" si="765"/>
        <v>1</v>
      </c>
      <c r="J2136" s="47">
        <f t="shared" si="706"/>
        <v>1</v>
      </c>
      <c r="K2136" s="47">
        <v>1</v>
      </c>
      <c r="L2136" s="47">
        <v>1</v>
      </c>
      <c r="M2136" s="893"/>
      <c r="N2136" s="20"/>
      <c r="O2136" s="20"/>
      <c r="P2136" s="20"/>
      <c r="Q2136" s="20"/>
      <c r="R2136" s="20"/>
    </row>
    <row r="2137" spans="1:18" s="103" customFormat="1" hidden="1" outlineLevel="1" x14ac:dyDescent="0.2">
      <c r="A2137" s="22" t="s">
        <v>1545</v>
      </c>
      <c r="B2137" s="2" t="s">
        <v>252</v>
      </c>
      <c r="C2137" s="2" t="s">
        <v>1271</v>
      </c>
      <c r="D2137" s="716">
        <v>1</v>
      </c>
      <c r="E2137" s="4" t="s">
        <v>19</v>
      </c>
      <c r="F2137" s="47">
        <f t="shared" ref="F2137:I2137" si="766">G2137</f>
        <v>1</v>
      </c>
      <c r="G2137" s="47">
        <f t="shared" si="766"/>
        <v>1</v>
      </c>
      <c r="H2137" s="47">
        <f t="shared" si="766"/>
        <v>1</v>
      </c>
      <c r="I2137" s="47">
        <f t="shared" si="766"/>
        <v>1</v>
      </c>
      <c r="J2137" s="47">
        <f t="shared" si="706"/>
        <v>1</v>
      </c>
      <c r="K2137" s="47">
        <v>1</v>
      </c>
      <c r="L2137" s="47">
        <v>1</v>
      </c>
      <c r="M2137" s="893"/>
      <c r="N2137" s="20"/>
      <c r="O2137" s="20"/>
      <c r="P2137" s="20"/>
      <c r="Q2137" s="20"/>
      <c r="R2137" s="20"/>
    </row>
    <row r="2138" spans="1:18" s="103" customFormat="1" hidden="1" outlineLevel="1" x14ac:dyDescent="0.2">
      <c r="A2138" s="22" t="s">
        <v>1545</v>
      </c>
      <c r="B2138" s="2" t="s">
        <v>252</v>
      </c>
      <c r="C2138" s="2" t="s">
        <v>1271</v>
      </c>
      <c r="D2138" s="716">
        <v>1</v>
      </c>
      <c r="E2138" s="4" t="s">
        <v>3</v>
      </c>
      <c r="F2138" s="47">
        <f t="shared" ref="F2138:I2138" si="767">G2138</f>
        <v>0</v>
      </c>
      <c r="G2138" s="47">
        <f t="shared" si="767"/>
        <v>0</v>
      </c>
      <c r="H2138" s="47">
        <f t="shared" si="767"/>
        <v>0</v>
      </c>
      <c r="I2138" s="47">
        <f t="shared" si="767"/>
        <v>0</v>
      </c>
      <c r="J2138" s="47">
        <f t="shared" si="706"/>
        <v>0</v>
      </c>
      <c r="K2138" s="47">
        <v>0</v>
      </c>
      <c r="L2138" s="47">
        <v>0</v>
      </c>
      <c r="M2138" s="893"/>
      <c r="N2138" s="20"/>
      <c r="O2138" s="20"/>
      <c r="P2138" s="20"/>
      <c r="Q2138" s="20"/>
      <c r="R2138" s="20"/>
    </row>
    <row r="2139" spans="1:18" s="103" customFormat="1" hidden="1" outlineLevel="1" x14ac:dyDescent="0.2">
      <c r="A2139" s="22" t="s">
        <v>1545</v>
      </c>
      <c r="B2139" s="2" t="s">
        <v>252</v>
      </c>
      <c r="C2139" s="2" t="s">
        <v>1271</v>
      </c>
      <c r="D2139" s="716">
        <v>1</v>
      </c>
      <c r="E2139" s="4" t="s">
        <v>20</v>
      </c>
      <c r="F2139" s="47">
        <f t="shared" ref="F2139:I2139" si="768">G2139</f>
        <v>1</v>
      </c>
      <c r="G2139" s="47">
        <f t="shared" si="768"/>
        <v>1</v>
      </c>
      <c r="H2139" s="47">
        <f t="shared" si="768"/>
        <v>1</v>
      </c>
      <c r="I2139" s="47">
        <f t="shared" si="768"/>
        <v>1</v>
      </c>
      <c r="J2139" s="47">
        <f t="shared" si="706"/>
        <v>1</v>
      </c>
      <c r="K2139" s="47">
        <v>1</v>
      </c>
      <c r="L2139" s="47">
        <v>1</v>
      </c>
      <c r="M2139" s="893"/>
      <c r="N2139" s="20"/>
      <c r="O2139" s="20"/>
      <c r="P2139" s="20"/>
      <c r="Q2139" s="20"/>
      <c r="R2139" s="20"/>
    </row>
    <row r="2140" spans="1:18" s="103" customFormat="1" hidden="1" outlineLevel="1" x14ac:dyDescent="0.2">
      <c r="A2140" s="22" t="s">
        <v>1545</v>
      </c>
      <c r="B2140" s="2" t="s">
        <v>252</v>
      </c>
      <c r="C2140" s="2" t="s">
        <v>1271</v>
      </c>
      <c r="D2140" s="716">
        <v>1</v>
      </c>
      <c r="E2140" s="4" t="s">
        <v>21</v>
      </c>
      <c r="F2140" s="47">
        <f t="shared" ref="F2140:I2140" si="769">G2140</f>
        <v>0</v>
      </c>
      <c r="G2140" s="47">
        <f t="shared" si="769"/>
        <v>0</v>
      </c>
      <c r="H2140" s="47">
        <f t="shared" si="769"/>
        <v>0</v>
      </c>
      <c r="I2140" s="47">
        <f t="shared" si="769"/>
        <v>0</v>
      </c>
      <c r="J2140" s="47">
        <f t="shared" si="706"/>
        <v>0</v>
      </c>
      <c r="K2140" s="47">
        <v>0</v>
      </c>
      <c r="L2140" s="47">
        <v>0</v>
      </c>
      <c r="M2140" s="893"/>
      <c r="N2140" s="20"/>
      <c r="O2140" s="20"/>
      <c r="P2140" s="20"/>
      <c r="Q2140" s="20"/>
      <c r="R2140" s="20"/>
    </row>
    <row r="2141" spans="1:18" s="103" customFormat="1" hidden="1" outlineLevel="1" x14ac:dyDescent="0.2">
      <c r="A2141" s="22" t="s">
        <v>1545</v>
      </c>
      <c r="B2141" s="2" t="s">
        <v>252</v>
      </c>
      <c r="C2141" s="2" t="s">
        <v>1271</v>
      </c>
      <c r="D2141" s="716">
        <v>1</v>
      </c>
      <c r="E2141" s="4" t="s">
        <v>1096</v>
      </c>
      <c r="F2141" s="47">
        <f t="shared" ref="F2141:I2141" si="770">G2141</f>
        <v>0</v>
      </c>
      <c r="G2141" s="47">
        <f t="shared" si="770"/>
        <v>0</v>
      </c>
      <c r="H2141" s="47">
        <f t="shared" si="770"/>
        <v>0</v>
      </c>
      <c r="I2141" s="47">
        <f t="shared" si="770"/>
        <v>0</v>
      </c>
      <c r="J2141" s="47">
        <f t="shared" ref="J2141:J2204" si="771">K2141</f>
        <v>0</v>
      </c>
      <c r="K2141" s="47">
        <v>0</v>
      </c>
      <c r="L2141" s="47">
        <v>0</v>
      </c>
      <c r="M2141" s="893"/>
      <c r="N2141" s="20"/>
      <c r="O2141" s="20"/>
      <c r="P2141" s="20"/>
      <c r="Q2141" s="20"/>
      <c r="R2141" s="20"/>
    </row>
    <row r="2142" spans="1:18" s="103" customFormat="1" hidden="1" outlineLevel="1" x14ac:dyDescent="0.2">
      <c r="A2142" s="22" t="s">
        <v>1545</v>
      </c>
      <c r="B2142" s="2" t="s">
        <v>252</v>
      </c>
      <c r="C2142" s="2" t="s">
        <v>1271</v>
      </c>
      <c r="D2142" s="716">
        <v>1</v>
      </c>
      <c r="E2142" s="4" t="s">
        <v>22</v>
      </c>
      <c r="F2142" s="47">
        <f t="shared" ref="F2142:I2142" si="772">G2142</f>
        <v>0</v>
      </c>
      <c r="G2142" s="47">
        <f t="shared" si="772"/>
        <v>0</v>
      </c>
      <c r="H2142" s="47">
        <f t="shared" si="772"/>
        <v>0</v>
      </c>
      <c r="I2142" s="47">
        <f t="shared" si="772"/>
        <v>0</v>
      </c>
      <c r="J2142" s="47">
        <f t="shared" si="771"/>
        <v>0</v>
      </c>
      <c r="K2142" s="47">
        <v>0</v>
      </c>
      <c r="L2142" s="47">
        <v>0</v>
      </c>
      <c r="M2142" s="893"/>
      <c r="N2142" s="20"/>
      <c r="O2142" s="20"/>
      <c r="P2142" s="20"/>
      <c r="Q2142" s="20"/>
      <c r="R2142" s="20"/>
    </row>
    <row r="2143" spans="1:18" s="103" customFormat="1" hidden="1" outlineLevel="1" x14ac:dyDescent="0.2">
      <c r="A2143" s="22" t="s">
        <v>1545</v>
      </c>
      <c r="B2143" s="2" t="s">
        <v>252</v>
      </c>
      <c r="C2143" s="2" t="s">
        <v>1271</v>
      </c>
      <c r="D2143" s="717">
        <v>1</v>
      </c>
      <c r="E2143" s="4" t="s">
        <v>23</v>
      </c>
      <c r="F2143" s="48">
        <f t="shared" ref="F2143:I2143" si="773">G2143</f>
        <v>0</v>
      </c>
      <c r="G2143" s="48">
        <f t="shared" si="773"/>
        <v>0</v>
      </c>
      <c r="H2143" s="48">
        <f t="shared" si="773"/>
        <v>0</v>
      </c>
      <c r="I2143" s="48">
        <f t="shared" si="773"/>
        <v>0</v>
      </c>
      <c r="J2143" s="48">
        <f t="shared" si="771"/>
        <v>0</v>
      </c>
      <c r="K2143" s="363">
        <v>0</v>
      </c>
      <c r="L2143" s="363">
        <v>0</v>
      </c>
      <c r="M2143" s="920"/>
      <c r="N2143" s="20"/>
      <c r="O2143" s="20"/>
      <c r="P2143" s="20"/>
      <c r="Q2143" s="20"/>
      <c r="R2143" s="20"/>
    </row>
    <row r="2144" spans="1:18" s="103" customFormat="1" hidden="1" outlineLevel="1" x14ac:dyDescent="0.2">
      <c r="A2144" s="92" t="s">
        <v>1545</v>
      </c>
      <c r="B2144" s="81" t="s">
        <v>252</v>
      </c>
      <c r="C2144" s="81" t="s">
        <v>1272</v>
      </c>
      <c r="D2144" s="715">
        <v>1</v>
      </c>
      <c r="E2144" s="468" t="s">
        <v>4</v>
      </c>
      <c r="F2144" s="380">
        <f t="shared" ref="F2144:I2144" si="774">G2144</f>
        <v>1</v>
      </c>
      <c r="G2144" s="89">
        <f t="shared" si="774"/>
        <v>1</v>
      </c>
      <c r="H2144" s="89">
        <f t="shared" si="774"/>
        <v>1</v>
      </c>
      <c r="I2144" s="89">
        <f t="shared" si="774"/>
        <v>1</v>
      </c>
      <c r="J2144" s="89">
        <f t="shared" si="771"/>
        <v>1</v>
      </c>
      <c r="K2144" s="380">
        <v>1</v>
      </c>
      <c r="L2144" s="380">
        <v>1</v>
      </c>
      <c r="M2144" s="892"/>
      <c r="N2144" s="20"/>
      <c r="O2144" s="20"/>
      <c r="P2144" s="20"/>
      <c r="Q2144" s="20"/>
      <c r="R2144" s="20"/>
    </row>
    <row r="2145" spans="1:18" s="103" customFormat="1" hidden="1" outlineLevel="1" x14ac:dyDescent="0.2">
      <c r="A2145" s="22" t="s">
        <v>1545</v>
      </c>
      <c r="B2145" s="2" t="s">
        <v>252</v>
      </c>
      <c r="C2145" s="2" t="s">
        <v>1272</v>
      </c>
      <c r="D2145" s="716">
        <v>1</v>
      </c>
      <c r="E2145" s="4" t="s">
        <v>5</v>
      </c>
      <c r="F2145" s="47">
        <f t="shared" ref="F2145:I2145" si="775">G2145</f>
        <v>0</v>
      </c>
      <c r="G2145" s="47">
        <f t="shared" si="775"/>
        <v>0</v>
      </c>
      <c r="H2145" s="47">
        <f t="shared" si="775"/>
        <v>0</v>
      </c>
      <c r="I2145" s="47">
        <f t="shared" si="775"/>
        <v>0</v>
      </c>
      <c r="J2145" s="47">
        <f t="shared" si="771"/>
        <v>0</v>
      </c>
      <c r="K2145" s="47">
        <v>0</v>
      </c>
      <c r="L2145" s="47">
        <v>0</v>
      </c>
      <c r="M2145" s="893"/>
      <c r="N2145" s="20"/>
      <c r="O2145" s="20"/>
      <c r="P2145" s="20"/>
      <c r="Q2145" s="20"/>
      <c r="R2145" s="20"/>
    </row>
    <row r="2146" spans="1:18" s="103" customFormat="1" hidden="1" outlineLevel="1" x14ac:dyDescent="0.2">
      <c r="A2146" s="22" t="s">
        <v>1545</v>
      </c>
      <c r="B2146" s="2" t="s">
        <v>252</v>
      </c>
      <c r="C2146" s="2" t="s">
        <v>1272</v>
      </c>
      <c r="D2146" s="716">
        <v>1</v>
      </c>
      <c r="E2146" s="4" t="s">
        <v>6</v>
      </c>
      <c r="F2146" s="47">
        <f t="shared" ref="F2146:I2146" si="776">G2146</f>
        <v>0</v>
      </c>
      <c r="G2146" s="47">
        <f t="shared" si="776"/>
        <v>0</v>
      </c>
      <c r="H2146" s="47">
        <f t="shared" si="776"/>
        <v>0</v>
      </c>
      <c r="I2146" s="47">
        <f t="shared" si="776"/>
        <v>0</v>
      </c>
      <c r="J2146" s="47">
        <f t="shared" si="771"/>
        <v>0</v>
      </c>
      <c r="K2146" s="47">
        <v>0</v>
      </c>
      <c r="L2146" s="47">
        <v>0</v>
      </c>
      <c r="M2146" s="893"/>
      <c r="N2146" s="20"/>
      <c r="O2146" s="20"/>
      <c r="P2146" s="20"/>
      <c r="Q2146" s="20"/>
      <c r="R2146" s="20"/>
    </row>
    <row r="2147" spans="1:18" s="103" customFormat="1" hidden="1" outlineLevel="1" x14ac:dyDescent="0.2">
      <c r="A2147" s="22" t="s">
        <v>1545</v>
      </c>
      <c r="B2147" s="2" t="s">
        <v>252</v>
      </c>
      <c r="C2147" s="2" t="s">
        <v>1272</v>
      </c>
      <c r="D2147" s="716">
        <v>1</v>
      </c>
      <c r="E2147" s="4" t="s">
        <v>143</v>
      </c>
      <c r="F2147" s="47">
        <f t="shared" ref="F2147:I2147" si="777">G2147</f>
        <v>0</v>
      </c>
      <c r="G2147" s="47">
        <f t="shared" si="777"/>
        <v>0</v>
      </c>
      <c r="H2147" s="47">
        <f t="shared" si="777"/>
        <v>0</v>
      </c>
      <c r="I2147" s="47">
        <f t="shared" si="777"/>
        <v>0</v>
      </c>
      <c r="J2147" s="47">
        <f t="shared" si="771"/>
        <v>0</v>
      </c>
      <c r="K2147" s="47">
        <v>0</v>
      </c>
      <c r="L2147" s="47">
        <v>0</v>
      </c>
      <c r="M2147" s="893"/>
      <c r="N2147" s="20"/>
      <c r="O2147" s="20"/>
      <c r="P2147" s="20"/>
      <c r="Q2147" s="20"/>
      <c r="R2147" s="20"/>
    </row>
    <row r="2148" spans="1:18" s="103" customFormat="1" hidden="1" outlineLevel="1" x14ac:dyDescent="0.2">
      <c r="A2148" s="22" t="s">
        <v>1545</v>
      </c>
      <c r="B2148" s="2" t="s">
        <v>252</v>
      </c>
      <c r="C2148" s="2" t="s">
        <v>1272</v>
      </c>
      <c r="D2148" s="716">
        <v>1</v>
      </c>
      <c r="E2148" s="4" t="s">
        <v>7</v>
      </c>
      <c r="F2148" s="47">
        <f t="shared" ref="F2148:I2148" si="778">G2148</f>
        <v>0</v>
      </c>
      <c r="G2148" s="47">
        <f t="shared" si="778"/>
        <v>0</v>
      </c>
      <c r="H2148" s="47">
        <f t="shared" si="778"/>
        <v>0</v>
      </c>
      <c r="I2148" s="47">
        <f t="shared" si="778"/>
        <v>0</v>
      </c>
      <c r="J2148" s="47">
        <f t="shared" si="771"/>
        <v>0</v>
      </c>
      <c r="K2148" s="47">
        <v>0</v>
      </c>
      <c r="L2148" s="47">
        <v>0</v>
      </c>
      <c r="M2148" s="893"/>
      <c r="N2148" s="20"/>
      <c r="O2148" s="20"/>
      <c r="P2148" s="20"/>
      <c r="Q2148" s="20"/>
      <c r="R2148" s="20"/>
    </row>
    <row r="2149" spans="1:18" s="103" customFormat="1" hidden="1" outlineLevel="1" x14ac:dyDescent="0.2">
      <c r="A2149" s="22" t="s">
        <v>1545</v>
      </c>
      <c r="B2149" s="2" t="s">
        <v>252</v>
      </c>
      <c r="C2149" s="2" t="s">
        <v>1272</v>
      </c>
      <c r="D2149" s="716">
        <v>1</v>
      </c>
      <c r="E2149" s="4" t="s">
        <v>31</v>
      </c>
      <c r="F2149" s="47">
        <f t="shared" ref="F2149:I2149" si="779">G2149</f>
        <v>0</v>
      </c>
      <c r="G2149" s="47">
        <f t="shared" si="779"/>
        <v>0</v>
      </c>
      <c r="H2149" s="47">
        <f t="shared" si="779"/>
        <v>0</v>
      </c>
      <c r="I2149" s="47">
        <f t="shared" si="779"/>
        <v>0</v>
      </c>
      <c r="J2149" s="47">
        <f t="shared" si="771"/>
        <v>0</v>
      </c>
      <c r="K2149" s="47">
        <v>0</v>
      </c>
      <c r="L2149" s="47">
        <v>0</v>
      </c>
      <c r="M2149" s="893"/>
      <c r="N2149" s="20"/>
      <c r="O2149" s="20"/>
      <c r="P2149" s="20"/>
      <c r="Q2149" s="20"/>
      <c r="R2149" s="20"/>
    </row>
    <row r="2150" spans="1:18" s="103" customFormat="1" hidden="1" outlineLevel="1" x14ac:dyDescent="0.2">
      <c r="A2150" s="22" t="s">
        <v>1545</v>
      </c>
      <c r="B2150" s="2" t="s">
        <v>252</v>
      </c>
      <c r="C2150" s="2" t="s">
        <v>1272</v>
      </c>
      <c r="D2150" s="716">
        <v>1</v>
      </c>
      <c r="E2150" s="4" t="s">
        <v>8</v>
      </c>
      <c r="F2150" s="47">
        <f t="shared" ref="F2150:I2150" si="780">G2150</f>
        <v>0</v>
      </c>
      <c r="G2150" s="47">
        <f t="shared" si="780"/>
        <v>0</v>
      </c>
      <c r="H2150" s="47">
        <f t="shared" si="780"/>
        <v>0</v>
      </c>
      <c r="I2150" s="47">
        <f t="shared" si="780"/>
        <v>0</v>
      </c>
      <c r="J2150" s="47">
        <f t="shared" si="771"/>
        <v>0</v>
      </c>
      <c r="K2150" s="47">
        <v>0</v>
      </c>
      <c r="L2150" s="47">
        <v>1</v>
      </c>
      <c r="M2150" s="893"/>
      <c r="N2150" s="20"/>
      <c r="O2150" s="20"/>
      <c r="P2150" s="20"/>
      <c r="Q2150" s="20"/>
      <c r="R2150" s="20"/>
    </row>
    <row r="2151" spans="1:18" s="103" customFormat="1" hidden="1" outlineLevel="1" x14ac:dyDescent="0.2">
      <c r="A2151" s="22" t="s">
        <v>1545</v>
      </c>
      <c r="B2151" s="2" t="s">
        <v>252</v>
      </c>
      <c r="C2151" s="2" t="s">
        <v>1272</v>
      </c>
      <c r="D2151" s="716">
        <v>1</v>
      </c>
      <c r="E2151" s="4" t="s">
        <v>9</v>
      </c>
      <c r="F2151" s="47">
        <f t="shared" ref="F2151:I2151" si="781">G2151</f>
        <v>0</v>
      </c>
      <c r="G2151" s="47">
        <f t="shared" si="781"/>
        <v>0</v>
      </c>
      <c r="H2151" s="47">
        <f t="shared" si="781"/>
        <v>0</v>
      </c>
      <c r="I2151" s="47">
        <f t="shared" si="781"/>
        <v>0</v>
      </c>
      <c r="J2151" s="47">
        <f t="shared" si="771"/>
        <v>0</v>
      </c>
      <c r="K2151" s="47">
        <v>0</v>
      </c>
      <c r="L2151" s="47">
        <v>0</v>
      </c>
      <c r="M2151" s="893"/>
      <c r="N2151" s="20"/>
      <c r="O2151" s="20"/>
      <c r="P2151" s="20"/>
      <c r="Q2151" s="20"/>
      <c r="R2151" s="20"/>
    </row>
    <row r="2152" spans="1:18" s="103" customFormat="1" hidden="1" outlineLevel="1" x14ac:dyDescent="0.2">
      <c r="A2152" s="22" t="s">
        <v>1545</v>
      </c>
      <c r="B2152" s="2" t="s">
        <v>252</v>
      </c>
      <c r="C2152" s="2" t="s">
        <v>1272</v>
      </c>
      <c r="D2152" s="716">
        <v>1</v>
      </c>
      <c r="E2152" s="4" t="s">
        <v>10</v>
      </c>
      <c r="F2152" s="47">
        <f t="shared" ref="F2152:I2152" si="782">G2152</f>
        <v>0</v>
      </c>
      <c r="G2152" s="47">
        <f t="shared" si="782"/>
        <v>0</v>
      </c>
      <c r="H2152" s="47">
        <f t="shared" si="782"/>
        <v>0</v>
      </c>
      <c r="I2152" s="47">
        <f t="shared" si="782"/>
        <v>0</v>
      </c>
      <c r="J2152" s="47">
        <f t="shared" si="771"/>
        <v>0</v>
      </c>
      <c r="K2152" s="47">
        <v>0</v>
      </c>
      <c r="L2152" s="47">
        <v>0</v>
      </c>
      <c r="M2152" s="893"/>
      <c r="N2152" s="20"/>
      <c r="O2152" s="20"/>
      <c r="P2152" s="20"/>
      <c r="Q2152" s="20"/>
      <c r="R2152" s="20"/>
    </row>
    <row r="2153" spans="1:18" s="103" customFormat="1" hidden="1" outlineLevel="1" x14ac:dyDescent="0.2">
      <c r="A2153" s="22" t="s">
        <v>1545</v>
      </c>
      <c r="B2153" s="2" t="s">
        <v>252</v>
      </c>
      <c r="C2153" s="2" t="s">
        <v>1272</v>
      </c>
      <c r="D2153" s="716">
        <v>1</v>
      </c>
      <c r="E2153" s="4" t="s">
        <v>11</v>
      </c>
      <c r="F2153" s="47">
        <f t="shared" ref="F2153:I2153" si="783">G2153</f>
        <v>0</v>
      </c>
      <c r="G2153" s="47">
        <f t="shared" si="783"/>
        <v>0</v>
      </c>
      <c r="H2153" s="47">
        <f t="shared" si="783"/>
        <v>0</v>
      </c>
      <c r="I2153" s="47">
        <f t="shared" si="783"/>
        <v>0</v>
      </c>
      <c r="J2153" s="47">
        <f t="shared" si="771"/>
        <v>0</v>
      </c>
      <c r="K2153" s="47">
        <v>0</v>
      </c>
      <c r="L2153" s="47">
        <v>0</v>
      </c>
      <c r="M2153" s="893"/>
      <c r="N2153" s="20"/>
      <c r="O2153" s="20"/>
      <c r="P2153" s="20"/>
      <c r="Q2153" s="20"/>
      <c r="R2153" s="20"/>
    </row>
    <row r="2154" spans="1:18" s="103" customFormat="1" hidden="1" outlineLevel="1" x14ac:dyDescent="0.2">
      <c r="A2154" s="22" t="s">
        <v>1545</v>
      </c>
      <c r="B2154" s="2" t="s">
        <v>252</v>
      </c>
      <c r="C2154" s="2" t="s">
        <v>1272</v>
      </c>
      <c r="D2154" s="716">
        <v>1</v>
      </c>
      <c r="E2154" s="4" t="s">
        <v>12</v>
      </c>
      <c r="F2154" s="47">
        <f t="shared" ref="F2154:I2154" si="784">G2154</f>
        <v>0</v>
      </c>
      <c r="G2154" s="47">
        <f t="shared" si="784"/>
        <v>0</v>
      </c>
      <c r="H2154" s="47">
        <f t="shared" si="784"/>
        <v>0</v>
      </c>
      <c r="I2154" s="47">
        <f t="shared" si="784"/>
        <v>0</v>
      </c>
      <c r="J2154" s="47">
        <f t="shared" si="771"/>
        <v>0</v>
      </c>
      <c r="K2154" s="47">
        <v>0</v>
      </c>
      <c r="L2154" s="47">
        <v>0</v>
      </c>
      <c r="M2154" s="893"/>
      <c r="N2154" s="20"/>
      <c r="O2154" s="20"/>
      <c r="P2154" s="20"/>
      <c r="Q2154" s="20"/>
      <c r="R2154" s="20"/>
    </row>
    <row r="2155" spans="1:18" s="103" customFormat="1" hidden="1" outlineLevel="1" x14ac:dyDescent="0.2">
      <c r="A2155" s="22" t="s">
        <v>1545</v>
      </c>
      <c r="B2155" s="2" t="s">
        <v>252</v>
      </c>
      <c r="C2155" s="2" t="s">
        <v>1272</v>
      </c>
      <c r="D2155" s="716">
        <v>1</v>
      </c>
      <c r="E2155" s="4" t="s">
        <v>1</v>
      </c>
      <c r="F2155" s="47">
        <f t="shared" ref="F2155:I2155" si="785">G2155</f>
        <v>0</v>
      </c>
      <c r="G2155" s="47">
        <f t="shared" si="785"/>
        <v>0</v>
      </c>
      <c r="H2155" s="47">
        <f t="shared" si="785"/>
        <v>0</v>
      </c>
      <c r="I2155" s="47">
        <f t="shared" si="785"/>
        <v>0</v>
      </c>
      <c r="J2155" s="47">
        <f t="shared" si="771"/>
        <v>0</v>
      </c>
      <c r="K2155" s="47">
        <v>0</v>
      </c>
      <c r="L2155" s="47">
        <v>0</v>
      </c>
      <c r="M2155" s="893"/>
      <c r="N2155" s="20"/>
      <c r="O2155" s="20"/>
      <c r="P2155" s="20"/>
      <c r="Q2155" s="20"/>
      <c r="R2155" s="20"/>
    </row>
    <row r="2156" spans="1:18" s="103" customFormat="1" hidden="1" outlineLevel="1" x14ac:dyDescent="0.2">
      <c r="A2156" s="22" t="s">
        <v>1545</v>
      </c>
      <c r="B2156" s="2" t="s">
        <v>252</v>
      </c>
      <c r="C2156" s="2" t="s">
        <v>1272</v>
      </c>
      <c r="D2156" s="716">
        <v>1</v>
      </c>
      <c r="E2156" s="4" t="s">
        <v>13</v>
      </c>
      <c r="F2156" s="47">
        <f t="shared" ref="F2156:I2156" si="786">G2156</f>
        <v>0</v>
      </c>
      <c r="G2156" s="47">
        <f t="shared" si="786"/>
        <v>0</v>
      </c>
      <c r="H2156" s="47">
        <f t="shared" si="786"/>
        <v>0</v>
      </c>
      <c r="I2156" s="47">
        <f t="shared" si="786"/>
        <v>0</v>
      </c>
      <c r="J2156" s="47">
        <f t="shared" si="771"/>
        <v>0</v>
      </c>
      <c r="K2156" s="47">
        <v>0</v>
      </c>
      <c r="L2156" s="47">
        <v>0</v>
      </c>
      <c r="M2156" s="893"/>
      <c r="N2156" s="20"/>
      <c r="O2156" s="20"/>
      <c r="P2156" s="20"/>
      <c r="Q2156" s="20"/>
      <c r="R2156" s="20"/>
    </row>
    <row r="2157" spans="1:18" s="103" customFormat="1" hidden="1" outlineLevel="1" x14ac:dyDescent="0.2">
      <c r="A2157" s="22" t="s">
        <v>1545</v>
      </c>
      <c r="B2157" s="2" t="s">
        <v>252</v>
      </c>
      <c r="C2157" s="2" t="s">
        <v>1272</v>
      </c>
      <c r="D2157" s="716">
        <v>1</v>
      </c>
      <c r="E2157" s="4" t="s">
        <v>14</v>
      </c>
      <c r="F2157" s="47">
        <f t="shared" ref="F2157:I2157" si="787">G2157</f>
        <v>0</v>
      </c>
      <c r="G2157" s="47">
        <f t="shared" si="787"/>
        <v>0</v>
      </c>
      <c r="H2157" s="47">
        <f t="shared" si="787"/>
        <v>0</v>
      </c>
      <c r="I2157" s="47">
        <f t="shared" si="787"/>
        <v>0</v>
      </c>
      <c r="J2157" s="47">
        <f t="shared" si="771"/>
        <v>0</v>
      </c>
      <c r="K2157" s="47">
        <v>0</v>
      </c>
      <c r="L2157" s="47">
        <v>0</v>
      </c>
      <c r="M2157" s="893"/>
      <c r="N2157" s="20"/>
      <c r="O2157" s="20"/>
      <c r="P2157" s="20"/>
      <c r="Q2157" s="20"/>
      <c r="R2157" s="20"/>
    </row>
    <row r="2158" spans="1:18" s="103" customFormat="1" hidden="1" outlineLevel="1" x14ac:dyDescent="0.2">
      <c r="A2158" s="22" t="s">
        <v>1545</v>
      </c>
      <c r="B2158" s="2" t="s">
        <v>252</v>
      </c>
      <c r="C2158" s="2" t="s">
        <v>1272</v>
      </c>
      <c r="D2158" s="716">
        <v>1</v>
      </c>
      <c r="E2158" s="4" t="s">
        <v>15</v>
      </c>
      <c r="F2158" s="47">
        <f t="shared" ref="F2158:I2158" si="788">G2158</f>
        <v>0</v>
      </c>
      <c r="G2158" s="47">
        <f t="shared" si="788"/>
        <v>0</v>
      </c>
      <c r="H2158" s="47">
        <f t="shared" si="788"/>
        <v>0</v>
      </c>
      <c r="I2158" s="47">
        <f t="shared" si="788"/>
        <v>0</v>
      </c>
      <c r="J2158" s="47">
        <f t="shared" si="771"/>
        <v>0</v>
      </c>
      <c r="K2158" s="47">
        <v>0</v>
      </c>
      <c r="L2158" s="47">
        <v>0</v>
      </c>
      <c r="M2158" s="893"/>
      <c r="N2158" s="20"/>
      <c r="O2158" s="20"/>
      <c r="P2158" s="20"/>
      <c r="Q2158" s="20"/>
      <c r="R2158" s="20"/>
    </row>
    <row r="2159" spans="1:18" s="103" customFormat="1" hidden="1" outlineLevel="1" x14ac:dyDescent="0.2">
      <c r="A2159" s="22" t="s">
        <v>1545</v>
      </c>
      <c r="B2159" s="2" t="s">
        <v>252</v>
      </c>
      <c r="C2159" s="2" t="s">
        <v>1272</v>
      </c>
      <c r="D2159" s="716">
        <v>1</v>
      </c>
      <c r="E2159" s="4" t="s">
        <v>16</v>
      </c>
      <c r="F2159" s="47">
        <f t="shared" ref="F2159:I2159" si="789">G2159</f>
        <v>0</v>
      </c>
      <c r="G2159" s="47">
        <f t="shared" si="789"/>
        <v>0</v>
      </c>
      <c r="H2159" s="47">
        <f t="shared" si="789"/>
        <v>0</v>
      </c>
      <c r="I2159" s="47">
        <f t="shared" si="789"/>
        <v>0</v>
      </c>
      <c r="J2159" s="47">
        <f t="shared" si="771"/>
        <v>0</v>
      </c>
      <c r="K2159" s="47">
        <v>0</v>
      </c>
      <c r="L2159" s="47">
        <v>0</v>
      </c>
      <c r="M2159" s="893"/>
      <c r="N2159" s="20"/>
      <c r="O2159" s="20"/>
      <c r="P2159" s="20"/>
      <c r="Q2159" s="20"/>
      <c r="R2159" s="20"/>
    </row>
    <row r="2160" spans="1:18" s="103" customFormat="1" hidden="1" outlineLevel="1" x14ac:dyDescent="0.2">
      <c r="A2160" s="22" t="s">
        <v>1545</v>
      </c>
      <c r="B2160" s="2" t="s">
        <v>252</v>
      </c>
      <c r="C2160" s="2" t="s">
        <v>1272</v>
      </c>
      <c r="D2160" s="716">
        <v>1</v>
      </c>
      <c r="E2160" s="4" t="s">
        <v>17</v>
      </c>
      <c r="F2160" s="47">
        <f t="shared" ref="F2160:I2160" si="790">G2160</f>
        <v>0</v>
      </c>
      <c r="G2160" s="47">
        <f t="shared" si="790"/>
        <v>0</v>
      </c>
      <c r="H2160" s="47">
        <f t="shared" si="790"/>
        <v>0</v>
      </c>
      <c r="I2160" s="47">
        <f t="shared" si="790"/>
        <v>0</v>
      </c>
      <c r="J2160" s="47">
        <f t="shared" si="771"/>
        <v>0</v>
      </c>
      <c r="K2160" s="47">
        <v>0</v>
      </c>
      <c r="L2160" s="47">
        <v>0</v>
      </c>
      <c r="M2160" s="893"/>
      <c r="N2160" s="20"/>
      <c r="O2160" s="20"/>
      <c r="P2160" s="20"/>
      <c r="Q2160" s="20"/>
      <c r="R2160" s="20"/>
    </row>
    <row r="2161" spans="1:18" s="103" customFormat="1" hidden="1" outlineLevel="1" x14ac:dyDescent="0.2">
      <c r="A2161" s="22" t="s">
        <v>1545</v>
      </c>
      <c r="B2161" s="2" t="s">
        <v>252</v>
      </c>
      <c r="C2161" s="2" t="s">
        <v>1272</v>
      </c>
      <c r="D2161" s="716">
        <v>1</v>
      </c>
      <c r="E2161" s="4" t="s">
        <v>18</v>
      </c>
      <c r="F2161" s="47">
        <f t="shared" ref="F2161:I2161" si="791">G2161</f>
        <v>0</v>
      </c>
      <c r="G2161" s="47">
        <f t="shared" si="791"/>
        <v>0</v>
      </c>
      <c r="H2161" s="47">
        <f t="shared" si="791"/>
        <v>0</v>
      </c>
      <c r="I2161" s="47">
        <f t="shared" si="791"/>
        <v>0</v>
      </c>
      <c r="J2161" s="47">
        <f t="shared" si="771"/>
        <v>0</v>
      </c>
      <c r="K2161" s="47">
        <v>0</v>
      </c>
      <c r="L2161" s="47">
        <v>1</v>
      </c>
      <c r="M2161" s="893"/>
      <c r="N2161" s="20"/>
      <c r="O2161" s="20"/>
      <c r="P2161" s="20"/>
      <c r="Q2161" s="20"/>
      <c r="R2161" s="20"/>
    </row>
    <row r="2162" spans="1:18" s="103" customFormat="1" hidden="1" outlineLevel="1" x14ac:dyDescent="0.2">
      <c r="A2162" s="22" t="s">
        <v>1545</v>
      </c>
      <c r="B2162" s="2" t="s">
        <v>252</v>
      </c>
      <c r="C2162" s="2" t="s">
        <v>1272</v>
      </c>
      <c r="D2162" s="716">
        <v>1</v>
      </c>
      <c r="E2162" s="4" t="s">
        <v>2</v>
      </c>
      <c r="F2162" s="47">
        <f t="shared" ref="F2162:I2162" si="792">G2162</f>
        <v>0</v>
      </c>
      <c r="G2162" s="47">
        <f t="shared" si="792"/>
        <v>0</v>
      </c>
      <c r="H2162" s="47">
        <f t="shared" si="792"/>
        <v>0</v>
      </c>
      <c r="I2162" s="47">
        <f t="shared" si="792"/>
        <v>0</v>
      </c>
      <c r="J2162" s="47">
        <f t="shared" si="771"/>
        <v>0</v>
      </c>
      <c r="K2162" s="47">
        <v>0</v>
      </c>
      <c r="L2162" s="47">
        <v>0</v>
      </c>
      <c r="M2162" s="893"/>
      <c r="N2162" s="20"/>
      <c r="O2162" s="20"/>
      <c r="P2162" s="20"/>
      <c r="Q2162" s="20"/>
      <c r="R2162" s="20"/>
    </row>
    <row r="2163" spans="1:18" s="103" customFormat="1" hidden="1" outlineLevel="1" x14ac:dyDescent="0.2">
      <c r="A2163" s="22" t="s">
        <v>1545</v>
      </c>
      <c r="B2163" s="2" t="s">
        <v>252</v>
      </c>
      <c r="C2163" s="2" t="s">
        <v>1272</v>
      </c>
      <c r="D2163" s="716">
        <v>1</v>
      </c>
      <c r="E2163" s="4" t="s">
        <v>19</v>
      </c>
      <c r="F2163" s="47">
        <f t="shared" ref="F2163:I2163" si="793">G2163</f>
        <v>0</v>
      </c>
      <c r="G2163" s="47">
        <f t="shared" si="793"/>
        <v>0</v>
      </c>
      <c r="H2163" s="47">
        <f t="shared" si="793"/>
        <v>0</v>
      </c>
      <c r="I2163" s="47">
        <f t="shared" si="793"/>
        <v>0</v>
      </c>
      <c r="J2163" s="47">
        <f t="shared" si="771"/>
        <v>0</v>
      </c>
      <c r="K2163" s="47">
        <v>0</v>
      </c>
      <c r="L2163" s="47">
        <v>0</v>
      </c>
      <c r="M2163" s="893"/>
      <c r="N2163" s="20"/>
      <c r="O2163" s="20"/>
      <c r="P2163" s="20"/>
      <c r="Q2163" s="20"/>
      <c r="R2163" s="20"/>
    </row>
    <row r="2164" spans="1:18" s="103" customFormat="1" hidden="1" outlineLevel="1" x14ac:dyDescent="0.2">
      <c r="A2164" s="22" t="s">
        <v>1545</v>
      </c>
      <c r="B2164" s="2" t="s">
        <v>252</v>
      </c>
      <c r="C2164" s="2" t="s">
        <v>1272</v>
      </c>
      <c r="D2164" s="716">
        <v>1</v>
      </c>
      <c r="E2164" s="4" t="s">
        <v>3</v>
      </c>
      <c r="F2164" s="47">
        <f t="shared" ref="F2164:I2164" si="794">G2164</f>
        <v>0</v>
      </c>
      <c r="G2164" s="47">
        <f t="shared" si="794"/>
        <v>0</v>
      </c>
      <c r="H2164" s="47">
        <f t="shared" si="794"/>
        <v>0</v>
      </c>
      <c r="I2164" s="47">
        <f t="shared" si="794"/>
        <v>0</v>
      </c>
      <c r="J2164" s="47">
        <f t="shared" si="771"/>
        <v>0</v>
      </c>
      <c r="K2164" s="47">
        <v>0</v>
      </c>
      <c r="L2164" s="47">
        <v>0</v>
      </c>
      <c r="M2164" s="893"/>
      <c r="N2164" s="20"/>
      <c r="O2164" s="20"/>
      <c r="P2164" s="20"/>
      <c r="Q2164" s="20"/>
      <c r="R2164" s="20"/>
    </row>
    <row r="2165" spans="1:18" s="103" customFormat="1" hidden="1" outlineLevel="1" x14ac:dyDescent="0.2">
      <c r="A2165" s="22" t="s">
        <v>1545</v>
      </c>
      <c r="B2165" s="2" t="s">
        <v>252</v>
      </c>
      <c r="C2165" s="2" t="s">
        <v>1272</v>
      </c>
      <c r="D2165" s="716">
        <v>1</v>
      </c>
      <c r="E2165" s="4" t="s">
        <v>20</v>
      </c>
      <c r="F2165" s="47">
        <f t="shared" ref="F2165:I2165" si="795">G2165</f>
        <v>0</v>
      </c>
      <c r="G2165" s="47">
        <f t="shared" si="795"/>
        <v>0</v>
      </c>
      <c r="H2165" s="47">
        <f t="shared" si="795"/>
        <v>0</v>
      </c>
      <c r="I2165" s="47">
        <f t="shared" si="795"/>
        <v>0</v>
      </c>
      <c r="J2165" s="47">
        <f t="shared" si="771"/>
        <v>0</v>
      </c>
      <c r="K2165" s="47">
        <v>0</v>
      </c>
      <c r="L2165" s="47">
        <v>0</v>
      </c>
      <c r="M2165" s="893"/>
      <c r="N2165" s="20"/>
      <c r="O2165" s="20"/>
      <c r="P2165" s="20"/>
      <c r="Q2165" s="20"/>
      <c r="R2165" s="20"/>
    </row>
    <row r="2166" spans="1:18" s="103" customFormat="1" hidden="1" outlineLevel="1" x14ac:dyDescent="0.2">
      <c r="A2166" s="22" t="s">
        <v>1545</v>
      </c>
      <c r="B2166" s="2" t="s">
        <v>252</v>
      </c>
      <c r="C2166" s="2" t="s">
        <v>1272</v>
      </c>
      <c r="D2166" s="716">
        <v>1</v>
      </c>
      <c r="E2166" s="4" t="s">
        <v>21</v>
      </c>
      <c r="F2166" s="47">
        <f t="shared" ref="F2166:I2166" si="796">G2166</f>
        <v>0</v>
      </c>
      <c r="G2166" s="47">
        <f t="shared" si="796"/>
        <v>0</v>
      </c>
      <c r="H2166" s="47">
        <f t="shared" si="796"/>
        <v>0</v>
      </c>
      <c r="I2166" s="47">
        <f t="shared" si="796"/>
        <v>0</v>
      </c>
      <c r="J2166" s="47">
        <f t="shared" si="771"/>
        <v>0</v>
      </c>
      <c r="K2166" s="47">
        <v>0</v>
      </c>
      <c r="L2166" s="47">
        <v>0</v>
      </c>
      <c r="M2166" s="893"/>
      <c r="N2166" s="20"/>
      <c r="O2166" s="20"/>
      <c r="P2166" s="20"/>
      <c r="Q2166" s="20"/>
      <c r="R2166" s="20"/>
    </row>
    <row r="2167" spans="1:18" s="103" customFormat="1" hidden="1" outlineLevel="1" x14ac:dyDescent="0.2">
      <c r="A2167" s="22" t="s">
        <v>1545</v>
      </c>
      <c r="B2167" s="2" t="s">
        <v>252</v>
      </c>
      <c r="C2167" s="2" t="s">
        <v>1272</v>
      </c>
      <c r="D2167" s="716">
        <v>1</v>
      </c>
      <c r="E2167" s="4" t="s">
        <v>1096</v>
      </c>
      <c r="F2167" s="47">
        <f t="shared" ref="F2167:I2167" si="797">G2167</f>
        <v>0</v>
      </c>
      <c r="G2167" s="47">
        <f t="shared" si="797"/>
        <v>0</v>
      </c>
      <c r="H2167" s="47">
        <f t="shared" si="797"/>
        <v>0</v>
      </c>
      <c r="I2167" s="47">
        <f t="shared" si="797"/>
        <v>0</v>
      </c>
      <c r="J2167" s="47">
        <f t="shared" si="771"/>
        <v>0</v>
      </c>
      <c r="K2167" s="47">
        <v>0</v>
      </c>
      <c r="L2167" s="47">
        <v>0</v>
      </c>
      <c r="M2167" s="893"/>
      <c r="N2167" s="20"/>
      <c r="O2167" s="20"/>
      <c r="P2167" s="20"/>
      <c r="Q2167" s="20"/>
      <c r="R2167" s="20"/>
    </row>
    <row r="2168" spans="1:18" s="103" customFormat="1" hidden="1" outlineLevel="1" x14ac:dyDescent="0.2">
      <c r="A2168" s="22" t="s">
        <v>1545</v>
      </c>
      <c r="B2168" s="2" t="s">
        <v>252</v>
      </c>
      <c r="C2168" s="2" t="s">
        <v>1272</v>
      </c>
      <c r="D2168" s="716">
        <v>1</v>
      </c>
      <c r="E2168" s="4" t="s">
        <v>22</v>
      </c>
      <c r="F2168" s="47">
        <f t="shared" ref="F2168:I2168" si="798">G2168</f>
        <v>0</v>
      </c>
      <c r="G2168" s="47">
        <f t="shared" si="798"/>
        <v>0</v>
      </c>
      <c r="H2168" s="47">
        <f t="shared" si="798"/>
        <v>0</v>
      </c>
      <c r="I2168" s="47">
        <f t="shared" si="798"/>
        <v>0</v>
      </c>
      <c r="J2168" s="47">
        <f t="shared" si="771"/>
        <v>0</v>
      </c>
      <c r="K2168" s="47">
        <v>0</v>
      </c>
      <c r="L2168" s="47">
        <v>0</v>
      </c>
      <c r="M2168" s="893"/>
      <c r="N2168" s="20"/>
      <c r="O2168" s="20"/>
      <c r="P2168" s="20"/>
      <c r="Q2168" s="20"/>
      <c r="R2168" s="20"/>
    </row>
    <row r="2169" spans="1:18" s="103" customFormat="1" hidden="1" outlineLevel="1" x14ac:dyDescent="0.2">
      <c r="A2169" s="22" t="s">
        <v>1545</v>
      </c>
      <c r="B2169" s="2" t="s">
        <v>252</v>
      </c>
      <c r="C2169" s="2" t="s">
        <v>1272</v>
      </c>
      <c r="D2169" s="717">
        <v>1</v>
      </c>
      <c r="E2169" s="4" t="s">
        <v>23</v>
      </c>
      <c r="F2169" s="48">
        <f t="shared" ref="F2169:I2169" si="799">G2169</f>
        <v>0</v>
      </c>
      <c r="G2169" s="48">
        <f t="shared" si="799"/>
        <v>0</v>
      </c>
      <c r="H2169" s="48">
        <f t="shared" si="799"/>
        <v>0</v>
      </c>
      <c r="I2169" s="48">
        <f t="shared" si="799"/>
        <v>0</v>
      </c>
      <c r="J2169" s="48">
        <f t="shared" si="771"/>
        <v>0</v>
      </c>
      <c r="K2169" s="363">
        <v>0</v>
      </c>
      <c r="L2169" s="363">
        <v>0</v>
      </c>
      <c r="M2169" s="920"/>
      <c r="N2169" s="20"/>
      <c r="O2169" s="20"/>
      <c r="P2169" s="20"/>
      <c r="Q2169" s="20"/>
      <c r="R2169" s="20"/>
    </row>
    <row r="2170" spans="1:18" s="103" customFormat="1" hidden="1" outlineLevel="1" x14ac:dyDescent="0.2">
      <c r="A2170" s="92" t="s">
        <v>1545</v>
      </c>
      <c r="B2170" s="81" t="s">
        <v>252</v>
      </c>
      <c r="C2170" s="81" t="s">
        <v>1273</v>
      </c>
      <c r="D2170" s="715">
        <v>1</v>
      </c>
      <c r="E2170" s="468" t="s">
        <v>4</v>
      </c>
      <c r="F2170" s="380">
        <f t="shared" ref="F2170:I2170" si="800">G2170</f>
        <v>0</v>
      </c>
      <c r="G2170" s="89">
        <f t="shared" si="800"/>
        <v>0</v>
      </c>
      <c r="H2170" s="89">
        <f t="shared" si="800"/>
        <v>0</v>
      </c>
      <c r="I2170" s="89">
        <f t="shared" si="800"/>
        <v>0</v>
      </c>
      <c r="J2170" s="89">
        <f t="shared" si="771"/>
        <v>0</v>
      </c>
      <c r="K2170" s="380">
        <v>0</v>
      </c>
      <c r="L2170" s="380">
        <v>1</v>
      </c>
      <c r="M2170" s="892"/>
      <c r="N2170" s="20"/>
      <c r="O2170" s="20"/>
      <c r="P2170" s="20"/>
      <c r="Q2170" s="20"/>
      <c r="R2170" s="20"/>
    </row>
    <row r="2171" spans="1:18" s="103" customFormat="1" hidden="1" outlineLevel="1" x14ac:dyDescent="0.2">
      <c r="A2171" s="22" t="s">
        <v>1545</v>
      </c>
      <c r="B2171" s="2" t="s">
        <v>252</v>
      </c>
      <c r="C2171" s="2" t="s">
        <v>1273</v>
      </c>
      <c r="D2171" s="716">
        <v>1</v>
      </c>
      <c r="E2171" s="4" t="s">
        <v>5</v>
      </c>
      <c r="F2171" s="47">
        <f t="shared" ref="F2171:I2171" si="801">G2171</f>
        <v>0</v>
      </c>
      <c r="G2171" s="47">
        <f t="shared" si="801"/>
        <v>0</v>
      </c>
      <c r="H2171" s="47">
        <f t="shared" si="801"/>
        <v>0</v>
      </c>
      <c r="I2171" s="47">
        <f t="shared" si="801"/>
        <v>0</v>
      </c>
      <c r="J2171" s="47">
        <f t="shared" si="771"/>
        <v>0</v>
      </c>
      <c r="K2171" s="47">
        <v>0</v>
      </c>
      <c r="L2171" s="47">
        <v>0</v>
      </c>
      <c r="M2171" s="893"/>
      <c r="N2171" s="20"/>
      <c r="O2171" s="20"/>
      <c r="P2171" s="20"/>
      <c r="Q2171" s="20"/>
      <c r="R2171" s="20"/>
    </row>
    <row r="2172" spans="1:18" s="103" customFormat="1" hidden="1" outlineLevel="1" x14ac:dyDescent="0.2">
      <c r="A2172" s="22" t="s">
        <v>1545</v>
      </c>
      <c r="B2172" s="2" t="s">
        <v>252</v>
      </c>
      <c r="C2172" s="2" t="s">
        <v>1273</v>
      </c>
      <c r="D2172" s="716">
        <v>1</v>
      </c>
      <c r="E2172" s="4" t="s">
        <v>6</v>
      </c>
      <c r="F2172" s="47">
        <f t="shared" ref="F2172:I2172" si="802">G2172</f>
        <v>0</v>
      </c>
      <c r="G2172" s="47">
        <f t="shared" si="802"/>
        <v>0</v>
      </c>
      <c r="H2172" s="47">
        <f t="shared" si="802"/>
        <v>0</v>
      </c>
      <c r="I2172" s="47">
        <f t="shared" si="802"/>
        <v>0</v>
      </c>
      <c r="J2172" s="47">
        <f t="shared" si="771"/>
        <v>0</v>
      </c>
      <c r="K2172" s="47">
        <v>0</v>
      </c>
      <c r="L2172" s="47">
        <v>0</v>
      </c>
      <c r="M2172" s="893"/>
      <c r="N2172" s="20"/>
      <c r="O2172" s="20"/>
      <c r="P2172" s="20"/>
      <c r="Q2172" s="20"/>
      <c r="R2172" s="20"/>
    </row>
    <row r="2173" spans="1:18" s="103" customFormat="1" hidden="1" outlineLevel="1" x14ac:dyDescent="0.2">
      <c r="A2173" s="22" t="s">
        <v>1545</v>
      </c>
      <c r="B2173" s="2" t="s">
        <v>252</v>
      </c>
      <c r="C2173" s="2" t="s">
        <v>1273</v>
      </c>
      <c r="D2173" s="716">
        <v>1</v>
      </c>
      <c r="E2173" s="4" t="s">
        <v>143</v>
      </c>
      <c r="F2173" s="47">
        <f t="shared" ref="F2173:I2173" si="803">G2173</f>
        <v>0</v>
      </c>
      <c r="G2173" s="47">
        <f t="shared" si="803"/>
        <v>0</v>
      </c>
      <c r="H2173" s="47">
        <f t="shared" si="803"/>
        <v>0</v>
      </c>
      <c r="I2173" s="47">
        <f t="shared" si="803"/>
        <v>0</v>
      </c>
      <c r="J2173" s="47">
        <f t="shared" si="771"/>
        <v>0</v>
      </c>
      <c r="K2173" s="47">
        <v>0</v>
      </c>
      <c r="L2173" s="47">
        <v>0</v>
      </c>
      <c r="M2173" s="893"/>
      <c r="N2173" s="20"/>
      <c r="O2173" s="20"/>
      <c r="P2173" s="20"/>
      <c r="Q2173" s="20"/>
      <c r="R2173" s="20"/>
    </row>
    <row r="2174" spans="1:18" s="103" customFormat="1" hidden="1" outlineLevel="1" x14ac:dyDescent="0.2">
      <c r="A2174" s="22" t="s">
        <v>1545</v>
      </c>
      <c r="B2174" s="2" t="s">
        <v>252</v>
      </c>
      <c r="C2174" s="2" t="s">
        <v>1273</v>
      </c>
      <c r="D2174" s="716">
        <v>1</v>
      </c>
      <c r="E2174" s="4" t="s">
        <v>7</v>
      </c>
      <c r="F2174" s="47">
        <f t="shared" ref="F2174:I2174" si="804">G2174</f>
        <v>0</v>
      </c>
      <c r="G2174" s="47">
        <f t="shared" si="804"/>
        <v>0</v>
      </c>
      <c r="H2174" s="47">
        <f t="shared" si="804"/>
        <v>0</v>
      </c>
      <c r="I2174" s="47">
        <f t="shared" si="804"/>
        <v>0</v>
      </c>
      <c r="J2174" s="47">
        <f t="shared" si="771"/>
        <v>0</v>
      </c>
      <c r="K2174" s="47">
        <v>0</v>
      </c>
      <c r="L2174" s="47">
        <v>0</v>
      </c>
      <c r="M2174" s="893"/>
      <c r="N2174" s="20"/>
      <c r="O2174" s="20"/>
      <c r="P2174" s="20"/>
      <c r="Q2174" s="20"/>
      <c r="R2174" s="20"/>
    </row>
    <row r="2175" spans="1:18" s="103" customFormat="1" hidden="1" outlineLevel="1" x14ac:dyDescent="0.2">
      <c r="A2175" s="22" t="s">
        <v>1545</v>
      </c>
      <c r="B2175" s="2" t="s">
        <v>252</v>
      </c>
      <c r="C2175" s="2" t="s">
        <v>1273</v>
      </c>
      <c r="D2175" s="716">
        <v>1</v>
      </c>
      <c r="E2175" s="4" t="s">
        <v>31</v>
      </c>
      <c r="F2175" s="47">
        <f t="shared" ref="F2175:I2175" si="805">G2175</f>
        <v>0</v>
      </c>
      <c r="G2175" s="47">
        <f t="shared" si="805"/>
        <v>0</v>
      </c>
      <c r="H2175" s="47">
        <f t="shared" si="805"/>
        <v>0</v>
      </c>
      <c r="I2175" s="47">
        <f t="shared" si="805"/>
        <v>0</v>
      </c>
      <c r="J2175" s="47">
        <f t="shared" si="771"/>
        <v>0</v>
      </c>
      <c r="K2175" s="47">
        <v>0</v>
      </c>
      <c r="L2175" s="47">
        <v>0</v>
      </c>
      <c r="M2175" s="893"/>
      <c r="N2175" s="20"/>
      <c r="O2175" s="20"/>
      <c r="P2175" s="20"/>
      <c r="Q2175" s="20"/>
      <c r="R2175" s="20"/>
    </row>
    <row r="2176" spans="1:18" s="103" customFormat="1" hidden="1" outlineLevel="1" x14ac:dyDescent="0.2">
      <c r="A2176" s="22" t="s">
        <v>1545</v>
      </c>
      <c r="B2176" s="2" t="s">
        <v>252</v>
      </c>
      <c r="C2176" s="2" t="s">
        <v>1273</v>
      </c>
      <c r="D2176" s="716">
        <v>1</v>
      </c>
      <c r="E2176" s="4" t="s">
        <v>8</v>
      </c>
      <c r="F2176" s="47">
        <f t="shared" ref="F2176:I2176" si="806">G2176</f>
        <v>1</v>
      </c>
      <c r="G2176" s="47">
        <f t="shared" si="806"/>
        <v>1</v>
      </c>
      <c r="H2176" s="47">
        <f t="shared" si="806"/>
        <v>1</v>
      </c>
      <c r="I2176" s="47">
        <f t="shared" si="806"/>
        <v>1</v>
      </c>
      <c r="J2176" s="47">
        <f t="shared" si="771"/>
        <v>1</v>
      </c>
      <c r="K2176" s="47">
        <v>1</v>
      </c>
      <c r="L2176" s="47">
        <v>1</v>
      </c>
      <c r="M2176" s="893"/>
      <c r="N2176" s="20"/>
      <c r="O2176" s="20"/>
      <c r="P2176" s="20"/>
      <c r="Q2176" s="20"/>
      <c r="R2176" s="20"/>
    </row>
    <row r="2177" spans="1:18" s="103" customFormat="1" hidden="1" outlineLevel="1" x14ac:dyDescent="0.2">
      <c r="A2177" s="22" t="s">
        <v>1545</v>
      </c>
      <c r="B2177" s="2" t="s">
        <v>252</v>
      </c>
      <c r="C2177" s="2" t="s">
        <v>1273</v>
      </c>
      <c r="D2177" s="716">
        <v>1</v>
      </c>
      <c r="E2177" s="4" t="s">
        <v>9</v>
      </c>
      <c r="F2177" s="47">
        <f t="shared" ref="F2177:I2177" si="807">G2177</f>
        <v>0</v>
      </c>
      <c r="G2177" s="47">
        <f t="shared" si="807"/>
        <v>0</v>
      </c>
      <c r="H2177" s="47">
        <f t="shared" si="807"/>
        <v>0</v>
      </c>
      <c r="I2177" s="47">
        <f t="shared" si="807"/>
        <v>0</v>
      </c>
      <c r="J2177" s="47">
        <f t="shared" si="771"/>
        <v>0</v>
      </c>
      <c r="K2177" s="47">
        <v>0</v>
      </c>
      <c r="L2177" s="47">
        <v>0</v>
      </c>
      <c r="M2177" s="893"/>
      <c r="N2177" s="20"/>
      <c r="O2177" s="20"/>
      <c r="P2177" s="20"/>
      <c r="Q2177" s="20"/>
      <c r="R2177" s="20"/>
    </row>
    <row r="2178" spans="1:18" s="103" customFormat="1" hidden="1" outlineLevel="1" x14ac:dyDescent="0.2">
      <c r="A2178" s="22" t="s">
        <v>1545</v>
      </c>
      <c r="B2178" s="2" t="s">
        <v>252</v>
      </c>
      <c r="C2178" s="2" t="s">
        <v>1273</v>
      </c>
      <c r="D2178" s="716">
        <v>1</v>
      </c>
      <c r="E2178" s="4" t="s">
        <v>10</v>
      </c>
      <c r="F2178" s="47">
        <f t="shared" ref="F2178:I2178" si="808">G2178</f>
        <v>0</v>
      </c>
      <c r="G2178" s="47">
        <f t="shared" si="808"/>
        <v>0</v>
      </c>
      <c r="H2178" s="47">
        <f t="shared" si="808"/>
        <v>0</v>
      </c>
      <c r="I2178" s="47">
        <f t="shared" si="808"/>
        <v>0</v>
      </c>
      <c r="J2178" s="47">
        <f t="shared" si="771"/>
        <v>0</v>
      </c>
      <c r="K2178" s="47">
        <v>0</v>
      </c>
      <c r="L2178" s="47">
        <v>0</v>
      </c>
      <c r="M2178" s="893"/>
      <c r="N2178" s="20"/>
      <c r="O2178" s="20"/>
      <c r="P2178" s="20"/>
      <c r="Q2178" s="20"/>
      <c r="R2178" s="20"/>
    </row>
    <row r="2179" spans="1:18" s="103" customFormat="1" hidden="1" outlineLevel="1" x14ac:dyDescent="0.2">
      <c r="A2179" s="22" t="s">
        <v>1545</v>
      </c>
      <c r="B2179" s="2" t="s">
        <v>252</v>
      </c>
      <c r="C2179" s="2" t="s">
        <v>1273</v>
      </c>
      <c r="D2179" s="716">
        <v>1</v>
      </c>
      <c r="E2179" s="4" t="s">
        <v>11</v>
      </c>
      <c r="F2179" s="47">
        <f t="shared" ref="F2179:I2179" si="809">G2179</f>
        <v>0</v>
      </c>
      <c r="G2179" s="47">
        <f t="shared" si="809"/>
        <v>0</v>
      </c>
      <c r="H2179" s="47">
        <f t="shared" si="809"/>
        <v>0</v>
      </c>
      <c r="I2179" s="47">
        <f t="shared" si="809"/>
        <v>0</v>
      </c>
      <c r="J2179" s="47">
        <f t="shared" si="771"/>
        <v>0</v>
      </c>
      <c r="K2179" s="47">
        <v>0</v>
      </c>
      <c r="L2179" s="47">
        <v>0</v>
      </c>
      <c r="M2179" s="893"/>
      <c r="N2179" s="20"/>
      <c r="O2179" s="20"/>
      <c r="P2179" s="20"/>
      <c r="Q2179" s="20"/>
      <c r="R2179" s="20"/>
    </row>
    <row r="2180" spans="1:18" s="103" customFormat="1" hidden="1" outlineLevel="1" x14ac:dyDescent="0.2">
      <c r="A2180" s="22" t="s">
        <v>1545</v>
      </c>
      <c r="B2180" s="2" t="s">
        <v>252</v>
      </c>
      <c r="C2180" s="2" t="s">
        <v>1273</v>
      </c>
      <c r="D2180" s="716">
        <v>1</v>
      </c>
      <c r="E2180" s="4" t="s">
        <v>12</v>
      </c>
      <c r="F2180" s="47">
        <f t="shared" ref="F2180:I2180" si="810">G2180</f>
        <v>0</v>
      </c>
      <c r="G2180" s="47">
        <f t="shared" si="810"/>
        <v>0</v>
      </c>
      <c r="H2180" s="47">
        <f t="shared" si="810"/>
        <v>0</v>
      </c>
      <c r="I2180" s="47">
        <f t="shared" si="810"/>
        <v>0</v>
      </c>
      <c r="J2180" s="47">
        <f t="shared" si="771"/>
        <v>0</v>
      </c>
      <c r="K2180" s="47">
        <v>0</v>
      </c>
      <c r="L2180" s="47">
        <v>0</v>
      </c>
      <c r="M2180" s="893"/>
      <c r="N2180" s="20"/>
      <c r="O2180" s="20"/>
      <c r="P2180" s="20"/>
      <c r="Q2180" s="20"/>
      <c r="R2180" s="20"/>
    </row>
    <row r="2181" spans="1:18" s="103" customFormat="1" hidden="1" outlineLevel="1" x14ac:dyDescent="0.2">
      <c r="A2181" s="22" t="s">
        <v>1545</v>
      </c>
      <c r="B2181" s="2" t="s">
        <v>252</v>
      </c>
      <c r="C2181" s="2" t="s">
        <v>1273</v>
      </c>
      <c r="D2181" s="716">
        <v>1</v>
      </c>
      <c r="E2181" s="4" t="s">
        <v>1</v>
      </c>
      <c r="F2181" s="47">
        <f t="shared" ref="F2181:I2181" si="811">G2181</f>
        <v>1</v>
      </c>
      <c r="G2181" s="47">
        <f t="shared" si="811"/>
        <v>1</v>
      </c>
      <c r="H2181" s="47">
        <f t="shared" si="811"/>
        <v>1</v>
      </c>
      <c r="I2181" s="47">
        <f t="shared" si="811"/>
        <v>1</v>
      </c>
      <c r="J2181" s="47">
        <f t="shared" si="771"/>
        <v>1</v>
      </c>
      <c r="K2181" s="47">
        <v>1</v>
      </c>
      <c r="L2181" s="47">
        <v>1</v>
      </c>
      <c r="M2181" s="893"/>
      <c r="N2181" s="20"/>
      <c r="O2181" s="20"/>
      <c r="P2181" s="20"/>
      <c r="Q2181" s="20"/>
      <c r="R2181" s="20"/>
    </row>
    <row r="2182" spans="1:18" s="103" customFormat="1" hidden="1" outlineLevel="1" x14ac:dyDescent="0.2">
      <c r="A2182" s="22" t="s">
        <v>1545</v>
      </c>
      <c r="B2182" s="2" t="s">
        <v>252</v>
      </c>
      <c r="C2182" s="2" t="s">
        <v>1273</v>
      </c>
      <c r="D2182" s="716">
        <v>1</v>
      </c>
      <c r="E2182" s="4" t="s">
        <v>13</v>
      </c>
      <c r="F2182" s="47">
        <f t="shared" ref="F2182:I2182" si="812">G2182</f>
        <v>0</v>
      </c>
      <c r="G2182" s="47">
        <f t="shared" si="812"/>
        <v>0</v>
      </c>
      <c r="H2182" s="47">
        <f t="shared" si="812"/>
        <v>0</v>
      </c>
      <c r="I2182" s="47">
        <f t="shared" si="812"/>
        <v>0</v>
      </c>
      <c r="J2182" s="47">
        <f t="shared" si="771"/>
        <v>0</v>
      </c>
      <c r="K2182" s="47">
        <v>0</v>
      </c>
      <c r="L2182" s="47">
        <v>0</v>
      </c>
      <c r="M2182" s="893"/>
      <c r="N2182" s="20"/>
      <c r="O2182" s="20"/>
      <c r="P2182" s="20"/>
      <c r="Q2182" s="20"/>
      <c r="R2182" s="20"/>
    </row>
    <row r="2183" spans="1:18" s="103" customFormat="1" hidden="1" outlineLevel="1" x14ac:dyDescent="0.2">
      <c r="A2183" s="22" t="s">
        <v>1545</v>
      </c>
      <c r="B2183" s="2" t="s">
        <v>252</v>
      </c>
      <c r="C2183" s="2" t="s">
        <v>1273</v>
      </c>
      <c r="D2183" s="716">
        <v>1</v>
      </c>
      <c r="E2183" s="4" t="s">
        <v>14</v>
      </c>
      <c r="F2183" s="47">
        <f t="shared" ref="F2183:I2183" si="813">G2183</f>
        <v>0</v>
      </c>
      <c r="G2183" s="47">
        <f t="shared" si="813"/>
        <v>0</v>
      </c>
      <c r="H2183" s="47">
        <f t="shared" si="813"/>
        <v>0</v>
      </c>
      <c r="I2183" s="47">
        <f t="shared" si="813"/>
        <v>0</v>
      </c>
      <c r="J2183" s="47">
        <f t="shared" si="771"/>
        <v>0</v>
      </c>
      <c r="K2183" s="47">
        <v>0</v>
      </c>
      <c r="L2183" s="47">
        <v>0</v>
      </c>
      <c r="M2183" s="893"/>
      <c r="N2183" s="20"/>
      <c r="O2183" s="20"/>
      <c r="P2183" s="20"/>
      <c r="Q2183" s="20"/>
      <c r="R2183" s="20"/>
    </row>
    <row r="2184" spans="1:18" s="103" customFormat="1" hidden="1" outlineLevel="1" x14ac:dyDescent="0.2">
      <c r="A2184" s="22" t="s">
        <v>1545</v>
      </c>
      <c r="B2184" s="2" t="s">
        <v>252</v>
      </c>
      <c r="C2184" s="2" t="s">
        <v>1273</v>
      </c>
      <c r="D2184" s="716">
        <v>1</v>
      </c>
      <c r="E2184" s="4" t="s">
        <v>15</v>
      </c>
      <c r="F2184" s="47">
        <f t="shared" ref="F2184:I2184" si="814">G2184</f>
        <v>0</v>
      </c>
      <c r="G2184" s="47">
        <f t="shared" si="814"/>
        <v>0</v>
      </c>
      <c r="H2184" s="47">
        <f t="shared" si="814"/>
        <v>0</v>
      </c>
      <c r="I2184" s="47">
        <f t="shared" si="814"/>
        <v>0</v>
      </c>
      <c r="J2184" s="47">
        <f t="shared" si="771"/>
        <v>0</v>
      </c>
      <c r="K2184" s="47">
        <v>0</v>
      </c>
      <c r="L2184" s="47">
        <v>0</v>
      </c>
      <c r="M2184" s="893"/>
      <c r="N2184" s="20"/>
      <c r="O2184" s="20"/>
      <c r="P2184" s="20"/>
      <c r="Q2184" s="20"/>
      <c r="R2184" s="20"/>
    </row>
    <row r="2185" spans="1:18" s="103" customFormat="1" hidden="1" outlineLevel="1" x14ac:dyDescent="0.2">
      <c r="A2185" s="22" t="s">
        <v>1545</v>
      </c>
      <c r="B2185" s="2" t="s">
        <v>252</v>
      </c>
      <c r="C2185" s="2" t="s">
        <v>1273</v>
      </c>
      <c r="D2185" s="716">
        <v>1</v>
      </c>
      <c r="E2185" s="4" t="s">
        <v>16</v>
      </c>
      <c r="F2185" s="47">
        <f t="shared" ref="F2185:I2185" si="815">G2185</f>
        <v>0</v>
      </c>
      <c r="G2185" s="47">
        <f t="shared" si="815"/>
        <v>0</v>
      </c>
      <c r="H2185" s="47">
        <f t="shared" si="815"/>
        <v>0</v>
      </c>
      <c r="I2185" s="47">
        <f t="shared" si="815"/>
        <v>0</v>
      </c>
      <c r="J2185" s="47">
        <f t="shared" si="771"/>
        <v>0</v>
      </c>
      <c r="K2185" s="47">
        <v>0</v>
      </c>
      <c r="L2185" s="47">
        <v>0</v>
      </c>
      <c r="M2185" s="893"/>
      <c r="N2185" s="20"/>
      <c r="O2185" s="20"/>
      <c r="P2185" s="20"/>
      <c r="Q2185" s="20"/>
      <c r="R2185" s="20"/>
    </row>
    <row r="2186" spans="1:18" s="103" customFormat="1" hidden="1" outlineLevel="1" x14ac:dyDescent="0.2">
      <c r="A2186" s="22" t="s">
        <v>1545</v>
      </c>
      <c r="B2186" s="2" t="s">
        <v>252</v>
      </c>
      <c r="C2186" s="2" t="s">
        <v>1273</v>
      </c>
      <c r="D2186" s="716">
        <v>1</v>
      </c>
      <c r="E2186" s="4" t="s">
        <v>17</v>
      </c>
      <c r="F2186" s="47">
        <f t="shared" ref="F2186:I2186" si="816">G2186</f>
        <v>0</v>
      </c>
      <c r="G2186" s="47">
        <f t="shared" si="816"/>
        <v>0</v>
      </c>
      <c r="H2186" s="47">
        <f t="shared" si="816"/>
        <v>0</v>
      </c>
      <c r="I2186" s="47">
        <f t="shared" si="816"/>
        <v>0</v>
      </c>
      <c r="J2186" s="47">
        <f t="shared" si="771"/>
        <v>0</v>
      </c>
      <c r="K2186" s="47">
        <v>0</v>
      </c>
      <c r="L2186" s="47">
        <v>0</v>
      </c>
      <c r="M2186" s="893"/>
      <c r="N2186" s="20"/>
      <c r="O2186" s="20"/>
      <c r="P2186" s="20"/>
      <c r="Q2186" s="20"/>
      <c r="R2186" s="20"/>
    </row>
    <row r="2187" spans="1:18" s="103" customFormat="1" hidden="1" outlineLevel="1" x14ac:dyDescent="0.2">
      <c r="A2187" s="22" t="s">
        <v>1545</v>
      </c>
      <c r="B2187" s="2" t="s">
        <v>252</v>
      </c>
      <c r="C2187" s="2" t="s">
        <v>1273</v>
      </c>
      <c r="D2187" s="716">
        <v>1</v>
      </c>
      <c r="E2187" s="4" t="s">
        <v>18</v>
      </c>
      <c r="F2187" s="47">
        <f t="shared" ref="F2187:I2187" si="817">G2187</f>
        <v>1</v>
      </c>
      <c r="G2187" s="47">
        <f t="shared" si="817"/>
        <v>1</v>
      </c>
      <c r="H2187" s="47">
        <f t="shared" si="817"/>
        <v>1</v>
      </c>
      <c r="I2187" s="47">
        <f t="shared" si="817"/>
        <v>1</v>
      </c>
      <c r="J2187" s="47">
        <f t="shared" si="771"/>
        <v>1</v>
      </c>
      <c r="K2187" s="47">
        <v>1</v>
      </c>
      <c r="L2187" s="47">
        <v>1</v>
      </c>
      <c r="M2187" s="893"/>
      <c r="N2187" s="20"/>
      <c r="O2187" s="20"/>
      <c r="P2187" s="20"/>
      <c r="Q2187" s="20"/>
      <c r="R2187" s="20"/>
    </row>
    <row r="2188" spans="1:18" s="103" customFormat="1" hidden="1" outlineLevel="1" x14ac:dyDescent="0.2">
      <c r="A2188" s="22" t="s">
        <v>1545</v>
      </c>
      <c r="B2188" s="2" t="s">
        <v>252</v>
      </c>
      <c r="C2188" s="2" t="s">
        <v>1273</v>
      </c>
      <c r="D2188" s="716">
        <v>1</v>
      </c>
      <c r="E2188" s="4" t="s">
        <v>2</v>
      </c>
      <c r="F2188" s="47">
        <f t="shared" ref="F2188:I2188" si="818">G2188</f>
        <v>0</v>
      </c>
      <c r="G2188" s="47">
        <f t="shared" si="818"/>
        <v>0</v>
      </c>
      <c r="H2188" s="47">
        <f t="shared" si="818"/>
        <v>0</v>
      </c>
      <c r="I2188" s="47">
        <f t="shared" si="818"/>
        <v>0</v>
      </c>
      <c r="J2188" s="47">
        <f t="shared" si="771"/>
        <v>0</v>
      </c>
      <c r="K2188" s="47">
        <v>0</v>
      </c>
      <c r="L2188" s="47">
        <v>0</v>
      </c>
      <c r="M2188" s="893"/>
      <c r="N2188" s="20"/>
      <c r="O2188" s="20"/>
      <c r="P2188" s="20"/>
      <c r="Q2188" s="20"/>
      <c r="R2188" s="20"/>
    </row>
    <row r="2189" spans="1:18" s="103" customFormat="1" hidden="1" outlineLevel="1" x14ac:dyDescent="0.2">
      <c r="A2189" s="22" t="s">
        <v>1545</v>
      </c>
      <c r="B2189" s="2" t="s">
        <v>252</v>
      </c>
      <c r="C2189" s="2" t="s">
        <v>1273</v>
      </c>
      <c r="D2189" s="716">
        <v>1</v>
      </c>
      <c r="E2189" s="4" t="s">
        <v>19</v>
      </c>
      <c r="F2189" s="47">
        <f t="shared" ref="F2189:I2189" si="819">G2189</f>
        <v>0</v>
      </c>
      <c r="G2189" s="47">
        <f t="shared" si="819"/>
        <v>0</v>
      </c>
      <c r="H2189" s="47">
        <f t="shared" si="819"/>
        <v>0</v>
      </c>
      <c r="I2189" s="47">
        <f t="shared" si="819"/>
        <v>0</v>
      </c>
      <c r="J2189" s="47">
        <f t="shared" si="771"/>
        <v>0</v>
      </c>
      <c r="K2189" s="47">
        <v>0</v>
      </c>
      <c r="L2189" s="47">
        <v>0</v>
      </c>
      <c r="M2189" s="893"/>
      <c r="N2189" s="20"/>
      <c r="O2189" s="20"/>
      <c r="P2189" s="20"/>
      <c r="Q2189" s="20"/>
      <c r="R2189" s="20"/>
    </row>
    <row r="2190" spans="1:18" s="103" customFormat="1" hidden="1" outlineLevel="1" x14ac:dyDescent="0.2">
      <c r="A2190" s="22" t="s">
        <v>1545</v>
      </c>
      <c r="B2190" s="2" t="s">
        <v>252</v>
      </c>
      <c r="C2190" s="2" t="s">
        <v>1273</v>
      </c>
      <c r="D2190" s="716">
        <v>1</v>
      </c>
      <c r="E2190" s="4" t="s">
        <v>3</v>
      </c>
      <c r="F2190" s="47">
        <f t="shared" ref="F2190:I2190" si="820">G2190</f>
        <v>0</v>
      </c>
      <c r="G2190" s="47">
        <f t="shared" si="820"/>
        <v>0</v>
      </c>
      <c r="H2190" s="47">
        <f t="shared" si="820"/>
        <v>0</v>
      </c>
      <c r="I2190" s="47">
        <f t="shared" si="820"/>
        <v>0</v>
      </c>
      <c r="J2190" s="47">
        <f t="shared" si="771"/>
        <v>0</v>
      </c>
      <c r="K2190" s="47">
        <v>0</v>
      </c>
      <c r="L2190" s="47">
        <v>0</v>
      </c>
      <c r="M2190" s="893"/>
      <c r="N2190" s="20"/>
      <c r="O2190" s="20"/>
      <c r="P2190" s="20"/>
      <c r="Q2190" s="20"/>
      <c r="R2190" s="20"/>
    </row>
    <row r="2191" spans="1:18" s="103" customFormat="1" hidden="1" outlineLevel="1" x14ac:dyDescent="0.2">
      <c r="A2191" s="22" t="s">
        <v>1545</v>
      </c>
      <c r="B2191" s="2" t="s">
        <v>252</v>
      </c>
      <c r="C2191" s="2" t="s">
        <v>1273</v>
      </c>
      <c r="D2191" s="716">
        <v>1</v>
      </c>
      <c r="E2191" s="4" t="s">
        <v>20</v>
      </c>
      <c r="F2191" s="47">
        <f t="shared" ref="F2191:I2191" si="821">G2191</f>
        <v>0</v>
      </c>
      <c r="G2191" s="47">
        <f t="shared" si="821"/>
        <v>0</v>
      </c>
      <c r="H2191" s="47">
        <f t="shared" si="821"/>
        <v>0</v>
      </c>
      <c r="I2191" s="47">
        <f t="shared" si="821"/>
        <v>0</v>
      </c>
      <c r="J2191" s="47">
        <f t="shared" si="771"/>
        <v>0</v>
      </c>
      <c r="K2191" s="47">
        <v>0</v>
      </c>
      <c r="L2191" s="47">
        <v>0</v>
      </c>
      <c r="M2191" s="893"/>
      <c r="N2191" s="20"/>
      <c r="O2191" s="20"/>
      <c r="P2191" s="20"/>
      <c r="Q2191" s="20"/>
      <c r="R2191" s="20"/>
    </row>
    <row r="2192" spans="1:18" s="103" customFormat="1" hidden="1" outlineLevel="1" x14ac:dyDescent="0.2">
      <c r="A2192" s="22" t="s">
        <v>1545</v>
      </c>
      <c r="B2192" s="2" t="s">
        <v>252</v>
      </c>
      <c r="C2192" s="2" t="s">
        <v>1273</v>
      </c>
      <c r="D2192" s="716">
        <v>1</v>
      </c>
      <c r="E2192" s="4" t="s">
        <v>21</v>
      </c>
      <c r="F2192" s="47">
        <f t="shared" ref="F2192:I2192" si="822">G2192</f>
        <v>0</v>
      </c>
      <c r="G2192" s="47">
        <f t="shared" si="822"/>
        <v>0</v>
      </c>
      <c r="H2192" s="47">
        <f t="shared" si="822"/>
        <v>0</v>
      </c>
      <c r="I2192" s="47">
        <f t="shared" si="822"/>
        <v>0</v>
      </c>
      <c r="J2192" s="47">
        <f t="shared" si="771"/>
        <v>0</v>
      </c>
      <c r="K2192" s="47">
        <v>0</v>
      </c>
      <c r="L2192" s="47">
        <v>0</v>
      </c>
      <c r="M2192" s="893"/>
      <c r="N2192" s="20"/>
      <c r="O2192" s="20"/>
      <c r="P2192" s="20"/>
      <c r="Q2192" s="20"/>
      <c r="R2192" s="20"/>
    </row>
    <row r="2193" spans="1:18" s="103" customFormat="1" hidden="1" outlineLevel="1" x14ac:dyDescent="0.2">
      <c r="A2193" s="22" t="s">
        <v>1545</v>
      </c>
      <c r="B2193" s="2" t="s">
        <v>252</v>
      </c>
      <c r="C2193" s="2" t="s">
        <v>1273</v>
      </c>
      <c r="D2193" s="716">
        <v>1</v>
      </c>
      <c r="E2193" s="4" t="s">
        <v>1096</v>
      </c>
      <c r="F2193" s="47">
        <f t="shared" ref="F2193:I2193" si="823">G2193</f>
        <v>0</v>
      </c>
      <c r="G2193" s="47">
        <f t="shared" si="823"/>
        <v>0</v>
      </c>
      <c r="H2193" s="47">
        <f t="shared" si="823"/>
        <v>0</v>
      </c>
      <c r="I2193" s="47">
        <f t="shared" si="823"/>
        <v>0</v>
      </c>
      <c r="J2193" s="47">
        <f t="shared" si="771"/>
        <v>0</v>
      </c>
      <c r="K2193" s="47">
        <v>0</v>
      </c>
      <c r="L2193" s="47">
        <v>0</v>
      </c>
      <c r="M2193" s="893"/>
      <c r="N2193" s="20"/>
      <c r="O2193" s="20"/>
      <c r="P2193" s="20"/>
      <c r="Q2193" s="20"/>
      <c r="R2193" s="20"/>
    </row>
    <row r="2194" spans="1:18" s="103" customFormat="1" hidden="1" outlineLevel="1" x14ac:dyDescent="0.2">
      <c r="A2194" s="22" t="s">
        <v>1545</v>
      </c>
      <c r="B2194" s="2" t="s">
        <v>252</v>
      </c>
      <c r="C2194" s="2" t="s">
        <v>1273</v>
      </c>
      <c r="D2194" s="716">
        <v>1</v>
      </c>
      <c r="E2194" s="4" t="s">
        <v>22</v>
      </c>
      <c r="F2194" s="47">
        <f t="shared" ref="F2194:I2194" si="824">G2194</f>
        <v>0</v>
      </c>
      <c r="G2194" s="47">
        <f t="shared" si="824"/>
        <v>0</v>
      </c>
      <c r="H2194" s="47">
        <f t="shared" si="824"/>
        <v>0</v>
      </c>
      <c r="I2194" s="47">
        <f t="shared" si="824"/>
        <v>0</v>
      </c>
      <c r="J2194" s="47">
        <f t="shared" si="771"/>
        <v>0</v>
      </c>
      <c r="K2194" s="47">
        <v>0</v>
      </c>
      <c r="L2194" s="47">
        <v>0</v>
      </c>
      <c r="M2194" s="893"/>
      <c r="N2194" s="20"/>
      <c r="O2194" s="20"/>
      <c r="P2194" s="20"/>
      <c r="Q2194" s="20"/>
      <c r="R2194" s="20"/>
    </row>
    <row r="2195" spans="1:18" s="103" customFormat="1" hidden="1" outlineLevel="1" x14ac:dyDescent="0.2">
      <c r="A2195" s="22" t="s">
        <v>1545</v>
      </c>
      <c r="B2195" s="2" t="s">
        <v>252</v>
      </c>
      <c r="C2195" s="2" t="s">
        <v>1273</v>
      </c>
      <c r="D2195" s="717">
        <v>1</v>
      </c>
      <c r="E2195" s="4" t="s">
        <v>23</v>
      </c>
      <c r="F2195" s="48">
        <f t="shared" ref="F2195:I2195" si="825">G2195</f>
        <v>0</v>
      </c>
      <c r="G2195" s="48">
        <f t="shared" si="825"/>
        <v>0</v>
      </c>
      <c r="H2195" s="48">
        <f t="shared" si="825"/>
        <v>0</v>
      </c>
      <c r="I2195" s="48">
        <f t="shared" si="825"/>
        <v>0</v>
      </c>
      <c r="J2195" s="48">
        <f t="shared" si="771"/>
        <v>0</v>
      </c>
      <c r="K2195" s="363">
        <v>0</v>
      </c>
      <c r="L2195" s="363">
        <v>0</v>
      </c>
      <c r="M2195" s="920"/>
      <c r="N2195" s="20"/>
      <c r="O2195" s="20"/>
      <c r="P2195" s="20"/>
      <c r="Q2195" s="20"/>
      <c r="R2195" s="20"/>
    </row>
    <row r="2196" spans="1:18" s="103" customFormat="1" hidden="1" outlineLevel="1" x14ac:dyDescent="0.2">
      <c r="A2196" s="92" t="s">
        <v>1545</v>
      </c>
      <c r="B2196" s="81" t="s">
        <v>252</v>
      </c>
      <c r="C2196" s="81" t="s">
        <v>1274</v>
      </c>
      <c r="D2196" s="715">
        <v>1</v>
      </c>
      <c r="E2196" s="468" t="s">
        <v>4</v>
      </c>
      <c r="F2196" s="380">
        <f t="shared" ref="F2196:I2196" si="826">G2196</f>
        <v>0</v>
      </c>
      <c r="G2196" s="89">
        <f t="shared" si="826"/>
        <v>0</v>
      </c>
      <c r="H2196" s="89">
        <f t="shared" si="826"/>
        <v>0</v>
      </c>
      <c r="I2196" s="89">
        <f t="shared" si="826"/>
        <v>0</v>
      </c>
      <c r="J2196" s="89">
        <f t="shared" si="771"/>
        <v>0</v>
      </c>
      <c r="K2196" s="380">
        <v>0</v>
      </c>
      <c r="L2196" s="380">
        <v>1</v>
      </c>
      <c r="M2196" s="892"/>
      <c r="N2196" s="20"/>
      <c r="O2196" s="20"/>
      <c r="P2196" s="20"/>
      <c r="Q2196" s="20"/>
      <c r="R2196" s="20"/>
    </row>
    <row r="2197" spans="1:18" s="103" customFormat="1" hidden="1" outlineLevel="1" x14ac:dyDescent="0.2">
      <c r="A2197" s="22" t="s">
        <v>1545</v>
      </c>
      <c r="B2197" s="2" t="s">
        <v>252</v>
      </c>
      <c r="C2197" s="2" t="s">
        <v>1274</v>
      </c>
      <c r="D2197" s="716">
        <v>1</v>
      </c>
      <c r="E2197" s="4" t="s">
        <v>5</v>
      </c>
      <c r="F2197" s="47">
        <f t="shared" ref="F2197:I2197" si="827">G2197</f>
        <v>0</v>
      </c>
      <c r="G2197" s="47">
        <f t="shared" si="827"/>
        <v>0</v>
      </c>
      <c r="H2197" s="47">
        <f t="shared" si="827"/>
        <v>0</v>
      </c>
      <c r="I2197" s="47">
        <f t="shared" si="827"/>
        <v>0</v>
      </c>
      <c r="J2197" s="47">
        <f t="shared" si="771"/>
        <v>0</v>
      </c>
      <c r="K2197" s="47">
        <v>0</v>
      </c>
      <c r="L2197" s="47">
        <v>0</v>
      </c>
      <c r="M2197" s="893"/>
      <c r="N2197" s="20"/>
      <c r="O2197" s="20"/>
      <c r="P2197" s="20"/>
      <c r="Q2197" s="20"/>
      <c r="R2197" s="20"/>
    </row>
    <row r="2198" spans="1:18" s="103" customFormat="1" hidden="1" outlineLevel="1" x14ac:dyDescent="0.2">
      <c r="A2198" s="22" t="s">
        <v>1545</v>
      </c>
      <c r="B2198" s="2" t="s">
        <v>252</v>
      </c>
      <c r="C2198" s="2" t="s">
        <v>1274</v>
      </c>
      <c r="D2198" s="716">
        <v>1</v>
      </c>
      <c r="E2198" s="4" t="s">
        <v>6</v>
      </c>
      <c r="F2198" s="47">
        <f t="shared" ref="F2198:I2198" si="828">G2198</f>
        <v>0</v>
      </c>
      <c r="G2198" s="47">
        <f t="shared" si="828"/>
        <v>0</v>
      </c>
      <c r="H2198" s="47">
        <f t="shared" si="828"/>
        <v>0</v>
      </c>
      <c r="I2198" s="47">
        <f t="shared" si="828"/>
        <v>0</v>
      </c>
      <c r="J2198" s="47">
        <f t="shared" si="771"/>
        <v>0</v>
      </c>
      <c r="K2198" s="47">
        <v>0</v>
      </c>
      <c r="L2198" s="47">
        <v>0</v>
      </c>
      <c r="M2198" s="893"/>
      <c r="N2198" s="20"/>
      <c r="O2198" s="20"/>
      <c r="P2198" s="20"/>
      <c r="Q2198" s="20"/>
      <c r="R2198" s="20"/>
    </row>
    <row r="2199" spans="1:18" s="103" customFormat="1" hidden="1" outlineLevel="1" x14ac:dyDescent="0.2">
      <c r="A2199" s="22" t="s">
        <v>1545</v>
      </c>
      <c r="B2199" s="2" t="s">
        <v>252</v>
      </c>
      <c r="C2199" s="2" t="s">
        <v>1274</v>
      </c>
      <c r="D2199" s="716">
        <v>1</v>
      </c>
      <c r="E2199" s="4" t="s">
        <v>143</v>
      </c>
      <c r="F2199" s="47">
        <f t="shared" ref="F2199:I2199" si="829">G2199</f>
        <v>0</v>
      </c>
      <c r="G2199" s="47">
        <f t="shared" si="829"/>
        <v>0</v>
      </c>
      <c r="H2199" s="47">
        <f t="shared" si="829"/>
        <v>0</v>
      </c>
      <c r="I2199" s="47">
        <f t="shared" si="829"/>
        <v>0</v>
      </c>
      <c r="J2199" s="47">
        <f t="shared" si="771"/>
        <v>0</v>
      </c>
      <c r="K2199" s="47">
        <v>0</v>
      </c>
      <c r="L2199" s="47">
        <v>0</v>
      </c>
      <c r="M2199" s="893"/>
      <c r="N2199" s="20"/>
      <c r="O2199" s="20"/>
      <c r="P2199" s="20"/>
      <c r="Q2199" s="20"/>
      <c r="R2199" s="20"/>
    </row>
    <row r="2200" spans="1:18" s="103" customFormat="1" hidden="1" outlineLevel="1" x14ac:dyDescent="0.2">
      <c r="A2200" s="22" t="s">
        <v>1545</v>
      </c>
      <c r="B2200" s="2" t="s">
        <v>252</v>
      </c>
      <c r="C2200" s="2" t="s">
        <v>1274</v>
      </c>
      <c r="D2200" s="716">
        <v>1</v>
      </c>
      <c r="E2200" s="4" t="s">
        <v>7</v>
      </c>
      <c r="F2200" s="47">
        <f t="shared" ref="F2200:I2200" si="830">G2200</f>
        <v>0</v>
      </c>
      <c r="G2200" s="47">
        <f t="shared" si="830"/>
        <v>0</v>
      </c>
      <c r="H2200" s="47">
        <f t="shared" si="830"/>
        <v>0</v>
      </c>
      <c r="I2200" s="47">
        <f t="shared" si="830"/>
        <v>0</v>
      </c>
      <c r="J2200" s="47">
        <f t="shared" si="771"/>
        <v>0</v>
      </c>
      <c r="K2200" s="47">
        <v>0</v>
      </c>
      <c r="L2200" s="47">
        <v>0</v>
      </c>
      <c r="M2200" s="893"/>
      <c r="N2200" s="20"/>
      <c r="O2200" s="20"/>
      <c r="P2200" s="20"/>
      <c r="Q2200" s="20"/>
      <c r="R2200" s="20"/>
    </row>
    <row r="2201" spans="1:18" s="103" customFormat="1" hidden="1" outlineLevel="1" x14ac:dyDescent="0.2">
      <c r="A2201" s="22" t="s">
        <v>1545</v>
      </c>
      <c r="B2201" s="2" t="s">
        <v>252</v>
      </c>
      <c r="C2201" s="2" t="s">
        <v>1274</v>
      </c>
      <c r="D2201" s="716">
        <v>1</v>
      </c>
      <c r="E2201" s="4" t="s">
        <v>31</v>
      </c>
      <c r="F2201" s="47">
        <f t="shared" ref="F2201:I2201" si="831">G2201</f>
        <v>0</v>
      </c>
      <c r="G2201" s="47">
        <f t="shared" si="831"/>
        <v>0</v>
      </c>
      <c r="H2201" s="47">
        <f t="shared" si="831"/>
        <v>0</v>
      </c>
      <c r="I2201" s="47">
        <f t="shared" si="831"/>
        <v>0</v>
      </c>
      <c r="J2201" s="47">
        <f t="shared" si="771"/>
        <v>0</v>
      </c>
      <c r="K2201" s="47">
        <v>0</v>
      </c>
      <c r="L2201" s="47">
        <v>0</v>
      </c>
      <c r="M2201" s="893"/>
      <c r="N2201" s="20"/>
      <c r="O2201" s="20"/>
      <c r="P2201" s="20"/>
      <c r="Q2201" s="20"/>
      <c r="R2201" s="20"/>
    </row>
    <row r="2202" spans="1:18" s="103" customFormat="1" hidden="1" outlineLevel="1" x14ac:dyDescent="0.2">
      <c r="A2202" s="22" t="s">
        <v>1545</v>
      </c>
      <c r="B2202" s="2" t="s">
        <v>252</v>
      </c>
      <c r="C2202" s="2" t="s">
        <v>1274</v>
      </c>
      <c r="D2202" s="716">
        <v>1</v>
      </c>
      <c r="E2202" s="4" t="s">
        <v>8</v>
      </c>
      <c r="F2202" s="47">
        <f t="shared" ref="F2202:I2202" si="832">G2202</f>
        <v>0</v>
      </c>
      <c r="G2202" s="47">
        <f t="shared" si="832"/>
        <v>0</v>
      </c>
      <c r="H2202" s="47">
        <f t="shared" si="832"/>
        <v>0</v>
      </c>
      <c r="I2202" s="47">
        <f t="shared" si="832"/>
        <v>0</v>
      </c>
      <c r="J2202" s="47">
        <f t="shared" si="771"/>
        <v>0</v>
      </c>
      <c r="K2202" s="47">
        <v>0</v>
      </c>
      <c r="L2202" s="47">
        <v>0</v>
      </c>
      <c r="M2202" s="893"/>
      <c r="N2202" s="20"/>
      <c r="O2202" s="20"/>
      <c r="P2202" s="20"/>
      <c r="Q2202" s="20"/>
      <c r="R2202" s="20"/>
    </row>
    <row r="2203" spans="1:18" s="103" customFormat="1" hidden="1" outlineLevel="1" x14ac:dyDescent="0.2">
      <c r="A2203" s="22" t="s">
        <v>1545</v>
      </c>
      <c r="B2203" s="2" t="s">
        <v>252</v>
      </c>
      <c r="C2203" s="2" t="s">
        <v>1274</v>
      </c>
      <c r="D2203" s="716">
        <v>1</v>
      </c>
      <c r="E2203" s="4" t="s">
        <v>9</v>
      </c>
      <c r="F2203" s="47">
        <f t="shared" ref="F2203:I2203" si="833">G2203</f>
        <v>0</v>
      </c>
      <c r="G2203" s="47">
        <f t="shared" si="833"/>
        <v>0</v>
      </c>
      <c r="H2203" s="47">
        <f t="shared" si="833"/>
        <v>0</v>
      </c>
      <c r="I2203" s="47">
        <f t="shared" si="833"/>
        <v>0</v>
      </c>
      <c r="J2203" s="47">
        <f t="shared" si="771"/>
        <v>0</v>
      </c>
      <c r="K2203" s="47">
        <v>0</v>
      </c>
      <c r="L2203" s="47">
        <v>0</v>
      </c>
      <c r="M2203" s="893"/>
      <c r="N2203" s="20"/>
      <c r="O2203" s="20"/>
      <c r="P2203" s="20"/>
      <c r="Q2203" s="20"/>
      <c r="R2203" s="20"/>
    </row>
    <row r="2204" spans="1:18" s="103" customFormat="1" hidden="1" outlineLevel="1" x14ac:dyDescent="0.2">
      <c r="A2204" s="22" t="s">
        <v>1545</v>
      </c>
      <c r="B2204" s="2" t="s">
        <v>252</v>
      </c>
      <c r="C2204" s="2" t="s">
        <v>1274</v>
      </c>
      <c r="D2204" s="716">
        <v>1</v>
      </c>
      <c r="E2204" s="4" t="s">
        <v>10</v>
      </c>
      <c r="F2204" s="47">
        <f t="shared" ref="F2204:I2204" si="834">G2204</f>
        <v>0</v>
      </c>
      <c r="G2204" s="47">
        <f t="shared" si="834"/>
        <v>0</v>
      </c>
      <c r="H2204" s="47">
        <f t="shared" si="834"/>
        <v>0</v>
      </c>
      <c r="I2204" s="47">
        <f t="shared" si="834"/>
        <v>0</v>
      </c>
      <c r="J2204" s="47">
        <f t="shared" si="771"/>
        <v>0</v>
      </c>
      <c r="K2204" s="47">
        <v>0</v>
      </c>
      <c r="L2204" s="47">
        <v>0</v>
      </c>
      <c r="M2204" s="893"/>
      <c r="N2204" s="20"/>
      <c r="O2204" s="20"/>
      <c r="P2204" s="20"/>
      <c r="Q2204" s="20"/>
      <c r="R2204" s="20"/>
    </row>
    <row r="2205" spans="1:18" s="103" customFormat="1" hidden="1" outlineLevel="1" x14ac:dyDescent="0.2">
      <c r="A2205" s="22" t="s">
        <v>1545</v>
      </c>
      <c r="B2205" s="2" t="s">
        <v>252</v>
      </c>
      <c r="C2205" s="2" t="s">
        <v>1274</v>
      </c>
      <c r="D2205" s="716">
        <v>1</v>
      </c>
      <c r="E2205" s="4" t="s">
        <v>11</v>
      </c>
      <c r="F2205" s="47">
        <f t="shared" ref="F2205:I2205" si="835">G2205</f>
        <v>0</v>
      </c>
      <c r="G2205" s="47">
        <f t="shared" si="835"/>
        <v>0</v>
      </c>
      <c r="H2205" s="47">
        <f t="shared" si="835"/>
        <v>0</v>
      </c>
      <c r="I2205" s="47">
        <f t="shared" si="835"/>
        <v>0</v>
      </c>
      <c r="J2205" s="47">
        <f t="shared" ref="J2205:J2268" si="836">K2205</f>
        <v>0</v>
      </c>
      <c r="K2205" s="47">
        <v>0</v>
      </c>
      <c r="L2205" s="47">
        <v>0</v>
      </c>
      <c r="M2205" s="893"/>
      <c r="N2205" s="20"/>
      <c r="O2205" s="20"/>
      <c r="P2205" s="20"/>
      <c r="Q2205" s="20"/>
      <c r="R2205" s="20"/>
    </row>
    <row r="2206" spans="1:18" s="103" customFormat="1" hidden="1" outlineLevel="1" x14ac:dyDescent="0.2">
      <c r="A2206" s="22" t="s">
        <v>1545</v>
      </c>
      <c r="B2206" s="2" t="s">
        <v>252</v>
      </c>
      <c r="C2206" s="2" t="s">
        <v>1274</v>
      </c>
      <c r="D2206" s="716">
        <v>1</v>
      </c>
      <c r="E2206" s="4" t="s">
        <v>12</v>
      </c>
      <c r="F2206" s="47">
        <f t="shared" ref="F2206:I2206" si="837">G2206</f>
        <v>0</v>
      </c>
      <c r="G2206" s="47">
        <f t="shared" si="837"/>
        <v>0</v>
      </c>
      <c r="H2206" s="47">
        <f t="shared" si="837"/>
        <v>0</v>
      </c>
      <c r="I2206" s="47">
        <f t="shared" si="837"/>
        <v>0</v>
      </c>
      <c r="J2206" s="47">
        <f t="shared" si="836"/>
        <v>0</v>
      </c>
      <c r="K2206" s="47">
        <v>0</v>
      </c>
      <c r="L2206" s="47">
        <v>0</v>
      </c>
      <c r="M2206" s="893"/>
      <c r="N2206" s="20"/>
      <c r="O2206" s="20"/>
      <c r="P2206" s="20"/>
      <c r="Q2206" s="20"/>
      <c r="R2206" s="20"/>
    </row>
    <row r="2207" spans="1:18" s="103" customFormat="1" hidden="1" outlineLevel="1" x14ac:dyDescent="0.2">
      <c r="A2207" s="22" t="s">
        <v>1545</v>
      </c>
      <c r="B2207" s="2" t="s">
        <v>252</v>
      </c>
      <c r="C2207" s="2" t="s">
        <v>1274</v>
      </c>
      <c r="D2207" s="716">
        <v>1</v>
      </c>
      <c r="E2207" s="4" t="s">
        <v>1</v>
      </c>
      <c r="F2207" s="47">
        <f t="shared" ref="F2207:I2207" si="838">G2207</f>
        <v>0</v>
      </c>
      <c r="G2207" s="47">
        <f t="shared" si="838"/>
        <v>0</v>
      </c>
      <c r="H2207" s="47">
        <f t="shared" si="838"/>
        <v>0</v>
      </c>
      <c r="I2207" s="47">
        <f t="shared" si="838"/>
        <v>0</v>
      </c>
      <c r="J2207" s="47">
        <f t="shared" si="836"/>
        <v>0</v>
      </c>
      <c r="K2207" s="47">
        <v>0</v>
      </c>
      <c r="L2207" s="47">
        <v>0</v>
      </c>
      <c r="M2207" s="893"/>
      <c r="N2207" s="20"/>
      <c r="O2207" s="20"/>
      <c r="P2207" s="20"/>
      <c r="Q2207" s="20"/>
      <c r="R2207" s="20"/>
    </row>
    <row r="2208" spans="1:18" s="103" customFormat="1" hidden="1" outlineLevel="1" x14ac:dyDescent="0.2">
      <c r="A2208" s="22" t="s">
        <v>1545</v>
      </c>
      <c r="B2208" s="2" t="s">
        <v>252</v>
      </c>
      <c r="C2208" s="2" t="s">
        <v>1274</v>
      </c>
      <c r="D2208" s="716">
        <v>1</v>
      </c>
      <c r="E2208" s="4" t="s">
        <v>13</v>
      </c>
      <c r="F2208" s="47">
        <f t="shared" ref="F2208:I2208" si="839">G2208</f>
        <v>0</v>
      </c>
      <c r="G2208" s="47">
        <f t="shared" si="839"/>
        <v>0</v>
      </c>
      <c r="H2208" s="47">
        <f t="shared" si="839"/>
        <v>0</v>
      </c>
      <c r="I2208" s="47">
        <f t="shared" si="839"/>
        <v>0</v>
      </c>
      <c r="J2208" s="47">
        <f t="shared" si="836"/>
        <v>0</v>
      </c>
      <c r="K2208" s="47">
        <v>0</v>
      </c>
      <c r="L2208" s="47">
        <v>0</v>
      </c>
      <c r="M2208" s="893"/>
      <c r="N2208" s="20"/>
      <c r="O2208" s="20"/>
      <c r="P2208" s="20"/>
      <c r="Q2208" s="20"/>
      <c r="R2208" s="20"/>
    </row>
    <row r="2209" spans="1:18" s="103" customFormat="1" hidden="1" outlineLevel="1" x14ac:dyDescent="0.2">
      <c r="A2209" s="22" t="s">
        <v>1545</v>
      </c>
      <c r="B2209" s="2" t="s">
        <v>252</v>
      </c>
      <c r="C2209" s="2" t="s">
        <v>1274</v>
      </c>
      <c r="D2209" s="716">
        <v>1</v>
      </c>
      <c r="E2209" s="4" t="s">
        <v>14</v>
      </c>
      <c r="F2209" s="47">
        <f t="shared" ref="F2209:I2209" si="840">G2209</f>
        <v>0</v>
      </c>
      <c r="G2209" s="47">
        <f t="shared" si="840"/>
        <v>0</v>
      </c>
      <c r="H2209" s="47">
        <f t="shared" si="840"/>
        <v>0</v>
      </c>
      <c r="I2209" s="47">
        <f t="shared" si="840"/>
        <v>0</v>
      </c>
      <c r="J2209" s="47">
        <f t="shared" si="836"/>
        <v>0</v>
      </c>
      <c r="K2209" s="47">
        <v>0</v>
      </c>
      <c r="L2209" s="47">
        <v>0</v>
      </c>
      <c r="M2209" s="893"/>
      <c r="N2209" s="20"/>
      <c r="O2209" s="20"/>
      <c r="P2209" s="20"/>
      <c r="Q2209" s="20"/>
      <c r="R2209" s="20"/>
    </row>
    <row r="2210" spans="1:18" s="103" customFormat="1" hidden="1" outlineLevel="1" x14ac:dyDescent="0.2">
      <c r="A2210" s="22" t="s">
        <v>1545</v>
      </c>
      <c r="B2210" s="2" t="s">
        <v>252</v>
      </c>
      <c r="C2210" s="2" t="s">
        <v>1274</v>
      </c>
      <c r="D2210" s="716">
        <v>1</v>
      </c>
      <c r="E2210" s="4" t="s">
        <v>15</v>
      </c>
      <c r="F2210" s="47">
        <f t="shared" ref="F2210:I2210" si="841">G2210</f>
        <v>0</v>
      </c>
      <c r="G2210" s="47">
        <f t="shared" si="841"/>
        <v>0</v>
      </c>
      <c r="H2210" s="47">
        <f t="shared" si="841"/>
        <v>0</v>
      </c>
      <c r="I2210" s="47">
        <f t="shared" si="841"/>
        <v>0</v>
      </c>
      <c r="J2210" s="47">
        <f t="shared" si="836"/>
        <v>0</v>
      </c>
      <c r="K2210" s="47">
        <v>0</v>
      </c>
      <c r="L2210" s="47">
        <v>0</v>
      </c>
      <c r="M2210" s="893"/>
      <c r="N2210" s="20"/>
      <c r="O2210" s="20"/>
      <c r="P2210" s="20"/>
      <c r="Q2210" s="20"/>
      <c r="R2210" s="20"/>
    </row>
    <row r="2211" spans="1:18" s="103" customFormat="1" hidden="1" outlineLevel="1" x14ac:dyDescent="0.2">
      <c r="A2211" s="22" t="s">
        <v>1545</v>
      </c>
      <c r="B2211" s="2" t="s">
        <v>252</v>
      </c>
      <c r="C2211" s="2" t="s">
        <v>1274</v>
      </c>
      <c r="D2211" s="716">
        <v>1</v>
      </c>
      <c r="E2211" s="4" t="s">
        <v>16</v>
      </c>
      <c r="F2211" s="47">
        <f t="shared" ref="F2211:I2211" si="842">G2211</f>
        <v>0</v>
      </c>
      <c r="G2211" s="47">
        <f t="shared" si="842"/>
        <v>0</v>
      </c>
      <c r="H2211" s="47">
        <f t="shared" si="842"/>
        <v>0</v>
      </c>
      <c r="I2211" s="47">
        <f t="shared" si="842"/>
        <v>0</v>
      </c>
      <c r="J2211" s="47">
        <f t="shared" si="836"/>
        <v>0</v>
      </c>
      <c r="K2211" s="47">
        <v>0</v>
      </c>
      <c r="L2211" s="47">
        <v>0</v>
      </c>
      <c r="M2211" s="893"/>
      <c r="N2211" s="20"/>
      <c r="O2211" s="20"/>
      <c r="P2211" s="20"/>
      <c r="Q2211" s="20"/>
      <c r="R2211" s="20"/>
    </row>
    <row r="2212" spans="1:18" s="103" customFormat="1" hidden="1" outlineLevel="1" x14ac:dyDescent="0.2">
      <c r="A2212" s="22" t="s">
        <v>1545</v>
      </c>
      <c r="B2212" s="2" t="s">
        <v>252</v>
      </c>
      <c r="C2212" s="2" t="s">
        <v>1274</v>
      </c>
      <c r="D2212" s="716">
        <v>1</v>
      </c>
      <c r="E2212" s="4" t="s">
        <v>17</v>
      </c>
      <c r="F2212" s="47">
        <f t="shared" ref="F2212:I2212" si="843">G2212</f>
        <v>0</v>
      </c>
      <c r="G2212" s="47">
        <f t="shared" si="843"/>
        <v>0</v>
      </c>
      <c r="H2212" s="47">
        <f t="shared" si="843"/>
        <v>0</v>
      </c>
      <c r="I2212" s="47">
        <f t="shared" si="843"/>
        <v>0</v>
      </c>
      <c r="J2212" s="47">
        <f t="shared" si="836"/>
        <v>0</v>
      </c>
      <c r="K2212" s="47">
        <v>0</v>
      </c>
      <c r="L2212" s="47">
        <v>0</v>
      </c>
      <c r="M2212" s="893"/>
      <c r="N2212" s="20"/>
      <c r="O2212" s="20"/>
      <c r="P2212" s="20"/>
      <c r="Q2212" s="20"/>
      <c r="R2212" s="20"/>
    </row>
    <row r="2213" spans="1:18" s="103" customFormat="1" hidden="1" outlineLevel="1" x14ac:dyDescent="0.2">
      <c r="A2213" s="22" t="s">
        <v>1545</v>
      </c>
      <c r="B2213" s="2" t="s">
        <v>252</v>
      </c>
      <c r="C2213" s="2" t="s">
        <v>1274</v>
      </c>
      <c r="D2213" s="716">
        <v>1</v>
      </c>
      <c r="E2213" s="4" t="s">
        <v>18</v>
      </c>
      <c r="F2213" s="47">
        <f t="shared" ref="F2213:I2213" si="844">G2213</f>
        <v>0</v>
      </c>
      <c r="G2213" s="47">
        <f t="shared" si="844"/>
        <v>0</v>
      </c>
      <c r="H2213" s="47">
        <f t="shared" si="844"/>
        <v>0</v>
      </c>
      <c r="I2213" s="47">
        <f t="shared" si="844"/>
        <v>0</v>
      </c>
      <c r="J2213" s="47">
        <f t="shared" si="836"/>
        <v>0</v>
      </c>
      <c r="K2213" s="47">
        <v>0</v>
      </c>
      <c r="L2213" s="47">
        <v>0</v>
      </c>
      <c r="M2213" s="893"/>
      <c r="N2213" s="20"/>
      <c r="O2213" s="20"/>
      <c r="P2213" s="20"/>
      <c r="Q2213" s="20"/>
      <c r="R2213" s="20"/>
    </row>
    <row r="2214" spans="1:18" s="103" customFormat="1" hidden="1" outlineLevel="1" x14ac:dyDescent="0.2">
      <c r="A2214" s="22" t="s">
        <v>1545</v>
      </c>
      <c r="B2214" s="2" t="s">
        <v>252</v>
      </c>
      <c r="C2214" s="2" t="s">
        <v>1274</v>
      </c>
      <c r="D2214" s="716">
        <v>1</v>
      </c>
      <c r="E2214" s="4" t="s">
        <v>2</v>
      </c>
      <c r="F2214" s="47">
        <f t="shared" ref="F2214:I2214" si="845">G2214</f>
        <v>0</v>
      </c>
      <c r="G2214" s="47">
        <f t="shared" si="845"/>
        <v>0</v>
      </c>
      <c r="H2214" s="47">
        <f t="shared" si="845"/>
        <v>0</v>
      </c>
      <c r="I2214" s="47">
        <f t="shared" si="845"/>
        <v>0</v>
      </c>
      <c r="J2214" s="47">
        <f t="shared" si="836"/>
        <v>0</v>
      </c>
      <c r="K2214" s="47">
        <v>0</v>
      </c>
      <c r="L2214" s="47">
        <v>0</v>
      </c>
      <c r="M2214" s="893"/>
      <c r="N2214" s="20"/>
      <c r="O2214" s="20"/>
      <c r="P2214" s="20"/>
      <c r="Q2214" s="20"/>
      <c r="R2214" s="20"/>
    </row>
    <row r="2215" spans="1:18" s="103" customFormat="1" hidden="1" outlineLevel="1" x14ac:dyDescent="0.2">
      <c r="A2215" s="22" t="s">
        <v>1545</v>
      </c>
      <c r="B2215" s="2" t="s">
        <v>252</v>
      </c>
      <c r="C2215" s="2" t="s">
        <v>1274</v>
      </c>
      <c r="D2215" s="716">
        <v>1</v>
      </c>
      <c r="E2215" s="4" t="s">
        <v>19</v>
      </c>
      <c r="F2215" s="47">
        <f t="shared" ref="F2215:I2215" si="846">G2215</f>
        <v>0</v>
      </c>
      <c r="G2215" s="47">
        <f t="shared" si="846"/>
        <v>0</v>
      </c>
      <c r="H2215" s="47">
        <f t="shared" si="846"/>
        <v>0</v>
      </c>
      <c r="I2215" s="47">
        <f t="shared" si="846"/>
        <v>0</v>
      </c>
      <c r="J2215" s="47">
        <f t="shared" si="836"/>
        <v>0</v>
      </c>
      <c r="K2215" s="47">
        <v>0</v>
      </c>
      <c r="L2215" s="47">
        <v>0</v>
      </c>
      <c r="M2215" s="893"/>
      <c r="N2215" s="20"/>
      <c r="O2215" s="20"/>
      <c r="P2215" s="20"/>
      <c r="Q2215" s="20"/>
      <c r="R2215" s="20"/>
    </row>
    <row r="2216" spans="1:18" s="103" customFormat="1" hidden="1" outlineLevel="1" x14ac:dyDescent="0.2">
      <c r="A2216" s="22" t="s">
        <v>1545</v>
      </c>
      <c r="B2216" s="2" t="s">
        <v>252</v>
      </c>
      <c r="C2216" s="2" t="s">
        <v>1274</v>
      </c>
      <c r="D2216" s="716">
        <v>1</v>
      </c>
      <c r="E2216" s="4" t="s">
        <v>3</v>
      </c>
      <c r="F2216" s="47">
        <f t="shared" ref="F2216:I2216" si="847">G2216</f>
        <v>0</v>
      </c>
      <c r="G2216" s="47">
        <f t="shared" si="847"/>
        <v>0</v>
      </c>
      <c r="H2216" s="47">
        <f t="shared" si="847"/>
        <v>0</v>
      </c>
      <c r="I2216" s="47">
        <f t="shared" si="847"/>
        <v>0</v>
      </c>
      <c r="J2216" s="47">
        <f t="shared" si="836"/>
        <v>0</v>
      </c>
      <c r="K2216" s="47">
        <v>0</v>
      </c>
      <c r="L2216" s="47">
        <v>0</v>
      </c>
      <c r="M2216" s="893"/>
      <c r="N2216" s="20"/>
      <c r="O2216" s="20"/>
      <c r="P2216" s="20"/>
      <c r="Q2216" s="20"/>
      <c r="R2216" s="20"/>
    </row>
    <row r="2217" spans="1:18" s="103" customFormat="1" hidden="1" outlineLevel="1" x14ac:dyDescent="0.2">
      <c r="A2217" s="22" t="s">
        <v>1545</v>
      </c>
      <c r="B2217" s="2" t="s">
        <v>252</v>
      </c>
      <c r="C2217" s="2" t="s">
        <v>1274</v>
      </c>
      <c r="D2217" s="716">
        <v>1</v>
      </c>
      <c r="E2217" s="4" t="s">
        <v>20</v>
      </c>
      <c r="F2217" s="47">
        <f t="shared" ref="F2217:I2217" si="848">G2217</f>
        <v>0</v>
      </c>
      <c r="G2217" s="47">
        <f t="shared" si="848"/>
        <v>0</v>
      </c>
      <c r="H2217" s="47">
        <f t="shared" si="848"/>
        <v>0</v>
      </c>
      <c r="I2217" s="47">
        <f t="shared" si="848"/>
        <v>0</v>
      </c>
      <c r="J2217" s="47">
        <f t="shared" si="836"/>
        <v>0</v>
      </c>
      <c r="K2217" s="47">
        <v>0</v>
      </c>
      <c r="L2217" s="47">
        <v>0</v>
      </c>
      <c r="M2217" s="893"/>
      <c r="N2217" s="20"/>
      <c r="O2217" s="20"/>
      <c r="P2217" s="20"/>
      <c r="Q2217" s="20"/>
      <c r="R2217" s="20"/>
    </row>
    <row r="2218" spans="1:18" s="103" customFormat="1" hidden="1" outlineLevel="1" x14ac:dyDescent="0.2">
      <c r="A2218" s="22" t="s">
        <v>1545</v>
      </c>
      <c r="B2218" s="2" t="s">
        <v>252</v>
      </c>
      <c r="C2218" s="2" t="s">
        <v>1274</v>
      </c>
      <c r="D2218" s="716">
        <v>1</v>
      </c>
      <c r="E2218" s="4" t="s">
        <v>21</v>
      </c>
      <c r="F2218" s="47">
        <f t="shared" ref="F2218:I2218" si="849">G2218</f>
        <v>0</v>
      </c>
      <c r="G2218" s="47">
        <f t="shared" si="849"/>
        <v>0</v>
      </c>
      <c r="H2218" s="47">
        <f t="shared" si="849"/>
        <v>0</v>
      </c>
      <c r="I2218" s="47">
        <f t="shared" si="849"/>
        <v>0</v>
      </c>
      <c r="J2218" s="47">
        <f t="shared" si="836"/>
        <v>0</v>
      </c>
      <c r="K2218" s="47">
        <v>0</v>
      </c>
      <c r="L2218" s="47">
        <v>0</v>
      </c>
      <c r="M2218" s="893"/>
      <c r="N2218" s="20"/>
      <c r="O2218" s="20"/>
      <c r="P2218" s="20"/>
      <c r="Q2218" s="20"/>
      <c r="R2218" s="20"/>
    </row>
    <row r="2219" spans="1:18" s="103" customFormat="1" hidden="1" outlineLevel="1" x14ac:dyDescent="0.2">
      <c r="A2219" s="22" t="s">
        <v>1545</v>
      </c>
      <c r="B2219" s="2" t="s">
        <v>252</v>
      </c>
      <c r="C2219" s="2" t="s">
        <v>1274</v>
      </c>
      <c r="D2219" s="716">
        <v>1</v>
      </c>
      <c r="E2219" s="4" t="s">
        <v>1096</v>
      </c>
      <c r="F2219" s="47">
        <f t="shared" ref="F2219:I2219" si="850">G2219</f>
        <v>0</v>
      </c>
      <c r="G2219" s="47">
        <f t="shared" si="850"/>
        <v>0</v>
      </c>
      <c r="H2219" s="47">
        <f t="shared" si="850"/>
        <v>0</v>
      </c>
      <c r="I2219" s="47">
        <f t="shared" si="850"/>
        <v>0</v>
      </c>
      <c r="J2219" s="47">
        <f t="shared" si="836"/>
        <v>0</v>
      </c>
      <c r="K2219" s="47">
        <v>0</v>
      </c>
      <c r="L2219" s="47">
        <v>0</v>
      </c>
      <c r="M2219" s="893"/>
      <c r="N2219" s="20"/>
      <c r="O2219" s="20"/>
      <c r="P2219" s="20"/>
      <c r="Q2219" s="20"/>
      <c r="R2219" s="20"/>
    </row>
    <row r="2220" spans="1:18" s="103" customFormat="1" hidden="1" outlineLevel="1" x14ac:dyDescent="0.2">
      <c r="A2220" s="22" t="s">
        <v>1545</v>
      </c>
      <c r="B2220" s="2" t="s">
        <v>252</v>
      </c>
      <c r="C2220" s="2" t="s">
        <v>1274</v>
      </c>
      <c r="D2220" s="716">
        <v>1</v>
      </c>
      <c r="E2220" s="4" t="s">
        <v>22</v>
      </c>
      <c r="F2220" s="47">
        <f t="shared" ref="F2220:I2220" si="851">G2220</f>
        <v>0</v>
      </c>
      <c r="G2220" s="47">
        <f t="shared" si="851"/>
        <v>0</v>
      </c>
      <c r="H2220" s="47">
        <f t="shared" si="851"/>
        <v>0</v>
      </c>
      <c r="I2220" s="47">
        <f t="shared" si="851"/>
        <v>0</v>
      </c>
      <c r="J2220" s="47">
        <f t="shared" si="836"/>
        <v>0</v>
      </c>
      <c r="K2220" s="47">
        <v>0</v>
      </c>
      <c r="L2220" s="47">
        <v>0</v>
      </c>
      <c r="M2220" s="893"/>
      <c r="N2220" s="20"/>
      <c r="O2220" s="20"/>
      <c r="P2220" s="20"/>
      <c r="Q2220" s="20"/>
      <c r="R2220" s="20"/>
    </row>
    <row r="2221" spans="1:18" s="103" customFormat="1" hidden="1" outlineLevel="1" x14ac:dyDescent="0.2">
      <c r="A2221" s="22" t="s">
        <v>1545</v>
      </c>
      <c r="B2221" s="2" t="s">
        <v>252</v>
      </c>
      <c r="C2221" s="2" t="s">
        <v>1274</v>
      </c>
      <c r="D2221" s="717">
        <v>1</v>
      </c>
      <c r="E2221" s="4" t="s">
        <v>23</v>
      </c>
      <c r="F2221" s="48">
        <f t="shared" ref="F2221:I2221" si="852">G2221</f>
        <v>0</v>
      </c>
      <c r="G2221" s="48">
        <f t="shared" si="852"/>
        <v>0</v>
      </c>
      <c r="H2221" s="48">
        <f t="shared" si="852"/>
        <v>0</v>
      </c>
      <c r="I2221" s="48">
        <f t="shared" si="852"/>
        <v>0</v>
      </c>
      <c r="J2221" s="48">
        <f t="shared" si="836"/>
        <v>0</v>
      </c>
      <c r="K2221" s="363">
        <v>0</v>
      </c>
      <c r="L2221" s="363">
        <v>0</v>
      </c>
      <c r="M2221" s="920"/>
      <c r="N2221" s="20"/>
      <c r="O2221" s="20"/>
      <c r="P2221" s="20"/>
      <c r="Q2221" s="20"/>
      <c r="R2221" s="20"/>
    </row>
    <row r="2222" spans="1:18" s="103" customFormat="1" hidden="1" outlineLevel="1" x14ac:dyDescent="0.2">
      <c r="A2222" s="92" t="s">
        <v>1545</v>
      </c>
      <c r="B2222" s="81" t="s">
        <v>252</v>
      </c>
      <c r="C2222" s="81" t="s">
        <v>1275</v>
      </c>
      <c r="D2222" s="715">
        <v>1</v>
      </c>
      <c r="E2222" s="468" t="s">
        <v>4</v>
      </c>
      <c r="F2222" s="380">
        <f t="shared" ref="F2222:I2222" si="853">G2222</f>
        <v>0</v>
      </c>
      <c r="G2222" s="89">
        <f t="shared" si="853"/>
        <v>0</v>
      </c>
      <c r="H2222" s="89">
        <f t="shared" si="853"/>
        <v>0</v>
      </c>
      <c r="I2222" s="89">
        <f t="shared" si="853"/>
        <v>0</v>
      </c>
      <c r="J2222" s="89">
        <f t="shared" si="836"/>
        <v>0</v>
      </c>
      <c r="K2222" s="380">
        <v>0</v>
      </c>
      <c r="L2222" s="380">
        <v>0</v>
      </c>
      <c r="M2222" s="892"/>
      <c r="N2222" s="20"/>
      <c r="O2222" s="20"/>
      <c r="P2222" s="20"/>
      <c r="Q2222" s="20"/>
      <c r="R2222" s="20"/>
    </row>
    <row r="2223" spans="1:18" s="103" customFormat="1" hidden="1" outlineLevel="1" x14ac:dyDescent="0.2">
      <c r="A2223" s="22" t="s">
        <v>1545</v>
      </c>
      <c r="B2223" s="2" t="s">
        <v>252</v>
      </c>
      <c r="C2223" s="2" t="s">
        <v>1275</v>
      </c>
      <c r="D2223" s="716">
        <v>1</v>
      </c>
      <c r="E2223" s="4" t="s">
        <v>5</v>
      </c>
      <c r="F2223" s="47">
        <f t="shared" ref="F2223:I2223" si="854">G2223</f>
        <v>0</v>
      </c>
      <c r="G2223" s="47">
        <f t="shared" si="854"/>
        <v>0</v>
      </c>
      <c r="H2223" s="47">
        <f t="shared" si="854"/>
        <v>0</v>
      </c>
      <c r="I2223" s="47">
        <f t="shared" si="854"/>
        <v>0</v>
      </c>
      <c r="J2223" s="47">
        <f t="shared" si="836"/>
        <v>0</v>
      </c>
      <c r="K2223" s="47">
        <v>0</v>
      </c>
      <c r="L2223" s="47">
        <v>0</v>
      </c>
      <c r="M2223" s="893"/>
      <c r="N2223" s="20"/>
      <c r="O2223" s="20"/>
      <c r="P2223" s="20"/>
      <c r="Q2223" s="20"/>
      <c r="R2223" s="20"/>
    </row>
    <row r="2224" spans="1:18" s="103" customFormat="1" hidden="1" outlineLevel="1" x14ac:dyDescent="0.2">
      <c r="A2224" s="22" t="s">
        <v>1545</v>
      </c>
      <c r="B2224" s="2" t="s">
        <v>252</v>
      </c>
      <c r="C2224" s="2" t="s">
        <v>1275</v>
      </c>
      <c r="D2224" s="716">
        <v>1</v>
      </c>
      <c r="E2224" s="4" t="s">
        <v>6</v>
      </c>
      <c r="F2224" s="47">
        <f t="shared" ref="F2224:I2224" si="855">G2224</f>
        <v>0</v>
      </c>
      <c r="G2224" s="47">
        <f t="shared" si="855"/>
        <v>0</v>
      </c>
      <c r="H2224" s="47">
        <f t="shared" si="855"/>
        <v>0</v>
      </c>
      <c r="I2224" s="47">
        <f t="shared" si="855"/>
        <v>0</v>
      </c>
      <c r="J2224" s="47">
        <f t="shared" si="836"/>
        <v>0</v>
      </c>
      <c r="K2224" s="47">
        <v>0</v>
      </c>
      <c r="L2224" s="47">
        <v>0</v>
      </c>
      <c r="M2224" s="893"/>
      <c r="N2224" s="20"/>
      <c r="O2224" s="20"/>
      <c r="P2224" s="20"/>
      <c r="Q2224" s="20"/>
      <c r="R2224" s="20"/>
    </row>
    <row r="2225" spans="1:18" s="103" customFormat="1" hidden="1" outlineLevel="1" x14ac:dyDescent="0.2">
      <c r="A2225" s="22" t="s">
        <v>1545</v>
      </c>
      <c r="B2225" s="2" t="s">
        <v>252</v>
      </c>
      <c r="C2225" s="2" t="s">
        <v>1275</v>
      </c>
      <c r="D2225" s="716">
        <v>1</v>
      </c>
      <c r="E2225" s="4" t="s">
        <v>143</v>
      </c>
      <c r="F2225" s="47">
        <f t="shared" ref="F2225:I2225" si="856">G2225</f>
        <v>0</v>
      </c>
      <c r="G2225" s="47">
        <f t="shared" si="856"/>
        <v>0</v>
      </c>
      <c r="H2225" s="47">
        <f t="shared" si="856"/>
        <v>0</v>
      </c>
      <c r="I2225" s="47">
        <f t="shared" si="856"/>
        <v>0</v>
      </c>
      <c r="J2225" s="47">
        <f t="shared" si="836"/>
        <v>0</v>
      </c>
      <c r="K2225" s="47">
        <v>0</v>
      </c>
      <c r="L2225" s="47">
        <v>0</v>
      </c>
      <c r="M2225" s="893"/>
      <c r="N2225" s="20"/>
      <c r="O2225" s="20"/>
      <c r="P2225" s="20"/>
      <c r="Q2225" s="20"/>
      <c r="R2225" s="20"/>
    </row>
    <row r="2226" spans="1:18" s="103" customFormat="1" hidden="1" outlineLevel="1" x14ac:dyDescent="0.2">
      <c r="A2226" s="22" t="s">
        <v>1545</v>
      </c>
      <c r="B2226" s="2" t="s">
        <v>252</v>
      </c>
      <c r="C2226" s="2" t="s">
        <v>1275</v>
      </c>
      <c r="D2226" s="716">
        <v>1</v>
      </c>
      <c r="E2226" s="4" t="s">
        <v>7</v>
      </c>
      <c r="F2226" s="47">
        <f t="shared" ref="F2226:I2226" si="857">G2226</f>
        <v>0</v>
      </c>
      <c r="G2226" s="47">
        <f t="shared" si="857"/>
        <v>0</v>
      </c>
      <c r="H2226" s="47">
        <f t="shared" si="857"/>
        <v>0</v>
      </c>
      <c r="I2226" s="47">
        <f t="shared" si="857"/>
        <v>0</v>
      </c>
      <c r="J2226" s="47">
        <f t="shared" si="836"/>
        <v>0</v>
      </c>
      <c r="K2226" s="47">
        <v>0</v>
      </c>
      <c r="L2226" s="47">
        <v>0</v>
      </c>
      <c r="M2226" s="893"/>
      <c r="N2226" s="20"/>
      <c r="O2226" s="20"/>
      <c r="P2226" s="20"/>
      <c r="Q2226" s="20"/>
      <c r="R2226" s="20"/>
    </row>
    <row r="2227" spans="1:18" s="103" customFormat="1" hidden="1" outlineLevel="1" x14ac:dyDescent="0.2">
      <c r="A2227" s="22" t="s">
        <v>1545</v>
      </c>
      <c r="B2227" s="2" t="s">
        <v>252</v>
      </c>
      <c r="C2227" s="2" t="s">
        <v>1275</v>
      </c>
      <c r="D2227" s="716">
        <v>1</v>
      </c>
      <c r="E2227" s="4" t="s">
        <v>31</v>
      </c>
      <c r="F2227" s="47">
        <f t="shared" ref="F2227:I2227" si="858">G2227</f>
        <v>0</v>
      </c>
      <c r="G2227" s="47">
        <f t="shared" si="858"/>
        <v>0</v>
      </c>
      <c r="H2227" s="47">
        <f t="shared" si="858"/>
        <v>0</v>
      </c>
      <c r="I2227" s="47">
        <f t="shared" si="858"/>
        <v>0</v>
      </c>
      <c r="J2227" s="47">
        <f t="shared" si="836"/>
        <v>0</v>
      </c>
      <c r="K2227" s="47">
        <v>0</v>
      </c>
      <c r="L2227" s="47">
        <v>0</v>
      </c>
      <c r="M2227" s="893"/>
      <c r="N2227" s="20"/>
      <c r="O2227" s="20"/>
      <c r="P2227" s="20"/>
      <c r="Q2227" s="20"/>
      <c r="R2227" s="20"/>
    </row>
    <row r="2228" spans="1:18" s="103" customFormat="1" hidden="1" outlineLevel="1" x14ac:dyDescent="0.2">
      <c r="A2228" s="22" t="s">
        <v>1545</v>
      </c>
      <c r="B2228" s="2" t="s">
        <v>252</v>
      </c>
      <c r="C2228" s="2" t="s">
        <v>1275</v>
      </c>
      <c r="D2228" s="716">
        <v>1</v>
      </c>
      <c r="E2228" s="4" t="s">
        <v>8</v>
      </c>
      <c r="F2228" s="47">
        <f t="shared" ref="F2228:I2228" si="859">G2228</f>
        <v>0</v>
      </c>
      <c r="G2228" s="47">
        <f t="shared" si="859"/>
        <v>0</v>
      </c>
      <c r="H2228" s="47">
        <f t="shared" si="859"/>
        <v>0</v>
      </c>
      <c r="I2228" s="47">
        <f t="shared" si="859"/>
        <v>0</v>
      </c>
      <c r="J2228" s="47">
        <f t="shared" si="836"/>
        <v>0</v>
      </c>
      <c r="K2228" s="47">
        <v>0</v>
      </c>
      <c r="L2228" s="47">
        <v>0</v>
      </c>
      <c r="M2228" s="893"/>
      <c r="N2228" s="20"/>
      <c r="O2228" s="20"/>
      <c r="P2228" s="20"/>
      <c r="Q2228" s="20"/>
      <c r="R2228" s="20"/>
    </row>
    <row r="2229" spans="1:18" s="103" customFormat="1" hidden="1" outlineLevel="1" x14ac:dyDescent="0.2">
      <c r="A2229" s="22" t="s">
        <v>1545</v>
      </c>
      <c r="B2229" s="2" t="s">
        <v>252</v>
      </c>
      <c r="C2229" s="2" t="s">
        <v>1275</v>
      </c>
      <c r="D2229" s="716">
        <v>1</v>
      </c>
      <c r="E2229" s="4" t="s">
        <v>9</v>
      </c>
      <c r="F2229" s="47">
        <f t="shared" ref="F2229:I2229" si="860">G2229</f>
        <v>0</v>
      </c>
      <c r="G2229" s="47">
        <f t="shared" si="860"/>
        <v>0</v>
      </c>
      <c r="H2229" s="47">
        <f t="shared" si="860"/>
        <v>0</v>
      </c>
      <c r="I2229" s="47">
        <f t="shared" si="860"/>
        <v>0</v>
      </c>
      <c r="J2229" s="47">
        <f t="shared" si="836"/>
        <v>0</v>
      </c>
      <c r="K2229" s="47">
        <v>0</v>
      </c>
      <c r="L2229" s="47">
        <v>0</v>
      </c>
      <c r="M2229" s="893"/>
      <c r="N2229" s="20"/>
      <c r="O2229" s="20"/>
      <c r="P2229" s="20"/>
      <c r="Q2229" s="20"/>
      <c r="R2229" s="20"/>
    </row>
    <row r="2230" spans="1:18" s="103" customFormat="1" hidden="1" outlineLevel="1" x14ac:dyDescent="0.2">
      <c r="A2230" s="22" t="s">
        <v>1545</v>
      </c>
      <c r="B2230" s="2" t="s">
        <v>252</v>
      </c>
      <c r="C2230" s="2" t="s">
        <v>1275</v>
      </c>
      <c r="D2230" s="716">
        <v>1</v>
      </c>
      <c r="E2230" s="4" t="s">
        <v>10</v>
      </c>
      <c r="F2230" s="47">
        <f t="shared" ref="F2230:I2230" si="861">G2230</f>
        <v>0</v>
      </c>
      <c r="G2230" s="47">
        <f t="shared" si="861"/>
        <v>0</v>
      </c>
      <c r="H2230" s="47">
        <f t="shared" si="861"/>
        <v>0</v>
      </c>
      <c r="I2230" s="47">
        <f t="shared" si="861"/>
        <v>0</v>
      </c>
      <c r="J2230" s="47">
        <f t="shared" si="836"/>
        <v>0</v>
      </c>
      <c r="K2230" s="47">
        <v>0</v>
      </c>
      <c r="L2230" s="47">
        <v>0</v>
      </c>
      <c r="M2230" s="893"/>
      <c r="N2230" s="20"/>
      <c r="O2230" s="20"/>
      <c r="P2230" s="20"/>
      <c r="Q2230" s="20"/>
      <c r="R2230" s="20"/>
    </row>
    <row r="2231" spans="1:18" s="103" customFormat="1" hidden="1" outlineLevel="1" x14ac:dyDescent="0.2">
      <c r="A2231" s="22" t="s">
        <v>1545</v>
      </c>
      <c r="B2231" s="2" t="s">
        <v>252</v>
      </c>
      <c r="C2231" s="2" t="s">
        <v>1275</v>
      </c>
      <c r="D2231" s="716">
        <v>1</v>
      </c>
      <c r="E2231" s="4" t="s">
        <v>11</v>
      </c>
      <c r="F2231" s="47">
        <f t="shared" ref="F2231:I2231" si="862">G2231</f>
        <v>0</v>
      </c>
      <c r="G2231" s="47">
        <f t="shared" si="862"/>
        <v>0</v>
      </c>
      <c r="H2231" s="47">
        <f t="shared" si="862"/>
        <v>0</v>
      </c>
      <c r="I2231" s="47">
        <f t="shared" si="862"/>
        <v>0</v>
      </c>
      <c r="J2231" s="47">
        <f t="shared" si="836"/>
        <v>0</v>
      </c>
      <c r="K2231" s="47">
        <v>0</v>
      </c>
      <c r="L2231" s="47">
        <v>0</v>
      </c>
      <c r="M2231" s="893"/>
      <c r="N2231" s="20"/>
      <c r="O2231" s="20"/>
      <c r="P2231" s="20"/>
      <c r="Q2231" s="20"/>
      <c r="R2231" s="20"/>
    </row>
    <row r="2232" spans="1:18" s="103" customFormat="1" hidden="1" outlineLevel="1" x14ac:dyDescent="0.2">
      <c r="A2232" s="22" t="s">
        <v>1545</v>
      </c>
      <c r="B2232" s="2" t="s">
        <v>252</v>
      </c>
      <c r="C2232" s="2" t="s">
        <v>1275</v>
      </c>
      <c r="D2232" s="716">
        <v>1</v>
      </c>
      <c r="E2232" s="4" t="s">
        <v>12</v>
      </c>
      <c r="F2232" s="47">
        <f t="shared" ref="F2232:I2232" si="863">G2232</f>
        <v>0</v>
      </c>
      <c r="G2232" s="47">
        <f t="shared" si="863"/>
        <v>0</v>
      </c>
      <c r="H2232" s="47">
        <f t="shared" si="863"/>
        <v>0</v>
      </c>
      <c r="I2232" s="47">
        <f t="shared" si="863"/>
        <v>0</v>
      </c>
      <c r="J2232" s="47">
        <f t="shared" si="836"/>
        <v>0</v>
      </c>
      <c r="K2232" s="47">
        <v>0</v>
      </c>
      <c r="L2232" s="47">
        <v>0</v>
      </c>
      <c r="M2232" s="893"/>
      <c r="N2232" s="20"/>
      <c r="O2232" s="20"/>
      <c r="P2232" s="20"/>
      <c r="Q2232" s="20"/>
      <c r="R2232" s="20"/>
    </row>
    <row r="2233" spans="1:18" s="103" customFormat="1" hidden="1" outlineLevel="1" x14ac:dyDescent="0.2">
      <c r="A2233" s="22" t="s">
        <v>1545</v>
      </c>
      <c r="B2233" s="2" t="s">
        <v>252</v>
      </c>
      <c r="C2233" s="2" t="s">
        <v>1275</v>
      </c>
      <c r="D2233" s="716">
        <v>1</v>
      </c>
      <c r="E2233" s="4" t="s">
        <v>1</v>
      </c>
      <c r="F2233" s="47">
        <f t="shared" ref="F2233:I2233" si="864">G2233</f>
        <v>1</v>
      </c>
      <c r="G2233" s="47">
        <f t="shared" si="864"/>
        <v>1</v>
      </c>
      <c r="H2233" s="47">
        <f t="shared" si="864"/>
        <v>1</v>
      </c>
      <c r="I2233" s="47">
        <f t="shared" si="864"/>
        <v>1</v>
      </c>
      <c r="J2233" s="47">
        <f t="shared" si="836"/>
        <v>1</v>
      </c>
      <c r="K2233" s="47">
        <v>1</v>
      </c>
      <c r="L2233" s="47">
        <v>1</v>
      </c>
      <c r="M2233" s="893"/>
      <c r="N2233" s="20"/>
      <c r="O2233" s="20"/>
      <c r="P2233" s="20"/>
      <c r="Q2233" s="20"/>
      <c r="R2233" s="20"/>
    </row>
    <row r="2234" spans="1:18" s="103" customFormat="1" hidden="1" outlineLevel="1" x14ac:dyDescent="0.2">
      <c r="A2234" s="22" t="s">
        <v>1545</v>
      </c>
      <c r="B2234" s="2" t="s">
        <v>252</v>
      </c>
      <c r="C2234" s="2" t="s">
        <v>1275</v>
      </c>
      <c r="D2234" s="716">
        <v>1</v>
      </c>
      <c r="E2234" s="4" t="s">
        <v>13</v>
      </c>
      <c r="F2234" s="47">
        <f t="shared" ref="F2234:I2234" si="865">G2234</f>
        <v>0</v>
      </c>
      <c r="G2234" s="47">
        <f t="shared" si="865"/>
        <v>0</v>
      </c>
      <c r="H2234" s="47">
        <f t="shared" si="865"/>
        <v>0</v>
      </c>
      <c r="I2234" s="47">
        <f t="shared" si="865"/>
        <v>0</v>
      </c>
      <c r="J2234" s="47">
        <f t="shared" si="836"/>
        <v>0</v>
      </c>
      <c r="K2234" s="47">
        <v>0</v>
      </c>
      <c r="L2234" s="47">
        <v>0</v>
      </c>
      <c r="M2234" s="893"/>
      <c r="N2234" s="20"/>
      <c r="O2234" s="20"/>
      <c r="P2234" s="20"/>
      <c r="Q2234" s="20"/>
      <c r="R2234" s="20"/>
    </row>
    <row r="2235" spans="1:18" s="103" customFormat="1" hidden="1" outlineLevel="1" x14ac:dyDescent="0.2">
      <c r="A2235" s="22" t="s">
        <v>1545</v>
      </c>
      <c r="B2235" s="2" t="s">
        <v>252</v>
      </c>
      <c r="C2235" s="2" t="s">
        <v>1275</v>
      </c>
      <c r="D2235" s="716">
        <v>1</v>
      </c>
      <c r="E2235" s="4" t="s">
        <v>14</v>
      </c>
      <c r="F2235" s="47">
        <f t="shared" ref="F2235:I2235" si="866">G2235</f>
        <v>0</v>
      </c>
      <c r="G2235" s="47">
        <f t="shared" si="866"/>
        <v>0</v>
      </c>
      <c r="H2235" s="47">
        <f t="shared" si="866"/>
        <v>0</v>
      </c>
      <c r="I2235" s="47">
        <f t="shared" si="866"/>
        <v>0</v>
      </c>
      <c r="J2235" s="47">
        <f t="shared" si="836"/>
        <v>0</v>
      </c>
      <c r="K2235" s="47">
        <v>0</v>
      </c>
      <c r="L2235" s="47">
        <v>0</v>
      </c>
      <c r="M2235" s="893"/>
      <c r="N2235" s="20"/>
      <c r="O2235" s="20"/>
      <c r="P2235" s="20"/>
      <c r="Q2235" s="20"/>
      <c r="R2235" s="20"/>
    </row>
    <row r="2236" spans="1:18" s="103" customFormat="1" hidden="1" outlineLevel="1" x14ac:dyDescent="0.2">
      <c r="A2236" s="22" t="s">
        <v>1545</v>
      </c>
      <c r="B2236" s="2" t="s">
        <v>252</v>
      </c>
      <c r="C2236" s="2" t="s">
        <v>1275</v>
      </c>
      <c r="D2236" s="716">
        <v>1</v>
      </c>
      <c r="E2236" s="4" t="s">
        <v>15</v>
      </c>
      <c r="F2236" s="47">
        <f t="shared" ref="F2236:I2236" si="867">G2236</f>
        <v>0</v>
      </c>
      <c r="G2236" s="47">
        <f t="shared" si="867"/>
        <v>0</v>
      </c>
      <c r="H2236" s="47">
        <f t="shared" si="867"/>
        <v>0</v>
      </c>
      <c r="I2236" s="47">
        <f t="shared" si="867"/>
        <v>0</v>
      </c>
      <c r="J2236" s="47">
        <f t="shared" si="836"/>
        <v>0</v>
      </c>
      <c r="K2236" s="47">
        <v>0</v>
      </c>
      <c r="L2236" s="47">
        <v>0</v>
      </c>
      <c r="M2236" s="893"/>
      <c r="N2236" s="20"/>
      <c r="O2236" s="20"/>
      <c r="P2236" s="20"/>
      <c r="Q2236" s="20"/>
      <c r="R2236" s="20"/>
    </row>
    <row r="2237" spans="1:18" s="103" customFormat="1" hidden="1" outlineLevel="1" x14ac:dyDescent="0.2">
      <c r="A2237" s="22" t="s">
        <v>1545</v>
      </c>
      <c r="B2237" s="2" t="s">
        <v>252</v>
      </c>
      <c r="C2237" s="2" t="s">
        <v>1275</v>
      </c>
      <c r="D2237" s="716">
        <v>1</v>
      </c>
      <c r="E2237" s="4" t="s">
        <v>16</v>
      </c>
      <c r="F2237" s="47">
        <f t="shared" ref="F2237:I2237" si="868">G2237</f>
        <v>0</v>
      </c>
      <c r="G2237" s="47">
        <f t="shared" si="868"/>
        <v>0</v>
      </c>
      <c r="H2237" s="47">
        <f t="shared" si="868"/>
        <v>0</v>
      </c>
      <c r="I2237" s="47">
        <f t="shared" si="868"/>
        <v>0</v>
      </c>
      <c r="J2237" s="47">
        <f t="shared" si="836"/>
        <v>0</v>
      </c>
      <c r="K2237" s="47">
        <v>0</v>
      </c>
      <c r="L2237" s="47">
        <v>0</v>
      </c>
      <c r="M2237" s="893"/>
      <c r="N2237" s="20"/>
      <c r="O2237" s="20"/>
      <c r="P2237" s="20"/>
      <c r="Q2237" s="20"/>
      <c r="R2237" s="20"/>
    </row>
    <row r="2238" spans="1:18" s="103" customFormat="1" hidden="1" outlineLevel="1" x14ac:dyDescent="0.2">
      <c r="A2238" s="22" t="s">
        <v>1545</v>
      </c>
      <c r="B2238" s="2" t="s">
        <v>252</v>
      </c>
      <c r="C2238" s="2" t="s">
        <v>1275</v>
      </c>
      <c r="D2238" s="716">
        <v>1</v>
      </c>
      <c r="E2238" s="4" t="s">
        <v>17</v>
      </c>
      <c r="F2238" s="47">
        <f t="shared" ref="F2238:I2238" si="869">G2238</f>
        <v>0</v>
      </c>
      <c r="G2238" s="47">
        <f t="shared" si="869"/>
        <v>0</v>
      </c>
      <c r="H2238" s="47">
        <f t="shared" si="869"/>
        <v>0</v>
      </c>
      <c r="I2238" s="47">
        <f t="shared" si="869"/>
        <v>0</v>
      </c>
      <c r="J2238" s="47">
        <f t="shared" si="836"/>
        <v>0</v>
      </c>
      <c r="K2238" s="47">
        <v>0</v>
      </c>
      <c r="L2238" s="47">
        <v>0</v>
      </c>
      <c r="M2238" s="893"/>
      <c r="N2238" s="20"/>
      <c r="O2238" s="20"/>
      <c r="P2238" s="20"/>
      <c r="Q2238" s="20"/>
      <c r="R2238" s="20"/>
    </row>
    <row r="2239" spans="1:18" s="103" customFormat="1" hidden="1" outlineLevel="1" x14ac:dyDescent="0.2">
      <c r="A2239" s="22" t="s">
        <v>1545</v>
      </c>
      <c r="B2239" s="2" t="s">
        <v>252</v>
      </c>
      <c r="C2239" s="2" t="s">
        <v>1275</v>
      </c>
      <c r="D2239" s="716">
        <v>1</v>
      </c>
      <c r="E2239" s="4" t="s">
        <v>18</v>
      </c>
      <c r="F2239" s="47">
        <f t="shared" ref="F2239:I2239" si="870">G2239</f>
        <v>0</v>
      </c>
      <c r="G2239" s="47">
        <f t="shared" si="870"/>
        <v>0</v>
      </c>
      <c r="H2239" s="47">
        <f t="shared" si="870"/>
        <v>0</v>
      </c>
      <c r="I2239" s="47">
        <f t="shared" si="870"/>
        <v>0</v>
      </c>
      <c r="J2239" s="47">
        <f t="shared" si="836"/>
        <v>0</v>
      </c>
      <c r="K2239" s="47">
        <v>0</v>
      </c>
      <c r="L2239" s="47">
        <v>0</v>
      </c>
      <c r="M2239" s="893"/>
      <c r="N2239" s="20"/>
      <c r="O2239" s="20"/>
      <c r="P2239" s="20"/>
      <c r="Q2239" s="20"/>
      <c r="R2239" s="20"/>
    </row>
    <row r="2240" spans="1:18" s="103" customFormat="1" hidden="1" outlineLevel="1" x14ac:dyDescent="0.2">
      <c r="A2240" s="22" t="s">
        <v>1545</v>
      </c>
      <c r="B2240" s="2" t="s">
        <v>252</v>
      </c>
      <c r="C2240" s="2" t="s">
        <v>1275</v>
      </c>
      <c r="D2240" s="716">
        <v>1</v>
      </c>
      <c r="E2240" s="4" t="s">
        <v>2</v>
      </c>
      <c r="F2240" s="47">
        <f t="shared" ref="F2240:I2240" si="871">G2240</f>
        <v>0</v>
      </c>
      <c r="G2240" s="47">
        <f t="shared" si="871"/>
        <v>0</v>
      </c>
      <c r="H2240" s="47">
        <f t="shared" si="871"/>
        <v>0</v>
      </c>
      <c r="I2240" s="47">
        <f t="shared" si="871"/>
        <v>0</v>
      </c>
      <c r="J2240" s="47">
        <f t="shared" si="836"/>
        <v>0</v>
      </c>
      <c r="K2240" s="47">
        <v>0</v>
      </c>
      <c r="L2240" s="47">
        <v>0</v>
      </c>
      <c r="M2240" s="893"/>
      <c r="N2240" s="20"/>
      <c r="O2240" s="20"/>
      <c r="P2240" s="20"/>
      <c r="Q2240" s="20"/>
      <c r="R2240" s="20"/>
    </row>
    <row r="2241" spans="1:18" s="103" customFormat="1" hidden="1" outlineLevel="1" x14ac:dyDescent="0.2">
      <c r="A2241" s="22" t="s">
        <v>1545</v>
      </c>
      <c r="B2241" s="2" t="s">
        <v>252</v>
      </c>
      <c r="C2241" s="2" t="s">
        <v>1275</v>
      </c>
      <c r="D2241" s="716">
        <v>1</v>
      </c>
      <c r="E2241" s="4" t="s">
        <v>19</v>
      </c>
      <c r="F2241" s="47">
        <f t="shared" ref="F2241:I2241" si="872">G2241</f>
        <v>0</v>
      </c>
      <c r="G2241" s="47">
        <f t="shared" si="872"/>
        <v>0</v>
      </c>
      <c r="H2241" s="47">
        <f t="shared" si="872"/>
        <v>0</v>
      </c>
      <c r="I2241" s="47">
        <f t="shared" si="872"/>
        <v>0</v>
      </c>
      <c r="J2241" s="47">
        <f t="shared" si="836"/>
        <v>0</v>
      </c>
      <c r="K2241" s="47">
        <v>0</v>
      </c>
      <c r="L2241" s="47">
        <v>0</v>
      </c>
      <c r="M2241" s="893"/>
      <c r="N2241" s="20"/>
      <c r="O2241" s="20"/>
      <c r="P2241" s="20"/>
      <c r="Q2241" s="20"/>
      <c r="R2241" s="20"/>
    </row>
    <row r="2242" spans="1:18" s="103" customFormat="1" hidden="1" outlineLevel="1" x14ac:dyDescent="0.2">
      <c r="A2242" s="22" t="s">
        <v>1545</v>
      </c>
      <c r="B2242" s="2" t="s">
        <v>252</v>
      </c>
      <c r="C2242" s="2" t="s">
        <v>1275</v>
      </c>
      <c r="D2242" s="716">
        <v>1</v>
      </c>
      <c r="E2242" s="4" t="s">
        <v>3</v>
      </c>
      <c r="F2242" s="47">
        <f t="shared" ref="F2242:I2242" si="873">G2242</f>
        <v>0</v>
      </c>
      <c r="G2242" s="47">
        <f t="shared" si="873"/>
        <v>0</v>
      </c>
      <c r="H2242" s="47">
        <f t="shared" si="873"/>
        <v>0</v>
      </c>
      <c r="I2242" s="47">
        <f t="shared" si="873"/>
        <v>0</v>
      </c>
      <c r="J2242" s="47">
        <f t="shared" si="836"/>
        <v>0</v>
      </c>
      <c r="K2242" s="47">
        <v>0</v>
      </c>
      <c r="L2242" s="47">
        <v>0</v>
      </c>
      <c r="M2242" s="893"/>
      <c r="N2242" s="20"/>
      <c r="O2242" s="20"/>
      <c r="P2242" s="20"/>
      <c r="Q2242" s="20"/>
      <c r="R2242" s="20"/>
    </row>
    <row r="2243" spans="1:18" s="103" customFormat="1" hidden="1" outlineLevel="1" x14ac:dyDescent="0.2">
      <c r="A2243" s="22" t="s">
        <v>1545</v>
      </c>
      <c r="B2243" s="2" t="s">
        <v>252</v>
      </c>
      <c r="C2243" s="2" t="s">
        <v>1275</v>
      </c>
      <c r="D2243" s="716">
        <v>1</v>
      </c>
      <c r="E2243" s="4" t="s">
        <v>20</v>
      </c>
      <c r="F2243" s="47">
        <f t="shared" ref="F2243:I2243" si="874">G2243</f>
        <v>0</v>
      </c>
      <c r="G2243" s="47">
        <f t="shared" si="874"/>
        <v>0</v>
      </c>
      <c r="H2243" s="47">
        <f t="shared" si="874"/>
        <v>0</v>
      </c>
      <c r="I2243" s="47">
        <f t="shared" si="874"/>
        <v>0</v>
      </c>
      <c r="J2243" s="47">
        <f t="shared" si="836"/>
        <v>0</v>
      </c>
      <c r="K2243" s="47">
        <v>0</v>
      </c>
      <c r="L2243" s="47">
        <v>0</v>
      </c>
      <c r="M2243" s="893"/>
      <c r="N2243" s="20"/>
      <c r="O2243" s="20"/>
      <c r="P2243" s="20"/>
      <c r="Q2243" s="20"/>
      <c r="R2243" s="20"/>
    </row>
    <row r="2244" spans="1:18" s="103" customFormat="1" hidden="1" outlineLevel="1" x14ac:dyDescent="0.2">
      <c r="A2244" s="22" t="s">
        <v>1545</v>
      </c>
      <c r="B2244" s="2" t="s">
        <v>252</v>
      </c>
      <c r="C2244" s="2" t="s">
        <v>1275</v>
      </c>
      <c r="D2244" s="716">
        <v>1</v>
      </c>
      <c r="E2244" s="4" t="s">
        <v>21</v>
      </c>
      <c r="F2244" s="47">
        <f t="shared" ref="F2244:I2244" si="875">G2244</f>
        <v>0</v>
      </c>
      <c r="G2244" s="47">
        <f t="shared" si="875"/>
        <v>0</v>
      </c>
      <c r="H2244" s="47">
        <f t="shared" si="875"/>
        <v>0</v>
      </c>
      <c r="I2244" s="47">
        <f t="shared" si="875"/>
        <v>0</v>
      </c>
      <c r="J2244" s="47">
        <f t="shared" si="836"/>
        <v>0</v>
      </c>
      <c r="K2244" s="47">
        <v>0</v>
      </c>
      <c r="L2244" s="47">
        <v>0</v>
      </c>
      <c r="M2244" s="893"/>
      <c r="N2244" s="20"/>
      <c r="O2244" s="20"/>
      <c r="P2244" s="20"/>
      <c r="Q2244" s="20"/>
      <c r="R2244" s="20"/>
    </row>
    <row r="2245" spans="1:18" s="103" customFormat="1" hidden="1" outlineLevel="1" x14ac:dyDescent="0.2">
      <c r="A2245" s="22" t="s">
        <v>1545</v>
      </c>
      <c r="B2245" s="2" t="s">
        <v>252</v>
      </c>
      <c r="C2245" s="2" t="s">
        <v>1275</v>
      </c>
      <c r="D2245" s="716">
        <v>1</v>
      </c>
      <c r="E2245" s="4" t="s">
        <v>1096</v>
      </c>
      <c r="F2245" s="47">
        <f t="shared" ref="F2245:I2245" si="876">G2245</f>
        <v>0</v>
      </c>
      <c r="G2245" s="47">
        <f t="shared" si="876"/>
        <v>0</v>
      </c>
      <c r="H2245" s="47">
        <f t="shared" si="876"/>
        <v>0</v>
      </c>
      <c r="I2245" s="47">
        <f t="shared" si="876"/>
        <v>0</v>
      </c>
      <c r="J2245" s="47">
        <f t="shared" si="836"/>
        <v>0</v>
      </c>
      <c r="K2245" s="47">
        <v>0</v>
      </c>
      <c r="L2245" s="47">
        <v>0</v>
      </c>
      <c r="M2245" s="893"/>
      <c r="N2245" s="20"/>
      <c r="O2245" s="20"/>
      <c r="P2245" s="20"/>
      <c r="Q2245" s="20"/>
      <c r="R2245" s="20"/>
    </row>
    <row r="2246" spans="1:18" s="103" customFormat="1" hidden="1" outlineLevel="1" x14ac:dyDescent="0.2">
      <c r="A2246" s="22" t="s">
        <v>1545</v>
      </c>
      <c r="B2246" s="2" t="s">
        <v>252</v>
      </c>
      <c r="C2246" s="2" t="s">
        <v>1275</v>
      </c>
      <c r="D2246" s="716">
        <v>1</v>
      </c>
      <c r="E2246" s="4" t="s">
        <v>22</v>
      </c>
      <c r="F2246" s="47">
        <f t="shared" ref="F2246:I2246" si="877">G2246</f>
        <v>0</v>
      </c>
      <c r="G2246" s="47">
        <f t="shared" si="877"/>
        <v>0</v>
      </c>
      <c r="H2246" s="47">
        <f t="shared" si="877"/>
        <v>0</v>
      </c>
      <c r="I2246" s="47">
        <f t="shared" si="877"/>
        <v>0</v>
      </c>
      <c r="J2246" s="47">
        <f t="shared" si="836"/>
        <v>0</v>
      </c>
      <c r="K2246" s="47">
        <v>0</v>
      </c>
      <c r="L2246" s="47">
        <v>0</v>
      </c>
      <c r="M2246" s="893"/>
      <c r="N2246" s="20"/>
      <c r="O2246" s="20"/>
      <c r="P2246" s="20"/>
      <c r="Q2246" s="20"/>
      <c r="R2246" s="20"/>
    </row>
    <row r="2247" spans="1:18" s="103" customFormat="1" hidden="1" outlineLevel="1" x14ac:dyDescent="0.2">
      <c r="A2247" s="22" t="s">
        <v>1545</v>
      </c>
      <c r="B2247" s="2" t="s">
        <v>252</v>
      </c>
      <c r="C2247" s="2" t="s">
        <v>1275</v>
      </c>
      <c r="D2247" s="717">
        <v>1</v>
      </c>
      <c r="E2247" s="4" t="s">
        <v>23</v>
      </c>
      <c r="F2247" s="48">
        <f t="shared" ref="F2247:I2247" si="878">G2247</f>
        <v>0</v>
      </c>
      <c r="G2247" s="48">
        <f t="shared" si="878"/>
        <v>0</v>
      </c>
      <c r="H2247" s="48">
        <f t="shared" si="878"/>
        <v>0</v>
      </c>
      <c r="I2247" s="48">
        <f t="shared" si="878"/>
        <v>0</v>
      </c>
      <c r="J2247" s="48">
        <f t="shared" si="836"/>
        <v>0</v>
      </c>
      <c r="K2247" s="363">
        <v>0</v>
      </c>
      <c r="L2247" s="363">
        <v>0</v>
      </c>
      <c r="M2247" s="920"/>
      <c r="N2247" s="20"/>
      <c r="O2247" s="20"/>
      <c r="P2247" s="20"/>
      <c r="Q2247" s="20"/>
      <c r="R2247" s="20"/>
    </row>
    <row r="2248" spans="1:18" s="103" customFormat="1" hidden="1" outlineLevel="1" x14ac:dyDescent="0.2">
      <c r="A2248" s="92" t="s">
        <v>1545</v>
      </c>
      <c r="B2248" s="81" t="s">
        <v>252</v>
      </c>
      <c r="C2248" s="81" t="s">
        <v>1276</v>
      </c>
      <c r="D2248" s="715">
        <v>1</v>
      </c>
      <c r="E2248" s="468" t="s">
        <v>4</v>
      </c>
      <c r="F2248" s="380">
        <f t="shared" ref="F2248:I2248" si="879">G2248</f>
        <v>0</v>
      </c>
      <c r="G2248" s="89">
        <f t="shared" si="879"/>
        <v>0</v>
      </c>
      <c r="H2248" s="89">
        <f t="shared" si="879"/>
        <v>0</v>
      </c>
      <c r="I2248" s="89">
        <f t="shared" si="879"/>
        <v>0</v>
      </c>
      <c r="J2248" s="89">
        <f t="shared" si="836"/>
        <v>0</v>
      </c>
      <c r="K2248" s="380">
        <v>0</v>
      </c>
      <c r="L2248" s="380">
        <v>1</v>
      </c>
      <c r="M2248" s="892"/>
      <c r="N2248" s="20"/>
      <c r="O2248" s="20"/>
      <c r="P2248" s="20"/>
      <c r="Q2248" s="20"/>
      <c r="R2248" s="20"/>
    </row>
    <row r="2249" spans="1:18" s="103" customFormat="1" hidden="1" outlineLevel="1" x14ac:dyDescent="0.2">
      <c r="A2249" s="22" t="s">
        <v>1545</v>
      </c>
      <c r="B2249" s="2" t="s">
        <v>252</v>
      </c>
      <c r="C2249" s="2" t="s">
        <v>1276</v>
      </c>
      <c r="D2249" s="716">
        <v>1</v>
      </c>
      <c r="E2249" s="4" t="s">
        <v>5</v>
      </c>
      <c r="F2249" s="47">
        <f t="shared" ref="F2249:I2249" si="880">G2249</f>
        <v>0</v>
      </c>
      <c r="G2249" s="47">
        <f t="shared" si="880"/>
        <v>0</v>
      </c>
      <c r="H2249" s="47">
        <f t="shared" si="880"/>
        <v>0</v>
      </c>
      <c r="I2249" s="47">
        <f t="shared" si="880"/>
        <v>0</v>
      </c>
      <c r="J2249" s="47">
        <f t="shared" si="836"/>
        <v>0</v>
      </c>
      <c r="K2249" s="47">
        <v>0</v>
      </c>
      <c r="L2249" s="47">
        <v>0</v>
      </c>
      <c r="M2249" s="893"/>
      <c r="N2249" s="20"/>
      <c r="O2249" s="20"/>
      <c r="P2249" s="20"/>
      <c r="Q2249" s="20"/>
      <c r="R2249" s="20"/>
    </row>
    <row r="2250" spans="1:18" s="103" customFormat="1" hidden="1" outlineLevel="1" x14ac:dyDescent="0.2">
      <c r="A2250" s="22" t="s">
        <v>1545</v>
      </c>
      <c r="B2250" s="2" t="s">
        <v>252</v>
      </c>
      <c r="C2250" s="2" t="s">
        <v>1276</v>
      </c>
      <c r="D2250" s="716">
        <v>1</v>
      </c>
      <c r="E2250" s="4" t="s">
        <v>6</v>
      </c>
      <c r="F2250" s="47">
        <f t="shared" ref="F2250:I2250" si="881">G2250</f>
        <v>0</v>
      </c>
      <c r="G2250" s="47">
        <f t="shared" si="881"/>
        <v>0</v>
      </c>
      <c r="H2250" s="47">
        <f t="shared" si="881"/>
        <v>0</v>
      </c>
      <c r="I2250" s="47">
        <f t="shared" si="881"/>
        <v>0</v>
      </c>
      <c r="J2250" s="47">
        <f t="shared" si="836"/>
        <v>0</v>
      </c>
      <c r="K2250" s="47">
        <v>0</v>
      </c>
      <c r="L2250" s="47">
        <v>0</v>
      </c>
      <c r="M2250" s="893"/>
      <c r="N2250" s="20"/>
      <c r="O2250" s="20"/>
      <c r="P2250" s="20"/>
      <c r="Q2250" s="20"/>
      <c r="R2250" s="20"/>
    </row>
    <row r="2251" spans="1:18" s="103" customFormat="1" hidden="1" outlineLevel="1" x14ac:dyDescent="0.2">
      <c r="A2251" s="22" t="s">
        <v>1545</v>
      </c>
      <c r="B2251" s="2" t="s">
        <v>252</v>
      </c>
      <c r="C2251" s="2" t="s">
        <v>1276</v>
      </c>
      <c r="D2251" s="716">
        <v>1</v>
      </c>
      <c r="E2251" s="4" t="s">
        <v>143</v>
      </c>
      <c r="F2251" s="47">
        <f t="shared" ref="F2251:I2251" si="882">G2251</f>
        <v>0</v>
      </c>
      <c r="G2251" s="47">
        <f t="shared" si="882"/>
        <v>0</v>
      </c>
      <c r="H2251" s="47">
        <f t="shared" si="882"/>
        <v>0</v>
      </c>
      <c r="I2251" s="47">
        <f t="shared" si="882"/>
        <v>0</v>
      </c>
      <c r="J2251" s="47">
        <f t="shared" si="836"/>
        <v>0</v>
      </c>
      <c r="K2251" s="47">
        <v>0</v>
      </c>
      <c r="L2251" s="47">
        <v>0</v>
      </c>
      <c r="M2251" s="893"/>
      <c r="N2251" s="20"/>
      <c r="O2251" s="20"/>
      <c r="P2251" s="20"/>
      <c r="Q2251" s="20"/>
      <c r="R2251" s="20"/>
    </row>
    <row r="2252" spans="1:18" s="103" customFormat="1" hidden="1" outlineLevel="1" x14ac:dyDescent="0.2">
      <c r="A2252" s="22" t="s">
        <v>1545</v>
      </c>
      <c r="B2252" s="2" t="s">
        <v>252</v>
      </c>
      <c r="C2252" s="2" t="s">
        <v>1276</v>
      </c>
      <c r="D2252" s="716">
        <v>1</v>
      </c>
      <c r="E2252" s="4" t="s">
        <v>7</v>
      </c>
      <c r="F2252" s="47">
        <f t="shared" ref="F2252:I2252" si="883">G2252</f>
        <v>0</v>
      </c>
      <c r="G2252" s="47">
        <f t="shared" si="883"/>
        <v>0</v>
      </c>
      <c r="H2252" s="47">
        <f t="shared" si="883"/>
        <v>0</v>
      </c>
      <c r="I2252" s="47">
        <f t="shared" si="883"/>
        <v>0</v>
      </c>
      <c r="J2252" s="47">
        <f t="shared" si="836"/>
        <v>0</v>
      </c>
      <c r="K2252" s="47">
        <v>0</v>
      </c>
      <c r="L2252" s="47">
        <v>0</v>
      </c>
      <c r="M2252" s="893"/>
      <c r="N2252" s="20"/>
      <c r="O2252" s="20"/>
      <c r="P2252" s="20"/>
      <c r="Q2252" s="20"/>
      <c r="R2252" s="20"/>
    </row>
    <row r="2253" spans="1:18" s="103" customFormat="1" hidden="1" outlineLevel="1" x14ac:dyDescent="0.2">
      <c r="A2253" s="22" t="s">
        <v>1545</v>
      </c>
      <c r="B2253" s="2" t="s">
        <v>252</v>
      </c>
      <c r="C2253" s="2" t="s">
        <v>1276</v>
      </c>
      <c r="D2253" s="716">
        <v>1</v>
      </c>
      <c r="E2253" s="4" t="s">
        <v>31</v>
      </c>
      <c r="F2253" s="47">
        <f t="shared" ref="F2253:I2253" si="884">G2253</f>
        <v>0</v>
      </c>
      <c r="G2253" s="47">
        <f t="shared" si="884"/>
        <v>0</v>
      </c>
      <c r="H2253" s="47">
        <f t="shared" si="884"/>
        <v>0</v>
      </c>
      <c r="I2253" s="47">
        <f t="shared" si="884"/>
        <v>0</v>
      </c>
      <c r="J2253" s="47">
        <f t="shared" si="836"/>
        <v>0</v>
      </c>
      <c r="K2253" s="47">
        <v>0</v>
      </c>
      <c r="L2253" s="47">
        <v>0</v>
      </c>
      <c r="M2253" s="893"/>
      <c r="N2253" s="20"/>
      <c r="O2253" s="20"/>
      <c r="P2253" s="20"/>
      <c r="Q2253" s="20"/>
      <c r="R2253" s="20"/>
    </row>
    <row r="2254" spans="1:18" s="103" customFormat="1" hidden="1" outlineLevel="1" x14ac:dyDescent="0.2">
      <c r="A2254" s="22" t="s">
        <v>1545</v>
      </c>
      <c r="B2254" s="2" t="s">
        <v>252</v>
      </c>
      <c r="C2254" s="2" t="s">
        <v>1276</v>
      </c>
      <c r="D2254" s="716">
        <v>1</v>
      </c>
      <c r="E2254" s="4" t="s">
        <v>8</v>
      </c>
      <c r="F2254" s="47">
        <f t="shared" ref="F2254:I2254" si="885">G2254</f>
        <v>1</v>
      </c>
      <c r="G2254" s="47">
        <f t="shared" si="885"/>
        <v>1</v>
      </c>
      <c r="H2254" s="47">
        <f t="shared" si="885"/>
        <v>1</v>
      </c>
      <c r="I2254" s="47">
        <f t="shared" si="885"/>
        <v>1</v>
      </c>
      <c r="J2254" s="47">
        <f t="shared" si="836"/>
        <v>1</v>
      </c>
      <c r="K2254" s="47">
        <v>1</v>
      </c>
      <c r="L2254" s="47">
        <v>1</v>
      </c>
      <c r="M2254" s="893"/>
      <c r="N2254" s="20"/>
      <c r="O2254" s="20"/>
      <c r="P2254" s="20"/>
      <c r="Q2254" s="20"/>
      <c r="R2254" s="20"/>
    </row>
    <row r="2255" spans="1:18" s="103" customFormat="1" hidden="1" outlineLevel="1" x14ac:dyDescent="0.2">
      <c r="A2255" s="22" t="s">
        <v>1545</v>
      </c>
      <c r="B2255" s="2" t="s">
        <v>252</v>
      </c>
      <c r="C2255" s="2" t="s">
        <v>1276</v>
      </c>
      <c r="D2255" s="716">
        <v>1</v>
      </c>
      <c r="E2255" s="4" t="s">
        <v>9</v>
      </c>
      <c r="F2255" s="47">
        <f t="shared" ref="F2255:I2255" si="886">G2255</f>
        <v>0</v>
      </c>
      <c r="G2255" s="47">
        <f t="shared" si="886"/>
        <v>0</v>
      </c>
      <c r="H2255" s="47">
        <f t="shared" si="886"/>
        <v>0</v>
      </c>
      <c r="I2255" s="47">
        <f t="shared" si="886"/>
        <v>0</v>
      </c>
      <c r="J2255" s="47">
        <f t="shared" si="836"/>
        <v>0</v>
      </c>
      <c r="K2255" s="47">
        <v>0</v>
      </c>
      <c r="L2255" s="47">
        <v>0</v>
      </c>
      <c r="M2255" s="893"/>
      <c r="N2255" s="20"/>
      <c r="O2255" s="20"/>
      <c r="P2255" s="20"/>
      <c r="Q2255" s="20"/>
      <c r="R2255" s="20"/>
    </row>
    <row r="2256" spans="1:18" s="103" customFormat="1" hidden="1" outlineLevel="1" x14ac:dyDescent="0.2">
      <c r="A2256" s="22" t="s">
        <v>1545</v>
      </c>
      <c r="B2256" s="2" t="s">
        <v>252</v>
      </c>
      <c r="C2256" s="2" t="s">
        <v>1276</v>
      </c>
      <c r="D2256" s="716">
        <v>1</v>
      </c>
      <c r="E2256" s="4" t="s">
        <v>10</v>
      </c>
      <c r="F2256" s="47">
        <f t="shared" ref="F2256:I2256" si="887">G2256</f>
        <v>0</v>
      </c>
      <c r="G2256" s="47">
        <f t="shared" si="887"/>
        <v>0</v>
      </c>
      <c r="H2256" s="47">
        <f t="shared" si="887"/>
        <v>0</v>
      </c>
      <c r="I2256" s="47">
        <f t="shared" si="887"/>
        <v>0</v>
      </c>
      <c r="J2256" s="47">
        <f t="shared" si="836"/>
        <v>0</v>
      </c>
      <c r="K2256" s="47">
        <v>0</v>
      </c>
      <c r="L2256" s="47">
        <v>0</v>
      </c>
      <c r="M2256" s="893"/>
      <c r="N2256" s="20"/>
      <c r="O2256" s="20"/>
      <c r="P2256" s="20"/>
      <c r="Q2256" s="20"/>
      <c r="R2256" s="20"/>
    </row>
    <row r="2257" spans="1:18" s="103" customFormat="1" hidden="1" outlineLevel="1" x14ac:dyDescent="0.2">
      <c r="A2257" s="22" t="s">
        <v>1545</v>
      </c>
      <c r="B2257" s="2" t="s">
        <v>252</v>
      </c>
      <c r="C2257" s="2" t="s">
        <v>1276</v>
      </c>
      <c r="D2257" s="716">
        <v>1</v>
      </c>
      <c r="E2257" s="4" t="s">
        <v>11</v>
      </c>
      <c r="F2257" s="47">
        <f t="shared" ref="F2257:I2257" si="888">G2257</f>
        <v>0</v>
      </c>
      <c r="G2257" s="47">
        <f t="shared" si="888"/>
        <v>0</v>
      </c>
      <c r="H2257" s="47">
        <f t="shared" si="888"/>
        <v>0</v>
      </c>
      <c r="I2257" s="47">
        <f t="shared" si="888"/>
        <v>0</v>
      </c>
      <c r="J2257" s="47">
        <f t="shared" si="836"/>
        <v>0</v>
      </c>
      <c r="K2257" s="47">
        <v>0</v>
      </c>
      <c r="L2257" s="47">
        <v>0</v>
      </c>
      <c r="M2257" s="893"/>
      <c r="N2257" s="20"/>
      <c r="O2257" s="20"/>
      <c r="P2257" s="20"/>
      <c r="Q2257" s="20"/>
      <c r="R2257" s="20"/>
    </row>
    <row r="2258" spans="1:18" s="103" customFormat="1" hidden="1" outlineLevel="1" x14ac:dyDescent="0.2">
      <c r="A2258" s="22" t="s">
        <v>1545</v>
      </c>
      <c r="B2258" s="2" t="s">
        <v>252</v>
      </c>
      <c r="C2258" s="2" t="s">
        <v>1276</v>
      </c>
      <c r="D2258" s="716">
        <v>1</v>
      </c>
      <c r="E2258" s="4" t="s">
        <v>12</v>
      </c>
      <c r="F2258" s="47">
        <f t="shared" ref="F2258:I2258" si="889">G2258</f>
        <v>0</v>
      </c>
      <c r="G2258" s="47">
        <f t="shared" si="889"/>
        <v>0</v>
      </c>
      <c r="H2258" s="47">
        <f t="shared" si="889"/>
        <v>0</v>
      </c>
      <c r="I2258" s="47">
        <f t="shared" si="889"/>
        <v>0</v>
      </c>
      <c r="J2258" s="47">
        <f t="shared" si="836"/>
        <v>0</v>
      </c>
      <c r="K2258" s="47">
        <v>0</v>
      </c>
      <c r="L2258" s="47">
        <v>0</v>
      </c>
      <c r="M2258" s="893"/>
      <c r="N2258" s="20"/>
      <c r="O2258" s="20"/>
      <c r="P2258" s="20"/>
      <c r="Q2258" s="20"/>
      <c r="R2258" s="20"/>
    </row>
    <row r="2259" spans="1:18" s="103" customFormat="1" hidden="1" outlineLevel="1" x14ac:dyDescent="0.2">
      <c r="A2259" s="22" t="s">
        <v>1545</v>
      </c>
      <c r="B2259" s="2" t="s">
        <v>252</v>
      </c>
      <c r="C2259" s="2" t="s">
        <v>1276</v>
      </c>
      <c r="D2259" s="716">
        <v>1</v>
      </c>
      <c r="E2259" s="4" t="s">
        <v>1</v>
      </c>
      <c r="F2259" s="47">
        <f t="shared" ref="F2259:I2259" si="890">G2259</f>
        <v>1</v>
      </c>
      <c r="G2259" s="47">
        <f t="shared" si="890"/>
        <v>1</v>
      </c>
      <c r="H2259" s="47">
        <f t="shared" si="890"/>
        <v>1</v>
      </c>
      <c r="I2259" s="47">
        <f t="shared" si="890"/>
        <v>1</v>
      </c>
      <c r="J2259" s="47">
        <f t="shared" si="836"/>
        <v>1</v>
      </c>
      <c r="K2259" s="47">
        <v>1</v>
      </c>
      <c r="L2259" s="47">
        <v>1</v>
      </c>
      <c r="M2259" s="893"/>
      <c r="N2259" s="20"/>
      <c r="O2259" s="20"/>
      <c r="P2259" s="20"/>
      <c r="Q2259" s="20"/>
      <c r="R2259" s="20"/>
    </row>
    <row r="2260" spans="1:18" s="103" customFormat="1" hidden="1" outlineLevel="1" x14ac:dyDescent="0.2">
      <c r="A2260" s="22" t="s">
        <v>1545</v>
      </c>
      <c r="B2260" s="2" t="s">
        <v>252</v>
      </c>
      <c r="C2260" s="2" t="s">
        <v>1276</v>
      </c>
      <c r="D2260" s="716">
        <v>1</v>
      </c>
      <c r="E2260" s="4" t="s">
        <v>13</v>
      </c>
      <c r="F2260" s="47">
        <f t="shared" ref="F2260:I2260" si="891">G2260</f>
        <v>0</v>
      </c>
      <c r="G2260" s="47">
        <f t="shared" si="891"/>
        <v>0</v>
      </c>
      <c r="H2260" s="47">
        <f t="shared" si="891"/>
        <v>0</v>
      </c>
      <c r="I2260" s="47">
        <f t="shared" si="891"/>
        <v>0</v>
      </c>
      <c r="J2260" s="47">
        <f t="shared" si="836"/>
        <v>0</v>
      </c>
      <c r="K2260" s="47">
        <v>0</v>
      </c>
      <c r="L2260" s="47">
        <v>0</v>
      </c>
      <c r="M2260" s="893"/>
      <c r="N2260" s="20"/>
      <c r="O2260" s="20"/>
      <c r="P2260" s="20"/>
      <c r="Q2260" s="20"/>
      <c r="R2260" s="20"/>
    </row>
    <row r="2261" spans="1:18" s="103" customFormat="1" hidden="1" outlineLevel="1" x14ac:dyDescent="0.2">
      <c r="A2261" s="22" t="s">
        <v>1545</v>
      </c>
      <c r="B2261" s="2" t="s">
        <v>252</v>
      </c>
      <c r="C2261" s="2" t="s">
        <v>1276</v>
      </c>
      <c r="D2261" s="716">
        <v>1</v>
      </c>
      <c r="E2261" s="4" t="s">
        <v>14</v>
      </c>
      <c r="F2261" s="47">
        <f t="shared" ref="F2261:I2261" si="892">G2261</f>
        <v>0</v>
      </c>
      <c r="G2261" s="47">
        <f t="shared" si="892"/>
        <v>0</v>
      </c>
      <c r="H2261" s="47">
        <f t="shared" si="892"/>
        <v>0</v>
      </c>
      <c r="I2261" s="47">
        <f t="shared" si="892"/>
        <v>0</v>
      </c>
      <c r="J2261" s="47">
        <f t="shared" si="836"/>
        <v>0</v>
      </c>
      <c r="K2261" s="47">
        <v>0</v>
      </c>
      <c r="L2261" s="47">
        <v>0</v>
      </c>
      <c r="M2261" s="893"/>
      <c r="N2261" s="20"/>
      <c r="O2261" s="20"/>
      <c r="P2261" s="20"/>
      <c r="Q2261" s="20"/>
      <c r="R2261" s="20"/>
    </row>
    <row r="2262" spans="1:18" s="103" customFormat="1" hidden="1" outlineLevel="1" x14ac:dyDescent="0.2">
      <c r="A2262" s="22" t="s">
        <v>1545</v>
      </c>
      <c r="B2262" s="2" t="s">
        <v>252</v>
      </c>
      <c r="C2262" s="2" t="s">
        <v>1276</v>
      </c>
      <c r="D2262" s="716">
        <v>1</v>
      </c>
      <c r="E2262" s="4" t="s">
        <v>15</v>
      </c>
      <c r="F2262" s="47">
        <f t="shared" ref="F2262:I2262" si="893">G2262</f>
        <v>0</v>
      </c>
      <c r="G2262" s="47">
        <f t="shared" si="893"/>
        <v>0</v>
      </c>
      <c r="H2262" s="47">
        <f t="shared" si="893"/>
        <v>0</v>
      </c>
      <c r="I2262" s="47">
        <f t="shared" si="893"/>
        <v>0</v>
      </c>
      <c r="J2262" s="47">
        <f t="shared" si="836"/>
        <v>0</v>
      </c>
      <c r="K2262" s="47">
        <v>0</v>
      </c>
      <c r="L2262" s="47">
        <v>0</v>
      </c>
      <c r="M2262" s="893"/>
      <c r="N2262" s="20"/>
      <c r="O2262" s="20"/>
      <c r="P2262" s="20"/>
      <c r="Q2262" s="20"/>
      <c r="R2262" s="20"/>
    </row>
    <row r="2263" spans="1:18" s="103" customFormat="1" hidden="1" outlineLevel="1" x14ac:dyDescent="0.2">
      <c r="A2263" s="22" t="s">
        <v>1545</v>
      </c>
      <c r="B2263" s="2" t="s">
        <v>252</v>
      </c>
      <c r="C2263" s="2" t="s">
        <v>1276</v>
      </c>
      <c r="D2263" s="716">
        <v>1</v>
      </c>
      <c r="E2263" s="4" t="s">
        <v>16</v>
      </c>
      <c r="F2263" s="47">
        <f t="shared" ref="F2263:I2263" si="894">G2263</f>
        <v>1</v>
      </c>
      <c r="G2263" s="47">
        <f t="shared" si="894"/>
        <v>1</v>
      </c>
      <c r="H2263" s="47">
        <f t="shared" si="894"/>
        <v>1</v>
      </c>
      <c r="I2263" s="47">
        <f t="shared" si="894"/>
        <v>1</v>
      </c>
      <c r="J2263" s="47">
        <f t="shared" si="836"/>
        <v>1</v>
      </c>
      <c r="K2263" s="47">
        <v>1</v>
      </c>
      <c r="L2263" s="47">
        <v>1</v>
      </c>
      <c r="M2263" s="893"/>
      <c r="N2263" s="20"/>
      <c r="O2263" s="20"/>
      <c r="P2263" s="20"/>
      <c r="Q2263" s="20"/>
      <c r="R2263" s="20"/>
    </row>
    <row r="2264" spans="1:18" s="103" customFormat="1" hidden="1" outlineLevel="1" x14ac:dyDescent="0.2">
      <c r="A2264" s="22" t="s">
        <v>1545</v>
      </c>
      <c r="B2264" s="2" t="s">
        <v>252</v>
      </c>
      <c r="C2264" s="2" t="s">
        <v>1276</v>
      </c>
      <c r="D2264" s="716">
        <v>1</v>
      </c>
      <c r="E2264" s="4" t="s">
        <v>17</v>
      </c>
      <c r="F2264" s="47">
        <f t="shared" ref="F2264:I2264" si="895">G2264</f>
        <v>0</v>
      </c>
      <c r="G2264" s="47">
        <f t="shared" si="895"/>
        <v>0</v>
      </c>
      <c r="H2264" s="47">
        <f t="shared" si="895"/>
        <v>0</v>
      </c>
      <c r="I2264" s="47">
        <f t="shared" si="895"/>
        <v>0</v>
      </c>
      <c r="J2264" s="47">
        <f t="shared" si="836"/>
        <v>0</v>
      </c>
      <c r="K2264" s="47">
        <v>0</v>
      </c>
      <c r="L2264" s="47">
        <v>0</v>
      </c>
      <c r="M2264" s="893"/>
      <c r="N2264" s="20"/>
      <c r="O2264" s="20"/>
      <c r="P2264" s="20"/>
      <c r="Q2264" s="20"/>
      <c r="R2264" s="20"/>
    </row>
    <row r="2265" spans="1:18" s="103" customFormat="1" hidden="1" outlineLevel="1" x14ac:dyDescent="0.2">
      <c r="A2265" s="22" t="s">
        <v>1545</v>
      </c>
      <c r="B2265" s="2" t="s">
        <v>252</v>
      </c>
      <c r="C2265" s="2" t="s">
        <v>1276</v>
      </c>
      <c r="D2265" s="716">
        <v>1</v>
      </c>
      <c r="E2265" s="4" t="s">
        <v>18</v>
      </c>
      <c r="F2265" s="47">
        <f t="shared" ref="F2265:I2265" si="896">G2265</f>
        <v>0</v>
      </c>
      <c r="G2265" s="47">
        <f t="shared" si="896"/>
        <v>0</v>
      </c>
      <c r="H2265" s="47">
        <f t="shared" si="896"/>
        <v>0</v>
      </c>
      <c r="I2265" s="47">
        <f t="shared" si="896"/>
        <v>0</v>
      </c>
      <c r="J2265" s="47">
        <f t="shared" si="836"/>
        <v>0</v>
      </c>
      <c r="K2265" s="47">
        <v>0</v>
      </c>
      <c r="L2265" s="47">
        <v>0</v>
      </c>
      <c r="M2265" s="893"/>
      <c r="N2265" s="20"/>
      <c r="O2265" s="20"/>
      <c r="P2265" s="20"/>
      <c r="Q2265" s="20"/>
      <c r="R2265" s="20"/>
    </row>
    <row r="2266" spans="1:18" s="103" customFormat="1" hidden="1" outlineLevel="1" x14ac:dyDescent="0.2">
      <c r="A2266" s="22" t="s">
        <v>1545</v>
      </c>
      <c r="B2266" s="2" t="s">
        <v>252</v>
      </c>
      <c r="C2266" s="2" t="s">
        <v>1276</v>
      </c>
      <c r="D2266" s="716">
        <v>1</v>
      </c>
      <c r="E2266" s="4" t="s">
        <v>2</v>
      </c>
      <c r="F2266" s="47">
        <f t="shared" ref="F2266:I2266" si="897">G2266</f>
        <v>0</v>
      </c>
      <c r="G2266" s="47">
        <f t="shared" si="897"/>
        <v>0</v>
      </c>
      <c r="H2266" s="47">
        <f t="shared" si="897"/>
        <v>0</v>
      </c>
      <c r="I2266" s="47">
        <f t="shared" si="897"/>
        <v>0</v>
      </c>
      <c r="J2266" s="47">
        <f t="shared" si="836"/>
        <v>0</v>
      </c>
      <c r="K2266" s="47">
        <v>0</v>
      </c>
      <c r="L2266" s="47">
        <v>0</v>
      </c>
      <c r="M2266" s="893"/>
      <c r="N2266" s="20"/>
      <c r="O2266" s="20"/>
      <c r="P2266" s="20"/>
      <c r="Q2266" s="20"/>
      <c r="R2266" s="20"/>
    </row>
    <row r="2267" spans="1:18" s="103" customFormat="1" hidden="1" outlineLevel="1" x14ac:dyDescent="0.2">
      <c r="A2267" s="22" t="s">
        <v>1545</v>
      </c>
      <c r="B2267" s="2" t="s">
        <v>252</v>
      </c>
      <c r="C2267" s="2" t="s">
        <v>1276</v>
      </c>
      <c r="D2267" s="716">
        <v>1</v>
      </c>
      <c r="E2267" s="4" t="s">
        <v>19</v>
      </c>
      <c r="F2267" s="47">
        <f t="shared" ref="F2267:I2267" si="898">G2267</f>
        <v>0</v>
      </c>
      <c r="G2267" s="47">
        <f t="shared" si="898"/>
        <v>0</v>
      </c>
      <c r="H2267" s="47">
        <f t="shared" si="898"/>
        <v>0</v>
      </c>
      <c r="I2267" s="47">
        <f t="shared" si="898"/>
        <v>0</v>
      </c>
      <c r="J2267" s="47">
        <f t="shared" si="836"/>
        <v>0</v>
      </c>
      <c r="K2267" s="47">
        <v>0</v>
      </c>
      <c r="L2267" s="47">
        <v>0</v>
      </c>
      <c r="M2267" s="893"/>
      <c r="N2267" s="20"/>
      <c r="O2267" s="20"/>
      <c r="P2267" s="20"/>
      <c r="Q2267" s="20"/>
      <c r="R2267" s="20"/>
    </row>
    <row r="2268" spans="1:18" s="103" customFormat="1" hidden="1" outlineLevel="1" x14ac:dyDescent="0.2">
      <c r="A2268" s="22" t="s">
        <v>1545</v>
      </c>
      <c r="B2268" s="2" t="s">
        <v>252</v>
      </c>
      <c r="C2268" s="2" t="s">
        <v>1276</v>
      </c>
      <c r="D2268" s="716">
        <v>1</v>
      </c>
      <c r="E2268" s="4" t="s">
        <v>3</v>
      </c>
      <c r="F2268" s="47">
        <f t="shared" ref="F2268:I2268" si="899">G2268</f>
        <v>0</v>
      </c>
      <c r="G2268" s="47">
        <f t="shared" si="899"/>
        <v>0</v>
      </c>
      <c r="H2268" s="47">
        <f t="shared" si="899"/>
        <v>0</v>
      </c>
      <c r="I2268" s="47">
        <f t="shared" si="899"/>
        <v>0</v>
      </c>
      <c r="J2268" s="47">
        <f t="shared" si="836"/>
        <v>0</v>
      </c>
      <c r="K2268" s="47">
        <v>0</v>
      </c>
      <c r="L2268" s="47">
        <v>0</v>
      </c>
      <c r="M2268" s="893"/>
      <c r="N2268" s="20"/>
      <c r="O2268" s="20"/>
      <c r="P2268" s="20"/>
      <c r="Q2268" s="20"/>
      <c r="R2268" s="20"/>
    </row>
    <row r="2269" spans="1:18" s="103" customFormat="1" hidden="1" outlineLevel="1" x14ac:dyDescent="0.2">
      <c r="A2269" s="22" t="s">
        <v>1545</v>
      </c>
      <c r="B2269" s="2" t="s">
        <v>252</v>
      </c>
      <c r="C2269" s="2" t="s">
        <v>1276</v>
      </c>
      <c r="D2269" s="716">
        <v>1</v>
      </c>
      <c r="E2269" s="4" t="s">
        <v>20</v>
      </c>
      <c r="F2269" s="47">
        <f t="shared" ref="F2269:I2269" si="900">G2269</f>
        <v>0</v>
      </c>
      <c r="G2269" s="47">
        <f t="shared" si="900"/>
        <v>0</v>
      </c>
      <c r="H2269" s="47">
        <f t="shared" si="900"/>
        <v>0</v>
      </c>
      <c r="I2269" s="47">
        <f t="shared" si="900"/>
        <v>0</v>
      </c>
      <c r="J2269" s="47">
        <f t="shared" ref="J2269:J2332" si="901">K2269</f>
        <v>0</v>
      </c>
      <c r="K2269" s="47">
        <v>0</v>
      </c>
      <c r="L2269" s="47">
        <v>0</v>
      </c>
      <c r="M2269" s="893"/>
      <c r="N2269" s="20"/>
      <c r="O2269" s="20"/>
      <c r="P2269" s="20"/>
      <c r="Q2269" s="20"/>
      <c r="R2269" s="20"/>
    </row>
    <row r="2270" spans="1:18" s="103" customFormat="1" hidden="1" outlineLevel="1" x14ac:dyDescent="0.2">
      <c r="A2270" s="22" t="s">
        <v>1545</v>
      </c>
      <c r="B2270" s="2" t="s">
        <v>252</v>
      </c>
      <c r="C2270" s="2" t="s">
        <v>1276</v>
      </c>
      <c r="D2270" s="716">
        <v>1</v>
      </c>
      <c r="E2270" s="4" t="s">
        <v>21</v>
      </c>
      <c r="F2270" s="47">
        <f t="shared" ref="F2270:I2270" si="902">G2270</f>
        <v>0</v>
      </c>
      <c r="G2270" s="47">
        <f t="shared" si="902"/>
        <v>0</v>
      </c>
      <c r="H2270" s="47">
        <f t="shared" si="902"/>
        <v>0</v>
      </c>
      <c r="I2270" s="47">
        <f t="shared" si="902"/>
        <v>0</v>
      </c>
      <c r="J2270" s="47">
        <f t="shared" si="901"/>
        <v>0</v>
      </c>
      <c r="K2270" s="47">
        <v>0</v>
      </c>
      <c r="L2270" s="47">
        <v>0</v>
      </c>
      <c r="M2270" s="893"/>
      <c r="N2270" s="20"/>
      <c r="O2270" s="20"/>
      <c r="P2270" s="20"/>
      <c r="Q2270" s="20"/>
      <c r="R2270" s="20"/>
    </row>
    <row r="2271" spans="1:18" s="103" customFormat="1" hidden="1" outlineLevel="1" x14ac:dyDescent="0.2">
      <c r="A2271" s="22" t="s">
        <v>1545</v>
      </c>
      <c r="B2271" s="2" t="s">
        <v>252</v>
      </c>
      <c r="C2271" s="2" t="s">
        <v>1276</v>
      </c>
      <c r="D2271" s="716">
        <v>1</v>
      </c>
      <c r="E2271" s="4" t="s">
        <v>1096</v>
      </c>
      <c r="F2271" s="47">
        <f t="shared" ref="F2271:I2271" si="903">G2271</f>
        <v>0</v>
      </c>
      <c r="G2271" s="47">
        <f t="shared" si="903"/>
        <v>0</v>
      </c>
      <c r="H2271" s="47">
        <f t="shared" si="903"/>
        <v>0</v>
      </c>
      <c r="I2271" s="47">
        <f t="shared" si="903"/>
        <v>0</v>
      </c>
      <c r="J2271" s="47">
        <f t="shared" si="901"/>
        <v>0</v>
      </c>
      <c r="K2271" s="47">
        <v>0</v>
      </c>
      <c r="L2271" s="47">
        <v>0</v>
      </c>
      <c r="M2271" s="893"/>
      <c r="N2271" s="20"/>
      <c r="O2271" s="20"/>
      <c r="P2271" s="20"/>
      <c r="Q2271" s="20"/>
      <c r="R2271" s="20"/>
    </row>
    <row r="2272" spans="1:18" s="103" customFormat="1" hidden="1" outlineLevel="1" x14ac:dyDescent="0.2">
      <c r="A2272" s="22" t="s">
        <v>1545</v>
      </c>
      <c r="B2272" s="2" t="s">
        <v>252</v>
      </c>
      <c r="C2272" s="2" t="s">
        <v>1276</v>
      </c>
      <c r="D2272" s="716">
        <v>1</v>
      </c>
      <c r="E2272" s="4" t="s">
        <v>22</v>
      </c>
      <c r="F2272" s="47">
        <f t="shared" ref="F2272:I2272" si="904">G2272</f>
        <v>0</v>
      </c>
      <c r="G2272" s="47">
        <f t="shared" si="904"/>
        <v>0</v>
      </c>
      <c r="H2272" s="47">
        <f t="shared" si="904"/>
        <v>0</v>
      </c>
      <c r="I2272" s="47">
        <f t="shared" si="904"/>
        <v>0</v>
      </c>
      <c r="J2272" s="47">
        <f t="shared" si="901"/>
        <v>0</v>
      </c>
      <c r="K2272" s="47">
        <v>0</v>
      </c>
      <c r="L2272" s="47">
        <v>0</v>
      </c>
      <c r="M2272" s="893"/>
      <c r="N2272" s="20"/>
      <c r="O2272" s="20"/>
      <c r="P2272" s="20"/>
      <c r="Q2272" s="20"/>
      <c r="R2272" s="20"/>
    </row>
    <row r="2273" spans="1:18" s="103" customFormat="1" hidden="1" outlineLevel="1" x14ac:dyDescent="0.2">
      <c r="A2273" s="22" t="s">
        <v>1545</v>
      </c>
      <c r="B2273" s="2" t="s">
        <v>252</v>
      </c>
      <c r="C2273" s="2" t="s">
        <v>1276</v>
      </c>
      <c r="D2273" s="717">
        <v>1</v>
      </c>
      <c r="E2273" s="4" t="s">
        <v>23</v>
      </c>
      <c r="F2273" s="48">
        <f t="shared" ref="F2273:I2273" si="905">G2273</f>
        <v>0</v>
      </c>
      <c r="G2273" s="48">
        <f t="shared" si="905"/>
        <v>0</v>
      </c>
      <c r="H2273" s="48">
        <f t="shared" si="905"/>
        <v>0</v>
      </c>
      <c r="I2273" s="48">
        <f t="shared" si="905"/>
        <v>0</v>
      </c>
      <c r="J2273" s="48">
        <f t="shared" si="901"/>
        <v>0</v>
      </c>
      <c r="K2273" s="363">
        <v>0</v>
      </c>
      <c r="L2273" s="363">
        <v>0</v>
      </c>
      <c r="M2273" s="920"/>
      <c r="N2273" s="20"/>
      <c r="O2273" s="20"/>
      <c r="P2273" s="20"/>
      <c r="Q2273" s="20"/>
      <c r="R2273" s="20"/>
    </row>
    <row r="2274" spans="1:18" s="103" customFormat="1" hidden="1" outlineLevel="1" x14ac:dyDescent="0.2">
      <c r="A2274" s="92" t="s">
        <v>1545</v>
      </c>
      <c r="B2274" s="81" t="s">
        <v>252</v>
      </c>
      <c r="C2274" s="81" t="s">
        <v>1277</v>
      </c>
      <c r="D2274" s="715">
        <v>1</v>
      </c>
      <c r="E2274" s="468" t="s">
        <v>4</v>
      </c>
      <c r="F2274" s="380">
        <f t="shared" ref="F2274:I2274" si="906">G2274</f>
        <v>0</v>
      </c>
      <c r="G2274" s="89">
        <f t="shared" si="906"/>
        <v>0</v>
      </c>
      <c r="H2274" s="89">
        <f t="shared" si="906"/>
        <v>0</v>
      </c>
      <c r="I2274" s="89">
        <f t="shared" si="906"/>
        <v>0</v>
      </c>
      <c r="J2274" s="89">
        <f t="shared" si="901"/>
        <v>0</v>
      </c>
      <c r="K2274" s="380">
        <v>0</v>
      </c>
      <c r="L2274" s="380">
        <v>0</v>
      </c>
      <c r="M2274" s="892"/>
      <c r="N2274" s="20"/>
      <c r="O2274" s="20"/>
      <c r="P2274" s="20"/>
      <c r="Q2274" s="20"/>
      <c r="R2274" s="20"/>
    </row>
    <row r="2275" spans="1:18" s="103" customFormat="1" hidden="1" outlineLevel="1" x14ac:dyDescent="0.2">
      <c r="A2275" s="22" t="s">
        <v>1545</v>
      </c>
      <c r="B2275" s="2" t="s">
        <v>252</v>
      </c>
      <c r="C2275" s="2" t="s">
        <v>1277</v>
      </c>
      <c r="D2275" s="716">
        <v>1</v>
      </c>
      <c r="E2275" s="4" t="s">
        <v>5</v>
      </c>
      <c r="F2275" s="47">
        <f t="shared" ref="F2275:I2275" si="907">G2275</f>
        <v>0</v>
      </c>
      <c r="G2275" s="47">
        <f t="shared" si="907"/>
        <v>0</v>
      </c>
      <c r="H2275" s="47">
        <f t="shared" si="907"/>
        <v>0</v>
      </c>
      <c r="I2275" s="47">
        <f t="shared" si="907"/>
        <v>0</v>
      </c>
      <c r="J2275" s="47">
        <f t="shared" si="901"/>
        <v>0</v>
      </c>
      <c r="K2275" s="47">
        <v>0</v>
      </c>
      <c r="L2275" s="47">
        <v>0</v>
      </c>
      <c r="M2275" s="893"/>
      <c r="N2275" s="20"/>
      <c r="O2275" s="20"/>
      <c r="P2275" s="20"/>
      <c r="Q2275" s="20"/>
      <c r="R2275" s="20"/>
    </row>
    <row r="2276" spans="1:18" s="103" customFormat="1" hidden="1" outlineLevel="1" x14ac:dyDescent="0.2">
      <c r="A2276" s="22" t="s">
        <v>1545</v>
      </c>
      <c r="B2276" s="2" t="s">
        <v>252</v>
      </c>
      <c r="C2276" s="2" t="s">
        <v>1277</v>
      </c>
      <c r="D2276" s="716">
        <v>1</v>
      </c>
      <c r="E2276" s="4" t="s">
        <v>6</v>
      </c>
      <c r="F2276" s="47">
        <f t="shared" ref="F2276:I2276" si="908">G2276</f>
        <v>0</v>
      </c>
      <c r="G2276" s="47">
        <f t="shared" si="908"/>
        <v>0</v>
      </c>
      <c r="H2276" s="47">
        <f t="shared" si="908"/>
        <v>0</v>
      </c>
      <c r="I2276" s="47">
        <f t="shared" si="908"/>
        <v>0</v>
      </c>
      <c r="J2276" s="47">
        <f t="shared" si="901"/>
        <v>0</v>
      </c>
      <c r="K2276" s="47">
        <v>0</v>
      </c>
      <c r="L2276" s="47">
        <v>0</v>
      </c>
      <c r="M2276" s="893"/>
      <c r="N2276" s="20"/>
      <c r="O2276" s="20"/>
      <c r="P2276" s="20"/>
      <c r="Q2276" s="20"/>
      <c r="R2276" s="20"/>
    </row>
    <row r="2277" spans="1:18" s="103" customFormat="1" hidden="1" outlineLevel="1" x14ac:dyDescent="0.2">
      <c r="A2277" s="22" t="s">
        <v>1545</v>
      </c>
      <c r="B2277" s="2" t="s">
        <v>252</v>
      </c>
      <c r="C2277" s="2" t="s">
        <v>1277</v>
      </c>
      <c r="D2277" s="716">
        <v>1</v>
      </c>
      <c r="E2277" s="4" t="s">
        <v>143</v>
      </c>
      <c r="F2277" s="47">
        <f t="shared" ref="F2277:I2277" si="909">G2277</f>
        <v>0</v>
      </c>
      <c r="G2277" s="47">
        <f t="shared" si="909"/>
        <v>0</v>
      </c>
      <c r="H2277" s="47">
        <f t="shared" si="909"/>
        <v>0</v>
      </c>
      <c r="I2277" s="47">
        <f t="shared" si="909"/>
        <v>0</v>
      </c>
      <c r="J2277" s="47">
        <f t="shared" si="901"/>
        <v>0</v>
      </c>
      <c r="K2277" s="47">
        <v>0</v>
      </c>
      <c r="L2277" s="47">
        <v>0</v>
      </c>
      <c r="M2277" s="893"/>
      <c r="N2277" s="20"/>
      <c r="O2277" s="20"/>
      <c r="P2277" s="20"/>
      <c r="Q2277" s="20"/>
      <c r="R2277" s="20"/>
    </row>
    <row r="2278" spans="1:18" s="103" customFormat="1" hidden="1" outlineLevel="1" x14ac:dyDescent="0.2">
      <c r="A2278" s="22" t="s">
        <v>1545</v>
      </c>
      <c r="B2278" s="2" t="s">
        <v>252</v>
      </c>
      <c r="C2278" s="2" t="s">
        <v>1277</v>
      </c>
      <c r="D2278" s="716">
        <v>1</v>
      </c>
      <c r="E2278" s="4" t="s">
        <v>7</v>
      </c>
      <c r="F2278" s="47">
        <f t="shared" ref="F2278:I2278" si="910">G2278</f>
        <v>0</v>
      </c>
      <c r="G2278" s="47">
        <f t="shared" si="910"/>
        <v>0</v>
      </c>
      <c r="H2278" s="47">
        <f t="shared" si="910"/>
        <v>0</v>
      </c>
      <c r="I2278" s="47">
        <f t="shared" si="910"/>
        <v>0</v>
      </c>
      <c r="J2278" s="47">
        <f t="shared" si="901"/>
        <v>0</v>
      </c>
      <c r="K2278" s="47">
        <v>0</v>
      </c>
      <c r="L2278" s="47">
        <v>0</v>
      </c>
      <c r="M2278" s="893"/>
      <c r="N2278" s="20"/>
      <c r="O2278" s="20"/>
      <c r="P2278" s="20"/>
      <c r="Q2278" s="20"/>
      <c r="R2278" s="20"/>
    </row>
    <row r="2279" spans="1:18" s="103" customFormat="1" hidden="1" outlineLevel="1" x14ac:dyDescent="0.2">
      <c r="A2279" s="22" t="s">
        <v>1545</v>
      </c>
      <c r="B2279" s="2" t="s">
        <v>252</v>
      </c>
      <c r="C2279" s="2" t="s">
        <v>1277</v>
      </c>
      <c r="D2279" s="716">
        <v>1</v>
      </c>
      <c r="E2279" s="4" t="s">
        <v>31</v>
      </c>
      <c r="F2279" s="47">
        <f t="shared" ref="F2279:I2279" si="911">G2279</f>
        <v>0</v>
      </c>
      <c r="G2279" s="47">
        <f t="shared" si="911"/>
        <v>0</v>
      </c>
      <c r="H2279" s="47">
        <f t="shared" si="911"/>
        <v>0</v>
      </c>
      <c r="I2279" s="47">
        <f t="shared" si="911"/>
        <v>0</v>
      </c>
      <c r="J2279" s="47">
        <f t="shared" si="901"/>
        <v>0</v>
      </c>
      <c r="K2279" s="47">
        <v>0</v>
      </c>
      <c r="L2279" s="47">
        <v>0</v>
      </c>
      <c r="M2279" s="893"/>
      <c r="N2279" s="20"/>
      <c r="O2279" s="20"/>
      <c r="P2279" s="20"/>
      <c r="Q2279" s="20"/>
      <c r="R2279" s="20"/>
    </row>
    <row r="2280" spans="1:18" s="103" customFormat="1" hidden="1" outlineLevel="1" x14ac:dyDescent="0.2">
      <c r="A2280" s="22" t="s">
        <v>1545</v>
      </c>
      <c r="B2280" s="2" t="s">
        <v>252</v>
      </c>
      <c r="C2280" s="2" t="s">
        <v>1277</v>
      </c>
      <c r="D2280" s="716">
        <v>1</v>
      </c>
      <c r="E2280" s="4" t="s">
        <v>8</v>
      </c>
      <c r="F2280" s="47">
        <f t="shared" ref="F2280:I2280" si="912">G2280</f>
        <v>0</v>
      </c>
      <c r="G2280" s="47">
        <f t="shared" si="912"/>
        <v>0</v>
      </c>
      <c r="H2280" s="47">
        <f t="shared" si="912"/>
        <v>0</v>
      </c>
      <c r="I2280" s="47">
        <f t="shared" si="912"/>
        <v>0</v>
      </c>
      <c r="J2280" s="47">
        <f t="shared" si="901"/>
        <v>0</v>
      </c>
      <c r="K2280" s="47">
        <v>0</v>
      </c>
      <c r="L2280" s="47">
        <v>0</v>
      </c>
      <c r="M2280" s="893"/>
      <c r="N2280" s="20"/>
      <c r="O2280" s="20"/>
      <c r="P2280" s="20"/>
      <c r="Q2280" s="20"/>
      <c r="R2280" s="20"/>
    </row>
    <row r="2281" spans="1:18" s="103" customFormat="1" hidden="1" outlineLevel="1" x14ac:dyDescent="0.2">
      <c r="A2281" s="22" t="s">
        <v>1545</v>
      </c>
      <c r="B2281" s="2" t="s">
        <v>252</v>
      </c>
      <c r="C2281" s="2" t="s">
        <v>1277</v>
      </c>
      <c r="D2281" s="716">
        <v>1</v>
      </c>
      <c r="E2281" s="4" t="s">
        <v>9</v>
      </c>
      <c r="F2281" s="47">
        <f t="shared" ref="F2281:I2281" si="913">G2281</f>
        <v>0</v>
      </c>
      <c r="G2281" s="47">
        <f t="shared" si="913"/>
        <v>0</v>
      </c>
      <c r="H2281" s="47">
        <f t="shared" si="913"/>
        <v>0</v>
      </c>
      <c r="I2281" s="47">
        <f t="shared" si="913"/>
        <v>0</v>
      </c>
      <c r="J2281" s="47">
        <f t="shared" si="901"/>
        <v>0</v>
      </c>
      <c r="K2281" s="47">
        <v>0</v>
      </c>
      <c r="L2281" s="47">
        <v>0</v>
      </c>
      <c r="M2281" s="893"/>
      <c r="N2281" s="20"/>
      <c r="O2281" s="20"/>
      <c r="P2281" s="20"/>
      <c r="Q2281" s="20"/>
      <c r="R2281" s="20"/>
    </row>
    <row r="2282" spans="1:18" s="103" customFormat="1" hidden="1" outlineLevel="1" x14ac:dyDescent="0.2">
      <c r="A2282" s="22" t="s">
        <v>1545</v>
      </c>
      <c r="B2282" s="2" t="s">
        <v>252</v>
      </c>
      <c r="C2282" s="2" t="s">
        <v>1277</v>
      </c>
      <c r="D2282" s="716">
        <v>1</v>
      </c>
      <c r="E2282" s="4" t="s">
        <v>10</v>
      </c>
      <c r="F2282" s="47">
        <f t="shared" ref="F2282:I2282" si="914">G2282</f>
        <v>0</v>
      </c>
      <c r="G2282" s="47">
        <f t="shared" si="914"/>
        <v>0</v>
      </c>
      <c r="H2282" s="47">
        <f t="shared" si="914"/>
        <v>0</v>
      </c>
      <c r="I2282" s="47">
        <f t="shared" si="914"/>
        <v>0</v>
      </c>
      <c r="J2282" s="47">
        <f t="shared" si="901"/>
        <v>0</v>
      </c>
      <c r="K2282" s="47">
        <v>0</v>
      </c>
      <c r="L2282" s="47">
        <v>0</v>
      </c>
      <c r="M2282" s="893"/>
      <c r="N2282" s="20"/>
      <c r="O2282" s="20"/>
      <c r="P2282" s="20"/>
      <c r="Q2282" s="20"/>
      <c r="R2282" s="20"/>
    </row>
    <row r="2283" spans="1:18" s="103" customFormat="1" hidden="1" outlineLevel="1" x14ac:dyDescent="0.2">
      <c r="A2283" s="22" t="s">
        <v>1545</v>
      </c>
      <c r="B2283" s="2" t="s">
        <v>252</v>
      </c>
      <c r="C2283" s="2" t="s">
        <v>1277</v>
      </c>
      <c r="D2283" s="716">
        <v>1</v>
      </c>
      <c r="E2283" s="4" t="s">
        <v>11</v>
      </c>
      <c r="F2283" s="47">
        <f t="shared" ref="F2283:I2283" si="915">G2283</f>
        <v>0</v>
      </c>
      <c r="G2283" s="47">
        <f t="shared" si="915"/>
        <v>0</v>
      </c>
      <c r="H2283" s="47">
        <f t="shared" si="915"/>
        <v>0</v>
      </c>
      <c r="I2283" s="47">
        <f t="shared" si="915"/>
        <v>0</v>
      </c>
      <c r="J2283" s="47">
        <f t="shared" si="901"/>
        <v>0</v>
      </c>
      <c r="K2283" s="47">
        <v>0</v>
      </c>
      <c r="L2283" s="47">
        <v>0</v>
      </c>
      <c r="M2283" s="893"/>
      <c r="N2283" s="20"/>
      <c r="O2283" s="20"/>
      <c r="P2283" s="20"/>
      <c r="Q2283" s="20"/>
      <c r="R2283" s="20"/>
    </row>
    <row r="2284" spans="1:18" s="103" customFormat="1" hidden="1" outlineLevel="1" x14ac:dyDescent="0.2">
      <c r="A2284" s="22" t="s">
        <v>1545</v>
      </c>
      <c r="B2284" s="2" t="s">
        <v>252</v>
      </c>
      <c r="C2284" s="2" t="s">
        <v>1277</v>
      </c>
      <c r="D2284" s="716">
        <v>1</v>
      </c>
      <c r="E2284" s="4" t="s">
        <v>12</v>
      </c>
      <c r="F2284" s="47">
        <f t="shared" ref="F2284:I2284" si="916">G2284</f>
        <v>0</v>
      </c>
      <c r="G2284" s="47">
        <f t="shared" si="916"/>
        <v>0</v>
      </c>
      <c r="H2284" s="47">
        <f t="shared" si="916"/>
        <v>0</v>
      </c>
      <c r="I2284" s="47">
        <f t="shared" si="916"/>
        <v>0</v>
      </c>
      <c r="J2284" s="47">
        <f t="shared" si="901"/>
        <v>0</v>
      </c>
      <c r="K2284" s="47">
        <v>0</v>
      </c>
      <c r="L2284" s="47">
        <v>0</v>
      </c>
      <c r="M2284" s="893"/>
      <c r="N2284" s="20"/>
      <c r="O2284" s="20"/>
      <c r="P2284" s="20"/>
      <c r="Q2284" s="20"/>
      <c r="R2284" s="20"/>
    </row>
    <row r="2285" spans="1:18" s="103" customFormat="1" hidden="1" outlineLevel="1" x14ac:dyDescent="0.2">
      <c r="A2285" s="22" t="s">
        <v>1545</v>
      </c>
      <c r="B2285" s="2" t="s">
        <v>252</v>
      </c>
      <c r="C2285" s="2" t="s">
        <v>1277</v>
      </c>
      <c r="D2285" s="716">
        <v>1</v>
      </c>
      <c r="E2285" s="4" t="s">
        <v>1</v>
      </c>
      <c r="F2285" s="47">
        <f t="shared" ref="F2285:I2285" si="917">G2285</f>
        <v>0</v>
      </c>
      <c r="G2285" s="47">
        <f t="shared" si="917"/>
        <v>0</v>
      </c>
      <c r="H2285" s="47">
        <f t="shared" si="917"/>
        <v>0</v>
      </c>
      <c r="I2285" s="47">
        <f t="shared" si="917"/>
        <v>0</v>
      </c>
      <c r="J2285" s="47">
        <f t="shared" si="901"/>
        <v>0</v>
      </c>
      <c r="K2285" s="47">
        <v>0</v>
      </c>
      <c r="L2285" s="47">
        <v>0</v>
      </c>
      <c r="M2285" s="893"/>
      <c r="N2285" s="20"/>
      <c r="O2285" s="20"/>
      <c r="P2285" s="20"/>
      <c r="Q2285" s="20"/>
      <c r="R2285" s="20"/>
    </row>
    <row r="2286" spans="1:18" s="103" customFormat="1" hidden="1" outlineLevel="1" x14ac:dyDescent="0.2">
      <c r="A2286" s="22" t="s">
        <v>1545</v>
      </c>
      <c r="B2286" s="2" t="s">
        <v>252</v>
      </c>
      <c r="C2286" s="2" t="s">
        <v>1277</v>
      </c>
      <c r="D2286" s="716">
        <v>1</v>
      </c>
      <c r="E2286" s="4" t="s">
        <v>13</v>
      </c>
      <c r="F2286" s="47">
        <f t="shared" ref="F2286:I2286" si="918">G2286</f>
        <v>0</v>
      </c>
      <c r="G2286" s="47">
        <f t="shared" si="918"/>
        <v>0</v>
      </c>
      <c r="H2286" s="47">
        <f t="shared" si="918"/>
        <v>0</v>
      </c>
      <c r="I2286" s="47">
        <f t="shared" si="918"/>
        <v>0</v>
      </c>
      <c r="J2286" s="47">
        <f t="shared" si="901"/>
        <v>0</v>
      </c>
      <c r="K2286" s="47">
        <v>0</v>
      </c>
      <c r="L2286" s="47">
        <v>0</v>
      </c>
      <c r="M2286" s="893"/>
      <c r="N2286" s="20"/>
      <c r="O2286" s="20"/>
      <c r="P2286" s="20"/>
      <c r="Q2286" s="20"/>
      <c r="R2286" s="20"/>
    </row>
    <row r="2287" spans="1:18" s="103" customFormat="1" hidden="1" outlineLevel="1" x14ac:dyDescent="0.2">
      <c r="A2287" s="22" t="s">
        <v>1545</v>
      </c>
      <c r="B2287" s="2" t="s">
        <v>252</v>
      </c>
      <c r="C2287" s="2" t="s">
        <v>1277</v>
      </c>
      <c r="D2287" s="716">
        <v>1</v>
      </c>
      <c r="E2287" s="4" t="s">
        <v>14</v>
      </c>
      <c r="F2287" s="47">
        <f t="shared" ref="F2287:I2287" si="919">G2287</f>
        <v>0</v>
      </c>
      <c r="G2287" s="47">
        <f t="shared" si="919"/>
        <v>0</v>
      </c>
      <c r="H2287" s="47">
        <f t="shared" si="919"/>
        <v>0</v>
      </c>
      <c r="I2287" s="47">
        <f t="shared" si="919"/>
        <v>0</v>
      </c>
      <c r="J2287" s="47">
        <f t="shared" si="901"/>
        <v>0</v>
      </c>
      <c r="K2287" s="47">
        <v>0</v>
      </c>
      <c r="L2287" s="47">
        <v>0</v>
      </c>
      <c r="M2287" s="893"/>
      <c r="N2287" s="20"/>
      <c r="O2287" s="20"/>
      <c r="P2287" s="20"/>
      <c r="Q2287" s="20"/>
      <c r="R2287" s="20"/>
    </row>
    <row r="2288" spans="1:18" s="103" customFormat="1" hidden="1" outlineLevel="1" x14ac:dyDescent="0.2">
      <c r="A2288" s="22" t="s">
        <v>1545</v>
      </c>
      <c r="B2288" s="2" t="s">
        <v>252</v>
      </c>
      <c r="C2288" s="2" t="s">
        <v>1277</v>
      </c>
      <c r="D2288" s="716">
        <v>1</v>
      </c>
      <c r="E2288" s="4" t="s">
        <v>15</v>
      </c>
      <c r="F2288" s="47">
        <f t="shared" ref="F2288:I2288" si="920">G2288</f>
        <v>0</v>
      </c>
      <c r="G2288" s="47">
        <f t="shared" si="920"/>
        <v>0</v>
      </c>
      <c r="H2288" s="47">
        <f t="shared" si="920"/>
        <v>0</v>
      </c>
      <c r="I2288" s="47">
        <f t="shared" si="920"/>
        <v>0</v>
      </c>
      <c r="J2288" s="47">
        <f t="shared" si="901"/>
        <v>0</v>
      </c>
      <c r="K2288" s="47">
        <v>0</v>
      </c>
      <c r="L2288" s="47">
        <v>0</v>
      </c>
      <c r="M2288" s="893"/>
      <c r="N2288" s="20"/>
      <c r="O2288" s="20"/>
      <c r="P2288" s="20"/>
      <c r="Q2288" s="20"/>
      <c r="R2288" s="20"/>
    </row>
    <row r="2289" spans="1:18" s="103" customFormat="1" hidden="1" outlineLevel="1" x14ac:dyDescent="0.2">
      <c r="A2289" s="22" t="s">
        <v>1545</v>
      </c>
      <c r="B2289" s="2" t="s">
        <v>252</v>
      </c>
      <c r="C2289" s="2" t="s">
        <v>1277</v>
      </c>
      <c r="D2289" s="716">
        <v>1</v>
      </c>
      <c r="E2289" s="4" t="s">
        <v>16</v>
      </c>
      <c r="F2289" s="47">
        <f t="shared" ref="F2289:I2289" si="921">G2289</f>
        <v>0</v>
      </c>
      <c r="G2289" s="47">
        <f t="shared" si="921"/>
        <v>0</v>
      </c>
      <c r="H2289" s="47">
        <f t="shared" si="921"/>
        <v>0</v>
      </c>
      <c r="I2289" s="47">
        <f t="shared" si="921"/>
        <v>0</v>
      </c>
      <c r="J2289" s="47">
        <f t="shared" si="901"/>
        <v>0</v>
      </c>
      <c r="K2289" s="47">
        <v>0</v>
      </c>
      <c r="L2289" s="47">
        <v>0</v>
      </c>
      <c r="M2289" s="893"/>
      <c r="N2289" s="20"/>
      <c r="O2289" s="20"/>
      <c r="P2289" s="20"/>
      <c r="Q2289" s="20"/>
      <c r="R2289" s="20"/>
    </row>
    <row r="2290" spans="1:18" s="103" customFormat="1" hidden="1" outlineLevel="1" x14ac:dyDescent="0.2">
      <c r="A2290" s="22" t="s">
        <v>1545</v>
      </c>
      <c r="B2290" s="2" t="s">
        <v>252</v>
      </c>
      <c r="C2290" s="2" t="s">
        <v>1277</v>
      </c>
      <c r="D2290" s="716">
        <v>1</v>
      </c>
      <c r="E2290" s="4" t="s">
        <v>17</v>
      </c>
      <c r="F2290" s="47">
        <f t="shared" ref="F2290:I2290" si="922">G2290</f>
        <v>0</v>
      </c>
      <c r="G2290" s="47">
        <f t="shared" si="922"/>
        <v>0</v>
      </c>
      <c r="H2290" s="47">
        <f t="shared" si="922"/>
        <v>0</v>
      </c>
      <c r="I2290" s="47">
        <f t="shared" si="922"/>
        <v>0</v>
      </c>
      <c r="J2290" s="47">
        <f t="shared" si="901"/>
        <v>0</v>
      </c>
      <c r="K2290" s="47">
        <v>0</v>
      </c>
      <c r="L2290" s="47">
        <v>0</v>
      </c>
      <c r="M2290" s="893"/>
      <c r="N2290" s="20"/>
      <c r="O2290" s="20"/>
      <c r="P2290" s="20"/>
      <c r="Q2290" s="20"/>
      <c r="R2290" s="20"/>
    </row>
    <row r="2291" spans="1:18" s="103" customFormat="1" hidden="1" outlineLevel="1" x14ac:dyDescent="0.2">
      <c r="A2291" s="22" t="s">
        <v>1545</v>
      </c>
      <c r="B2291" s="2" t="s">
        <v>252</v>
      </c>
      <c r="C2291" s="2" t="s">
        <v>1277</v>
      </c>
      <c r="D2291" s="716">
        <v>1</v>
      </c>
      <c r="E2291" s="4" t="s">
        <v>18</v>
      </c>
      <c r="F2291" s="47">
        <f t="shared" ref="F2291:I2291" si="923">G2291</f>
        <v>0</v>
      </c>
      <c r="G2291" s="47">
        <f t="shared" si="923"/>
        <v>0</v>
      </c>
      <c r="H2291" s="47">
        <f t="shared" si="923"/>
        <v>0</v>
      </c>
      <c r="I2291" s="47">
        <f t="shared" si="923"/>
        <v>0</v>
      </c>
      <c r="J2291" s="47">
        <f t="shared" si="901"/>
        <v>0</v>
      </c>
      <c r="K2291" s="47">
        <v>0</v>
      </c>
      <c r="L2291" s="47">
        <v>0</v>
      </c>
      <c r="M2291" s="893"/>
      <c r="N2291" s="20"/>
      <c r="O2291" s="20"/>
      <c r="P2291" s="20"/>
      <c r="Q2291" s="20"/>
      <c r="R2291" s="20"/>
    </row>
    <row r="2292" spans="1:18" s="103" customFormat="1" hidden="1" outlineLevel="1" x14ac:dyDescent="0.2">
      <c r="A2292" s="22" t="s">
        <v>1545</v>
      </c>
      <c r="B2292" s="2" t="s">
        <v>252</v>
      </c>
      <c r="C2292" s="2" t="s">
        <v>1277</v>
      </c>
      <c r="D2292" s="716">
        <v>1</v>
      </c>
      <c r="E2292" s="4" t="s">
        <v>2</v>
      </c>
      <c r="F2292" s="47">
        <f t="shared" ref="F2292:I2292" si="924">G2292</f>
        <v>0</v>
      </c>
      <c r="G2292" s="47">
        <f t="shared" si="924"/>
        <v>0</v>
      </c>
      <c r="H2292" s="47">
        <f t="shared" si="924"/>
        <v>0</v>
      </c>
      <c r="I2292" s="47">
        <f t="shared" si="924"/>
        <v>0</v>
      </c>
      <c r="J2292" s="47">
        <f t="shared" si="901"/>
        <v>0</v>
      </c>
      <c r="K2292" s="47">
        <v>0</v>
      </c>
      <c r="L2292" s="47">
        <v>0</v>
      </c>
      <c r="M2292" s="893"/>
      <c r="N2292" s="20"/>
      <c r="O2292" s="20"/>
      <c r="P2292" s="20"/>
      <c r="Q2292" s="20"/>
      <c r="R2292" s="20"/>
    </row>
    <row r="2293" spans="1:18" s="103" customFormat="1" hidden="1" outlineLevel="1" x14ac:dyDescent="0.2">
      <c r="A2293" s="22" t="s">
        <v>1545</v>
      </c>
      <c r="B2293" s="2" t="s">
        <v>252</v>
      </c>
      <c r="C2293" s="2" t="s">
        <v>1277</v>
      </c>
      <c r="D2293" s="716">
        <v>1</v>
      </c>
      <c r="E2293" s="4" t="s">
        <v>19</v>
      </c>
      <c r="F2293" s="47">
        <f t="shared" ref="F2293:I2293" si="925">G2293</f>
        <v>0</v>
      </c>
      <c r="G2293" s="47">
        <f t="shared" si="925"/>
        <v>0</v>
      </c>
      <c r="H2293" s="47">
        <f t="shared" si="925"/>
        <v>0</v>
      </c>
      <c r="I2293" s="47">
        <f t="shared" si="925"/>
        <v>0</v>
      </c>
      <c r="J2293" s="47">
        <f t="shared" si="901"/>
        <v>0</v>
      </c>
      <c r="K2293" s="47">
        <v>0</v>
      </c>
      <c r="L2293" s="47">
        <v>0</v>
      </c>
      <c r="M2293" s="893"/>
      <c r="N2293" s="20"/>
      <c r="O2293" s="20"/>
      <c r="P2293" s="20"/>
      <c r="Q2293" s="20"/>
      <c r="R2293" s="20"/>
    </row>
    <row r="2294" spans="1:18" s="103" customFormat="1" hidden="1" outlineLevel="1" x14ac:dyDescent="0.2">
      <c r="A2294" s="22" t="s">
        <v>1545</v>
      </c>
      <c r="B2294" s="2" t="s">
        <v>252</v>
      </c>
      <c r="C2294" s="2" t="s">
        <v>1277</v>
      </c>
      <c r="D2294" s="716">
        <v>1</v>
      </c>
      <c r="E2294" s="4" t="s">
        <v>3</v>
      </c>
      <c r="F2294" s="47">
        <f t="shared" ref="F2294:I2294" si="926">G2294</f>
        <v>0</v>
      </c>
      <c r="G2294" s="47">
        <f t="shared" si="926"/>
        <v>0</v>
      </c>
      <c r="H2294" s="47">
        <f t="shared" si="926"/>
        <v>0</v>
      </c>
      <c r="I2294" s="47">
        <f t="shared" si="926"/>
        <v>0</v>
      </c>
      <c r="J2294" s="47">
        <f t="shared" si="901"/>
        <v>0</v>
      </c>
      <c r="K2294" s="47">
        <v>0</v>
      </c>
      <c r="L2294" s="47">
        <v>0</v>
      </c>
      <c r="M2294" s="893"/>
      <c r="N2294" s="20"/>
      <c r="O2294" s="20"/>
      <c r="P2294" s="20"/>
      <c r="Q2294" s="20"/>
      <c r="R2294" s="20"/>
    </row>
    <row r="2295" spans="1:18" s="103" customFormat="1" hidden="1" outlineLevel="1" x14ac:dyDescent="0.2">
      <c r="A2295" s="22" t="s">
        <v>1545</v>
      </c>
      <c r="B2295" s="2" t="s">
        <v>252</v>
      </c>
      <c r="C2295" s="2" t="s">
        <v>1277</v>
      </c>
      <c r="D2295" s="716">
        <v>1</v>
      </c>
      <c r="E2295" s="4" t="s">
        <v>20</v>
      </c>
      <c r="F2295" s="47">
        <f t="shared" ref="F2295:I2295" si="927">G2295</f>
        <v>0</v>
      </c>
      <c r="G2295" s="47">
        <f t="shared" si="927"/>
        <v>0</v>
      </c>
      <c r="H2295" s="47">
        <f t="shared" si="927"/>
        <v>0</v>
      </c>
      <c r="I2295" s="47">
        <f t="shared" si="927"/>
        <v>0</v>
      </c>
      <c r="J2295" s="47">
        <f t="shared" si="901"/>
        <v>0</v>
      </c>
      <c r="K2295" s="47">
        <v>0</v>
      </c>
      <c r="L2295" s="47">
        <v>0</v>
      </c>
      <c r="M2295" s="893"/>
      <c r="N2295" s="20"/>
      <c r="O2295" s="20"/>
      <c r="P2295" s="20"/>
      <c r="Q2295" s="20"/>
      <c r="R2295" s="20"/>
    </row>
    <row r="2296" spans="1:18" s="103" customFormat="1" hidden="1" outlineLevel="1" x14ac:dyDescent="0.2">
      <c r="A2296" s="22" t="s">
        <v>1545</v>
      </c>
      <c r="B2296" s="2" t="s">
        <v>252</v>
      </c>
      <c r="C2296" s="2" t="s">
        <v>1277</v>
      </c>
      <c r="D2296" s="716">
        <v>1</v>
      </c>
      <c r="E2296" s="4" t="s">
        <v>21</v>
      </c>
      <c r="F2296" s="47">
        <f t="shared" ref="F2296:I2296" si="928">G2296</f>
        <v>0</v>
      </c>
      <c r="G2296" s="47">
        <f t="shared" si="928"/>
        <v>0</v>
      </c>
      <c r="H2296" s="47">
        <f t="shared" si="928"/>
        <v>0</v>
      </c>
      <c r="I2296" s="47">
        <f t="shared" si="928"/>
        <v>0</v>
      </c>
      <c r="J2296" s="47">
        <f t="shared" si="901"/>
        <v>0</v>
      </c>
      <c r="K2296" s="47">
        <v>0</v>
      </c>
      <c r="L2296" s="47">
        <v>0</v>
      </c>
      <c r="M2296" s="893"/>
      <c r="N2296" s="20"/>
      <c r="O2296" s="20"/>
      <c r="P2296" s="20"/>
      <c r="Q2296" s="20"/>
      <c r="R2296" s="20"/>
    </row>
    <row r="2297" spans="1:18" s="103" customFormat="1" hidden="1" outlineLevel="1" x14ac:dyDescent="0.2">
      <c r="A2297" s="22" t="s">
        <v>1545</v>
      </c>
      <c r="B2297" s="2" t="s">
        <v>252</v>
      </c>
      <c r="C2297" s="2" t="s">
        <v>1277</v>
      </c>
      <c r="D2297" s="716">
        <v>1</v>
      </c>
      <c r="E2297" s="4" t="s">
        <v>1096</v>
      </c>
      <c r="F2297" s="47">
        <f t="shared" ref="F2297:I2297" si="929">G2297</f>
        <v>0</v>
      </c>
      <c r="G2297" s="47">
        <f t="shared" si="929"/>
        <v>0</v>
      </c>
      <c r="H2297" s="47">
        <f t="shared" si="929"/>
        <v>0</v>
      </c>
      <c r="I2297" s="47">
        <f t="shared" si="929"/>
        <v>0</v>
      </c>
      <c r="J2297" s="47">
        <f t="shared" si="901"/>
        <v>0</v>
      </c>
      <c r="K2297" s="47">
        <v>0</v>
      </c>
      <c r="L2297" s="47">
        <v>0</v>
      </c>
      <c r="M2297" s="893"/>
      <c r="N2297" s="20"/>
      <c r="O2297" s="20"/>
      <c r="P2297" s="20"/>
      <c r="Q2297" s="20"/>
      <c r="R2297" s="20"/>
    </row>
    <row r="2298" spans="1:18" s="103" customFormat="1" hidden="1" outlineLevel="1" x14ac:dyDescent="0.2">
      <c r="A2298" s="22" t="s">
        <v>1545</v>
      </c>
      <c r="B2298" s="2" t="s">
        <v>252</v>
      </c>
      <c r="C2298" s="2" t="s">
        <v>1277</v>
      </c>
      <c r="D2298" s="716">
        <v>1</v>
      </c>
      <c r="E2298" s="4" t="s">
        <v>22</v>
      </c>
      <c r="F2298" s="47">
        <f t="shared" ref="F2298:I2298" si="930">G2298</f>
        <v>0</v>
      </c>
      <c r="G2298" s="47">
        <f t="shared" si="930"/>
        <v>0</v>
      </c>
      <c r="H2298" s="47">
        <f t="shared" si="930"/>
        <v>0</v>
      </c>
      <c r="I2298" s="47">
        <f t="shared" si="930"/>
        <v>0</v>
      </c>
      <c r="J2298" s="47">
        <f t="shared" si="901"/>
        <v>0</v>
      </c>
      <c r="K2298" s="47">
        <v>0</v>
      </c>
      <c r="L2298" s="47">
        <v>0</v>
      </c>
      <c r="M2298" s="893"/>
      <c r="N2298" s="20"/>
      <c r="O2298" s="20"/>
      <c r="P2298" s="20"/>
      <c r="Q2298" s="20"/>
      <c r="R2298" s="20"/>
    </row>
    <row r="2299" spans="1:18" s="103" customFormat="1" hidden="1" outlineLevel="1" x14ac:dyDescent="0.2">
      <c r="A2299" s="22" t="s">
        <v>1545</v>
      </c>
      <c r="B2299" s="2" t="s">
        <v>252</v>
      </c>
      <c r="C2299" s="2" t="s">
        <v>1277</v>
      </c>
      <c r="D2299" s="717">
        <v>1</v>
      </c>
      <c r="E2299" s="4" t="s">
        <v>23</v>
      </c>
      <c r="F2299" s="48">
        <f t="shared" ref="F2299:I2299" si="931">G2299</f>
        <v>0</v>
      </c>
      <c r="G2299" s="48">
        <f t="shared" si="931"/>
        <v>0</v>
      </c>
      <c r="H2299" s="48">
        <f t="shared" si="931"/>
        <v>0</v>
      </c>
      <c r="I2299" s="48">
        <f t="shared" si="931"/>
        <v>0</v>
      </c>
      <c r="J2299" s="48">
        <f t="shared" si="901"/>
        <v>0</v>
      </c>
      <c r="K2299" s="363">
        <v>0</v>
      </c>
      <c r="L2299" s="363">
        <v>0</v>
      </c>
      <c r="M2299" s="920"/>
      <c r="N2299" s="20"/>
      <c r="O2299" s="20"/>
      <c r="P2299" s="20"/>
      <c r="Q2299" s="20"/>
      <c r="R2299" s="20"/>
    </row>
    <row r="2300" spans="1:18" s="103" customFormat="1" hidden="1" outlineLevel="1" x14ac:dyDescent="0.2">
      <c r="A2300" s="92" t="s">
        <v>1545</v>
      </c>
      <c r="B2300" s="81" t="s">
        <v>252</v>
      </c>
      <c r="C2300" s="81" t="s">
        <v>1278</v>
      </c>
      <c r="D2300" s="715">
        <v>1</v>
      </c>
      <c r="E2300" s="468" t="s">
        <v>4</v>
      </c>
      <c r="F2300" s="380">
        <f t="shared" ref="F2300:I2300" si="932">G2300</f>
        <v>0</v>
      </c>
      <c r="G2300" s="89">
        <f t="shared" si="932"/>
        <v>0</v>
      </c>
      <c r="H2300" s="89">
        <f t="shared" si="932"/>
        <v>0</v>
      </c>
      <c r="I2300" s="89">
        <f t="shared" si="932"/>
        <v>0</v>
      </c>
      <c r="J2300" s="89">
        <f t="shared" si="901"/>
        <v>0</v>
      </c>
      <c r="K2300" s="380">
        <v>0</v>
      </c>
      <c r="L2300" s="380">
        <v>0</v>
      </c>
      <c r="M2300" s="892"/>
      <c r="N2300" s="20"/>
      <c r="O2300" s="20"/>
      <c r="P2300" s="20"/>
      <c r="Q2300" s="20"/>
      <c r="R2300" s="20"/>
    </row>
    <row r="2301" spans="1:18" s="103" customFormat="1" hidden="1" outlineLevel="1" x14ac:dyDescent="0.2">
      <c r="A2301" s="22" t="s">
        <v>1545</v>
      </c>
      <c r="B2301" s="2" t="s">
        <v>252</v>
      </c>
      <c r="C2301" s="2" t="s">
        <v>1278</v>
      </c>
      <c r="D2301" s="716">
        <v>1</v>
      </c>
      <c r="E2301" s="4" t="s">
        <v>5</v>
      </c>
      <c r="F2301" s="47">
        <f t="shared" ref="F2301:I2301" si="933">G2301</f>
        <v>0</v>
      </c>
      <c r="G2301" s="47">
        <f t="shared" si="933"/>
        <v>0</v>
      </c>
      <c r="H2301" s="47">
        <f t="shared" si="933"/>
        <v>0</v>
      </c>
      <c r="I2301" s="47">
        <f t="shared" si="933"/>
        <v>0</v>
      </c>
      <c r="J2301" s="47">
        <f t="shared" si="901"/>
        <v>0</v>
      </c>
      <c r="K2301" s="47">
        <v>0</v>
      </c>
      <c r="L2301" s="47">
        <v>0</v>
      </c>
      <c r="M2301" s="893"/>
      <c r="N2301" s="20"/>
      <c r="O2301" s="20"/>
      <c r="P2301" s="20"/>
      <c r="Q2301" s="20"/>
      <c r="R2301" s="20"/>
    </row>
    <row r="2302" spans="1:18" s="103" customFormat="1" hidden="1" outlineLevel="1" x14ac:dyDescent="0.2">
      <c r="A2302" s="22" t="s">
        <v>1545</v>
      </c>
      <c r="B2302" s="2" t="s">
        <v>252</v>
      </c>
      <c r="C2302" s="2" t="s">
        <v>1278</v>
      </c>
      <c r="D2302" s="716">
        <v>1</v>
      </c>
      <c r="E2302" s="4" t="s">
        <v>6</v>
      </c>
      <c r="F2302" s="47">
        <f t="shared" ref="F2302:I2302" si="934">G2302</f>
        <v>0</v>
      </c>
      <c r="G2302" s="47">
        <f t="shared" si="934"/>
        <v>0</v>
      </c>
      <c r="H2302" s="47">
        <f t="shared" si="934"/>
        <v>0</v>
      </c>
      <c r="I2302" s="47">
        <f t="shared" si="934"/>
        <v>0</v>
      </c>
      <c r="J2302" s="47">
        <f t="shared" si="901"/>
        <v>0</v>
      </c>
      <c r="K2302" s="47">
        <v>0</v>
      </c>
      <c r="L2302" s="47">
        <v>0</v>
      </c>
      <c r="M2302" s="893"/>
      <c r="N2302" s="20"/>
      <c r="O2302" s="20"/>
      <c r="P2302" s="20"/>
      <c r="Q2302" s="20"/>
      <c r="R2302" s="20"/>
    </row>
    <row r="2303" spans="1:18" s="103" customFormat="1" hidden="1" outlineLevel="1" x14ac:dyDescent="0.2">
      <c r="A2303" s="22" t="s">
        <v>1545</v>
      </c>
      <c r="B2303" s="2" t="s">
        <v>252</v>
      </c>
      <c r="C2303" s="2" t="s">
        <v>1278</v>
      </c>
      <c r="D2303" s="716">
        <v>1</v>
      </c>
      <c r="E2303" s="4" t="s">
        <v>143</v>
      </c>
      <c r="F2303" s="47">
        <f t="shared" ref="F2303:I2303" si="935">G2303</f>
        <v>0</v>
      </c>
      <c r="G2303" s="47">
        <f t="shared" si="935"/>
        <v>0</v>
      </c>
      <c r="H2303" s="47">
        <f t="shared" si="935"/>
        <v>0</v>
      </c>
      <c r="I2303" s="47">
        <f t="shared" si="935"/>
        <v>0</v>
      </c>
      <c r="J2303" s="47">
        <f t="shared" si="901"/>
        <v>0</v>
      </c>
      <c r="K2303" s="47">
        <v>0</v>
      </c>
      <c r="L2303" s="47">
        <v>0</v>
      </c>
      <c r="M2303" s="893"/>
      <c r="N2303" s="20"/>
      <c r="O2303" s="20"/>
      <c r="P2303" s="20"/>
      <c r="Q2303" s="20"/>
      <c r="R2303" s="20"/>
    </row>
    <row r="2304" spans="1:18" s="103" customFormat="1" hidden="1" outlineLevel="1" x14ac:dyDescent="0.2">
      <c r="A2304" s="22" t="s">
        <v>1545</v>
      </c>
      <c r="B2304" s="2" t="s">
        <v>252</v>
      </c>
      <c r="C2304" s="2" t="s">
        <v>1278</v>
      </c>
      <c r="D2304" s="716">
        <v>1</v>
      </c>
      <c r="E2304" s="4" t="s">
        <v>7</v>
      </c>
      <c r="F2304" s="47">
        <f t="shared" ref="F2304:I2304" si="936">G2304</f>
        <v>0</v>
      </c>
      <c r="G2304" s="47">
        <f t="shared" si="936"/>
        <v>0</v>
      </c>
      <c r="H2304" s="47">
        <f t="shared" si="936"/>
        <v>0</v>
      </c>
      <c r="I2304" s="47">
        <f t="shared" si="936"/>
        <v>0</v>
      </c>
      <c r="J2304" s="47">
        <f t="shared" si="901"/>
        <v>0</v>
      </c>
      <c r="K2304" s="47">
        <v>0</v>
      </c>
      <c r="L2304" s="47">
        <v>0</v>
      </c>
      <c r="M2304" s="893"/>
      <c r="N2304" s="20"/>
      <c r="O2304" s="20"/>
      <c r="P2304" s="20"/>
      <c r="Q2304" s="20"/>
      <c r="R2304" s="20"/>
    </row>
    <row r="2305" spans="1:18" s="103" customFormat="1" hidden="1" outlineLevel="1" x14ac:dyDescent="0.2">
      <c r="A2305" s="22" t="s">
        <v>1545</v>
      </c>
      <c r="B2305" s="2" t="s">
        <v>252</v>
      </c>
      <c r="C2305" s="2" t="s">
        <v>1278</v>
      </c>
      <c r="D2305" s="716">
        <v>1</v>
      </c>
      <c r="E2305" s="4" t="s">
        <v>31</v>
      </c>
      <c r="F2305" s="47">
        <f t="shared" ref="F2305:I2305" si="937">G2305</f>
        <v>0</v>
      </c>
      <c r="G2305" s="47">
        <f t="shared" si="937"/>
        <v>0</v>
      </c>
      <c r="H2305" s="47">
        <f t="shared" si="937"/>
        <v>0</v>
      </c>
      <c r="I2305" s="47">
        <f t="shared" si="937"/>
        <v>0</v>
      </c>
      <c r="J2305" s="47">
        <f t="shared" si="901"/>
        <v>0</v>
      </c>
      <c r="K2305" s="47">
        <v>0</v>
      </c>
      <c r="L2305" s="47">
        <v>0</v>
      </c>
      <c r="M2305" s="893"/>
      <c r="N2305" s="20"/>
      <c r="O2305" s="20"/>
      <c r="P2305" s="20"/>
      <c r="Q2305" s="20"/>
      <c r="R2305" s="20"/>
    </row>
    <row r="2306" spans="1:18" s="103" customFormat="1" hidden="1" outlineLevel="1" x14ac:dyDescent="0.2">
      <c r="A2306" s="22" t="s">
        <v>1545</v>
      </c>
      <c r="B2306" s="2" t="s">
        <v>252</v>
      </c>
      <c r="C2306" s="2" t="s">
        <v>1278</v>
      </c>
      <c r="D2306" s="716">
        <v>1</v>
      </c>
      <c r="E2306" s="4" t="s">
        <v>8</v>
      </c>
      <c r="F2306" s="47">
        <f t="shared" ref="F2306:I2306" si="938">G2306</f>
        <v>1</v>
      </c>
      <c r="G2306" s="47">
        <f t="shared" si="938"/>
        <v>1</v>
      </c>
      <c r="H2306" s="47">
        <f t="shared" si="938"/>
        <v>1</v>
      </c>
      <c r="I2306" s="47">
        <f t="shared" si="938"/>
        <v>1</v>
      </c>
      <c r="J2306" s="47">
        <f t="shared" si="901"/>
        <v>1</v>
      </c>
      <c r="K2306" s="47">
        <v>1</v>
      </c>
      <c r="L2306" s="47">
        <v>1</v>
      </c>
      <c r="M2306" s="893"/>
      <c r="N2306" s="20"/>
      <c r="O2306" s="20"/>
      <c r="P2306" s="20"/>
      <c r="Q2306" s="20"/>
      <c r="R2306" s="20"/>
    </row>
    <row r="2307" spans="1:18" s="103" customFormat="1" hidden="1" outlineLevel="1" x14ac:dyDescent="0.2">
      <c r="A2307" s="22" t="s">
        <v>1545</v>
      </c>
      <c r="B2307" s="2" t="s">
        <v>252</v>
      </c>
      <c r="C2307" s="2" t="s">
        <v>1278</v>
      </c>
      <c r="D2307" s="716">
        <v>1</v>
      </c>
      <c r="E2307" s="4" t="s">
        <v>9</v>
      </c>
      <c r="F2307" s="47">
        <f t="shared" ref="F2307:I2307" si="939">G2307</f>
        <v>0</v>
      </c>
      <c r="G2307" s="47">
        <f t="shared" si="939"/>
        <v>0</v>
      </c>
      <c r="H2307" s="47">
        <f t="shared" si="939"/>
        <v>0</v>
      </c>
      <c r="I2307" s="47">
        <f t="shared" si="939"/>
        <v>0</v>
      </c>
      <c r="J2307" s="47">
        <f t="shared" si="901"/>
        <v>0</v>
      </c>
      <c r="K2307" s="47">
        <v>0</v>
      </c>
      <c r="L2307" s="47">
        <v>0</v>
      </c>
      <c r="M2307" s="893"/>
      <c r="N2307" s="20"/>
      <c r="O2307" s="20"/>
      <c r="P2307" s="20"/>
      <c r="Q2307" s="20"/>
      <c r="R2307" s="20"/>
    </row>
    <row r="2308" spans="1:18" s="103" customFormat="1" hidden="1" outlineLevel="1" x14ac:dyDescent="0.2">
      <c r="A2308" s="22" t="s">
        <v>1545</v>
      </c>
      <c r="B2308" s="2" t="s">
        <v>252</v>
      </c>
      <c r="C2308" s="2" t="s">
        <v>1278</v>
      </c>
      <c r="D2308" s="716">
        <v>1</v>
      </c>
      <c r="E2308" s="4" t="s">
        <v>10</v>
      </c>
      <c r="F2308" s="47">
        <f t="shared" ref="F2308:I2308" si="940">G2308</f>
        <v>1</v>
      </c>
      <c r="G2308" s="47">
        <f t="shared" si="940"/>
        <v>1</v>
      </c>
      <c r="H2308" s="47">
        <f t="shared" si="940"/>
        <v>1</v>
      </c>
      <c r="I2308" s="47">
        <f t="shared" si="940"/>
        <v>1</v>
      </c>
      <c r="J2308" s="47">
        <f t="shared" si="901"/>
        <v>1</v>
      </c>
      <c r="K2308" s="47">
        <v>1</v>
      </c>
      <c r="L2308" s="47">
        <v>1</v>
      </c>
      <c r="M2308" s="893"/>
      <c r="N2308" s="20"/>
      <c r="O2308" s="20"/>
      <c r="P2308" s="20"/>
      <c r="Q2308" s="20"/>
      <c r="R2308" s="20"/>
    </row>
    <row r="2309" spans="1:18" s="103" customFormat="1" hidden="1" outlineLevel="1" x14ac:dyDescent="0.2">
      <c r="A2309" s="22" t="s">
        <v>1545</v>
      </c>
      <c r="B2309" s="2" t="s">
        <v>252</v>
      </c>
      <c r="C2309" s="2" t="s">
        <v>1278</v>
      </c>
      <c r="D2309" s="716">
        <v>1</v>
      </c>
      <c r="E2309" s="4" t="s">
        <v>11</v>
      </c>
      <c r="F2309" s="47">
        <f t="shared" ref="F2309:I2309" si="941">G2309</f>
        <v>0</v>
      </c>
      <c r="G2309" s="47">
        <f t="shared" si="941"/>
        <v>0</v>
      </c>
      <c r="H2309" s="47">
        <f t="shared" si="941"/>
        <v>0</v>
      </c>
      <c r="I2309" s="47">
        <f t="shared" si="941"/>
        <v>0</v>
      </c>
      <c r="J2309" s="47">
        <f t="shared" si="901"/>
        <v>0</v>
      </c>
      <c r="K2309" s="47">
        <v>0</v>
      </c>
      <c r="L2309" s="47">
        <v>0</v>
      </c>
      <c r="M2309" s="893"/>
      <c r="N2309" s="20"/>
      <c r="O2309" s="20"/>
      <c r="P2309" s="20"/>
      <c r="Q2309" s="20"/>
      <c r="R2309" s="20"/>
    </row>
    <row r="2310" spans="1:18" s="103" customFormat="1" hidden="1" outlineLevel="1" x14ac:dyDescent="0.2">
      <c r="A2310" s="22" t="s">
        <v>1545</v>
      </c>
      <c r="B2310" s="2" t="s">
        <v>252</v>
      </c>
      <c r="C2310" s="2" t="s">
        <v>1278</v>
      </c>
      <c r="D2310" s="716">
        <v>1</v>
      </c>
      <c r="E2310" s="4" t="s">
        <v>12</v>
      </c>
      <c r="F2310" s="47">
        <f t="shared" ref="F2310:I2310" si="942">G2310</f>
        <v>0</v>
      </c>
      <c r="G2310" s="47">
        <f t="shared" si="942"/>
        <v>0</v>
      </c>
      <c r="H2310" s="47">
        <f t="shared" si="942"/>
        <v>0</v>
      </c>
      <c r="I2310" s="47">
        <f t="shared" si="942"/>
        <v>0</v>
      </c>
      <c r="J2310" s="47">
        <f t="shared" si="901"/>
        <v>0</v>
      </c>
      <c r="K2310" s="47">
        <v>0</v>
      </c>
      <c r="L2310" s="47">
        <v>0</v>
      </c>
      <c r="M2310" s="893"/>
      <c r="N2310" s="20"/>
      <c r="O2310" s="20"/>
      <c r="P2310" s="20"/>
      <c r="Q2310" s="20"/>
      <c r="R2310" s="20"/>
    </row>
    <row r="2311" spans="1:18" s="103" customFormat="1" hidden="1" outlineLevel="1" x14ac:dyDescent="0.2">
      <c r="A2311" s="22" t="s">
        <v>1545</v>
      </c>
      <c r="B2311" s="2" t="s">
        <v>252</v>
      </c>
      <c r="C2311" s="2" t="s">
        <v>1278</v>
      </c>
      <c r="D2311" s="716">
        <v>1</v>
      </c>
      <c r="E2311" s="4" t="s">
        <v>1</v>
      </c>
      <c r="F2311" s="47">
        <f t="shared" ref="F2311:I2311" si="943">G2311</f>
        <v>0</v>
      </c>
      <c r="G2311" s="47">
        <f t="shared" si="943"/>
        <v>0</v>
      </c>
      <c r="H2311" s="47">
        <f t="shared" si="943"/>
        <v>0</v>
      </c>
      <c r="I2311" s="47">
        <f t="shared" si="943"/>
        <v>0</v>
      </c>
      <c r="J2311" s="47">
        <f t="shared" si="901"/>
        <v>0</v>
      </c>
      <c r="K2311" s="47">
        <v>0</v>
      </c>
      <c r="L2311" s="47">
        <v>0</v>
      </c>
      <c r="M2311" s="893"/>
      <c r="N2311" s="20"/>
      <c r="O2311" s="20"/>
      <c r="P2311" s="20"/>
      <c r="Q2311" s="20"/>
      <c r="R2311" s="20"/>
    </row>
    <row r="2312" spans="1:18" s="103" customFormat="1" hidden="1" outlineLevel="1" x14ac:dyDescent="0.2">
      <c r="A2312" s="22" t="s">
        <v>1545</v>
      </c>
      <c r="B2312" s="2" t="s">
        <v>252</v>
      </c>
      <c r="C2312" s="2" t="s">
        <v>1278</v>
      </c>
      <c r="D2312" s="716">
        <v>1</v>
      </c>
      <c r="E2312" s="4" t="s">
        <v>13</v>
      </c>
      <c r="F2312" s="47">
        <f t="shared" ref="F2312:I2312" si="944">G2312</f>
        <v>1</v>
      </c>
      <c r="G2312" s="47">
        <f t="shared" si="944"/>
        <v>1</v>
      </c>
      <c r="H2312" s="47">
        <f t="shared" si="944"/>
        <v>1</v>
      </c>
      <c r="I2312" s="47">
        <f t="shared" si="944"/>
        <v>1</v>
      </c>
      <c r="J2312" s="47">
        <f t="shared" si="901"/>
        <v>1</v>
      </c>
      <c r="K2312" s="47">
        <v>1</v>
      </c>
      <c r="L2312" s="47">
        <v>1</v>
      </c>
      <c r="M2312" s="893"/>
      <c r="N2312" s="20"/>
      <c r="O2312" s="20"/>
      <c r="P2312" s="20"/>
      <c r="Q2312" s="20"/>
      <c r="R2312" s="20"/>
    </row>
    <row r="2313" spans="1:18" s="103" customFormat="1" hidden="1" outlineLevel="1" x14ac:dyDescent="0.2">
      <c r="A2313" s="22" t="s">
        <v>1545</v>
      </c>
      <c r="B2313" s="2" t="s">
        <v>252</v>
      </c>
      <c r="C2313" s="2" t="s">
        <v>1278</v>
      </c>
      <c r="D2313" s="716">
        <v>1</v>
      </c>
      <c r="E2313" s="4" t="s">
        <v>14</v>
      </c>
      <c r="F2313" s="47">
        <f t="shared" ref="F2313:I2313" si="945">G2313</f>
        <v>0</v>
      </c>
      <c r="G2313" s="47">
        <f t="shared" si="945"/>
        <v>0</v>
      </c>
      <c r="H2313" s="47">
        <f t="shared" si="945"/>
        <v>0</v>
      </c>
      <c r="I2313" s="47">
        <f t="shared" si="945"/>
        <v>0</v>
      </c>
      <c r="J2313" s="47">
        <f t="shared" si="901"/>
        <v>0</v>
      </c>
      <c r="K2313" s="47">
        <v>0</v>
      </c>
      <c r="L2313" s="47">
        <v>0</v>
      </c>
      <c r="M2313" s="893"/>
      <c r="N2313" s="20"/>
      <c r="O2313" s="20"/>
      <c r="P2313" s="20"/>
      <c r="Q2313" s="20"/>
      <c r="R2313" s="20"/>
    </row>
    <row r="2314" spans="1:18" s="103" customFormat="1" hidden="1" outlineLevel="1" x14ac:dyDescent="0.2">
      <c r="A2314" s="22" t="s">
        <v>1545</v>
      </c>
      <c r="B2314" s="2" t="s">
        <v>252</v>
      </c>
      <c r="C2314" s="2" t="s">
        <v>1278</v>
      </c>
      <c r="D2314" s="716">
        <v>1</v>
      </c>
      <c r="E2314" s="4" t="s">
        <v>15</v>
      </c>
      <c r="F2314" s="47">
        <f t="shared" ref="F2314:I2314" si="946">G2314</f>
        <v>0</v>
      </c>
      <c r="G2314" s="47">
        <f t="shared" si="946"/>
        <v>0</v>
      </c>
      <c r="H2314" s="47">
        <f t="shared" si="946"/>
        <v>0</v>
      </c>
      <c r="I2314" s="47">
        <f t="shared" si="946"/>
        <v>0</v>
      </c>
      <c r="J2314" s="47">
        <f t="shared" si="901"/>
        <v>0</v>
      </c>
      <c r="K2314" s="47">
        <v>0</v>
      </c>
      <c r="L2314" s="47">
        <v>0</v>
      </c>
      <c r="M2314" s="893"/>
      <c r="N2314" s="20"/>
      <c r="O2314" s="20"/>
      <c r="P2314" s="20"/>
      <c r="Q2314" s="20"/>
      <c r="R2314" s="20"/>
    </row>
    <row r="2315" spans="1:18" s="103" customFormat="1" hidden="1" outlineLevel="1" x14ac:dyDescent="0.2">
      <c r="A2315" s="22" t="s">
        <v>1545</v>
      </c>
      <c r="B2315" s="2" t="s">
        <v>252</v>
      </c>
      <c r="C2315" s="2" t="s">
        <v>1278</v>
      </c>
      <c r="D2315" s="716">
        <v>1</v>
      </c>
      <c r="E2315" s="4" t="s">
        <v>16</v>
      </c>
      <c r="F2315" s="47">
        <f t="shared" ref="F2315:I2315" si="947">G2315</f>
        <v>1</v>
      </c>
      <c r="G2315" s="47">
        <f t="shared" si="947"/>
        <v>1</v>
      </c>
      <c r="H2315" s="47">
        <f t="shared" si="947"/>
        <v>1</v>
      </c>
      <c r="I2315" s="47">
        <f t="shared" si="947"/>
        <v>1</v>
      </c>
      <c r="J2315" s="47">
        <f t="shared" si="901"/>
        <v>1</v>
      </c>
      <c r="K2315" s="47">
        <v>1</v>
      </c>
      <c r="L2315" s="47">
        <v>1</v>
      </c>
      <c r="M2315" s="893"/>
      <c r="N2315" s="20"/>
      <c r="O2315" s="20"/>
      <c r="P2315" s="20"/>
      <c r="Q2315" s="20"/>
      <c r="R2315" s="20"/>
    </row>
    <row r="2316" spans="1:18" s="103" customFormat="1" hidden="1" outlineLevel="1" x14ac:dyDescent="0.2">
      <c r="A2316" s="22" t="s">
        <v>1545</v>
      </c>
      <c r="B2316" s="2" t="s">
        <v>252</v>
      </c>
      <c r="C2316" s="2" t="s">
        <v>1278</v>
      </c>
      <c r="D2316" s="716">
        <v>1</v>
      </c>
      <c r="E2316" s="4" t="s">
        <v>17</v>
      </c>
      <c r="F2316" s="47">
        <f t="shared" ref="F2316:I2316" si="948">G2316</f>
        <v>0</v>
      </c>
      <c r="G2316" s="47">
        <f t="shared" si="948"/>
        <v>0</v>
      </c>
      <c r="H2316" s="47">
        <f t="shared" si="948"/>
        <v>0</v>
      </c>
      <c r="I2316" s="47">
        <f t="shared" si="948"/>
        <v>0</v>
      </c>
      <c r="J2316" s="47">
        <f t="shared" si="901"/>
        <v>0</v>
      </c>
      <c r="K2316" s="47">
        <v>0</v>
      </c>
      <c r="L2316" s="47">
        <v>0</v>
      </c>
      <c r="M2316" s="893"/>
      <c r="N2316" s="20"/>
      <c r="O2316" s="20"/>
      <c r="P2316" s="20"/>
      <c r="Q2316" s="20"/>
      <c r="R2316" s="20"/>
    </row>
    <row r="2317" spans="1:18" s="103" customFormat="1" hidden="1" outlineLevel="1" x14ac:dyDescent="0.2">
      <c r="A2317" s="22" t="s">
        <v>1545</v>
      </c>
      <c r="B2317" s="2" t="s">
        <v>252</v>
      </c>
      <c r="C2317" s="2" t="s">
        <v>1278</v>
      </c>
      <c r="D2317" s="716">
        <v>1</v>
      </c>
      <c r="E2317" s="4" t="s">
        <v>18</v>
      </c>
      <c r="F2317" s="47">
        <f t="shared" ref="F2317:I2317" si="949">G2317</f>
        <v>0</v>
      </c>
      <c r="G2317" s="47">
        <f t="shared" si="949"/>
        <v>0</v>
      </c>
      <c r="H2317" s="47">
        <f t="shared" si="949"/>
        <v>0</v>
      </c>
      <c r="I2317" s="47">
        <f t="shared" si="949"/>
        <v>0</v>
      </c>
      <c r="J2317" s="47">
        <f t="shared" si="901"/>
        <v>0</v>
      </c>
      <c r="K2317" s="47">
        <v>0</v>
      </c>
      <c r="L2317" s="47">
        <v>1</v>
      </c>
      <c r="M2317" s="893"/>
      <c r="N2317" s="20"/>
      <c r="O2317" s="20"/>
      <c r="P2317" s="20"/>
      <c r="Q2317" s="20"/>
      <c r="R2317" s="20"/>
    </row>
    <row r="2318" spans="1:18" s="103" customFormat="1" hidden="1" outlineLevel="1" x14ac:dyDescent="0.2">
      <c r="A2318" s="22" t="s">
        <v>1545</v>
      </c>
      <c r="B2318" s="2" t="s">
        <v>252</v>
      </c>
      <c r="C2318" s="2" t="s">
        <v>1278</v>
      </c>
      <c r="D2318" s="716">
        <v>1</v>
      </c>
      <c r="E2318" s="4" t="s">
        <v>2</v>
      </c>
      <c r="F2318" s="47">
        <f t="shared" ref="F2318:I2318" si="950">G2318</f>
        <v>1</v>
      </c>
      <c r="G2318" s="47">
        <f t="shared" si="950"/>
        <v>1</v>
      </c>
      <c r="H2318" s="47">
        <f t="shared" si="950"/>
        <v>1</v>
      </c>
      <c r="I2318" s="47">
        <f t="shared" si="950"/>
        <v>1</v>
      </c>
      <c r="J2318" s="47">
        <f t="shared" si="901"/>
        <v>1</v>
      </c>
      <c r="K2318" s="47">
        <v>1</v>
      </c>
      <c r="L2318" s="47">
        <v>1</v>
      </c>
      <c r="M2318" s="893"/>
      <c r="N2318" s="20"/>
      <c r="O2318" s="20"/>
      <c r="P2318" s="20"/>
      <c r="Q2318" s="20"/>
      <c r="R2318" s="20"/>
    </row>
    <row r="2319" spans="1:18" s="103" customFormat="1" hidden="1" outlineLevel="1" x14ac:dyDescent="0.2">
      <c r="A2319" s="22" t="s">
        <v>1545</v>
      </c>
      <c r="B2319" s="2" t="s">
        <v>252</v>
      </c>
      <c r="C2319" s="2" t="s">
        <v>1278</v>
      </c>
      <c r="D2319" s="716">
        <v>1</v>
      </c>
      <c r="E2319" s="4" t="s">
        <v>19</v>
      </c>
      <c r="F2319" s="47">
        <f t="shared" ref="F2319:I2319" si="951">G2319</f>
        <v>0</v>
      </c>
      <c r="G2319" s="47">
        <f t="shared" si="951"/>
        <v>0</v>
      </c>
      <c r="H2319" s="47">
        <f t="shared" si="951"/>
        <v>0</v>
      </c>
      <c r="I2319" s="47">
        <f t="shared" si="951"/>
        <v>0</v>
      </c>
      <c r="J2319" s="47">
        <f t="shared" si="901"/>
        <v>0</v>
      </c>
      <c r="K2319" s="47">
        <v>0</v>
      </c>
      <c r="L2319" s="47">
        <v>0</v>
      </c>
      <c r="M2319" s="893"/>
      <c r="N2319" s="20"/>
      <c r="O2319" s="20"/>
      <c r="P2319" s="20"/>
      <c r="Q2319" s="20"/>
      <c r="R2319" s="20"/>
    </row>
    <row r="2320" spans="1:18" s="103" customFormat="1" hidden="1" outlineLevel="1" x14ac:dyDescent="0.2">
      <c r="A2320" s="22" t="s">
        <v>1545</v>
      </c>
      <c r="B2320" s="2" t="s">
        <v>252</v>
      </c>
      <c r="C2320" s="2" t="s">
        <v>1278</v>
      </c>
      <c r="D2320" s="716">
        <v>1</v>
      </c>
      <c r="E2320" s="4" t="s">
        <v>3</v>
      </c>
      <c r="F2320" s="47">
        <f t="shared" ref="F2320:I2320" si="952">G2320</f>
        <v>0</v>
      </c>
      <c r="G2320" s="47">
        <f t="shared" si="952"/>
        <v>0</v>
      </c>
      <c r="H2320" s="47">
        <f t="shared" si="952"/>
        <v>0</v>
      </c>
      <c r="I2320" s="47">
        <f t="shared" si="952"/>
        <v>0</v>
      </c>
      <c r="J2320" s="47">
        <f t="shared" si="901"/>
        <v>0</v>
      </c>
      <c r="K2320" s="47">
        <v>0</v>
      </c>
      <c r="L2320" s="47">
        <v>0</v>
      </c>
      <c r="M2320" s="893"/>
      <c r="N2320" s="20"/>
      <c r="O2320" s="20"/>
      <c r="P2320" s="20"/>
      <c r="Q2320" s="20"/>
      <c r="R2320" s="20"/>
    </row>
    <row r="2321" spans="1:18" s="103" customFormat="1" hidden="1" outlineLevel="1" x14ac:dyDescent="0.2">
      <c r="A2321" s="22" t="s">
        <v>1545</v>
      </c>
      <c r="B2321" s="2" t="s">
        <v>252</v>
      </c>
      <c r="C2321" s="2" t="s">
        <v>1278</v>
      </c>
      <c r="D2321" s="716">
        <v>1</v>
      </c>
      <c r="E2321" s="4" t="s">
        <v>20</v>
      </c>
      <c r="F2321" s="47">
        <f t="shared" ref="F2321:I2321" si="953">G2321</f>
        <v>0</v>
      </c>
      <c r="G2321" s="47">
        <f t="shared" si="953"/>
        <v>0</v>
      </c>
      <c r="H2321" s="47">
        <f t="shared" si="953"/>
        <v>0</v>
      </c>
      <c r="I2321" s="47">
        <f t="shared" si="953"/>
        <v>0</v>
      </c>
      <c r="J2321" s="47">
        <f t="shared" si="901"/>
        <v>0</v>
      </c>
      <c r="K2321" s="47">
        <v>0</v>
      </c>
      <c r="L2321" s="47">
        <v>0</v>
      </c>
      <c r="M2321" s="893"/>
      <c r="N2321" s="20"/>
      <c r="O2321" s="20"/>
      <c r="P2321" s="20"/>
      <c r="Q2321" s="20"/>
      <c r="R2321" s="20"/>
    </row>
    <row r="2322" spans="1:18" s="103" customFormat="1" hidden="1" outlineLevel="1" x14ac:dyDescent="0.2">
      <c r="A2322" s="22" t="s">
        <v>1545</v>
      </c>
      <c r="B2322" s="2" t="s">
        <v>252</v>
      </c>
      <c r="C2322" s="2" t="s">
        <v>1278</v>
      </c>
      <c r="D2322" s="716">
        <v>1</v>
      </c>
      <c r="E2322" s="4" t="s">
        <v>21</v>
      </c>
      <c r="F2322" s="47">
        <f t="shared" ref="F2322:I2322" si="954">G2322</f>
        <v>0</v>
      </c>
      <c r="G2322" s="47">
        <f t="shared" si="954"/>
        <v>0</v>
      </c>
      <c r="H2322" s="47">
        <f t="shared" si="954"/>
        <v>0</v>
      </c>
      <c r="I2322" s="47">
        <f t="shared" si="954"/>
        <v>0</v>
      </c>
      <c r="J2322" s="47">
        <f t="shared" si="901"/>
        <v>0</v>
      </c>
      <c r="K2322" s="47">
        <v>0</v>
      </c>
      <c r="L2322" s="47">
        <v>0</v>
      </c>
      <c r="M2322" s="893"/>
      <c r="N2322" s="20"/>
      <c r="O2322" s="20"/>
      <c r="P2322" s="20"/>
      <c r="Q2322" s="20"/>
      <c r="R2322" s="20"/>
    </row>
    <row r="2323" spans="1:18" s="103" customFormat="1" hidden="1" outlineLevel="1" x14ac:dyDescent="0.2">
      <c r="A2323" s="22" t="s">
        <v>1545</v>
      </c>
      <c r="B2323" s="2" t="s">
        <v>252</v>
      </c>
      <c r="C2323" s="2" t="s">
        <v>1278</v>
      </c>
      <c r="D2323" s="716">
        <v>1</v>
      </c>
      <c r="E2323" s="4" t="s">
        <v>1096</v>
      </c>
      <c r="F2323" s="47">
        <f t="shared" ref="F2323:I2323" si="955">G2323</f>
        <v>0</v>
      </c>
      <c r="G2323" s="47">
        <f t="shared" si="955"/>
        <v>0</v>
      </c>
      <c r="H2323" s="47">
        <f t="shared" si="955"/>
        <v>0</v>
      </c>
      <c r="I2323" s="47">
        <f t="shared" si="955"/>
        <v>0</v>
      </c>
      <c r="J2323" s="47">
        <f t="shared" si="901"/>
        <v>0</v>
      </c>
      <c r="K2323" s="47">
        <v>0</v>
      </c>
      <c r="L2323" s="47">
        <v>0</v>
      </c>
      <c r="M2323" s="893"/>
      <c r="N2323" s="20"/>
      <c r="O2323" s="20"/>
      <c r="P2323" s="20"/>
      <c r="Q2323" s="20"/>
      <c r="R2323" s="20"/>
    </row>
    <row r="2324" spans="1:18" s="103" customFormat="1" hidden="1" outlineLevel="1" x14ac:dyDescent="0.2">
      <c r="A2324" s="22" t="s">
        <v>1545</v>
      </c>
      <c r="B2324" s="2" t="s">
        <v>252</v>
      </c>
      <c r="C2324" s="2" t="s">
        <v>1278</v>
      </c>
      <c r="D2324" s="716">
        <v>1</v>
      </c>
      <c r="E2324" s="4" t="s">
        <v>22</v>
      </c>
      <c r="F2324" s="47">
        <f t="shared" ref="F2324:I2324" si="956">G2324</f>
        <v>0</v>
      </c>
      <c r="G2324" s="47">
        <f t="shared" si="956"/>
        <v>0</v>
      </c>
      <c r="H2324" s="47">
        <f t="shared" si="956"/>
        <v>0</v>
      </c>
      <c r="I2324" s="47">
        <f t="shared" si="956"/>
        <v>0</v>
      </c>
      <c r="J2324" s="47">
        <f t="shared" si="901"/>
        <v>0</v>
      </c>
      <c r="K2324" s="47">
        <v>0</v>
      </c>
      <c r="L2324" s="47">
        <v>0</v>
      </c>
      <c r="M2324" s="893"/>
      <c r="N2324" s="20"/>
      <c r="O2324" s="20"/>
      <c r="P2324" s="20"/>
      <c r="Q2324" s="20"/>
      <c r="R2324" s="20"/>
    </row>
    <row r="2325" spans="1:18" s="103" customFormat="1" hidden="1" outlineLevel="1" x14ac:dyDescent="0.2">
      <c r="A2325" s="91" t="s">
        <v>1545</v>
      </c>
      <c r="B2325" s="3" t="s">
        <v>252</v>
      </c>
      <c r="C2325" s="3" t="s">
        <v>1278</v>
      </c>
      <c r="D2325" s="717">
        <v>1</v>
      </c>
      <c r="E2325" s="469" t="s">
        <v>23</v>
      </c>
      <c r="F2325" s="48">
        <f t="shared" ref="F2325:I2325" si="957">G2325</f>
        <v>0</v>
      </c>
      <c r="G2325" s="48">
        <f t="shared" si="957"/>
        <v>0</v>
      </c>
      <c r="H2325" s="48">
        <f t="shared" si="957"/>
        <v>0</v>
      </c>
      <c r="I2325" s="48">
        <f t="shared" si="957"/>
        <v>0</v>
      </c>
      <c r="J2325" s="48">
        <f t="shared" si="901"/>
        <v>0</v>
      </c>
      <c r="K2325" s="363">
        <v>0</v>
      </c>
      <c r="L2325" s="363">
        <v>0</v>
      </c>
      <c r="M2325" s="921"/>
      <c r="N2325" s="20"/>
      <c r="O2325" s="20"/>
      <c r="P2325" s="20"/>
      <c r="Q2325" s="20"/>
      <c r="R2325" s="20"/>
    </row>
    <row r="2326" spans="1:18" hidden="1" outlineLevel="1" x14ac:dyDescent="0.2">
      <c r="A2326" s="92" t="s">
        <v>1545</v>
      </c>
      <c r="B2326" s="81" t="s">
        <v>252</v>
      </c>
      <c r="C2326" s="81" t="s">
        <v>1736</v>
      </c>
      <c r="D2326" s="715">
        <v>1</v>
      </c>
      <c r="E2326" s="468" t="s">
        <v>4</v>
      </c>
      <c r="F2326" s="380">
        <f t="shared" ref="F2326:I2326" si="958">G2326</f>
        <v>0</v>
      </c>
      <c r="G2326" s="89">
        <f t="shared" si="958"/>
        <v>0</v>
      </c>
      <c r="H2326" s="89">
        <f t="shared" si="958"/>
        <v>0</v>
      </c>
      <c r="I2326" s="89">
        <f t="shared" si="958"/>
        <v>0</v>
      </c>
      <c r="J2326" s="89">
        <f t="shared" si="901"/>
        <v>0</v>
      </c>
      <c r="K2326" s="380">
        <v>0</v>
      </c>
      <c r="L2326" s="380">
        <v>0</v>
      </c>
      <c r="M2326" s="892"/>
    </row>
    <row r="2327" spans="1:18" hidden="1" outlineLevel="1" x14ac:dyDescent="0.2">
      <c r="A2327" s="22" t="s">
        <v>1545</v>
      </c>
      <c r="B2327" s="2" t="s">
        <v>252</v>
      </c>
      <c r="C2327" s="2" t="s">
        <v>1736</v>
      </c>
      <c r="D2327" s="716">
        <v>1</v>
      </c>
      <c r="E2327" s="4" t="s">
        <v>5</v>
      </c>
      <c r="F2327" s="47">
        <f t="shared" ref="F2327:I2327" si="959">G2327</f>
        <v>0</v>
      </c>
      <c r="G2327" s="47">
        <f t="shared" si="959"/>
        <v>0</v>
      </c>
      <c r="H2327" s="47">
        <f t="shared" si="959"/>
        <v>0</v>
      </c>
      <c r="I2327" s="47">
        <f t="shared" si="959"/>
        <v>0</v>
      </c>
      <c r="J2327" s="47">
        <f t="shared" si="901"/>
        <v>0</v>
      </c>
      <c r="K2327" s="47">
        <v>0</v>
      </c>
      <c r="L2327" s="47">
        <v>0</v>
      </c>
      <c r="M2327" s="893"/>
    </row>
    <row r="2328" spans="1:18" hidden="1" outlineLevel="1" x14ac:dyDescent="0.2">
      <c r="A2328" s="22" t="s">
        <v>1545</v>
      </c>
      <c r="B2328" s="2" t="s">
        <v>252</v>
      </c>
      <c r="C2328" s="2" t="s">
        <v>1736</v>
      </c>
      <c r="D2328" s="716">
        <v>1</v>
      </c>
      <c r="E2328" s="4" t="s">
        <v>6</v>
      </c>
      <c r="F2328" s="47">
        <f t="shared" ref="F2328:I2328" si="960">G2328</f>
        <v>0</v>
      </c>
      <c r="G2328" s="47">
        <f t="shared" si="960"/>
        <v>0</v>
      </c>
      <c r="H2328" s="47">
        <f t="shared" si="960"/>
        <v>0</v>
      </c>
      <c r="I2328" s="47">
        <f t="shared" si="960"/>
        <v>0</v>
      </c>
      <c r="J2328" s="47">
        <f t="shared" si="901"/>
        <v>0</v>
      </c>
      <c r="K2328" s="47">
        <v>0</v>
      </c>
      <c r="L2328" s="47">
        <v>0</v>
      </c>
      <c r="M2328" s="893"/>
    </row>
    <row r="2329" spans="1:18" hidden="1" outlineLevel="1" x14ac:dyDescent="0.2">
      <c r="A2329" s="22" t="s">
        <v>1545</v>
      </c>
      <c r="B2329" s="2" t="s">
        <v>252</v>
      </c>
      <c r="C2329" s="2" t="s">
        <v>1736</v>
      </c>
      <c r="D2329" s="716">
        <v>1</v>
      </c>
      <c r="E2329" s="4" t="s">
        <v>143</v>
      </c>
      <c r="F2329" s="47">
        <f t="shared" ref="F2329:I2329" si="961">G2329</f>
        <v>0</v>
      </c>
      <c r="G2329" s="47">
        <f t="shared" si="961"/>
        <v>0</v>
      </c>
      <c r="H2329" s="47">
        <f t="shared" si="961"/>
        <v>0</v>
      </c>
      <c r="I2329" s="47">
        <f t="shared" si="961"/>
        <v>0</v>
      </c>
      <c r="J2329" s="47">
        <f t="shared" si="901"/>
        <v>0</v>
      </c>
      <c r="K2329" s="47">
        <v>0</v>
      </c>
      <c r="L2329" s="47">
        <v>0</v>
      </c>
      <c r="M2329" s="893"/>
    </row>
    <row r="2330" spans="1:18" hidden="1" outlineLevel="1" x14ac:dyDescent="0.2">
      <c r="A2330" s="22" t="s">
        <v>1545</v>
      </c>
      <c r="B2330" s="2" t="s">
        <v>252</v>
      </c>
      <c r="C2330" s="2" t="s">
        <v>1736</v>
      </c>
      <c r="D2330" s="716">
        <v>1</v>
      </c>
      <c r="E2330" s="4" t="s">
        <v>7</v>
      </c>
      <c r="F2330" s="47">
        <f t="shared" ref="F2330:I2330" si="962">G2330</f>
        <v>0</v>
      </c>
      <c r="G2330" s="47">
        <f t="shared" si="962"/>
        <v>0</v>
      </c>
      <c r="H2330" s="47">
        <f t="shared" si="962"/>
        <v>0</v>
      </c>
      <c r="I2330" s="47">
        <f t="shared" si="962"/>
        <v>0</v>
      </c>
      <c r="J2330" s="47">
        <f t="shared" si="901"/>
        <v>0</v>
      </c>
      <c r="K2330" s="47">
        <v>0</v>
      </c>
      <c r="L2330" s="47">
        <v>0</v>
      </c>
      <c r="M2330" s="893"/>
    </row>
    <row r="2331" spans="1:18" hidden="1" outlineLevel="1" x14ac:dyDescent="0.2">
      <c r="A2331" s="22" t="s">
        <v>1545</v>
      </c>
      <c r="B2331" s="2" t="s">
        <v>252</v>
      </c>
      <c r="C2331" s="2" t="s">
        <v>1736</v>
      </c>
      <c r="D2331" s="716">
        <v>1</v>
      </c>
      <c r="E2331" s="4" t="s">
        <v>31</v>
      </c>
      <c r="F2331" s="47">
        <f t="shared" ref="F2331:I2331" si="963">G2331</f>
        <v>1</v>
      </c>
      <c r="G2331" s="47">
        <f t="shared" si="963"/>
        <v>1</v>
      </c>
      <c r="H2331" s="47">
        <f t="shared" si="963"/>
        <v>1</v>
      </c>
      <c r="I2331" s="47">
        <f t="shared" si="963"/>
        <v>1</v>
      </c>
      <c r="J2331" s="47">
        <f t="shared" si="901"/>
        <v>1</v>
      </c>
      <c r="K2331" s="47">
        <v>1</v>
      </c>
      <c r="L2331" s="47">
        <v>1</v>
      </c>
      <c r="M2331" s="893"/>
    </row>
    <row r="2332" spans="1:18" hidden="1" outlineLevel="1" x14ac:dyDescent="0.2">
      <c r="A2332" s="22" t="s">
        <v>1545</v>
      </c>
      <c r="B2332" s="2" t="s">
        <v>252</v>
      </c>
      <c r="C2332" s="2" t="s">
        <v>1736</v>
      </c>
      <c r="D2332" s="716">
        <v>1</v>
      </c>
      <c r="E2332" s="4" t="s">
        <v>8</v>
      </c>
      <c r="F2332" s="47">
        <f t="shared" ref="F2332:I2332" si="964">G2332</f>
        <v>1</v>
      </c>
      <c r="G2332" s="47">
        <f t="shared" si="964"/>
        <v>1</v>
      </c>
      <c r="H2332" s="47">
        <f t="shared" si="964"/>
        <v>1</v>
      </c>
      <c r="I2332" s="47">
        <f t="shared" si="964"/>
        <v>1</v>
      </c>
      <c r="J2332" s="47">
        <f t="shared" si="901"/>
        <v>1</v>
      </c>
      <c r="K2332" s="47">
        <v>1</v>
      </c>
      <c r="L2332" s="47">
        <v>1</v>
      </c>
      <c r="M2332" s="893"/>
    </row>
    <row r="2333" spans="1:18" hidden="1" outlineLevel="1" x14ac:dyDescent="0.2">
      <c r="A2333" s="22" t="s">
        <v>1545</v>
      </c>
      <c r="B2333" s="2" t="s">
        <v>252</v>
      </c>
      <c r="C2333" s="2" t="s">
        <v>1736</v>
      </c>
      <c r="D2333" s="716">
        <v>1</v>
      </c>
      <c r="E2333" s="4" t="s">
        <v>9</v>
      </c>
      <c r="F2333" s="47">
        <f t="shared" ref="F2333:I2333" si="965">G2333</f>
        <v>0</v>
      </c>
      <c r="G2333" s="47">
        <f t="shared" si="965"/>
        <v>0</v>
      </c>
      <c r="H2333" s="47">
        <f t="shared" si="965"/>
        <v>0</v>
      </c>
      <c r="I2333" s="47">
        <f t="shared" si="965"/>
        <v>0</v>
      </c>
      <c r="J2333" s="47">
        <f t="shared" ref="J2333:J2396" si="966">K2333</f>
        <v>0</v>
      </c>
      <c r="K2333" s="47">
        <v>0</v>
      </c>
      <c r="L2333" s="47">
        <v>0</v>
      </c>
      <c r="M2333" s="893"/>
    </row>
    <row r="2334" spans="1:18" hidden="1" outlineLevel="1" x14ac:dyDescent="0.2">
      <c r="A2334" s="22" t="s">
        <v>1545</v>
      </c>
      <c r="B2334" s="2" t="s">
        <v>252</v>
      </c>
      <c r="C2334" s="2" t="s">
        <v>1736</v>
      </c>
      <c r="D2334" s="716">
        <v>1</v>
      </c>
      <c r="E2334" s="4" t="s">
        <v>10</v>
      </c>
      <c r="F2334" s="47">
        <f t="shared" ref="F2334:I2334" si="967">G2334</f>
        <v>1</v>
      </c>
      <c r="G2334" s="47">
        <f t="shared" si="967"/>
        <v>1</v>
      </c>
      <c r="H2334" s="47">
        <f t="shared" si="967"/>
        <v>1</v>
      </c>
      <c r="I2334" s="47">
        <f t="shared" si="967"/>
        <v>1</v>
      </c>
      <c r="J2334" s="47">
        <f t="shared" si="966"/>
        <v>1</v>
      </c>
      <c r="K2334" s="47">
        <v>1</v>
      </c>
      <c r="L2334" s="47">
        <v>1</v>
      </c>
      <c r="M2334" s="893"/>
    </row>
    <row r="2335" spans="1:18" hidden="1" outlineLevel="1" x14ac:dyDescent="0.2">
      <c r="A2335" s="22" t="s">
        <v>1545</v>
      </c>
      <c r="B2335" s="2" t="s">
        <v>252</v>
      </c>
      <c r="C2335" s="2" t="s">
        <v>1736</v>
      </c>
      <c r="D2335" s="716">
        <v>1</v>
      </c>
      <c r="E2335" s="4" t="s">
        <v>11</v>
      </c>
      <c r="F2335" s="47">
        <f t="shared" ref="F2335:I2335" si="968">G2335</f>
        <v>0</v>
      </c>
      <c r="G2335" s="47">
        <f t="shared" si="968"/>
        <v>0</v>
      </c>
      <c r="H2335" s="47">
        <f t="shared" si="968"/>
        <v>0</v>
      </c>
      <c r="I2335" s="47">
        <f t="shared" si="968"/>
        <v>0</v>
      </c>
      <c r="J2335" s="47">
        <f t="shared" si="966"/>
        <v>0</v>
      </c>
      <c r="K2335" s="47">
        <v>0</v>
      </c>
      <c r="L2335" s="47">
        <v>0</v>
      </c>
      <c r="M2335" s="893"/>
    </row>
    <row r="2336" spans="1:18" hidden="1" outlineLevel="1" x14ac:dyDescent="0.2">
      <c r="A2336" s="22" t="s">
        <v>1545</v>
      </c>
      <c r="B2336" s="2" t="s">
        <v>252</v>
      </c>
      <c r="C2336" s="2" t="s">
        <v>1736</v>
      </c>
      <c r="D2336" s="716">
        <v>1</v>
      </c>
      <c r="E2336" s="4" t="s">
        <v>12</v>
      </c>
      <c r="F2336" s="47">
        <f t="shared" ref="F2336:I2336" si="969">G2336</f>
        <v>0</v>
      </c>
      <c r="G2336" s="47">
        <f t="shared" si="969"/>
        <v>0</v>
      </c>
      <c r="H2336" s="47">
        <f t="shared" si="969"/>
        <v>0</v>
      </c>
      <c r="I2336" s="47">
        <f t="shared" si="969"/>
        <v>0</v>
      </c>
      <c r="J2336" s="47">
        <f t="shared" si="966"/>
        <v>0</v>
      </c>
      <c r="K2336" s="47">
        <v>0</v>
      </c>
      <c r="L2336" s="47">
        <v>0</v>
      </c>
      <c r="M2336" s="893"/>
    </row>
    <row r="2337" spans="1:18" hidden="1" outlineLevel="1" x14ac:dyDescent="0.2">
      <c r="A2337" s="22" t="s">
        <v>1545</v>
      </c>
      <c r="B2337" s="2" t="s">
        <v>252</v>
      </c>
      <c r="C2337" s="2" t="s">
        <v>1736</v>
      </c>
      <c r="D2337" s="716">
        <v>1</v>
      </c>
      <c r="E2337" s="4" t="s">
        <v>1</v>
      </c>
      <c r="F2337" s="47">
        <f t="shared" ref="F2337:I2337" si="970">G2337</f>
        <v>0</v>
      </c>
      <c r="G2337" s="47">
        <f t="shared" si="970"/>
        <v>0</v>
      </c>
      <c r="H2337" s="47">
        <f t="shared" si="970"/>
        <v>0</v>
      </c>
      <c r="I2337" s="47">
        <f t="shared" si="970"/>
        <v>0</v>
      </c>
      <c r="J2337" s="47">
        <f t="shared" si="966"/>
        <v>0</v>
      </c>
      <c r="K2337" s="47">
        <v>0</v>
      </c>
      <c r="L2337" s="47">
        <v>0</v>
      </c>
      <c r="M2337" s="893"/>
    </row>
    <row r="2338" spans="1:18" hidden="1" outlineLevel="1" x14ac:dyDescent="0.2">
      <c r="A2338" s="22" t="s">
        <v>1545</v>
      </c>
      <c r="B2338" s="2" t="s">
        <v>252</v>
      </c>
      <c r="C2338" s="2" t="s">
        <v>1736</v>
      </c>
      <c r="D2338" s="716">
        <v>1</v>
      </c>
      <c r="E2338" s="4" t="s">
        <v>13</v>
      </c>
      <c r="F2338" s="47">
        <f t="shared" ref="F2338:I2338" si="971">G2338</f>
        <v>1</v>
      </c>
      <c r="G2338" s="47">
        <f t="shared" si="971"/>
        <v>1</v>
      </c>
      <c r="H2338" s="47">
        <f t="shared" si="971"/>
        <v>1</v>
      </c>
      <c r="I2338" s="47">
        <f t="shared" si="971"/>
        <v>1</v>
      </c>
      <c r="J2338" s="47">
        <f t="shared" si="966"/>
        <v>1</v>
      </c>
      <c r="K2338" s="47">
        <v>1</v>
      </c>
      <c r="L2338" s="47">
        <v>1</v>
      </c>
      <c r="M2338" s="893"/>
    </row>
    <row r="2339" spans="1:18" hidden="1" outlineLevel="1" x14ac:dyDescent="0.2">
      <c r="A2339" s="22" t="s">
        <v>1545</v>
      </c>
      <c r="B2339" s="2" t="s">
        <v>252</v>
      </c>
      <c r="C2339" s="2" t="s">
        <v>1736</v>
      </c>
      <c r="D2339" s="716">
        <v>1</v>
      </c>
      <c r="E2339" s="4" t="s">
        <v>14</v>
      </c>
      <c r="F2339" s="47">
        <f t="shared" ref="F2339:I2339" si="972">G2339</f>
        <v>0</v>
      </c>
      <c r="G2339" s="47">
        <f t="shared" si="972"/>
        <v>0</v>
      </c>
      <c r="H2339" s="47">
        <f t="shared" si="972"/>
        <v>0</v>
      </c>
      <c r="I2339" s="47">
        <f t="shared" si="972"/>
        <v>0</v>
      </c>
      <c r="J2339" s="47">
        <f t="shared" si="966"/>
        <v>0</v>
      </c>
      <c r="K2339" s="47">
        <v>0</v>
      </c>
      <c r="L2339" s="47">
        <v>0</v>
      </c>
      <c r="M2339" s="893"/>
    </row>
    <row r="2340" spans="1:18" hidden="1" outlineLevel="1" x14ac:dyDescent="0.2">
      <c r="A2340" s="22" t="s">
        <v>1545</v>
      </c>
      <c r="B2340" s="2" t="s">
        <v>252</v>
      </c>
      <c r="C2340" s="2" t="s">
        <v>1736</v>
      </c>
      <c r="D2340" s="716">
        <v>1</v>
      </c>
      <c r="E2340" s="4" t="s">
        <v>15</v>
      </c>
      <c r="F2340" s="47">
        <f t="shared" ref="F2340:I2340" si="973">G2340</f>
        <v>0</v>
      </c>
      <c r="G2340" s="47">
        <f t="shared" si="973"/>
        <v>0</v>
      </c>
      <c r="H2340" s="47">
        <f t="shared" si="973"/>
        <v>0</v>
      </c>
      <c r="I2340" s="47">
        <f t="shared" si="973"/>
        <v>0</v>
      </c>
      <c r="J2340" s="47">
        <f t="shared" si="966"/>
        <v>0</v>
      </c>
      <c r="K2340" s="47">
        <v>0</v>
      </c>
      <c r="L2340" s="47">
        <v>0</v>
      </c>
      <c r="M2340" s="893"/>
    </row>
    <row r="2341" spans="1:18" hidden="1" outlineLevel="1" x14ac:dyDescent="0.2">
      <c r="A2341" s="22" t="s">
        <v>1545</v>
      </c>
      <c r="B2341" s="2" t="s">
        <v>252</v>
      </c>
      <c r="C2341" s="2" t="s">
        <v>1736</v>
      </c>
      <c r="D2341" s="716">
        <v>1</v>
      </c>
      <c r="E2341" s="4" t="s">
        <v>16</v>
      </c>
      <c r="F2341" s="47">
        <f t="shared" ref="F2341:I2341" si="974">G2341</f>
        <v>0</v>
      </c>
      <c r="G2341" s="47">
        <f t="shared" si="974"/>
        <v>0</v>
      </c>
      <c r="H2341" s="47">
        <f t="shared" si="974"/>
        <v>0</v>
      </c>
      <c r="I2341" s="47">
        <f t="shared" si="974"/>
        <v>0</v>
      </c>
      <c r="J2341" s="47">
        <f t="shared" si="966"/>
        <v>0</v>
      </c>
      <c r="K2341" s="47">
        <v>0</v>
      </c>
      <c r="L2341" s="47">
        <v>0</v>
      </c>
      <c r="M2341" s="893"/>
    </row>
    <row r="2342" spans="1:18" hidden="1" outlineLevel="1" x14ac:dyDescent="0.2">
      <c r="A2342" s="22" t="s">
        <v>1545</v>
      </c>
      <c r="B2342" s="2" t="s">
        <v>252</v>
      </c>
      <c r="C2342" s="2" t="s">
        <v>1736</v>
      </c>
      <c r="D2342" s="716">
        <v>1</v>
      </c>
      <c r="E2342" s="4" t="s">
        <v>17</v>
      </c>
      <c r="F2342" s="47">
        <f t="shared" ref="F2342:I2342" si="975">G2342</f>
        <v>0</v>
      </c>
      <c r="G2342" s="47">
        <f t="shared" si="975"/>
        <v>0</v>
      </c>
      <c r="H2342" s="47">
        <f t="shared" si="975"/>
        <v>0</v>
      </c>
      <c r="I2342" s="47">
        <f t="shared" si="975"/>
        <v>0</v>
      </c>
      <c r="J2342" s="47">
        <f t="shared" si="966"/>
        <v>0</v>
      </c>
      <c r="K2342" s="47">
        <v>0</v>
      </c>
      <c r="L2342" s="47">
        <v>0</v>
      </c>
      <c r="M2342" s="893"/>
    </row>
    <row r="2343" spans="1:18" hidden="1" outlineLevel="1" x14ac:dyDescent="0.2">
      <c r="A2343" s="22" t="s">
        <v>1545</v>
      </c>
      <c r="B2343" s="2" t="s">
        <v>252</v>
      </c>
      <c r="C2343" s="2" t="s">
        <v>1736</v>
      </c>
      <c r="D2343" s="716">
        <v>1</v>
      </c>
      <c r="E2343" s="4" t="s">
        <v>18</v>
      </c>
      <c r="F2343" s="47">
        <f t="shared" ref="F2343:I2343" si="976">G2343</f>
        <v>0</v>
      </c>
      <c r="G2343" s="47">
        <f t="shared" si="976"/>
        <v>0</v>
      </c>
      <c r="H2343" s="47">
        <f t="shared" si="976"/>
        <v>0</v>
      </c>
      <c r="I2343" s="47">
        <f t="shared" si="976"/>
        <v>0</v>
      </c>
      <c r="J2343" s="47">
        <f t="shared" si="966"/>
        <v>0</v>
      </c>
      <c r="K2343" s="47">
        <v>0</v>
      </c>
      <c r="L2343" s="47">
        <v>0</v>
      </c>
      <c r="M2343" s="893"/>
    </row>
    <row r="2344" spans="1:18" hidden="1" outlineLevel="1" x14ac:dyDescent="0.2">
      <c r="A2344" s="22" t="s">
        <v>1545</v>
      </c>
      <c r="B2344" s="2" t="s">
        <v>252</v>
      </c>
      <c r="C2344" s="2" t="s">
        <v>1736</v>
      </c>
      <c r="D2344" s="716">
        <v>1</v>
      </c>
      <c r="E2344" s="4" t="s">
        <v>2</v>
      </c>
      <c r="F2344" s="47">
        <f t="shared" ref="F2344:I2344" si="977">G2344</f>
        <v>0</v>
      </c>
      <c r="G2344" s="47">
        <f t="shared" si="977"/>
        <v>0</v>
      </c>
      <c r="H2344" s="47">
        <f t="shared" si="977"/>
        <v>0</v>
      </c>
      <c r="I2344" s="47">
        <f t="shared" si="977"/>
        <v>0</v>
      </c>
      <c r="J2344" s="47">
        <f t="shared" si="966"/>
        <v>0</v>
      </c>
      <c r="K2344" s="47">
        <v>0</v>
      </c>
      <c r="L2344" s="47">
        <v>0</v>
      </c>
      <c r="M2344" s="893"/>
    </row>
    <row r="2345" spans="1:18" hidden="1" outlineLevel="1" x14ac:dyDescent="0.2">
      <c r="A2345" s="22" t="s">
        <v>1545</v>
      </c>
      <c r="B2345" s="2" t="s">
        <v>252</v>
      </c>
      <c r="C2345" s="2" t="s">
        <v>1736</v>
      </c>
      <c r="D2345" s="716">
        <v>1</v>
      </c>
      <c r="E2345" s="4" t="s">
        <v>19</v>
      </c>
      <c r="F2345" s="47">
        <f t="shared" ref="F2345:I2345" si="978">G2345</f>
        <v>0</v>
      </c>
      <c r="G2345" s="47">
        <f t="shared" si="978"/>
        <v>0</v>
      </c>
      <c r="H2345" s="47">
        <f t="shared" si="978"/>
        <v>0</v>
      </c>
      <c r="I2345" s="47">
        <f t="shared" si="978"/>
        <v>0</v>
      </c>
      <c r="J2345" s="47">
        <f t="shared" si="966"/>
        <v>0</v>
      </c>
      <c r="K2345" s="47">
        <v>0</v>
      </c>
      <c r="L2345" s="47">
        <v>0</v>
      </c>
      <c r="M2345" s="893"/>
    </row>
    <row r="2346" spans="1:18" hidden="1" outlineLevel="1" x14ac:dyDescent="0.2">
      <c r="A2346" s="22" t="s">
        <v>1545</v>
      </c>
      <c r="B2346" s="2" t="s">
        <v>252</v>
      </c>
      <c r="C2346" s="2" t="s">
        <v>1736</v>
      </c>
      <c r="D2346" s="716">
        <v>1</v>
      </c>
      <c r="E2346" s="4" t="s">
        <v>3</v>
      </c>
      <c r="F2346" s="47">
        <f t="shared" ref="F2346:I2346" si="979">G2346</f>
        <v>0</v>
      </c>
      <c r="G2346" s="47">
        <f t="shared" si="979"/>
        <v>0</v>
      </c>
      <c r="H2346" s="47">
        <f t="shared" si="979"/>
        <v>0</v>
      </c>
      <c r="I2346" s="47">
        <f t="shared" si="979"/>
        <v>0</v>
      </c>
      <c r="J2346" s="47">
        <f t="shared" si="966"/>
        <v>0</v>
      </c>
      <c r="K2346" s="47">
        <v>0</v>
      </c>
      <c r="L2346" s="47">
        <v>0</v>
      </c>
      <c r="M2346" s="893"/>
    </row>
    <row r="2347" spans="1:18" hidden="1" outlineLevel="1" x14ac:dyDescent="0.2">
      <c r="A2347" s="22" t="s">
        <v>1545</v>
      </c>
      <c r="B2347" s="2" t="s">
        <v>252</v>
      </c>
      <c r="C2347" s="2" t="s">
        <v>1736</v>
      </c>
      <c r="D2347" s="716">
        <v>1</v>
      </c>
      <c r="E2347" s="4" t="s">
        <v>20</v>
      </c>
      <c r="F2347" s="47">
        <f t="shared" ref="F2347:I2347" si="980">G2347</f>
        <v>1</v>
      </c>
      <c r="G2347" s="47">
        <f t="shared" si="980"/>
        <v>1</v>
      </c>
      <c r="H2347" s="47">
        <f t="shared" si="980"/>
        <v>1</v>
      </c>
      <c r="I2347" s="47">
        <f t="shared" si="980"/>
        <v>1</v>
      </c>
      <c r="J2347" s="47">
        <f t="shared" si="966"/>
        <v>1</v>
      </c>
      <c r="K2347" s="47">
        <v>1</v>
      </c>
      <c r="L2347" s="47">
        <v>1</v>
      </c>
      <c r="M2347" s="893"/>
    </row>
    <row r="2348" spans="1:18" hidden="1" outlineLevel="1" x14ac:dyDescent="0.2">
      <c r="A2348" s="22" t="s">
        <v>1545</v>
      </c>
      <c r="B2348" s="2" t="s">
        <v>252</v>
      </c>
      <c r="C2348" s="2" t="s">
        <v>1736</v>
      </c>
      <c r="D2348" s="716">
        <v>1</v>
      </c>
      <c r="E2348" s="4" t="s">
        <v>21</v>
      </c>
      <c r="F2348" s="47">
        <f t="shared" ref="F2348:I2348" si="981">G2348</f>
        <v>0</v>
      </c>
      <c r="G2348" s="47">
        <f t="shared" si="981"/>
        <v>0</v>
      </c>
      <c r="H2348" s="47">
        <f t="shared" si="981"/>
        <v>0</v>
      </c>
      <c r="I2348" s="47">
        <f t="shared" si="981"/>
        <v>0</v>
      </c>
      <c r="J2348" s="47">
        <f t="shared" si="966"/>
        <v>0</v>
      </c>
      <c r="K2348" s="47">
        <v>0</v>
      </c>
      <c r="L2348" s="47">
        <v>0</v>
      </c>
      <c r="M2348" s="893"/>
    </row>
    <row r="2349" spans="1:18" hidden="1" outlineLevel="1" x14ac:dyDescent="0.2">
      <c r="A2349" s="22" t="s">
        <v>1545</v>
      </c>
      <c r="B2349" s="2" t="s">
        <v>252</v>
      </c>
      <c r="C2349" s="2" t="s">
        <v>1736</v>
      </c>
      <c r="D2349" s="716">
        <v>1</v>
      </c>
      <c r="E2349" s="4" t="s">
        <v>1096</v>
      </c>
      <c r="F2349" s="47">
        <f t="shared" ref="F2349:I2349" si="982">G2349</f>
        <v>0</v>
      </c>
      <c r="G2349" s="47">
        <f t="shared" si="982"/>
        <v>0</v>
      </c>
      <c r="H2349" s="47">
        <f t="shared" si="982"/>
        <v>0</v>
      </c>
      <c r="I2349" s="47">
        <f t="shared" si="982"/>
        <v>0</v>
      </c>
      <c r="J2349" s="47">
        <f t="shared" si="966"/>
        <v>0</v>
      </c>
      <c r="K2349" s="47">
        <v>0</v>
      </c>
      <c r="L2349" s="47">
        <v>0</v>
      </c>
      <c r="M2349" s="893"/>
    </row>
    <row r="2350" spans="1:18" hidden="1" outlineLevel="1" x14ac:dyDescent="0.2">
      <c r="A2350" s="22" t="s">
        <v>1545</v>
      </c>
      <c r="B2350" s="2" t="s">
        <v>252</v>
      </c>
      <c r="C2350" s="2" t="s">
        <v>1736</v>
      </c>
      <c r="D2350" s="716">
        <v>1</v>
      </c>
      <c r="E2350" s="4" t="s">
        <v>22</v>
      </c>
      <c r="F2350" s="47">
        <f t="shared" ref="F2350:I2350" si="983">G2350</f>
        <v>0</v>
      </c>
      <c r="G2350" s="47">
        <f t="shared" si="983"/>
        <v>0</v>
      </c>
      <c r="H2350" s="47">
        <f t="shared" si="983"/>
        <v>0</v>
      </c>
      <c r="I2350" s="47">
        <f t="shared" si="983"/>
        <v>0</v>
      </c>
      <c r="J2350" s="47">
        <f t="shared" si="966"/>
        <v>0</v>
      </c>
      <c r="K2350" s="47">
        <v>0</v>
      </c>
      <c r="L2350" s="47">
        <v>0</v>
      </c>
      <c r="M2350" s="893"/>
    </row>
    <row r="2351" spans="1:18" hidden="1" outlineLevel="1" x14ac:dyDescent="0.2">
      <c r="A2351" s="22" t="s">
        <v>1545</v>
      </c>
      <c r="B2351" s="2" t="s">
        <v>252</v>
      </c>
      <c r="C2351" s="3" t="s">
        <v>1736</v>
      </c>
      <c r="D2351" s="717">
        <v>1</v>
      </c>
      <c r="E2351" s="4" t="s">
        <v>23</v>
      </c>
      <c r="F2351" s="48">
        <f t="shared" ref="F2351:I2351" si="984">G2351</f>
        <v>0</v>
      </c>
      <c r="G2351" s="48">
        <f t="shared" si="984"/>
        <v>0</v>
      </c>
      <c r="H2351" s="48">
        <f t="shared" si="984"/>
        <v>0</v>
      </c>
      <c r="I2351" s="48">
        <f t="shared" si="984"/>
        <v>0</v>
      </c>
      <c r="J2351" s="48">
        <f t="shared" si="966"/>
        <v>0</v>
      </c>
      <c r="K2351" s="363">
        <v>0</v>
      </c>
      <c r="L2351" s="363">
        <v>0</v>
      </c>
      <c r="M2351" s="920"/>
    </row>
    <row r="2352" spans="1:18" s="103" customFormat="1" hidden="1" outlineLevel="1" x14ac:dyDescent="0.2">
      <c r="A2352" s="92" t="s">
        <v>1545</v>
      </c>
      <c r="B2352" s="81" t="s">
        <v>252</v>
      </c>
      <c r="C2352" s="81" t="s">
        <v>1279</v>
      </c>
      <c r="D2352" s="715">
        <v>1</v>
      </c>
      <c r="E2352" s="468" t="s">
        <v>4</v>
      </c>
      <c r="F2352" s="380">
        <f t="shared" ref="F2352:I2352" si="985">G2352</f>
        <v>0</v>
      </c>
      <c r="G2352" s="89">
        <f t="shared" si="985"/>
        <v>0</v>
      </c>
      <c r="H2352" s="89">
        <f t="shared" si="985"/>
        <v>0</v>
      </c>
      <c r="I2352" s="89">
        <f t="shared" si="985"/>
        <v>0</v>
      </c>
      <c r="J2352" s="89">
        <f t="shared" si="966"/>
        <v>0</v>
      </c>
      <c r="K2352" s="380">
        <v>0</v>
      </c>
      <c r="L2352" s="380">
        <v>1</v>
      </c>
      <c r="M2352" s="896"/>
      <c r="N2352" s="20"/>
      <c r="O2352" s="20"/>
      <c r="P2352" s="20"/>
      <c r="Q2352" s="20"/>
      <c r="R2352" s="20"/>
    </row>
    <row r="2353" spans="1:18" s="103" customFormat="1" hidden="1" outlineLevel="1" x14ac:dyDescent="0.2">
      <c r="A2353" s="22" t="s">
        <v>1545</v>
      </c>
      <c r="B2353" s="2" t="s">
        <v>252</v>
      </c>
      <c r="C2353" s="2" t="s">
        <v>1279</v>
      </c>
      <c r="D2353" s="716">
        <v>1</v>
      </c>
      <c r="E2353" s="4" t="s">
        <v>5</v>
      </c>
      <c r="F2353" s="47">
        <f t="shared" ref="F2353:I2353" si="986">G2353</f>
        <v>0</v>
      </c>
      <c r="G2353" s="47">
        <f t="shared" si="986"/>
        <v>0</v>
      </c>
      <c r="H2353" s="47">
        <f t="shared" si="986"/>
        <v>0</v>
      </c>
      <c r="I2353" s="47">
        <f t="shared" si="986"/>
        <v>0</v>
      </c>
      <c r="J2353" s="47">
        <f t="shared" si="966"/>
        <v>0</v>
      </c>
      <c r="K2353" s="47">
        <v>0</v>
      </c>
      <c r="L2353" s="47">
        <v>0</v>
      </c>
      <c r="M2353" s="893"/>
      <c r="N2353" s="20"/>
      <c r="O2353" s="20"/>
      <c r="P2353" s="20"/>
      <c r="Q2353" s="20"/>
      <c r="R2353" s="20"/>
    </row>
    <row r="2354" spans="1:18" s="103" customFormat="1" hidden="1" outlineLevel="1" x14ac:dyDescent="0.2">
      <c r="A2354" s="22" t="s">
        <v>1545</v>
      </c>
      <c r="B2354" s="2" t="s">
        <v>252</v>
      </c>
      <c r="C2354" s="2" t="s">
        <v>1279</v>
      </c>
      <c r="D2354" s="716">
        <v>1</v>
      </c>
      <c r="E2354" s="4" t="s">
        <v>6</v>
      </c>
      <c r="F2354" s="47">
        <f t="shared" ref="F2354:I2354" si="987">G2354</f>
        <v>0</v>
      </c>
      <c r="G2354" s="47">
        <f t="shared" si="987"/>
        <v>0</v>
      </c>
      <c r="H2354" s="47">
        <f t="shared" si="987"/>
        <v>0</v>
      </c>
      <c r="I2354" s="47">
        <f t="shared" si="987"/>
        <v>0</v>
      </c>
      <c r="J2354" s="47">
        <f t="shared" si="966"/>
        <v>0</v>
      </c>
      <c r="K2354" s="47">
        <v>0</v>
      </c>
      <c r="L2354" s="47">
        <v>0</v>
      </c>
      <c r="M2354" s="893"/>
      <c r="N2354" s="20"/>
      <c r="O2354" s="20"/>
      <c r="P2354" s="20"/>
      <c r="Q2354" s="20"/>
      <c r="R2354" s="20"/>
    </row>
    <row r="2355" spans="1:18" s="103" customFormat="1" hidden="1" outlineLevel="1" x14ac:dyDescent="0.2">
      <c r="A2355" s="22" t="s">
        <v>1545</v>
      </c>
      <c r="B2355" s="2" t="s">
        <v>252</v>
      </c>
      <c r="C2355" s="2" t="s">
        <v>1279</v>
      </c>
      <c r="D2355" s="716">
        <v>1</v>
      </c>
      <c r="E2355" s="4" t="s">
        <v>143</v>
      </c>
      <c r="F2355" s="47">
        <f t="shared" ref="F2355:I2355" si="988">G2355</f>
        <v>0</v>
      </c>
      <c r="G2355" s="47">
        <f t="shared" si="988"/>
        <v>0</v>
      </c>
      <c r="H2355" s="47">
        <f t="shared" si="988"/>
        <v>0</v>
      </c>
      <c r="I2355" s="47">
        <f t="shared" si="988"/>
        <v>0</v>
      </c>
      <c r="J2355" s="47">
        <f t="shared" si="966"/>
        <v>0</v>
      </c>
      <c r="K2355" s="47">
        <v>0</v>
      </c>
      <c r="L2355" s="47">
        <v>0</v>
      </c>
      <c r="M2355" s="893"/>
      <c r="N2355" s="20"/>
      <c r="O2355" s="20"/>
      <c r="P2355" s="20"/>
      <c r="Q2355" s="20"/>
      <c r="R2355" s="20"/>
    </row>
    <row r="2356" spans="1:18" s="103" customFormat="1" hidden="1" outlineLevel="1" x14ac:dyDescent="0.2">
      <c r="A2356" s="22" t="s">
        <v>1545</v>
      </c>
      <c r="B2356" s="2" t="s">
        <v>252</v>
      </c>
      <c r="C2356" s="2" t="s">
        <v>1279</v>
      </c>
      <c r="D2356" s="716">
        <v>1</v>
      </c>
      <c r="E2356" s="4" t="s">
        <v>7</v>
      </c>
      <c r="F2356" s="47">
        <f t="shared" ref="F2356:I2356" si="989">G2356</f>
        <v>0</v>
      </c>
      <c r="G2356" s="47">
        <f t="shared" si="989"/>
        <v>0</v>
      </c>
      <c r="H2356" s="47">
        <f t="shared" si="989"/>
        <v>0</v>
      </c>
      <c r="I2356" s="47">
        <f t="shared" si="989"/>
        <v>0</v>
      </c>
      <c r="J2356" s="47">
        <f t="shared" si="966"/>
        <v>0</v>
      </c>
      <c r="K2356" s="47">
        <v>0</v>
      </c>
      <c r="L2356" s="47">
        <v>0</v>
      </c>
      <c r="M2356" s="893"/>
      <c r="N2356" s="20"/>
      <c r="O2356" s="20"/>
      <c r="P2356" s="20"/>
      <c r="Q2356" s="20"/>
      <c r="R2356" s="20"/>
    </row>
    <row r="2357" spans="1:18" s="103" customFormat="1" hidden="1" outlineLevel="1" x14ac:dyDescent="0.2">
      <c r="A2357" s="22" t="s">
        <v>1545</v>
      </c>
      <c r="B2357" s="2" t="s">
        <v>252</v>
      </c>
      <c r="C2357" s="2" t="s">
        <v>1279</v>
      </c>
      <c r="D2357" s="716">
        <v>1</v>
      </c>
      <c r="E2357" s="4" t="s">
        <v>31</v>
      </c>
      <c r="F2357" s="47">
        <f t="shared" ref="F2357:I2357" si="990">G2357</f>
        <v>1</v>
      </c>
      <c r="G2357" s="47">
        <f t="shared" si="990"/>
        <v>1</v>
      </c>
      <c r="H2357" s="47">
        <f t="shared" si="990"/>
        <v>1</v>
      </c>
      <c r="I2357" s="47">
        <f t="shared" si="990"/>
        <v>1</v>
      </c>
      <c r="J2357" s="47">
        <f t="shared" si="966"/>
        <v>1</v>
      </c>
      <c r="K2357" s="47">
        <v>1</v>
      </c>
      <c r="L2357" s="47">
        <v>1</v>
      </c>
      <c r="M2357" s="893"/>
      <c r="N2357" s="20"/>
      <c r="O2357" s="20"/>
      <c r="P2357" s="20"/>
      <c r="Q2357" s="20"/>
      <c r="R2357" s="20"/>
    </row>
    <row r="2358" spans="1:18" s="103" customFormat="1" hidden="1" outlineLevel="1" x14ac:dyDescent="0.2">
      <c r="A2358" s="22" t="s">
        <v>1545</v>
      </c>
      <c r="B2358" s="2" t="s">
        <v>252</v>
      </c>
      <c r="C2358" s="2" t="s">
        <v>1279</v>
      </c>
      <c r="D2358" s="716">
        <v>1</v>
      </c>
      <c r="E2358" s="4" t="s">
        <v>8</v>
      </c>
      <c r="F2358" s="47">
        <f t="shared" ref="F2358:I2358" si="991">G2358</f>
        <v>1</v>
      </c>
      <c r="G2358" s="47">
        <f t="shared" si="991"/>
        <v>1</v>
      </c>
      <c r="H2358" s="47">
        <f t="shared" si="991"/>
        <v>1</v>
      </c>
      <c r="I2358" s="47">
        <f t="shared" si="991"/>
        <v>1</v>
      </c>
      <c r="J2358" s="47">
        <f t="shared" si="966"/>
        <v>1</v>
      </c>
      <c r="K2358" s="47">
        <v>1</v>
      </c>
      <c r="L2358" s="47">
        <v>1</v>
      </c>
      <c r="M2358" s="893"/>
      <c r="N2358" s="20"/>
      <c r="O2358" s="20"/>
      <c r="P2358" s="20"/>
      <c r="Q2358" s="20"/>
      <c r="R2358" s="20"/>
    </row>
    <row r="2359" spans="1:18" s="103" customFormat="1" hidden="1" outlineLevel="1" x14ac:dyDescent="0.2">
      <c r="A2359" s="22" t="s">
        <v>1545</v>
      </c>
      <c r="B2359" s="2" t="s">
        <v>252</v>
      </c>
      <c r="C2359" s="2" t="s">
        <v>1279</v>
      </c>
      <c r="D2359" s="716">
        <v>1</v>
      </c>
      <c r="E2359" s="4" t="s">
        <v>9</v>
      </c>
      <c r="F2359" s="47">
        <f t="shared" ref="F2359:I2359" si="992">G2359</f>
        <v>0</v>
      </c>
      <c r="G2359" s="47">
        <f t="shared" si="992"/>
        <v>0</v>
      </c>
      <c r="H2359" s="47">
        <f t="shared" si="992"/>
        <v>0</v>
      </c>
      <c r="I2359" s="47">
        <f t="shared" si="992"/>
        <v>0</v>
      </c>
      <c r="J2359" s="47">
        <f t="shared" si="966"/>
        <v>0</v>
      </c>
      <c r="K2359" s="47">
        <v>0</v>
      </c>
      <c r="L2359" s="47">
        <v>1</v>
      </c>
      <c r="M2359" s="893"/>
      <c r="N2359" s="20"/>
      <c r="O2359" s="20"/>
      <c r="P2359" s="20"/>
      <c r="Q2359" s="20"/>
      <c r="R2359" s="20"/>
    </row>
    <row r="2360" spans="1:18" s="103" customFormat="1" hidden="1" outlineLevel="1" x14ac:dyDescent="0.2">
      <c r="A2360" s="22" t="s">
        <v>1545</v>
      </c>
      <c r="B2360" s="2" t="s">
        <v>252</v>
      </c>
      <c r="C2360" s="2" t="s">
        <v>1279</v>
      </c>
      <c r="D2360" s="716">
        <v>1</v>
      </c>
      <c r="E2360" s="4" t="s">
        <v>10</v>
      </c>
      <c r="F2360" s="47">
        <f t="shared" ref="F2360:I2360" si="993">G2360</f>
        <v>1</v>
      </c>
      <c r="G2360" s="47">
        <f t="shared" si="993"/>
        <v>1</v>
      </c>
      <c r="H2360" s="47">
        <f t="shared" si="993"/>
        <v>1</v>
      </c>
      <c r="I2360" s="47">
        <f t="shared" si="993"/>
        <v>1</v>
      </c>
      <c r="J2360" s="47">
        <f t="shared" si="966"/>
        <v>1</v>
      </c>
      <c r="K2360" s="47">
        <v>1</v>
      </c>
      <c r="L2360" s="47">
        <v>1</v>
      </c>
      <c r="M2360" s="893"/>
      <c r="N2360" s="20"/>
      <c r="O2360" s="20"/>
      <c r="P2360" s="20"/>
      <c r="Q2360" s="20"/>
      <c r="R2360" s="20"/>
    </row>
    <row r="2361" spans="1:18" s="103" customFormat="1" hidden="1" outlineLevel="1" x14ac:dyDescent="0.2">
      <c r="A2361" s="22" t="s">
        <v>1545</v>
      </c>
      <c r="B2361" s="2" t="s">
        <v>252</v>
      </c>
      <c r="C2361" s="2" t="s">
        <v>1279</v>
      </c>
      <c r="D2361" s="716">
        <v>1</v>
      </c>
      <c r="E2361" s="4" t="s">
        <v>11</v>
      </c>
      <c r="F2361" s="47">
        <f t="shared" ref="F2361:I2361" si="994">G2361</f>
        <v>0</v>
      </c>
      <c r="G2361" s="47">
        <f t="shared" si="994"/>
        <v>0</v>
      </c>
      <c r="H2361" s="47">
        <f t="shared" si="994"/>
        <v>0</v>
      </c>
      <c r="I2361" s="47">
        <f t="shared" si="994"/>
        <v>0</v>
      </c>
      <c r="J2361" s="47">
        <f t="shared" si="966"/>
        <v>0</v>
      </c>
      <c r="K2361" s="47">
        <v>0</v>
      </c>
      <c r="L2361" s="47">
        <v>0</v>
      </c>
      <c r="M2361" s="893"/>
      <c r="N2361" s="20"/>
      <c r="O2361" s="20"/>
      <c r="P2361" s="20"/>
      <c r="Q2361" s="20"/>
      <c r="R2361" s="20"/>
    </row>
    <row r="2362" spans="1:18" s="103" customFormat="1" hidden="1" outlineLevel="1" x14ac:dyDescent="0.2">
      <c r="A2362" s="22" t="s">
        <v>1545</v>
      </c>
      <c r="B2362" s="2" t="s">
        <v>252</v>
      </c>
      <c r="C2362" s="2" t="s">
        <v>1279</v>
      </c>
      <c r="D2362" s="716">
        <v>1</v>
      </c>
      <c r="E2362" s="4" t="s">
        <v>12</v>
      </c>
      <c r="F2362" s="47">
        <f t="shared" ref="F2362:I2362" si="995">G2362</f>
        <v>0</v>
      </c>
      <c r="G2362" s="47">
        <f t="shared" si="995"/>
        <v>0</v>
      </c>
      <c r="H2362" s="47">
        <f t="shared" si="995"/>
        <v>0</v>
      </c>
      <c r="I2362" s="47">
        <f t="shared" si="995"/>
        <v>0</v>
      </c>
      <c r="J2362" s="47">
        <f t="shared" si="966"/>
        <v>0</v>
      </c>
      <c r="K2362" s="47">
        <v>0</v>
      </c>
      <c r="L2362" s="47">
        <v>1</v>
      </c>
      <c r="M2362" s="893"/>
      <c r="N2362" s="20"/>
      <c r="O2362" s="20"/>
      <c r="P2362" s="20"/>
      <c r="Q2362" s="20"/>
      <c r="R2362" s="20"/>
    </row>
    <row r="2363" spans="1:18" s="103" customFormat="1" hidden="1" outlineLevel="1" x14ac:dyDescent="0.2">
      <c r="A2363" s="22" t="s">
        <v>1545</v>
      </c>
      <c r="B2363" s="2" t="s">
        <v>252</v>
      </c>
      <c r="C2363" s="2" t="s">
        <v>1279</v>
      </c>
      <c r="D2363" s="716">
        <v>1</v>
      </c>
      <c r="E2363" s="4" t="s">
        <v>1</v>
      </c>
      <c r="F2363" s="47">
        <f t="shared" ref="F2363:I2363" si="996">G2363</f>
        <v>0</v>
      </c>
      <c r="G2363" s="47">
        <f t="shared" si="996"/>
        <v>0</v>
      </c>
      <c r="H2363" s="47">
        <f t="shared" si="996"/>
        <v>0</v>
      </c>
      <c r="I2363" s="47">
        <f t="shared" si="996"/>
        <v>0</v>
      </c>
      <c r="J2363" s="47">
        <f t="shared" si="966"/>
        <v>0</v>
      </c>
      <c r="K2363" s="47">
        <v>0</v>
      </c>
      <c r="L2363" s="47">
        <v>0</v>
      </c>
      <c r="M2363" s="893"/>
      <c r="N2363" s="20"/>
      <c r="O2363" s="20"/>
      <c r="P2363" s="20"/>
      <c r="Q2363" s="20"/>
      <c r="R2363" s="20"/>
    </row>
    <row r="2364" spans="1:18" s="103" customFormat="1" hidden="1" outlineLevel="1" x14ac:dyDescent="0.2">
      <c r="A2364" s="22" t="s">
        <v>1545</v>
      </c>
      <c r="B2364" s="2" t="s">
        <v>252</v>
      </c>
      <c r="C2364" s="2" t="s">
        <v>1279</v>
      </c>
      <c r="D2364" s="716">
        <v>1</v>
      </c>
      <c r="E2364" s="4" t="s">
        <v>13</v>
      </c>
      <c r="F2364" s="47">
        <f t="shared" ref="F2364:I2364" si="997">G2364</f>
        <v>0</v>
      </c>
      <c r="G2364" s="47">
        <f t="shared" si="997"/>
        <v>0</v>
      </c>
      <c r="H2364" s="47">
        <f t="shared" si="997"/>
        <v>0</v>
      </c>
      <c r="I2364" s="47">
        <f t="shared" si="997"/>
        <v>0</v>
      </c>
      <c r="J2364" s="47">
        <f t="shared" si="966"/>
        <v>0</v>
      </c>
      <c r="K2364" s="47">
        <v>0</v>
      </c>
      <c r="L2364" s="47">
        <v>0</v>
      </c>
      <c r="M2364" s="893"/>
      <c r="N2364" s="20"/>
      <c r="O2364" s="20"/>
      <c r="P2364" s="20"/>
      <c r="Q2364" s="20"/>
      <c r="R2364" s="20"/>
    </row>
    <row r="2365" spans="1:18" s="103" customFormat="1" hidden="1" outlineLevel="1" x14ac:dyDescent="0.2">
      <c r="A2365" s="22" t="s">
        <v>1545</v>
      </c>
      <c r="B2365" s="2" t="s">
        <v>252</v>
      </c>
      <c r="C2365" s="2" t="s">
        <v>1279</v>
      </c>
      <c r="D2365" s="716">
        <v>1</v>
      </c>
      <c r="E2365" s="4" t="s">
        <v>14</v>
      </c>
      <c r="F2365" s="47">
        <f t="shared" ref="F2365:I2365" si="998">G2365</f>
        <v>0</v>
      </c>
      <c r="G2365" s="47">
        <f t="shared" si="998"/>
        <v>0</v>
      </c>
      <c r="H2365" s="47">
        <f t="shared" si="998"/>
        <v>0</v>
      </c>
      <c r="I2365" s="47">
        <f t="shared" si="998"/>
        <v>0</v>
      </c>
      <c r="J2365" s="47">
        <f t="shared" si="966"/>
        <v>0</v>
      </c>
      <c r="K2365" s="47">
        <v>0</v>
      </c>
      <c r="L2365" s="47">
        <v>0</v>
      </c>
      <c r="M2365" s="893"/>
      <c r="N2365" s="20"/>
      <c r="O2365" s="20"/>
      <c r="P2365" s="20"/>
      <c r="Q2365" s="20"/>
      <c r="R2365" s="20"/>
    </row>
    <row r="2366" spans="1:18" s="103" customFormat="1" hidden="1" outlineLevel="1" x14ac:dyDescent="0.2">
      <c r="A2366" s="22" t="s">
        <v>1545</v>
      </c>
      <c r="B2366" s="2" t="s">
        <v>252</v>
      </c>
      <c r="C2366" s="2" t="s">
        <v>1279</v>
      </c>
      <c r="D2366" s="716">
        <v>1</v>
      </c>
      <c r="E2366" s="4" t="s">
        <v>15</v>
      </c>
      <c r="F2366" s="47">
        <f t="shared" ref="F2366:I2366" si="999">G2366</f>
        <v>0</v>
      </c>
      <c r="G2366" s="47">
        <f t="shared" si="999"/>
        <v>0</v>
      </c>
      <c r="H2366" s="47">
        <f t="shared" si="999"/>
        <v>0</v>
      </c>
      <c r="I2366" s="47">
        <f t="shared" si="999"/>
        <v>0</v>
      </c>
      <c r="J2366" s="47">
        <f t="shared" si="966"/>
        <v>0</v>
      </c>
      <c r="K2366" s="47">
        <v>0</v>
      </c>
      <c r="L2366" s="47">
        <v>0</v>
      </c>
      <c r="M2366" s="893"/>
      <c r="N2366" s="20"/>
      <c r="O2366" s="20"/>
      <c r="P2366" s="20"/>
      <c r="Q2366" s="20"/>
      <c r="R2366" s="20"/>
    </row>
    <row r="2367" spans="1:18" s="103" customFormat="1" hidden="1" outlineLevel="1" x14ac:dyDescent="0.2">
      <c r="A2367" s="22" t="s">
        <v>1545</v>
      </c>
      <c r="B2367" s="2" t="s">
        <v>252</v>
      </c>
      <c r="C2367" s="2" t="s">
        <v>1279</v>
      </c>
      <c r="D2367" s="716">
        <v>1</v>
      </c>
      <c r="E2367" s="4" t="s">
        <v>16</v>
      </c>
      <c r="F2367" s="47">
        <f t="shared" ref="F2367:I2367" si="1000">G2367</f>
        <v>0</v>
      </c>
      <c r="G2367" s="47">
        <f t="shared" si="1000"/>
        <v>0</v>
      </c>
      <c r="H2367" s="47">
        <f t="shared" si="1000"/>
        <v>0</v>
      </c>
      <c r="I2367" s="47">
        <f t="shared" si="1000"/>
        <v>0</v>
      </c>
      <c r="J2367" s="47">
        <f t="shared" si="966"/>
        <v>0</v>
      </c>
      <c r="K2367" s="47">
        <v>0</v>
      </c>
      <c r="L2367" s="47">
        <v>0</v>
      </c>
      <c r="M2367" s="893"/>
      <c r="N2367" s="20"/>
      <c r="O2367" s="20"/>
      <c r="P2367" s="20"/>
      <c r="Q2367" s="20"/>
      <c r="R2367" s="20"/>
    </row>
    <row r="2368" spans="1:18" s="103" customFormat="1" hidden="1" outlineLevel="1" x14ac:dyDescent="0.2">
      <c r="A2368" s="22" t="s">
        <v>1545</v>
      </c>
      <c r="B2368" s="2" t="s">
        <v>252</v>
      </c>
      <c r="C2368" s="2" t="s">
        <v>1279</v>
      </c>
      <c r="D2368" s="716">
        <v>1</v>
      </c>
      <c r="E2368" s="4" t="s">
        <v>17</v>
      </c>
      <c r="F2368" s="47">
        <f t="shared" ref="F2368:I2368" si="1001">G2368</f>
        <v>0</v>
      </c>
      <c r="G2368" s="47">
        <f t="shared" si="1001"/>
        <v>0</v>
      </c>
      <c r="H2368" s="47">
        <f t="shared" si="1001"/>
        <v>0</v>
      </c>
      <c r="I2368" s="47">
        <f t="shared" si="1001"/>
        <v>0</v>
      </c>
      <c r="J2368" s="47">
        <f t="shared" si="966"/>
        <v>0</v>
      </c>
      <c r="K2368" s="47">
        <v>0</v>
      </c>
      <c r="L2368" s="47">
        <v>0</v>
      </c>
      <c r="M2368" s="893"/>
      <c r="N2368" s="20"/>
      <c r="O2368" s="20"/>
      <c r="P2368" s="20"/>
      <c r="Q2368" s="20"/>
      <c r="R2368" s="20"/>
    </row>
    <row r="2369" spans="1:18" s="103" customFormat="1" hidden="1" outlineLevel="1" x14ac:dyDescent="0.2">
      <c r="A2369" s="22" t="s">
        <v>1545</v>
      </c>
      <c r="B2369" s="2" t="s">
        <v>252</v>
      </c>
      <c r="C2369" s="2" t="s">
        <v>1279</v>
      </c>
      <c r="D2369" s="716">
        <v>1</v>
      </c>
      <c r="E2369" s="4" t="s">
        <v>18</v>
      </c>
      <c r="F2369" s="47">
        <f t="shared" ref="F2369:I2369" si="1002">G2369</f>
        <v>1</v>
      </c>
      <c r="G2369" s="47">
        <f t="shared" si="1002"/>
        <v>1</v>
      </c>
      <c r="H2369" s="47">
        <f t="shared" si="1002"/>
        <v>1</v>
      </c>
      <c r="I2369" s="47">
        <f t="shared" si="1002"/>
        <v>1</v>
      </c>
      <c r="J2369" s="47">
        <f t="shared" si="966"/>
        <v>1</v>
      </c>
      <c r="K2369" s="47">
        <v>1</v>
      </c>
      <c r="L2369" s="47">
        <v>1</v>
      </c>
      <c r="M2369" s="893"/>
      <c r="N2369" s="20"/>
      <c r="O2369" s="20"/>
      <c r="P2369" s="20"/>
      <c r="Q2369" s="20"/>
      <c r="R2369" s="20"/>
    </row>
    <row r="2370" spans="1:18" s="103" customFormat="1" hidden="1" outlineLevel="1" x14ac:dyDescent="0.2">
      <c r="A2370" s="22" t="s">
        <v>1545</v>
      </c>
      <c r="B2370" s="2" t="s">
        <v>252</v>
      </c>
      <c r="C2370" s="2" t="s">
        <v>1279</v>
      </c>
      <c r="D2370" s="716">
        <v>1</v>
      </c>
      <c r="E2370" s="4" t="s">
        <v>2</v>
      </c>
      <c r="F2370" s="47">
        <f t="shared" ref="F2370:I2370" si="1003">G2370</f>
        <v>1</v>
      </c>
      <c r="G2370" s="47">
        <f t="shared" si="1003"/>
        <v>1</v>
      </c>
      <c r="H2370" s="47">
        <f t="shared" si="1003"/>
        <v>1</v>
      </c>
      <c r="I2370" s="47">
        <f t="shared" si="1003"/>
        <v>1</v>
      </c>
      <c r="J2370" s="47">
        <f t="shared" si="966"/>
        <v>1</v>
      </c>
      <c r="K2370" s="47">
        <v>1</v>
      </c>
      <c r="L2370" s="47">
        <v>1</v>
      </c>
      <c r="M2370" s="893"/>
      <c r="N2370" s="20"/>
      <c r="O2370" s="20"/>
      <c r="P2370" s="20"/>
      <c r="Q2370" s="20"/>
      <c r="R2370" s="20"/>
    </row>
    <row r="2371" spans="1:18" s="103" customFormat="1" hidden="1" outlineLevel="1" x14ac:dyDescent="0.2">
      <c r="A2371" s="22" t="s">
        <v>1545</v>
      </c>
      <c r="B2371" s="2" t="s">
        <v>252</v>
      </c>
      <c r="C2371" s="2" t="s">
        <v>1279</v>
      </c>
      <c r="D2371" s="716">
        <v>1</v>
      </c>
      <c r="E2371" s="4" t="s">
        <v>19</v>
      </c>
      <c r="F2371" s="47">
        <f t="shared" ref="F2371:I2371" si="1004">G2371</f>
        <v>1</v>
      </c>
      <c r="G2371" s="47">
        <f t="shared" si="1004"/>
        <v>1</v>
      </c>
      <c r="H2371" s="47">
        <f t="shared" si="1004"/>
        <v>1</v>
      </c>
      <c r="I2371" s="47">
        <f t="shared" si="1004"/>
        <v>1</v>
      </c>
      <c r="J2371" s="47">
        <f t="shared" si="966"/>
        <v>1</v>
      </c>
      <c r="K2371" s="47">
        <v>1</v>
      </c>
      <c r="L2371" s="47">
        <v>1</v>
      </c>
      <c r="M2371" s="893"/>
      <c r="N2371" s="20"/>
      <c r="O2371" s="20"/>
      <c r="P2371" s="20"/>
      <c r="Q2371" s="20"/>
      <c r="R2371" s="20"/>
    </row>
    <row r="2372" spans="1:18" s="103" customFormat="1" hidden="1" outlineLevel="1" x14ac:dyDescent="0.2">
      <c r="A2372" s="22" t="s">
        <v>1545</v>
      </c>
      <c r="B2372" s="2" t="s">
        <v>252</v>
      </c>
      <c r="C2372" s="2" t="s">
        <v>1279</v>
      </c>
      <c r="D2372" s="716">
        <v>1</v>
      </c>
      <c r="E2372" s="4" t="s">
        <v>3</v>
      </c>
      <c r="F2372" s="47">
        <f t="shared" ref="F2372:I2372" si="1005">G2372</f>
        <v>0</v>
      </c>
      <c r="G2372" s="47">
        <f t="shared" si="1005"/>
        <v>0</v>
      </c>
      <c r="H2372" s="47">
        <f t="shared" si="1005"/>
        <v>0</v>
      </c>
      <c r="I2372" s="47">
        <f t="shared" si="1005"/>
        <v>0</v>
      </c>
      <c r="J2372" s="47">
        <f t="shared" si="966"/>
        <v>0</v>
      </c>
      <c r="K2372" s="47">
        <v>0</v>
      </c>
      <c r="L2372" s="47">
        <v>0</v>
      </c>
      <c r="M2372" s="893"/>
      <c r="N2372" s="20"/>
      <c r="O2372" s="20"/>
      <c r="P2372" s="20"/>
      <c r="Q2372" s="20"/>
      <c r="R2372" s="20"/>
    </row>
    <row r="2373" spans="1:18" s="103" customFormat="1" hidden="1" outlineLevel="1" x14ac:dyDescent="0.2">
      <c r="A2373" s="22" t="s">
        <v>1545</v>
      </c>
      <c r="B2373" s="2" t="s">
        <v>252</v>
      </c>
      <c r="C2373" s="2" t="s">
        <v>1279</v>
      </c>
      <c r="D2373" s="716">
        <v>1</v>
      </c>
      <c r="E2373" s="4" t="s">
        <v>20</v>
      </c>
      <c r="F2373" s="47">
        <f t="shared" ref="F2373:I2373" si="1006">G2373</f>
        <v>1</v>
      </c>
      <c r="G2373" s="47">
        <f t="shared" si="1006"/>
        <v>1</v>
      </c>
      <c r="H2373" s="47">
        <f t="shared" si="1006"/>
        <v>1</v>
      </c>
      <c r="I2373" s="47">
        <f t="shared" si="1006"/>
        <v>1</v>
      </c>
      <c r="J2373" s="47">
        <f t="shared" si="966"/>
        <v>1</v>
      </c>
      <c r="K2373" s="47">
        <v>1</v>
      </c>
      <c r="L2373" s="47">
        <v>1</v>
      </c>
      <c r="M2373" s="893"/>
      <c r="N2373" s="20"/>
      <c r="O2373" s="20"/>
      <c r="P2373" s="20"/>
      <c r="Q2373" s="20"/>
      <c r="R2373" s="20"/>
    </row>
    <row r="2374" spans="1:18" s="103" customFormat="1" hidden="1" outlineLevel="1" x14ac:dyDescent="0.2">
      <c r="A2374" s="22" t="s">
        <v>1545</v>
      </c>
      <c r="B2374" s="2" t="s">
        <v>252</v>
      </c>
      <c r="C2374" s="2" t="s">
        <v>1279</v>
      </c>
      <c r="D2374" s="716">
        <v>1</v>
      </c>
      <c r="E2374" s="4" t="s">
        <v>21</v>
      </c>
      <c r="F2374" s="47">
        <f t="shared" ref="F2374:I2374" si="1007">G2374</f>
        <v>0</v>
      </c>
      <c r="G2374" s="47">
        <f t="shared" si="1007"/>
        <v>0</v>
      </c>
      <c r="H2374" s="47">
        <f t="shared" si="1007"/>
        <v>0</v>
      </c>
      <c r="I2374" s="47">
        <f t="shared" si="1007"/>
        <v>0</v>
      </c>
      <c r="J2374" s="47">
        <f t="shared" si="966"/>
        <v>0</v>
      </c>
      <c r="K2374" s="47">
        <v>0</v>
      </c>
      <c r="L2374" s="47">
        <v>0</v>
      </c>
      <c r="M2374" s="893"/>
      <c r="N2374" s="20"/>
      <c r="O2374" s="20"/>
      <c r="P2374" s="20"/>
      <c r="Q2374" s="20"/>
      <c r="R2374" s="20"/>
    </row>
    <row r="2375" spans="1:18" s="103" customFormat="1" hidden="1" outlineLevel="1" x14ac:dyDescent="0.2">
      <c r="A2375" s="22" t="s">
        <v>1545</v>
      </c>
      <c r="B2375" s="2" t="s">
        <v>252</v>
      </c>
      <c r="C2375" s="2" t="s">
        <v>1279</v>
      </c>
      <c r="D2375" s="716">
        <v>1</v>
      </c>
      <c r="E2375" s="4" t="s">
        <v>1096</v>
      </c>
      <c r="F2375" s="47">
        <f t="shared" ref="F2375:I2375" si="1008">G2375</f>
        <v>0</v>
      </c>
      <c r="G2375" s="47">
        <f t="shared" si="1008"/>
        <v>0</v>
      </c>
      <c r="H2375" s="47">
        <f t="shared" si="1008"/>
        <v>0</v>
      </c>
      <c r="I2375" s="47">
        <f t="shared" si="1008"/>
        <v>0</v>
      </c>
      <c r="J2375" s="47">
        <f t="shared" si="966"/>
        <v>0</v>
      </c>
      <c r="K2375" s="47">
        <v>0</v>
      </c>
      <c r="L2375" s="47">
        <v>0</v>
      </c>
      <c r="M2375" s="893"/>
      <c r="N2375" s="20"/>
      <c r="O2375" s="20"/>
      <c r="P2375" s="20"/>
      <c r="Q2375" s="20"/>
      <c r="R2375" s="20"/>
    </row>
    <row r="2376" spans="1:18" s="103" customFormat="1" hidden="1" outlineLevel="1" x14ac:dyDescent="0.2">
      <c r="A2376" s="22" t="s">
        <v>1545</v>
      </c>
      <c r="B2376" s="2" t="s">
        <v>252</v>
      </c>
      <c r="C2376" s="2" t="s">
        <v>1279</v>
      </c>
      <c r="D2376" s="716">
        <v>1</v>
      </c>
      <c r="E2376" s="4" t="s">
        <v>22</v>
      </c>
      <c r="F2376" s="47">
        <f t="shared" ref="F2376:I2376" si="1009">G2376</f>
        <v>0</v>
      </c>
      <c r="G2376" s="47">
        <f t="shared" si="1009"/>
        <v>0</v>
      </c>
      <c r="H2376" s="47">
        <f t="shared" si="1009"/>
        <v>0</v>
      </c>
      <c r="I2376" s="47">
        <f t="shared" si="1009"/>
        <v>0</v>
      </c>
      <c r="J2376" s="47">
        <f t="shared" si="966"/>
        <v>0</v>
      </c>
      <c r="K2376" s="47">
        <v>0</v>
      </c>
      <c r="L2376" s="47">
        <v>1</v>
      </c>
      <c r="M2376" s="893"/>
      <c r="N2376" s="20"/>
      <c r="O2376" s="20"/>
      <c r="P2376" s="20"/>
      <c r="Q2376" s="20"/>
      <c r="R2376" s="20"/>
    </row>
    <row r="2377" spans="1:18" s="103" customFormat="1" hidden="1" outlineLevel="1" x14ac:dyDescent="0.2">
      <c r="A2377" s="22" t="s">
        <v>1545</v>
      </c>
      <c r="B2377" s="2" t="s">
        <v>252</v>
      </c>
      <c r="C2377" s="3" t="s">
        <v>1279</v>
      </c>
      <c r="D2377" s="717">
        <v>1</v>
      </c>
      <c r="E2377" s="4" t="s">
        <v>23</v>
      </c>
      <c r="F2377" s="48">
        <f t="shared" ref="F2377:I2377" si="1010">G2377</f>
        <v>0</v>
      </c>
      <c r="G2377" s="48">
        <f t="shared" si="1010"/>
        <v>0</v>
      </c>
      <c r="H2377" s="48">
        <f t="shared" si="1010"/>
        <v>0</v>
      </c>
      <c r="I2377" s="48">
        <f t="shared" si="1010"/>
        <v>0</v>
      </c>
      <c r="J2377" s="48">
        <f t="shared" si="966"/>
        <v>0</v>
      </c>
      <c r="K2377" s="363">
        <v>0</v>
      </c>
      <c r="L2377" s="363">
        <v>0</v>
      </c>
      <c r="M2377" s="920"/>
      <c r="N2377" s="20"/>
      <c r="O2377" s="20"/>
      <c r="P2377" s="20"/>
      <c r="Q2377" s="20"/>
      <c r="R2377" s="20"/>
    </row>
    <row r="2378" spans="1:18" hidden="1" outlineLevel="1" x14ac:dyDescent="0.2">
      <c r="A2378" s="92" t="s">
        <v>1545</v>
      </c>
      <c r="B2378" s="81" t="s">
        <v>252</v>
      </c>
      <c r="C2378" s="81" t="s">
        <v>1281</v>
      </c>
      <c r="D2378" s="715">
        <v>1</v>
      </c>
      <c r="E2378" s="468" t="s">
        <v>4</v>
      </c>
      <c r="F2378" s="380">
        <f t="shared" ref="F2378:I2378" si="1011">G2378</f>
        <v>0</v>
      </c>
      <c r="G2378" s="89">
        <f t="shared" si="1011"/>
        <v>0</v>
      </c>
      <c r="H2378" s="89">
        <f t="shared" si="1011"/>
        <v>0</v>
      </c>
      <c r="I2378" s="89">
        <f t="shared" si="1011"/>
        <v>0</v>
      </c>
      <c r="J2378" s="89">
        <f t="shared" si="966"/>
        <v>0</v>
      </c>
      <c r="K2378" s="380">
        <v>0</v>
      </c>
      <c r="L2378" s="380">
        <v>1</v>
      </c>
      <c r="M2378" s="892"/>
    </row>
    <row r="2379" spans="1:18" hidden="1" outlineLevel="1" x14ac:dyDescent="0.2">
      <c r="A2379" s="22" t="s">
        <v>1545</v>
      </c>
      <c r="B2379" s="2" t="s">
        <v>252</v>
      </c>
      <c r="C2379" s="2" t="s">
        <v>1281</v>
      </c>
      <c r="D2379" s="716">
        <v>1</v>
      </c>
      <c r="E2379" s="4" t="s">
        <v>5</v>
      </c>
      <c r="F2379" s="47">
        <f t="shared" ref="F2379:I2379" si="1012">G2379</f>
        <v>0</v>
      </c>
      <c r="G2379" s="47">
        <f t="shared" si="1012"/>
        <v>0</v>
      </c>
      <c r="H2379" s="47">
        <f t="shared" si="1012"/>
        <v>0</v>
      </c>
      <c r="I2379" s="47">
        <f t="shared" si="1012"/>
        <v>0</v>
      </c>
      <c r="J2379" s="47">
        <f t="shared" si="966"/>
        <v>0</v>
      </c>
      <c r="K2379" s="47">
        <v>0</v>
      </c>
      <c r="L2379" s="47">
        <v>0</v>
      </c>
      <c r="M2379" s="893"/>
    </row>
    <row r="2380" spans="1:18" hidden="1" outlineLevel="1" x14ac:dyDescent="0.2">
      <c r="A2380" s="22" t="s">
        <v>1545</v>
      </c>
      <c r="B2380" s="2" t="s">
        <v>252</v>
      </c>
      <c r="C2380" s="2" t="s">
        <v>1281</v>
      </c>
      <c r="D2380" s="716">
        <v>1</v>
      </c>
      <c r="E2380" s="4" t="s">
        <v>6</v>
      </c>
      <c r="F2380" s="47">
        <f t="shared" ref="F2380:I2380" si="1013">G2380</f>
        <v>0</v>
      </c>
      <c r="G2380" s="47">
        <f t="shared" si="1013"/>
        <v>0</v>
      </c>
      <c r="H2380" s="47">
        <f t="shared" si="1013"/>
        <v>0</v>
      </c>
      <c r="I2380" s="47">
        <f t="shared" si="1013"/>
        <v>0</v>
      </c>
      <c r="J2380" s="47">
        <f t="shared" si="966"/>
        <v>0</v>
      </c>
      <c r="K2380" s="47">
        <v>0</v>
      </c>
      <c r="L2380" s="47">
        <v>0</v>
      </c>
      <c r="M2380" s="893"/>
    </row>
    <row r="2381" spans="1:18" hidden="1" outlineLevel="1" x14ac:dyDescent="0.2">
      <c r="A2381" s="22" t="s">
        <v>1545</v>
      </c>
      <c r="B2381" s="2" t="s">
        <v>252</v>
      </c>
      <c r="C2381" s="2" t="s">
        <v>1281</v>
      </c>
      <c r="D2381" s="716">
        <v>1</v>
      </c>
      <c r="E2381" s="4" t="s">
        <v>143</v>
      </c>
      <c r="F2381" s="47">
        <f t="shared" ref="F2381:I2381" si="1014">G2381</f>
        <v>0</v>
      </c>
      <c r="G2381" s="47">
        <f t="shared" si="1014"/>
        <v>0</v>
      </c>
      <c r="H2381" s="47">
        <f t="shared" si="1014"/>
        <v>0</v>
      </c>
      <c r="I2381" s="47">
        <f t="shared" si="1014"/>
        <v>0</v>
      </c>
      <c r="J2381" s="47">
        <f t="shared" si="966"/>
        <v>0</v>
      </c>
      <c r="K2381" s="47">
        <v>0</v>
      </c>
      <c r="L2381" s="47">
        <v>0</v>
      </c>
      <c r="M2381" s="893"/>
    </row>
    <row r="2382" spans="1:18" hidden="1" outlineLevel="1" x14ac:dyDescent="0.2">
      <c r="A2382" s="22" t="s">
        <v>1545</v>
      </c>
      <c r="B2382" s="2" t="s">
        <v>252</v>
      </c>
      <c r="C2382" s="2" t="s">
        <v>1281</v>
      </c>
      <c r="D2382" s="716">
        <v>1</v>
      </c>
      <c r="E2382" s="4" t="s">
        <v>7</v>
      </c>
      <c r="F2382" s="47">
        <f t="shared" ref="F2382:I2382" si="1015">G2382</f>
        <v>1</v>
      </c>
      <c r="G2382" s="47">
        <f t="shared" si="1015"/>
        <v>1</v>
      </c>
      <c r="H2382" s="47">
        <f t="shared" si="1015"/>
        <v>1</v>
      </c>
      <c r="I2382" s="47">
        <f t="shared" si="1015"/>
        <v>1</v>
      </c>
      <c r="J2382" s="47">
        <f t="shared" si="966"/>
        <v>1</v>
      </c>
      <c r="K2382" s="47">
        <v>1</v>
      </c>
      <c r="L2382" s="47">
        <v>0</v>
      </c>
      <c r="M2382" s="893"/>
    </row>
    <row r="2383" spans="1:18" hidden="1" outlineLevel="1" x14ac:dyDescent="0.2">
      <c r="A2383" s="22" t="s">
        <v>1545</v>
      </c>
      <c r="B2383" s="2" t="s">
        <v>252</v>
      </c>
      <c r="C2383" s="2" t="s">
        <v>1281</v>
      </c>
      <c r="D2383" s="716">
        <v>1</v>
      </c>
      <c r="E2383" s="4" t="s">
        <v>31</v>
      </c>
      <c r="F2383" s="47">
        <f t="shared" ref="F2383:I2383" si="1016">G2383</f>
        <v>1</v>
      </c>
      <c r="G2383" s="47">
        <f t="shared" si="1016"/>
        <v>1</v>
      </c>
      <c r="H2383" s="47">
        <f t="shared" si="1016"/>
        <v>1</v>
      </c>
      <c r="I2383" s="47">
        <f t="shared" si="1016"/>
        <v>1</v>
      </c>
      <c r="J2383" s="47">
        <f t="shared" si="966"/>
        <v>1</v>
      </c>
      <c r="K2383" s="47">
        <v>1</v>
      </c>
      <c r="L2383" s="47">
        <v>1</v>
      </c>
      <c r="M2383" s="893"/>
    </row>
    <row r="2384" spans="1:18" hidden="1" outlineLevel="1" x14ac:dyDescent="0.2">
      <c r="A2384" s="22" t="s">
        <v>1545</v>
      </c>
      <c r="B2384" s="2" t="s">
        <v>252</v>
      </c>
      <c r="C2384" s="2" t="s">
        <v>1281</v>
      </c>
      <c r="D2384" s="716">
        <v>1</v>
      </c>
      <c r="E2384" s="4" t="s">
        <v>8</v>
      </c>
      <c r="F2384" s="47">
        <f t="shared" ref="F2384:I2384" si="1017">G2384</f>
        <v>1</v>
      </c>
      <c r="G2384" s="47">
        <f t="shared" si="1017"/>
        <v>1</v>
      </c>
      <c r="H2384" s="47">
        <f t="shared" si="1017"/>
        <v>1</v>
      </c>
      <c r="I2384" s="47">
        <f t="shared" si="1017"/>
        <v>1</v>
      </c>
      <c r="J2384" s="47">
        <f t="shared" si="966"/>
        <v>1</v>
      </c>
      <c r="K2384" s="47">
        <v>1</v>
      </c>
      <c r="L2384" s="47">
        <v>1</v>
      </c>
      <c r="M2384" s="893"/>
    </row>
    <row r="2385" spans="1:13" hidden="1" outlineLevel="1" x14ac:dyDescent="0.2">
      <c r="A2385" s="22" t="s">
        <v>1545</v>
      </c>
      <c r="B2385" s="2" t="s">
        <v>252</v>
      </c>
      <c r="C2385" s="2" t="s">
        <v>1281</v>
      </c>
      <c r="D2385" s="716">
        <v>1</v>
      </c>
      <c r="E2385" s="4" t="s">
        <v>9</v>
      </c>
      <c r="F2385" s="47">
        <f t="shared" ref="F2385:I2385" si="1018">G2385</f>
        <v>1</v>
      </c>
      <c r="G2385" s="47">
        <f t="shared" si="1018"/>
        <v>1</v>
      </c>
      <c r="H2385" s="47">
        <f t="shared" si="1018"/>
        <v>1</v>
      </c>
      <c r="I2385" s="47">
        <f t="shared" si="1018"/>
        <v>1</v>
      </c>
      <c r="J2385" s="47">
        <f t="shared" si="966"/>
        <v>1</v>
      </c>
      <c r="K2385" s="47">
        <v>1</v>
      </c>
      <c r="L2385" s="47">
        <v>1</v>
      </c>
      <c r="M2385" s="893"/>
    </row>
    <row r="2386" spans="1:13" hidden="1" outlineLevel="1" x14ac:dyDescent="0.2">
      <c r="A2386" s="22" t="s">
        <v>1545</v>
      </c>
      <c r="B2386" s="2" t="s">
        <v>252</v>
      </c>
      <c r="C2386" s="2" t="s">
        <v>1281</v>
      </c>
      <c r="D2386" s="716">
        <v>1</v>
      </c>
      <c r="E2386" s="4" t="s">
        <v>10</v>
      </c>
      <c r="F2386" s="47">
        <f t="shared" ref="F2386:I2386" si="1019">G2386</f>
        <v>1</v>
      </c>
      <c r="G2386" s="47">
        <f t="shared" si="1019"/>
        <v>1</v>
      </c>
      <c r="H2386" s="47">
        <f t="shared" si="1019"/>
        <v>1</v>
      </c>
      <c r="I2386" s="47">
        <f t="shared" si="1019"/>
        <v>1</v>
      </c>
      <c r="J2386" s="47">
        <f t="shared" si="966"/>
        <v>1</v>
      </c>
      <c r="K2386" s="47">
        <v>1</v>
      </c>
      <c r="L2386" s="47">
        <v>1</v>
      </c>
      <c r="M2386" s="893"/>
    </row>
    <row r="2387" spans="1:13" hidden="1" outlineLevel="1" x14ac:dyDescent="0.2">
      <c r="A2387" s="22" t="s">
        <v>1545</v>
      </c>
      <c r="B2387" s="2" t="s">
        <v>252</v>
      </c>
      <c r="C2387" s="2" t="s">
        <v>1281</v>
      </c>
      <c r="D2387" s="716">
        <v>1</v>
      </c>
      <c r="E2387" s="4" t="s">
        <v>11</v>
      </c>
      <c r="F2387" s="47">
        <f t="shared" ref="F2387:I2387" si="1020">G2387</f>
        <v>0</v>
      </c>
      <c r="G2387" s="47">
        <f t="shared" si="1020"/>
        <v>0</v>
      </c>
      <c r="H2387" s="47">
        <f t="shared" si="1020"/>
        <v>0</v>
      </c>
      <c r="I2387" s="47">
        <f t="shared" si="1020"/>
        <v>0</v>
      </c>
      <c r="J2387" s="47">
        <f t="shared" si="966"/>
        <v>0</v>
      </c>
      <c r="K2387" s="47">
        <v>0</v>
      </c>
      <c r="L2387" s="47">
        <v>0</v>
      </c>
      <c r="M2387" s="893"/>
    </row>
    <row r="2388" spans="1:13" hidden="1" outlineLevel="1" x14ac:dyDescent="0.2">
      <c r="A2388" s="22" t="s">
        <v>1545</v>
      </c>
      <c r="B2388" s="2" t="s">
        <v>252</v>
      </c>
      <c r="C2388" s="2" t="s">
        <v>1281</v>
      </c>
      <c r="D2388" s="716">
        <v>1</v>
      </c>
      <c r="E2388" s="4" t="s">
        <v>12</v>
      </c>
      <c r="F2388" s="47">
        <f t="shared" ref="F2388:I2388" si="1021">G2388</f>
        <v>0</v>
      </c>
      <c r="G2388" s="47">
        <f t="shared" si="1021"/>
        <v>0</v>
      </c>
      <c r="H2388" s="47">
        <f t="shared" si="1021"/>
        <v>0</v>
      </c>
      <c r="I2388" s="47">
        <f t="shared" si="1021"/>
        <v>0</v>
      </c>
      <c r="J2388" s="47">
        <f t="shared" si="966"/>
        <v>0</v>
      </c>
      <c r="K2388" s="47">
        <v>0</v>
      </c>
      <c r="L2388" s="47">
        <v>0</v>
      </c>
      <c r="M2388" s="893"/>
    </row>
    <row r="2389" spans="1:13" hidden="1" outlineLevel="1" x14ac:dyDescent="0.2">
      <c r="A2389" s="22" t="s">
        <v>1545</v>
      </c>
      <c r="B2389" s="2" t="s">
        <v>252</v>
      </c>
      <c r="C2389" s="2" t="s">
        <v>1281</v>
      </c>
      <c r="D2389" s="716">
        <v>1</v>
      </c>
      <c r="E2389" s="4" t="s">
        <v>1</v>
      </c>
      <c r="F2389" s="47">
        <f t="shared" ref="F2389:I2389" si="1022">G2389</f>
        <v>0</v>
      </c>
      <c r="G2389" s="47">
        <f t="shared" si="1022"/>
        <v>0</v>
      </c>
      <c r="H2389" s="47">
        <f t="shared" si="1022"/>
        <v>0</v>
      </c>
      <c r="I2389" s="47">
        <f t="shared" si="1022"/>
        <v>0</v>
      </c>
      <c r="J2389" s="47">
        <f t="shared" si="966"/>
        <v>0</v>
      </c>
      <c r="K2389" s="47">
        <v>0</v>
      </c>
      <c r="L2389" s="47">
        <v>0</v>
      </c>
      <c r="M2389" s="893"/>
    </row>
    <row r="2390" spans="1:13" hidden="1" outlineLevel="1" x14ac:dyDescent="0.2">
      <c r="A2390" s="22" t="s">
        <v>1545</v>
      </c>
      <c r="B2390" s="2" t="s">
        <v>252</v>
      </c>
      <c r="C2390" s="2" t="s">
        <v>1281</v>
      </c>
      <c r="D2390" s="716">
        <v>1</v>
      </c>
      <c r="E2390" s="4" t="s">
        <v>13</v>
      </c>
      <c r="F2390" s="47">
        <f t="shared" ref="F2390:I2390" si="1023">G2390</f>
        <v>1</v>
      </c>
      <c r="G2390" s="47">
        <f t="shared" si="1023"/>
        <v>1</v>
      </c>
      <c r="H2390" s="47">
        <f t="shared" si="1023"/>
        <v>1</v>
      </c>
      <c r="I2390" s="47">
        <f t="shared" si="1023"/>
        <v>1</v>
      </c>
      <c r="J2390" s="47">
        <f t="shared" si="966"/>
        <v>1</v>
      </c>
      <c r="K2390" s="47">
        <v>1</v>
      </c>
      <c r="L2390" s="47">
        <v>1</v>
      </c>
      <c r="M2390" s="893"/>
    </row>
    <row r="2391" spans="1:13" hidden="1" outlineLevel="1" x14ac:dyDescent="0.2">
      <c r="A2391" s="22" t="s">
        <v>1545</v>
      </c>
      <c r="B2391" s="2" t="s">
        <v>252</v>
      </c>
      <c r="C2391" s="2" t="s">
        <v>1281</v>
      </c>
      <c r="D2391" s="716">
        <v>1</v>
      </c>
      <c r="E2391" s="4" t="s">
        <v>14</v>
      </c>
      <c r="F2391" s="47">
        <f t="shared" ref="F2391:I2391" si="1024">G2391</f>
        <v>0</v>
      </c>
      <c r="G2391" s="47">
        <f t="shared" si="1024"/>
        <v>0</v>
      </c>
      <c r="H2391" s="47">
        <f t="shared" si="1024"/>
        <v>0</v>
      </c>
      <c r="I2391" s="47">
        <f t="shared" si="1024"/>
        <v>0</v>
      </c>
      <c r="J2391" s="47">
        <f t="shared" si="966"/>
        <v>0</v>
      </c>
      <c r="K2391" s="47">
        <v>0</v>
      </c>
      <c r="L2391" s="47">
        <v>0</v>
      </c>
      <c r="M2391" s="893"/>
    </row>
    <row r="2392" spans="1:13" hidden="1" outlineLevel="1" x14ac:dyDescent="0.2">
      <c r="A2392" s="22" t="s">
        <v>1545</v>
      </c>
      <c r="B2392" s="2" t="s">
        <v>252</v>
      </c>
      <c r="C2392" s="2" t="s">
        <v>1281</v>
      </c>
      <c r="D2392" s="716">
        <v>1</v>
      </c>
      <c r="E2392" s="4" t="s">
        <v>15</v>
      </c>
      <c r="F2392" s="47">
        <f t="shared" ref="F2392:I2392" si="1025">G2392</f>
        <v>0</v>
      </c>
      <c r="G2392" s="47">
        <f t="shared" si="1025"/>
        <v>0</v>
      </c>
      <c r="H2392" s="47">
        <f t="shared" si="1025"/>
        <v>0</v>
      </c>
      <c r="I2392" s="47">
        <f t="shared" si="1025"/>
        <v>0</v>
      </c>
      <c r="J2392" s="47">
        <f t="shared" si="966"/>
        <v>0</v>
      </c>
      <c r="K2392" s="47">
        <v>0</v>
      </c>
      <c r="L2392" s="47">
        <v>0</v>
      </c>
      <c r="M2392" s="893"/>
    </row>
    <row r="2393" spans="1:13" hidden="1" outlineLevel="1" x14ac:dyDescent="0.2">
      <c r="A2393" s="22" t="s">
        <v>1545</v>
      </c>
      <c r="B2393" s="2" t="s">
        <v>252</v>
      </c>
      <c r="C2393" s="2" t="s">
        <v>1281</v>
      </c>
      <c r="D2393" s="716">
        <v>1</v>
      </c>
      <c r="E2393" s="4" t="s">
        <v>16</v>
      </c>
      <c r="F2393" s="47">
        <f t="shared" ref="F2393:I2393" si="1026">G2393</f>
        <v>0</v>
      </c>
      <c r="G2393" s="47">
        <f t="shared" si="1026"/>
        <v>0</v>
      </c>
      <c r="H2393" s="47">
        <f t="shared" si="1026"/>
        <v>0</v>
      </c>
      <c r="I2393" s="47">
        <f t="shared" si="1026"/>
        <v>0</v>
      </c>
      <c r="J2393" s="47">
        <f t="shared" si="966"/>
        <v>0</v>
      </c>
      <c r="K2393" s="47">
        <v>0</v>
      </c>
      <c r="L2393" s="47">
        <v>0</v>
      </c>
      <c r="M2393" s="893"/>
    </row>
    <row r="2394" spans="1:13" hidden="1" outlineLevel="1" x14ac:dyDescent="0.2">
      <c r="A2394" s="22" t="s">
        <v>1545</v>
      </c>
      <c r="B2394" s="2" t="s">
        <v>252</v>
      </c>
      <c r="C2394" s="2" t="s">
        <v>1281</v>
      </c>
      <c r="D2394" s="716">
        <v>1</v>
      </c>
      <c r="E2394" s="4" t="s">
        <v>17</v>
      </c>
      <c r="F2394" s="47">
        <f t="shared" ref="F2394:I2394" si="1027">G2394</f>
        <v>0</v>
      </c>
      <c r="G2394" s="47">
        <f t="shared" si="1027"/>
        <v>0</v>
      </c>
      <c r="H2394" s="47">
        <f t="shared" si="1027"/>
        <v>0</v>
      </c>
      <c r="I2394" s="47">
        <f t="shared" si="1027"/>
        <v>0</v>
      </c>
      <c r="J2394" s="47">
        <f t="shared" si="966"/>
        <v>0</v>
      </c>
      <c r="K2394" s="47">
        <v>0</v>
      </c>
      <c r="L2394" s="47">
        <v>0</v>
      </c>
      <c r="M2394" s="893"/>
    </row>
    <row r="2395" spans="1:13" hidden="1" outlineLevel="1" x14ac:dyDescent="0.2">
      <c r="A2395" s="22" t="s">
        <v>1545</v>
      </c>
      <c r="B2395" s="2" t="s">
        <v>252</v>
      </c>
      <c r="C2395" s="2" t="s">
        <v>1281</v>
      </c>
      <c r="D2395" s="716">
        <v>1</v>
      </c>
      <c r="E2395" s="4" t="s">
        <v>18</v>
      </c>
      <c r="F2395" s="47">
        <f t="shared" ref="F2395:I2395" si="1028">G2395</f>
        <v>0</v>
      </c>
      <c r="G2395" s="47">
        <f t="shared" si="1028"/>
        <v>0</v>
      </c>
      <c r="H2395" s="47">
        <f t="shared" si="1028"/>
        <v>0</v>
      </c>
      <c r="I2395" s="47">
        <f t="shared" si="1028"/>
        <v>0</v>
      </c>
      <c r="J2395" s="47">
        <f t="shared" si="966"/>
        <v>0</v>
      </c>
      <c r="K2395" s="47">
        <v>0</v>
      </c>
      <c r="L2395" s="47">
        <v>1</v>
      </c>
      <c r="M2395" s="893"/>
    </row>
    <row r="2396" spans="1:13" hidden="1" outlineLevel="1" x14ac:dyDescent="0.2">
      <c r="A2396" s="22" t="s">
        <v>1545</v>
      </c>
      <c r="B2396" s="2" t="s">
        <v>252</v>
      </c>
      <c r="C2396" s="2" t="s">
        <v>1281</v>
      </c>
      <c r="D2396" s="716">
        <v>1</v>
      </c>
      <c r="E2396" s="4" t="s">
        <v>2</v>
      </c>
      <c r="F2396" s="47">
        <f t="shared" ref="F2396:I2396" si="1029">G2396</f>
        <v>1</v>
      </c>
      <c r="G2396" s="47">
        <f t="shared" si="1029"/>
        <v>1</v>
      </c>
      <c r="H2396" s="47">
        <f t="shared" si="1029"/>
        <v>1</v>
      </c>
      <c r="I2396" s="47">
        <f t="shared" si="1029"/>
        <v>1</v>
      </c>
      <c r="J2396" s="47">
        <f t="shared" si="966"/>
        <v>1</v>
      </c>
      <c r="K2396" s="47">
        <v>1</v>
      </c>
      <c r="L2396" s="47">
        <v>1</v>
      </c>
      <c r="M2396" s="893"/>
    </row>
    <row r="2397" spans="1:13" hidden="1" outlineLevel="1" x14ac:dyDescent="0.2">
      <c r="A2397" s="22" t="s">
        <v>1545</v>
      </c>
      <c r="B2397" s="2" t="s">
        <v>252</v>
      </c>
      <c r="C2397" s="2" t="s">
        <v>1281</v>
      </c>
      <c r="D2397" s="716">
        <v>1</v>
      </c>
      <c r="E2397" s="4" t="s">
        <v>19</v>
      </c>
      <c r="F2397" s="47">
        <f t="shared" ref="F2397:I2397" si="1030">G2397</f>
        <v>0</v>
      </c>
      <c r="G2397" s="47">
        <f t="shared" si="1030"/>
        <v>0</v>
      </c>
      <c r="H2397" s="47">
        <f t="shared" si="1030"/>
        <v>0</v>
      </c>
      <c r="I2397" s="47">
        <f t="shared" si="1030"/>
        <v>0</v>
      </c>
      <c r="J2397" s="47">
        <f t="shared" ref="J2397:J2460" si="1031">K2397</f>
        <v>0</v>
      </c>
      <c r="K2397" s="47">
        <v>0</v>
      </c>
      <c r="L2397" s="47">
        <v>0</v>
      </c>
      <c r="M2397" s="893"/>
    </row>
    <row r="2398" spans="1:13" hidden="1" outlineLevel="1" x14ac:dyDescent="0.2">
      <c r="A2398" s="22" t="s">
        <v>1545</v>
      </c>
      <c r="B2398" s="2" t="s">
        <v>252</v>
      </c>
      <c r="C2398" s="2" t="s">
        <v>1281</v>
      </c>
      <c r="D2398" s="716">
        <v>1</v>
      </c>
      <c r="E2398" s="4" t="s">
        <v>3</v>
      </c>
      <c r="F2398" s="47">
        <f t="shared" ref="F2398:I2398" si="1032">G2398</f>
        <v>0</v>
      </c>
      <c r="G2398" s="47">
        <f t="shared" si="1032"/>
        <v>0</v>
      </c>
      <c r="H2398" s="47">
        <f t="shared" si="1032"/>
        <v>0</v>
      </c>
      <c r="I2398" s="47">
        <f t="shared" si="1032"/>
        <v>0</v>
      </c>
      <c r="J2398" s="47">
        <f t="shared" si="1031"/>
        <v>0</v>
      </c>
      <c r="K2398" s="47">
        <v>0</v>
      </c>
      <c r="L2398" s="47">
        <v>0</v>
      </c>
      <c r="M2398" s="893"/>
    </row>
    <row r="2399" spans="1:13" hidden="1" outlineLevel="1" x14ac:dyDescent="0.2">
      <c r="A2399" s="22" t="s">
        <v>1545</v>
      </c>
      <c r="B2399" s="2" t="s">
        <v>252</v>
      </c>
      <c r="C2399" s="2" t="s">
        <v>1281</v>
      </c>
      <c r="D2399" s="716">
        <v>1</v>
      </c>
      <c r="E2399" s="4" t="s">
        <v>20</v>
      </c>
      <c r="F2399" s="47">
        <f t="shared" ref="F2399:I2399" si="1033">G2399</f>
        <v>1</v>
      </c>
      <c r="G2399" s="47">
        <f t="shared" si="1033"/>
        <v>1</v>
      </c>
      <c r="H2399" s="47">
        <f t="shared" si="1033"/>
        <v>1</v>
      </c>
      <c r="I2399" s="47">
        <f t="shared" si="1033"/>
        <v>1</v>
      </c>
      <c r="J2399" s="47">
        <f t="shared" si="1031"/>
        <v>1</v>
      </c>
      <c r="K2399" s="47">
        <v>1</v>
      </c>
      <c r="L2399" s="47">
        <v>1</v>
      </c>
      <c r="M2399" s="893"/>
    </row>
    <row r="2400" spans="1:13" hidden="1" outlineLevel="1" x14ac:dyDescent="0.2">
      <c r="A2400" s="22" t="s">
        <v>1545</v>
      </c>
      <c r="B2400" s="2" t="s">
        <v>252</v>
      </c>
      <c r="C2400" s="2" t="s">
        <v>1281</v>
      </c>
      <c r="D2400" s="716">
        <v>1</v>
      </c>
      <c r="E2400" s="4" t="s">
        <v>21</v>
      </c>
      <c r="F2400" s="47">
        <f t="shared" ref="F2400:I2400" si="1034">G2400</f>
        <v>1</v>
      </c>
      <c r="G2400" s="47">
        <f t="shared" si="1034"/>
        <v>1</v>
      </c>
      <c r="H2400" s="47">
        <f t="shared" si="1034"/>
        <v>1</v>
      </c>
      <c r="I2400" s="47">
        <f t="shared" si="1034"/>
        <v>1</v>
      </c>
      <c r="J2400" s="47">
        <f t="shared" si="1031"/>
        <v>1</v>
      </c>
      <c r="K2400" s="47">
        <v>1</v>
      </c>
      <c r="L2400" s="47">
        <v>1</v>
      </c>
      <c r="M2400" s="893"/>
    </row>
    <row r="2401" spans="1:13" hidden="1" outlineLevel="1" x14ac:dyDescent="0.2">
      <c r="A2401" s="22" t="s">
        <v>1545</v>
      </c>
      <c r="B2401" s="2" t="s">
        <v>252</v>
      </c>
      <c r="C2401" s="2" t="s">
        <v>1281</v>
      </c>
      <c r="D2401" s="716">
        <v>1</v>
      </c>
      <c r="E2401" s="4" t="s">
        <v>1096</v>
      </c>
      <c r="F2401" s="47">
        <f t="shared" ref="F2401:I2401" si="1035">G2401</f>
        <v>0</v>
      </c>
      <c r="G2401" s="47">
        <f t="shared" si="1035"/>
        <v>0</v>
      </c>
      <c r="H2401" s="47">
        <f t="shared" si="1035"/>
        <v>0</v>
      </c>
      <c r="I2401" s="47">
        <f t="shared" si="1035"/>
        <v>0</v>
      </c>
      <c r="J2401" s="47">
        <f t="shared" si="1031"/>
        <v>0</v>
      </c>
      <c r="K2401" s="47">
        <v>0</v>
      </c>
      <c r="L2401" s="47">
        <v>0</v>
      </c>
      <c r="M2401" s="893"/>
    </row>
    <row r="2402" spans="1:13" hidden="1" outlineLevel="1" x14ac:dyDescent="0.2">
      <c r="A2402" s="22" t="s">
        <v>1545</v>
      </c>
      <c r="B2402" s="2" t="s">
        <v>252</v>
      </c>
      <c r="C2402" s="2" t="s">
        <v>1281</v>
      </c>
      <c r="D2402" s="716">
        <v>1</v>
      </c>
      <c r="E2402" s="4" t="s">
        <v>22</v>
      </c>
      <c r="F2402" s="47">
        <f t="shared" ref="F2402:I2402" si="1036">G2402</f>
        <v>0</v>
      </c>
      <c r="G2402" s="47">
        <f t="shared" si="1036"/>
        <v>0</v>
      </c>
      <c r="H2402" s="47">
        <f t="shared" si="1036"/>
        <v>0</v>
      </c>
      <c r="I2402" s="47">
        <f t="shared" si="1036"/>
        <v>0</v>
      </c>
      <c r="J2402" s="47">
        <f t="shared" si="1031"/>
        <v>0</v>
      </c>
      <c r="K2402" s="47">
        <v>0</v>
      </c>
      <c r="L2402" s="47">
        <v>0</v>
      </c>
      <c r="M2402" s="893"/>
    </row>
    <row r="2403" spans="1:13" hidden="1" outlineLevel="1" x14ac:dyDescent="0.2">
      <c r="A2403" s="22" t="s">
        <v>1545</v>
      </c>
      <c r="B2403" s="2" t="s">
        <v>252</v>
      </c>
      <c r="C2403" s="3" t="s">
        <v>1281</v>
      </c>
      <c r="D2403" s="717">
        <v>1</v>
      </c>
      <c r="E2403" s="4" t="s">
        <v>23</v>
      </c>
      <c r="F2403" s="48">
        <f t="shared" ref="F2403:I2403" si="1037">G2403</f>
        <v>0</v>
      </c>
      <c r="G2403" s="48">
        <f t="shared" si="1037"/>
        <v>0</v>
      </c>
      <c r="H2403" s="48">
        <f t="shared" si="1037"/>
        <v>0</v>
      </c>
      <c r="I2403" s="48">
        <f t="shared" si="1037"/>
        <v>0</v>
      </c>
      <c r="J2403" s="48">
        <f t="shared" si="1031"/>
        <v>0</v>
      </c>
      <c r="K2403" s="363">
        <v>0</v>
      </c>
      <c r="L2403" s="363">
        <v>0</v>
      </c>
      <c r="M2403" s="920"/>
    </row>
    <row r="2404" spans="1:13" hidden="1" outlineLevel="1" x14ac:dyDescent="0.2">
      <c r="A2404" s="92" t="s">
        <v>1545</v>
      </c>
      <c r="B2404" s="81" t="s">
        <v>252</v>
      </c>
      <c r="C2404" s="81" t="s">
        <v>1280</v>
      </c>
      <c r="D2404" s="715">
        <v>1</v>
      </c>
      <c r="E2404" s="468" t="s">
        <v>4</v>
      </c>
      <c r="F2404" s="380">
        <f t="shared" ref="F2404:I2404" si="1038">G2404</f>
        <v>1</v>
      </c>
      <c r="G2404" s="89">
        <f t="shared" si="1038"/>
        <v>1</v>
      </c>
      <c r="H2404" s="89">
        <f t="shared" si="1038"/>
        <v>1</v>
      </c>
      <c r="I2404" s="89">
        <f t="shared" si="1038"/>
        <v>1</v>
      </c>
      <c r="J2404" s="89">
        <f t="shared" si="1031"/>
        <v>1</v>
      </c>
      <c r="K2404" s="380">
        <v>1</v>
      </c>
      <c r="L2404" s="380">
        <v>1</v>
      </c>
      <c r="M2404" s="892"/>
    </row>
    <row r="2405" spans="1:13" hidden="1" outlineLevel="1" x14ac:dyDescent="0.2">
      <c r="A2405" s="22" t="s">
        <v>1545</v>
      </c>
      <c r="B2405" s="2" t="s">
        <v>252</v>
      </c>
      <c r="C2405" s="2" t="s">
        <v>1280</v>
      </c>
      <c r="D2405" s="716">
        <v>1</v>
      </c>
      <c r="E2405" s="4" t="s">
        <v>5</v>
      </c>
      <c r="F2405" s="47">
        <f t="shared" ref="F2405:I2405" si="1039">G2405</f>
        <v>0</v>
      </c>
      <c r="G2405" s="47">
        <f t="shared" si="1039"/>
        <v>0</v>
      </c>
      <c r="H2405" s="47">
        <f t="shared" si="1039"/>
        <v>0</v>
      </c>
      <c r="I2405" s="47">
        <f t="shared" si="1039"/>
        <v>0</v>
      </c>
      <c r="J2405" s="47">
        <f t="shared" si="1031"/>
        <v>0</v>
      </c>
      <c r="K2405" s="47">
        <v>0</v>
      </c>
      <c r="L2405" s="47">
        <v>0</v>
      </c>
      <c r="M2405" s="893"/>
    </row>
    <row r="2406" spans="1:13" hidden="1" outlineLevel="1" x14ac:dyDescent="0.2">
      <c r="A2406" s="22" t="s">
        <v>1545</v>
      </c>
      <c r="B2406" s="2" t="s">
        <v>252</v>
      </c>
      <c r="C2406" s="2" t="s">
        <v>1280</v>
      </c>
      <c r="D2406" s="716">
        <v>1</v>
      </c>
      <c r="E2406" s="4" t="s">
        <v>6</v>
      </c>
      <c r="F2406" s="47">
        <f t="shared" ref="F2406:I2406" si="1040">G2406</f>
        <v>0</v>
      </c>
      <c r="G2406" s="47">
        <f t="shared" si="1040"/>
        <v>0</v>
      </c>
      <c r="H2406" s="47">
        <f t="shared" si="1040"/>
        <v>0</v>
      </c>
      <c r="I2406" s="47">
        <f t="shared" si="1040"/>
        <v>0</v>
      </c>
      <c r="J2406" s="47">
        <f t="shared" si="1031"/>
        <v>0</v>
      </c>
      <c r="K2406" s="47">
        <v>0</v>
      </c>
      <c r="L2406" s="47">
        <v>0</v>
      </c>
      <c r="M2406" s="893"/>
    </row>
    <row r="2407" spans="1:13" hidden="1" outlineLevel="1" x14ac:dyDescent="0.2">
      <c r="A2407" s="22" t="s">
        <v>1545</v>
      </c>
      <c r="B2407" s="2" t="s">
        <v>252</v>
      </c>
      <c r="C2407" s="2" t="s">
        <v>1280</v>
      </c>
      <c r="D2407" s="716">
        <v>1</v>
      </c>
      <c r="E2407" s="4" t="s">
        <v>143</v>
      </c>
      <c r="F2407" s="47">
        <f t="shared" ref="F2407:I2407" si="1041">G2407</f>
        <v>0</v>
      </c>
      <c r="G2407" s="47">
        <f t="shared" si="1041"/>
        <v>0</v>
      </c>
      <c r="H2407" s="47">
        <f t="shared" si="1041"/>
        <v>0</v>
      </c>
      <c r="I2407" s="47">
        <f t="shared" si="1041"/>
        <v>0</v>
      </c>
      <c r="J2407" s="47">
        <f t="shared" si="1031"/>
        <v>0</v>
      </c>
      <c r="K2407" s="47">
        <v>0</v>
      </c>
      <c r="L2407" s="47">
        <v>0</v>
      </c>
      <c r="M2407" s="893"/>
    </row>
    <row r="2408" spans="1:13" hidden="1" outlineLevel="1" x14ac:dyDescent="0.2">
      <c r="A2408" s="22" t="s">
        <v>1545</v>
      </c>
      <c r="B2408" s="2" t="s">
        <v>252</v>
      </c>
      <c r="C2408" s="2" t="s">
        <v>1280</v>
      </c>
      <c r="D2408" s="716">
        <v>1</v>
      </c>
      <c r="E2408" s="4" t="s">
        <v>7</v>
      </c>
      <c r="F2408" s="47">
        <f t="shared" ref="F2408:I2408" si="1042">G2408</f>
        <v>0</v>
      </c>
      <c r="G2408" s="47">
        <f t="shared" si="1042"/>
        <v>0</v>
      </c>
      <c r="H2408" s="47">
        <f t="shared" si="1042"/>
        <v>0</v>
      </c>
      <c r="I2408" s="47">
        <f t="shared" si="1042"/>
        <v>0</v>
      </c>
      <c r="J2408" s="47">
        <f t="shared" si="1031"/>
        <v>0</v>
      </c>
      <c r="K2408" s="47">
        <v>0</v>
      </c>
      <c r="L2408" s="47">
        <v>0</v>
      </c>
      <c r="M2408" s="893"/>
    </row>
    <row r="2409" spans="1:13" hidden="1" outlineLevel="1" x14ac:dyDescent="0.2">
      <c r="A2409" s="22" t="s">
        <v>1545</v>
      </c>
      <c r="B2409" s="2" t="s">
        <v>252</v>
      </c>
      <c r="C2409" s="2" t="s">
        <v>1280</v>
      </c>
      <c r="D2409" s="716">
        <v>1</v>
      </c>
      <c r="E2409" s="4" t="s">
        <v>31</v>
      </c>
      <c r="F2409" s="47">
        <f t="shared" ref="F2409:I2409" si="1043">G2409</f>
        <v>1</v>
      </c>
      <c r="G2409" s="47">
        <f t="shared" si="1043"/>
        <v>1</v>
      </c>
      <c r="H2409" s="47">
        <f t="shared" si="1043"/>
        <v>1</v>
      </c>
      <c r="I2409" s="47">
        <f t="shared" si="1043"/>
        <v>1</v>
      </c>
      <c r="J2409" s="47">
        <f t="shared" si="1031"/>
        <v>1</v>
      </c>
      <c r="K2409" s="47">
        <v>1</v>
      </c>
      <c r="L2409" s="47">
        <v>1</v>
      </c>
      <c r="M2409" s="893"/>
    </row>
    <row r="2410" spans="1:13" hidden="1" outlineLevel="1" x14ac:dyDescent="0.2">
      <c r="A2410" s="22" t="s">
        <v>1545</v>
      </c>
      <c r="B2410" s="2" t="s">
        <v>252</v>
      </c>
      <c r="C2410" s="2" t="s">
        <v>1280</v>
      </c>
      <c r="D2410" s="716">
        <v>1</v>
      </c>
      <c r="E2410" s="4" t="s">
        <v>8</v>
      </c>
      <c r="F2410" s="47">
        <f t="shared" ref="F2410:I2410" si="1044">G2410</f>
        <v>1</v>
      </c>
      <c r="G2410" s="47">
        <f t="shared" si="1044"/>
        <v>1</v>
      </c>
      <c r="H2410" s="47">
        <f t="shared" si="1044"/>
        <v>1</v>
      </c>
      <c r="I2410" s="47">
        <f t="shared" si="1044"/>
        <v>1</v>
      </c>
      <c r="J2410" s="47">
        <f t="shared" si="1031"/>
        <v>1</v>
      </c>
      <c r="K2410" s="47">
        <v>1</v>
      </c>
      <c r="L2410" s="47">
        <v>1</v>
      </c>
      <c r="M2410" s="893"/>
    </row>
    <row r="2411" spans="1:13" hidden="1" outlineLevel="1" x14ac:dyDescent="0.2">
      <c r="A2411" s="22" t="s">
        <v>1545</v>
      </c>
      <c r="B2411" s="2" t="s">
        <v>252</v>
      </c>
      <c r="C2411" s="2" t="s">
        <v>1280</v>
      </c>
      <c r="D2411" s="716">
        <v>1</v>
      </c>
      <c r="E2411" s="4" t="s">
        <v>9</v>
      </c>
      <c r="F2411" s="47">
        <f t="shared" ref="F2411:I2411" si="1045">G2411</f>
        <v>1</v>
      </c>
      <c r="G2411" s="47">
        <f t="shared" si="1045"/>
        <v>1</v>
      </c>
      <c r="H2411" s="47">
        <f t="shared" si="1045"/>
        <v>1</v>
      </c>
      <c r="I2411" s="47">
        <f t="shared" si="1045"/>
        <v>1</v>
      </c>
      <c r="J2411" s="47">
        <f t="shared" si="1031"/>
        <v>1</v>
      </c>
      <c r="K2411" s="47">
        <v>1</v>
      </c>
      <c r="L2411" s="47">
        <v>1</v>
      </c>
      <c r="M2411" s="893"/>
    </row>
    <row r="2412" spans="1:13" hidden="1" outlineLevel="1" x14ac:dyDescent="0.2">
      <c r="A2412" s="22" t="s">
        <v>1545</v>
      </c>
      <c r="B2412" s="2" t="s">
        <v>252</v>
      </c>
      <c r="C2412" s="2" t="s">
        <v>1280</v>
      </c>
      <c r="D2412" s="716">
        <v>1</v>
      </c>
      <c r="E2412" s="4" t="s">
        <v>10</v>
      </c>
      <c r="F2412" s="47">
        <f t="shared" ref="F2412:I2412" si="1046">G2412</f>
        <v>0</v>
      </c>
      <c r="G2412" s="47">
        <f t="shared" si="1046"/>
        <v>0</v>
      </c>
      <c r="H2412" s="47">
        <f t="shared" si="1046"/>
        <v>0</v>
      </c>
      <c r="I2412" s="47">
        <f t="shared" si="1046"/>
        <v>0</v>
      </c>
      <c r="J2412" s="47">
        <f t="shared" si="1031"/>
        <v>0</v>
      </c>
      <c r="K2412" s="47">
        <v>0</v>
      </c>
      <c r="L2412" s="47">
        <v>0</v>
      </c>
      <c r="M2412" s="893"/>
    </row>
    <row r="2413" spans="1:13" hidden="1" outlineLevel="1" x14ac:dyDescent="0.2">
      <c r="A2413" s="22" t="s">
        <v>1545</v>
      </c>
      <c r="B2413" s="2" t="s">
        <v>252</v>
      </c>
      <c r="C2413" s="2" t="s">
        <v>1280</v>
      </c>
      <c r="D2413" s="716">
        <v>1</v>
      </c>
      <c r="E2413" s="4" t="s">
        <v>11</v>
      </c>
      <c r="F2413" s="47">
        <f t="shared" ref="F2413:I2413" si="1047">G2413</f>
        <v>0</v>
      </c>
      <c r="G2413" s="47">
        <f t="shared" si="1047"/>
        <v>0</v>
      </c>
      <c r="H2413" s="47">
        <f t="shared" si="1047"/>
        <v>0</v>
      </c>
      <c r="I2413" s="47">
        <f t="shared" si="1047"/>
        <v>0</v>
      </c>
      <c r="J2413" s="47">
        <f t="shared" si="1031"/>
        <v>0</v>
      </c>
      <c r="K2413" s="47">
        <v>0</v>
      </c>
      <c r="L2413" s="47">
        <v>0</v>
      </c>
      <c r="M2413" s="893"/>
    </row>
    <row r="2414" spans="1:13" hidden="1" outlineLevel="1" x14ac:dyDescent="0.2">
      <c r="A2414" s="22" t="s">
        <v>1545</v>
      </c>
      <c r="B2414" s="2" t="s">
        <v>252</v>
      </c>
      <c r="C2414" s="2" t="s">
        <v>1280</v>
      </c>
      <c r="D2414" s="716">
        <v>1</v>
      </c>
      <c r="E2414" s="4" t="s">
        <v>12</v>
      </c>
      <c r="F2414" s="47">
        <f t="shared" ref="F2414:I2414" si="1048">G2414</f>
        <v>0</v>
      </c>
      <c r="G2414" s="47">
        <f t="shared" si="1048"/>
        <v>0</v>
      </c>
      <c r="H2414" s="47">
        <f t="shared" si="1048"/>
        <v>0</v>
      </c>
      <c r="I2414" s="47">
        <f t="shared" si="1048"/>
        <v>0</v>
      </c>
      <c r="J2414" s="47">
        <f t="shared" si="1031"/>
        <v>0</v>
      </c>
      <c r="K2414" s="47">
        <v>0</v>
      </c>
      <c r="L2414" s="47">
        <v>0</v>
      </c>
      <c r="M2414" s="893"/>
    </row>
    <row r="2415" spans="1:13" hidden="1" outlineLevel="1" x14ac:dyDescent="0.2">
      <c r="A2415" s="22" t="s">
        <v>1545</v>
      </c>
      <c r="B2415" s="2" t="s">
        <v>252</v>
      </c>
      <c r="C2415" s="2" t="s">
        <v>1280</v>
      </c>
      <c r="D2415" s="716">
        <v>1</v>
      </c>
      <c r="E2415" s="4" t="s">
        <v>1</v>
      </c>
      <c r="F2415" s="47">
        <f t="shared" ref="F2415:I2415" si="1049">G2415</f>
        <v>0</v>
      </c>
      <c r="G2415" s="47">
        <f t="shared" si="1049"/>
        <v>0</v>
      </c>
      <c r="H2415" s="47">
        <f t="shared" si="1049"/>
        <v>0</v>
      </c>
      <c r="I2415" s="47">
        <f t="shared" si="1049"/>
        <v>0</v>
      </c>
      <c r="J2415" s="47">
        <f t="shared" si="1031"/>
        <v>0</v>
      </c>
      <c r="K2415" s="47">
        <v>0</v>
      </c>
      <c r="L2415" s="47">
        <v>0</v>
      </c>
      <c r="M2415" s="893"/>
    </row>
    <row r="2416" spans="1:13" hidden="1" outlineLevel="1" x14ac:dyDescent="0.2">
      <c r="A2416" s="22" t="s">
        <v>1545</v>
      </c>
      <c r="B2416" s="2" t="s">
        <v>252</v>
      </c>
      <c r="C2416" s="2" t="s">
        <v>1280</v>
      </c>
      <c r="D2416" s="716">
        <v>1</v>
      </c>
      <c r="E2416" s="4" t="s">
        <v>13</v>
      </c>
      <c r="F2416" s="47">
        <f t="shared" ref="F2416:I2416" si="1050">G2416</f>
        <v>0</v>
      </c>
      <c r="G2416" s="47">
        <f t="shared" si="1050"/>
        <v>0</v>
      </c>
      <c r="H2416" s="47">
        <f t="shared" si="1050"/>
        <v>0</v>
      </c>
      <c r="I2416" s="47">
        <f t="shared" si="1050"/>
        <v>0</v>
      </c>
      <c r="J2416" s="47">
        <f t="shared" si="1031"/>
        <v>0</v>
      </c>
      <c r="K2416" s="47">
        <v>0</v>
      </c>
      <c r="L2416" s="47">
        <v>0</v>
      </c>
      <c r="M2416" s="893"/>
    </row>
    <row r="2417" spans="1:13" hidden="1" outlineLevel="1" x14ac:dyDescent="0.2">
      <c r="A2417" s="22" t="s">
        <v>1545</v>
      </c>
      <c r="B2417" s="2" t="s">
        <v>252</v>
      </c>
      <c r="C2417" s="2" t="s">
        <v>1280</v>
      </c>
      <c r="D2417" s="716">
        <v>1</v>
      </c>
      <c r="E2417" s="4" t="s">
        <v>14</v>
      </c>
      <c r="F2417" s="47">
        <f t="shared" ref="F2417:I2417" si="1051">G2417</f>
        <v>0</v>
      </c>
      <c r="G2417" s="47">
        <f t="shared" si="1051"/>
        <v>0</v>
      </c>
      <c r="H2417" s="47">
        <f t="shared" si="1051"/>
        <v>0</v>
      </c>
      <c r="I2417" s="47">
        <f t="shared" si="1051"/>
        <v>0</v>
      </c>
      <c r="J2417" s="47">
        <f t="shared" si="1031"/>
        <v>0</v>
      </c>
      <c r="K2417" s="47">
        <v>0</v>
      </c>
      <c r="L2417" s="47">
        <v>0</v>
      </c>
      <c r="M2417" s="893"/>
    </row>
    <row r="2418" spans="1:13" hidden="1" outlineLevel="1" x14ac:dyDescent="0.2">
      <c r="A2418" s="22" t="s">
        <v>1545</v>
      </c>
      <c r="B2418" s="2" t="s">
        <v>252</v>
      </c>
      <c r="C2418" s="2" t="s">
        <v>1280</v>
      </c>
      <c r="D2418" s="716">
        <v>1</v>
      </c>
      <c r="E2418" s="4" t="s">
        <v>15</v>
      </c>
      <c r="F2418" s="47">
        <f t="shared" ref="F2418:I2418" si="1052">G2418</f>
        <v>0</v>
      </c>
      <c r="G2418" s="47">
        <f t="shared" si="1052"/>
        <v>0</v>
      </c>
      <c r="H2418" s="47">
        <f t="shared" si="1052"/>
        <v>0</v>
      </c>
      <c r="I2418" s="47">
        <f t="shared" si="1052"/>
        <v>0</v>
      </c>
      <c r="J2418" s="47">
        <f t="shared" si="1031"/>
        <v>0</v>
      </c>
      <c r="K2418" s="47">
        <v>0</v>
      </c>
      <c r="L2418" s="47">
        <v>0</v>
      </c>
      <c r="M2418" s="893"/>
    </row>
    <row r="2419" spans="1:13" hidden="1" outlineLevel="1" x14ac:dyDescent="0.2">
      <c r="A2419" s="22" t="s">
        <v>1545</v>
      </c>
      <c r="B2419" s="2" t="s">
        <v>252</v>
      </c>
      <c r="C2419" s="2" t="s">
        <v>1280</v>
      </c>
      <c r="D2419" s="716">
        <v>1</v>
      </c>
      <c r="E2419" s="4" t="s">
        <v>16</v>
      </c>
      <c r="F2419" s="47">
        <f t="shared" ref="F2419:I2419" si="1053">G2419</f>
        <v>0</v>
      </c>
      <c r="G2419" s="47">
        <f t="shared" si="1053"/>
        <v>0</v>
      </c>
      <c r="H2419" s="47">
        <f t="shared" si="1053"/>
        <v>0</v>
      </c>
      <c r="I2419" s="47">
        <f t="shared" si="1053"/>
        <v>0</v>
      </c>
      <c r="J2419" s="47">
        <f t="shared" si="1031"/>
        <v>0</v>
      </c>
      <c r="K2419" s="47">
        <v>0</v>
      </c>
      <c r="L2419" s="47">
        <v>0</v>
      </c>
      <c r="M2419" s="893"/>
    </row>
    <row r="2420" spans="1:13" hidden="1" outlineLevel="1" x14ac:dyDescent="0.2">
      <c r="A2420" s="22" t="s">
        <v>1545</v>
      </c>
      <c r="B2420" s="2" t="s">
        <v>252</v>
      </c>
      <c r="C2420" s="2" t="s">
        <v>1280</v>
      </c>
      <c r="D2420" s="716">
        <v>1</v>
      </c>
      <c r="E2420" s="4" t="s">
        <v>17</v>
      </c>
      <c r="F2420" s="47">
        <f t="shared" ref="F2420:I2420" si="1054">G2420</f>
        <v>0</v>
      </c>
      <c r="G2420" s="47">
        <f t="shared" si="1054"/>
        <v>0</v>
      </c>
      <c r="H2420" s="47">
        <f t="shared" si="1054"/>
        <v>0</v>
      </c>
      <c r="I2420" s="47">
        <f t="shared" si="1054"/>
        <v>0</v>
      </c>
      <c r="J2420" s="47">
        <f t="shared" si="1031"/>
        <v>0</v>
      </c>
      <c r="K2420" s="47">
        <v>0</v>
      </c>
      <c r="L2420" s="47">
        <v>0</v>
      </c>
      <c r="M2420" s="893"/>
    </row>
    <row r="2421" spans="1:13" hidden="1" outlineLevel="1" x14ac:dyDescent="0.2">
      <c r="A2421" s="22" t="s">
        <v>1545</v>
      </c>
      <c r="B2421" s="2" t="s">
        <v>252</v>
      </c>
      <c r="C2421" s="2" t="s">
        <v>1280</v>
      </c>
      <c r="D2421" s="716">
        <v>1</v>
      </c>
      <c r="E2421" s="4" t="s">
        <v>18</v>
      </c>
      <c r="F2421" s="47">
        <f t="shared" ref="F2421:I2421" si="1055">G2421</f>
        <v>0</v>
      </c>
      <c r="G2421" s="47">
        <f t="shared" si="1055"/>
        <v>0</v>
      </c>
      <c r="H2421" s="47">
        <f t="shared" si="1055"/>
        <v>0</v>
      </c>
      <c r="I2421" s="47">
        <f t="shared" si="1055"/>
        <v>0</v>
      </c>
      <c r="J2421" s="47">
        <f t="shared" si="1031"/>
        <v>0</v>
      </c>
      <c r="K2421" s="47">
        <v>0</v>
      </c>
      <c r="L2421" s="47">
        <v>0</v>
      </c>
      <c r="M2421" s="893"/>
    </row>
    <row r="2422" spans="1:13" hidden="1" outlineLevel="1" x14ac:dyDescent="0.2">
      <c r="A2422" s="22" t="s">
        <v>1545</v>
      </c>
      <c r="B2422" s="2" t="s">
        <v>252</v>
      </c>
      <c r="C2422" s="2" t="s">
        <v>1280</v>
      </c>
      <c r="D2422" s="716">
        <v>1</v>
      </c>
      <c r="E2422" s="4" t="s">
        <v>2</v>
      </c>
      <c r="F2422" s="47">
        <f t="shared" ref="F2422:I2422" si="1056">G2422</f>
        <v>0</v>
      </c>
      <c r="G2422" s="47">
        <f t="shared" si="1056"/>
        <v>0</v>
      </c>
      <c r="H2422" s="47">
        <f t="shared" si="1056"/>
        <v>0</v>
      </c>
      <c r="I2422" s="47">
        <f t="shared" si="1056"/>
        <v>0</v>
      </c>
      <c r="J2422" s="47">
        <f t="shared" si="1031"/>
        <v>0</v>
      </c>
      <c r="K2422" s="47">
        <v>0</v>
      </c>
      <c r="L2422" s="47">
        <v>0</v>
      </c>
      <c r="M2422" s="893"/>
    </row>
    <row r="2423" spans="1:13" hidden="1" outlineLevel="1" x14ac:dyDescent="0.2">
      <c r="A2423" s="22" t="s">
        <v>1545</v>
      </c>
      <c r="B2423" s="2" t="s">
        <v>252</v>
      </c>
      <c r="C2423" s="2" t="s">
        <v>1280</v>
      </c>
      <c r="D2423" s="716">
        <v>1</v>
      </c>
      <c r="E2423" s="4" t="s">
        <v>19</v>
      </c>
      <c r="F2423" s="47">
        <f t="shared" ref="F2423:I2423" si="1057">G2423</f>
        <v>0</v>
      </c>
      <c r="G2423" s="47">
        <f t="shared" si="1057"/>
        <v>0</v>
      </c>
      <c r="H2423" s="47">
        <f t="shared" si="1057"/>
        <v>0</v>
      </c>
      <c r="I2423" s="47">
        <f t="shared" si="1057"/>
        <v>0</v>
      </c>
      <c r="J2423" s="47">
        <f t="shared" si="1031"/>
        <v>0</v>
      </c>
      <c r="K2423" s="47">
        <v>0</v>
      </c>
      <c r="L2423" s="47">
        <v>0</v>
      </c>
      <c r="M2423" s="893"/>
    </row>
    <row r="2424" spans="1:13" hidden="1" outlineLevel="1" x14ac:dyDescent="0.2">
      <c r="A2424" s="22" t="s">
        <v>1545</v>
      </c>
      <c r="B2424" s="2" t="s">
        <v>252</v>
      </c>
      <c r="C2424" s="2" t="s">
        <v>1280</v>
      </c>
      <c r="D2424" s="716">
        <v>1</v>
      </c>
      <c r="E2424" s="4" t="s">
        <v>3</v>
      </c>
      <c r="F2424" s="47">
        <f t="shared" ref="F2424:I2424" si="1058">G2424</f>
        <v>0</v>
      </c>
      <c r="G2424" s="47">
        <f t="shared" si="1058"/>
        <v>0</v>
      </c>
      <c r="H2424" s="47">
        <f t="shared" si="1058"/>
        <v>0</v>
      </c>
      <c r="I2424" s="47">
        <f t="shared" si="1058"/>
        <v>0</v>
      </c>
      <c r="J2424" s="47">
        <f t="shared" si="1031"/>
        <v>0</v>
      </c>
      <c r="K2424" s="47">
        <v>0</v>
      </c>
      <c r="L2424" s="47">
        <v>0</v>
      </c>
      <c r="M2424" s="893"/>
    </row>
    <row r="2425" spans="1:13" hidden="1" outlineLevel="1" x14ac:dyDescent="0.2">
      <c r="A2425" s="22" t="s">
        <v>1545</v>
      </c>
      <c r="B2425" s="2" t="s">
        <v>252</v>
      </c>
      <c r="C2425" s="2" t="s">
        <v>1280</v>
      </c>
      <c r="D2425" s="716">
        <v>1</v>
      </c>
      <c r="E2425" s="4" t="s">
        <v>20</v>
      </c>
      <c r="F2425" s="47">
        <f t="shared" ref="F2425:I2425" si="1059">G2425</f>
        <v>0</v>
      </c>
      <c r="G2425" s="47">
        <f t="shared" si="1059"/>
        <v>0</v>
      </c>
      <c r="H2425" s="47">
        <f t="shared" si="1059"/>
        <v>0</v>
      </c>
      <c r="I2425" s="47">
        <f t="shared" si="1059"/>
        <v>0</v>
      </c>
      <c r="J2425" s="47">
        <f t="shared" si="1031"/>
        <v>0</v>
      </c>
      <c r="K2425" s="47">
        <v>0</v>
      </c>
      <c r="L2425" s="47">
        <v>1</v>
      </c>
      <c r="M2425" s="893"/>
    </row>
    <row r="2426" spans="1:13" hidden="1" outlineLevel="1" x14ac:dyDescent="0.2">
      <c r="A2426" s="22" t="s">
        <v>1545</v>
      </c>
      <c r="B2426" s="2" t="s">
        <v>252</v>
      </c>
      <c r="C2426" s="2" t="s">
        <v>1280</v>
      </c>
      <c r="D2426" s="716">
        <v>1</v>
      </c>
      <c r="E2426" s="4" t="s">
        <v>21</v>
      </c>
      <c r="F2426" s="47">
        <f t="shared" ref="F2426:I2426" si="1060">G2426</f>
        <v>0</v>
      </c>
      <c r="G2426" s="47">
        <f t="shared" si="1060"/>
        <v>0</v>
      </c>
      <c r="H2426" s="47">
        <f t="shared" si="1060"/>
        <v>0</v>
      </c>
      <c r="I2426" s="47">
        <f t="shared" si="1060"/>
        <v>0</v>
      </c>
      <c r="J2426" s="47">
        <f t="shared" si="1031"/>
        <v>0</v>
      </c>
      <c r="K2426" s="47">
        <v>0</v>
      </c>
      <c r="L2426" s="47">
        <v>0</v>
      </c>
      <c r="M2426" s="893"/>
    </row>
    <row r="2427" spans="1:13" hidden="1" outlineLevel="1" x14ac:dyDescent="0.2">
      <c r="A2427" s="22" t="s">
        <v>1545</v>
      </c>
      <c r="B2427" s="2" t="s">
        <v>252</v>
      </c>
      <c r="C2427" s="2" t="s">
        <v>1280</v>
      </c>
      <c r="D2427" s="716">
        <v>1</v>
      </c>
      <c r="E2427" s="4" t="s">
        <v>1096</v>
      </c>
      <c r="F2427" s="47">
        <f t="shared" ref="F2427:I2427" si="1061">G2427</f>
        <v>0</v>
      </c>
      <c r="G2427" s="47">
        <f t="shared" si="1061"/>
        <v>0</v>
      </c>
      <c r="H2427" s="47">
        <f t="shared" si="1061"/>
        <v>0</v>
      </c>
      <c r="I2427" s="47">
        <f t="shared" si="1061"/>
        <v>0</v>
      </c>
      <c r="J2427" s="47">
        <f t="shared" si="1031"/>
        <v>0</v>
      </c>
      <c r="K2427" s="47">
        <v>0</v>
      </c>
      <c r="L2427" s="47">
        <v>0</v>
      </c>
      <c r="M2427" s="893"/>
    </row>
    <row r="2428" spans="1:13" hidden="1" outlineLevel="1" x14ac:dyDescent="0.2">
      <c r="A2428" s="22" t="s">
        <v>1545</v>
      </c>
      <c r="B2428" s="2" t="s">
        <v>252</v>
      </c>
      <c r="C2428" s="2" t="s">
        <v>1280</v>
      </c>
      <c r="D2428" s="716">
        <v>1</v>
      </c>
      <c r="E2428" s="4" t="s">
        <v>22</v>
      </c>
      <c r="F2428" s="47">
        <f t="shared" ref="F2428:I2428" si="1062">G2428</f>
        <v>0</v>
      </c>
      <c r="G2428" s="47">
        <f t="shared" si="1062"/>
        <v>0</v>
      </c>
      <c r="H2428" s="47">
        <f t="shared" si="1062"/>
        <v>0</v>
      </c>
      <c r="I2428" s="47">
        <f t="shared" si="1062"/>
        <v>0</v>
      </c>
      <c r="J2428" s="47">
        <f t="shared" si="1031"/>
        <v>0</v>
      </c>
      <c r="K2428" s="47">
        <v>0</v>
      </c>
      <c r="L2428" s="47">
        <v>0</v>
      </c>
      <c r="M2428" s="893"/>
    </row>
    <row r="2429" spans="1:13" hidden="1" outlineLevel="1" x14ac:dyDescent="0.2">
      <c r="A2429" s="22" t="s">
        <v>1545</v>
      </c>
      <c r="B2429" s="2" t="s">
        <v>252</v>
      </c>
      <c r="C2429" s="3" t="s">
        <v>1280</v>
      </c>
      <c r="D2429" s="717">
        <v>1</v>
      </c>
      <c r="E2429" s="4" t="s">
        <v>23</v>
      </c>
      <c r="F2429" s="48">
        <f t="shared" ref="F2429:I2470" si="1063">G2429</f>
        <v>0</v>
      </c>
      <c r="G2429" s="48">
        <f t="shared" si="1063"/>
        <v>0</v>
      </c>
      <c r="H2429" s="48">
        <f t="shared" si="1063"/>
        <v>0</v>
      </c>
      <c r="I2429" s="48">
        <f t="shared" si="1063"/>
        <v>0</v>
      </c>
      <c r="J2429" s="48">
        <f t="shared" si="1031"/>
        <v>0</v>
      </c>
      <c r="K2429" s="363">
        <v>0</v>
      </c>
      <c r="L2429" s="363">
        <v>0</v>
      </c>
      <c r="M2429" s="920"/>
    </row>
    <row r="2430" spans="1:13" hidden="1" outlineLevel="1" x14ac:dyDescent="0.2">
      <c r="A2430" s="92" t="s">
        <v>1545</v>
      </c>
      <c r="B2430" s="81" t="s">
        <v>252</v>
      </c>
      <c r="C2430" s="81" t="s">
        <v>3268</v>
      </c>
      <c r="D2430" s="715">
        <v>1</v>
      </c>
      <c r="E2430" s="468" t="s">
        <v>4</v>
      </c>
      <c r="F2430" s="380">
        <f t="shared" si="1063"/>
        <v>1</v>
      </c>
      <c r="G2430" s="89">
        <f t="shared" si="1063"/>
        <v>1</v>
      </c>
      <c r="H2430" s="89">
        <f t="shared" si="1063"/>
        <v>1</v>
      </c>
      <c r="I2430" s="89">
        <f t="shared" si="1063"/>
        <v>1</v>
      </c>
      <c r="J2430" s="89">
        <f t="shared" si="1031"/>
        <v>1</v>
      </c>
      <c r="K2430" s="380">
        <v>1</v>
      </c>
      <c r="L2430" s="380">
        <v>0</v>
      </c>
      <c r="M2430" s="892"/>
    </row>
    <row r="2431" spans="1:13" hidden="1" outlineLevel="1" x14ac:dyDescent="0.2">
      <c r="A2431" s="22" t="s">
        <v>1545</v>
      </c>
      <c r="B2431" s="2" t="s">
        <v>252</v>
      </c>
      <c r="C2431" s="2" t="s">
        <v>3268</v>
      </c>
      <c r="D2431" s="716">
        <v>1</v>
      </c>
      <c r="E2431" s="4" t="s">
        <v>5</v>
      </c>
      <c r="F2431" s="47">
        <f t="shared" si="1063"/>
        <v>0</v>
      </c>
      <c r="G2431" s="47">
        <f t="shared" si="1063"/>
        <v>0</v>
      </c>
      <c r="H2431" s="47">
        <f t="shared" si="1063"/>
        <v>0</v>
      </c>
      <c r="I2431" s="47">
        <f t="shared" si="1063"/>
        <v>0</v>
      </c>
      <c r="J2431" s="47">
        <f t="shared" si="1031"/>
        <v>0</v>
      </c>
      <c r="K2431" s="47">
        <v>0</v>
      </c>
      <c r="L2431" s="47">
        <v>0</v>
      </c>
      <c r="M2431" s="893"/>
    </row>
    <row r="2432" spans="1:13" hidden="1" outlineLevel="1" x14ac:dyDescent="0.2">
      <c r="A2432" s="22" t="s">
        <v>1545</v>
      </c>
      <c r="B2432" s="2" t="s">
        <v>252</v>
      </c>
      <c r="C2432" s="2" t="s">
        <v>3268</v>
      </c>
      <c r="D2432" s="716">
        <v>1</v>
      </c>
      <c r="E2432" s="4" t="s">
        <v>6</v>
      </c>
      <c r="F2432" s="47">
        <f t="shared" si="1063"/>
        <v>0</v>
      </c>
      <c r="G2432" s="47">
        <f t="shared" si="1063"/>
        <v>0</v>
      </c>
      <c r="H2432" s="47">
        <f t="shared" si="1063"/>
        <v>0</v>
      </c>
      <c r="I2432" s="47">
        <f t="shared" si="1063"/>
        <v>0</v>
      </c>
      <c r="J2432" s="47">
        <f t="shared" si="1031"/>
        <v>0</v>
      </c>
      <c r="K2432" s="47">
        <v>0</v>
      </c>
      <c r="L2432" s="47">
        <v>0</v>
      </c>
      <c r="M2432" s="893"/>
    </row>
    <row r="2433" spans="1:13" hidden="1" outlineLevel="1" x14ac:dyDescent="0.2">
      <c r="A2433" s="22" t="s">
        <v>1545</v>
      </c>
      <c r="B2433" s="2" t="s">
        <v>252</v>
      </c>
      <c r="C2433" s="2" t="s">
        <v>3268</v>
      </c>
      <c r="D2433" s="716">
        <v>1</v>
      </c>
      <c r="E2433" s="4" t="s">
        <v>143</v>
      </c>
      <c r="F2433" s="47">
        <f t="shared" si="1063"/>
        <v>0</v>
      </c>
      <c r="G2433" s="47">
        <f t="shared" si="1063"/>
        <v>0</v>
      </c>
      <c r="H2433" s="47">
        <f t="shared" si="1063"/>
        <v>0</v>
      </c>
      <c r="I2433" s="47">
        <f t="shared" si="1063"/>
        <v>0</v>
      </c>
      <c r="J2433" s="47">
        <f t="shared" si="1031"/>
        <v>0</v>
      </c>
      <c r="K2433" s="47">
        <v>0</v>
      </c>
      <c r="L2433" s="47">
        <v>0</v>
      </c>
      <c r="M2433" s="893"/>
    </row>
    <row r="2434" spans="1:13" hidden="1" outlineLevel="1" x14ac:dyDescent="0.2">
      <c r="A2434" s="22" t="s">
        <v>1545</v>
      </c>
      <c r="B2434" s="2" t="s">
        <v>252</v>
      </c>
      <c r="C2434" s="2" t="s">
        <v>3268</v>
      </c>
      <c r="D2434" s="716">
        <v>1</v>
      </c>
      <c r="E2434" s="4" t="s">
        <v>7</v>
      </c>
      <c r="F2434" s="47">
        <f t="shared" si="1063"/>
        <v>0</v>
      </c>
      <c r="G2434" s="47">
        <f t="shared" si="1063"/>
        <v>0</v>
      </c>
      <c r="H2434" s="47">
        <f t="shared" si="1063"/>
        <v>0</v>
      </c>
      <c r="I2434" s="47">
        <f t="shared" si="1063"/>
        <v>0</v>
      </c>
      <c r="J2434" s="47">
        <f t="shared" si="1031"/>
        <v>0</v>
      </c>
      <c r="K2434" s="47">
        <v>0</v>
      </c>
      <c r="L2434" s="47">
        <v>0</v>
      </c>
      <c r="M2434" s="893"/>
    </row>
    <row r="2435" spans="1:13" hidden="1" outlineLevel="1" x14ac:dyDescent="0.2">
      <c r="A2435" s="22" t="s">
        <v>1545</v>
      </c>
      <c r="B2435" s="2" t="s">
        <v>252</v>
      </c>
      <c r="C2435" s="2" t="s">
        <v>3268</v>
      </c>
      <c r="D2435" s="716">
        <v>1</v>
      </c>
      <c r="E2435" s="4" t="s">
        <v>31</v>
      </c>
      <c r="F2435" s="47">
        <f t="shared" si="1063"/>
        <v>1</v>
      </c>
      <c r="G2435" s="47">
        <f t="shared" si="1063"/>
        <v>1</v>
      </c>
      <c r="H2435" s="47">
        <f t="shared" si="1063"/>
        <v>1</v>
      </c>
      <c r="I2435" s="47">
        <f t="shared" si="1063"/>
        <v>1</v>
      </c>
      <c r="J2435" s="47">
        <f t="shared" si="1031"/>
        <v>1</v>
      </c>
      <c r="K2435" s="47">
        <v>1</v>
      </c>
      <c r="L2435" s="47">
        <v>1</v>
      </c>
      <c r="M2435" s="893"/>
    </row>
    <row r="2436" spans="1:13" hidden="1" outlineLevel="1" x14ac:dyDescent="0.2">
      <c r="A2436" s="22" t="s">
        <v>1545</v>
      </c>
      <c r="B2436" s="2" t="s">
        <v>252</v>
      </c>
      <c r="C2436" s="2" t="s">
        <v>3268</v>
      </c>
      <c r="D2436" s="716">
        <v>1</v>
      </c>
      <c r="E2436" s="4" t="s">
        <v>8</v>
      </c>
      <c r="F2436" s="47">
        <f t="shared" si="1063"/>
        <v>1</v>
      </c>
      <c r="G2436" s="47">
        <f t="shared" si="1063"/>
        <v>1</v>
      </c>
      <c r="H2436" s="47">
        <f t="shared" si="1063"/>
        <v>1</v>
      </c>
      <c r="I2436" s="47">
        <f t="shared" si="1063"/>
        <v>1</v>
      </c>
      <c r="J2436" s="47">
        <f t="shared" si="1031"/>
        <v>1</v>
      </c>
      <c r="K2436" s="47">
        <v>1</v>
      </c>
      <c r="L2436" s="47">
        <v>0</v>
      </c>
      <c r="M2436" s="893"/>
    </row>
    <row r="2437" spans="1:13" hidden="1" outlineLevel="1" x14ac:dyDescent="0.2">
      <c r="A2437" s="22" t="s">
        <v>1545</v>
      </c>
      <c r="B2437" s="2" t="s">
        <v>252</v>
      </c>
      <c r="C2437" s="2" t="s">
        <v>3268</v>
      </c>
      <c r="D2437" s="716">
        <v>1</v>
      </c>
      <c r="E2437" s="4" t="s">
        <v>9</v>
      </c>
      <c r="F2437" s="47">
        <f t="shared" si="1063"/>
        <v>1</v>
      </c>
      <c r="G2437" s="47">
        <f t="shared" si="1063"/>
        <v>1</v>
      </c>
      <c r="H2437" s="47">
        <f t="shared" si="1063"/>
        <v>1</v>
      </c>
      <c r="I2437" s="47">
        <f t="shared" si="1063"/>
        <v>1</v>
      </c>
      <c r="J2437" s="47">
        <f t="shared" si="1031"/>
        <v>1</v>
      </c>
      <c r="K2437" s="47">
        <v>1</v>
      </c>
      <c r="L2437" s="47">
        <v>0</v>
      </c>
      <c r="M2437" s="893"/>
    </row>
    <row r="2438" spans="1:13" hidden="1" outlineLevel="1" x14ac:dyDescent="0.2">
      <c r="A2438" s="22" t="s">
        <v>1545</v>
      </c>
      <c r="B2438" s="2" t="s">
        <v>252</v>
      </c>
      <c r="C2438" s="2" t="s">
        <v>3268</v>
      </c>
      <c r="D2438" s="716">
        <v>1</v>
      </c>
      <c r="E2438" s="4" t="s">
        <v>10</v>
      </c>
      <c r="F2438" s="47">
        <f t="shared" si="1063"/>
        <v>0</v>
      </c>
      <c r="G2438" s="47">
        <f t="shared" si="1063"/>
        <v>0</v>
      </c>
      <c r="H2438" s="47">
        <f t="shared" si="1063"/>
        <v>0</v>
      </c>
      <c r="I2438" s="47">
        <f t="shared" si="1063"/>
        <v>0</v>
      </c>
      <c r="J2438" s="47">
        <f t="shared" si="1031"/>
        <v>0</v>
      </c>
      <c r="K2438" s="47">
        <v>0</v>
      </c>
      <c r="L2438" s="47">
        <v>0</v>
      </c>
      <c r="M2438" s="893"/>
    </row>
    <row r="2439" spans="1:13" hidden="1" outlineLevel="1" x14ac:dyDescent="0.2">
      <c r="A2439" s="22" t="s">
        <v>1545</v>
      </c>
      <c r="B2439" s="2" t="s">
        <v>252</v>
      </c>
      <c r="C2439" s="2" t="s">
        <v>3268</v>
      </c>
      <c r="D2439" s="716">
        <v>1</v>
      </c>
      <c r="E2439" s="4" t="s">
        <v>11</v>
      </c>
      <c r="F2439" s="47">
        <f t="shared" si="1063"/>
        <v>0</v>
      </c>
      <c r="G2439" s="47">
        <f t="shared" si="1063"/>
        <v>0</v>
      </c>
      <c r="H2439" s="47">
        <f t="shared" si="1063"/>
        <v>0</v>
      </c>
      <c r="I2439" s="47">
        <f t="shared" si="1063"/>
        <v>0</v>
      </c>
      <c r="J2439" s="47">
        <f t="shared" si="1031"/>
        <v>0</v>
      </c>
      <c r="K2439" s="47">
        <v>0</v>
      </c>
      <c r="L2439" s="47">
        <v>0</v>
      </c>
      <c r="M2439" s="893"/>
    </row>
    <row r="2440" spans="1:13" hidden="1" outlineLevel="1" x14ac:dyDescent="0.2">
      <c r="A2440" s="22" t="s">
        <v>1545</v>
      </c>
      <c r="B2440" s="2" t="s">
        <v>252</v>
      </c>
      <c r="C2440" s="2" t="s">
        <v>3268</v>
      </c>
      <c r="D2440" s="716">
        <v>1</v>
      </c>
      <c r="E2440" s="4" t="s">
        <v>12</v>
      </c>
      <c r="F2440" s="47">
        <f t="shared" si="1063"/>
        <v>0</v>
      </c>
      <c r="G2440" s="47">
        <f t="shared" si="1063"/>
        <v>0</v>
      </c>
      <c r="H2440" s="47">
        <f t="shared" si="1063"/>
        <v>0</v>
      </c>
      <c r="I2440" s="47">
        <f t="shared" si="1063"/>
        <v>0</v>
      </c>
      <c r="J2440" s="47">
        <f t="shared" si="1031"/>
        <v>0</v>
      </c>
      <c r="K2440" s="47">
        <v>0</v>
      </c>
      <c r="L2440" s="47">
        <v>0</v>
      </c>
      <c r="M2440" s="893"/>
    </row>
    <row r="2441" spans="1:13" hidden="1" outlineLevel="1" x14ac:dyDescent="0.2">
      <c r="A2441" s="22" t="s">
        <v>1545</v>
      </c>
      <c r="B2441" s="2" t="s">
        <v>252</v>
      </c>
      <c r="C2441" s="2" t="s">
        <v>3268</v>
      </c>
      <c r="D2441" s="716">
        <v>1</v>
      </c>
      <c r="E2441" s="4" t="s">
        <v>1</v>
      </c>
      <c r="F2441" s="47">
        <f t="shared" si="1063"/>
        <v>0</v>
      </c>
      <c r="G2441" s="47">
        <f t="shared" si="1063"/>
        <v>0</v>
      </c>
      <c r="H2441" s="47">
        <f t="shared" si="1063"/>
        <v>0</v>
      </c>
      <c r="I2441" s="47">
        <f t="shared" si="1063"/>
        <v>0</v>
      </c>
      <c r="J2441" s="47">
        <f t="shared" si="1031"/>
        <v>0</v>
      </c>
      <c r="K2441" s="47">
        <v>0</v>
      </c>
      <c r="L2441" s="47">
        <v>0</v>
      </c>
      <c r="M2441" s="893"/>
    </row>
    <row r="2442" spans="1:13" hidden="1" outlineLevel="1" x14ac:dyDescent="0.2">
      <c r="A2442" s="22" t="s">
        <v>1545</v>
      </c>
      <c r="B2442" s="2" t="s">
        <v>252</v>
      </c>
      <c r="C2442" s="2" t="s">
        <v>3268</v>
      </c>
      <c r="D2442" s="716">
        <v>1</v>
      </c>
      <c r="E2442" s="4" t="s">
        <v>13</v>
      </c>
      <c r="F2442" s="47">
        <f t="shared" si="1063"/>
        <v>0</v>
      </c>
      <c r="G2442" s="47">
        <f t="shared" si="1063"/>
        <v>0</v>
      </c>
      <c r="H2442" s="47">
        <f t="shared" si="1063"/>
        <v>0</v>
      </c>
      <c r="I2442" s="47">
        <f t="shared" si="1063"/>
        <v>0</v>
      </c>
      <c r="J2442" s="47">
        <f t="shared" si="1031"/>
        <v>0</v>
      </c>
      <c r="K2442" s="47">
        <v>0</v>
      </c>
      <c r="L2442" s="47">
        <v>0</v>
      </c>
      <c r="M2442" s="893"/>
    </row>
    <row r="2443" spans="1:13" hidden="1" outlineLevel="1" x14ac:dyDescent="0.2">
      <c r="A2443" s="22" t="s">
        <v>1545</v>
      </c>
      <c r="B2443" s="2" t="s">
        <v>252</v>
      </c>
      <c r="C2443" s="2" t="s">
        <v>3268</v>
      </c>
      <c r="D2443" s="716">
        <v>1</v>
      </c>
      <c r="E2443" s="4" t="s">
        <v>14</v>
      </c>
      <c r="F2443" s="47">
        <f t="shared" si="1063"/>
        <v>0</v>
      </c>
      <c r="G2443" s="47">
        <f t="shared" si="1063"/>
        <v>0</v>
      </c>
      <c r="H2443" s="47">
        <f t="shared" si="1063"/>
        <v>0</v>
      </c>
      <c r="I2443" s="47">
        <f t="shared" si="1063"/>
        <v>0</v>
      </c>
      <c r="J2443" s="47">
        <f t="shared" si="1031"/>
        <v>0</v>
      </c>
      <c r="K2443" s="47">
        <v>0</v>
      </c>
      <c r="L2443" s="47">
        <v>0</v>
      </c>
      <c r="M2443" s="893"/>
    </row>
    <row r="2444" spans="1:13" hidden="1" outlineLevel="1" x14ac:dyDescent="0.2">
      <c r="A2444" s="22" t="s">
        <v>1545</v>
      </c>
      <c r="B2444" s="2" t="s">
        <v>252</v>
      </c>
      <c r="C2444" s="2" t="s">
        <v>3268</v>
      </c>
      <c r="D2444" s="716">
        <v>1</v>
      </c>
      <c r="E2444" s="4" t="s">
        <v>15</v>
      </c>
      <c r="F2444" s="47">
        <f t="shared" si="1063"/>
        <v>0</v>
      </c>
      <c r="G2444" s="47">
        <f t="shared" si="1063"/>
        <v>0</v>
      </c>
      <c r="H2444" s="47">
        <f t="shared" si="1063"/>
        <v>0</v>
      </c>
      <c r="I2444" s="47">
        <f t="shared" si="1063"/>
        <v>0</v>
      </c>
      <c r="J2444" s="47">
        <f t="shared" si="1031"/>
        <v>0</v>
      </c>
      <c r="K2444" s="47">
        <v>0</v>
      </c>
      <c r="L2444" s="47">
        <v>0</v>
      </c>
      <c r="M2444" s="893"/>
    </row>
    <row r="2445" spans="1:13" hidden="1" outlineLevel="1" x14ac:dyDescent="0.2">
      <c r="A2445" s="22" t="s">
        <v>1545</v>
      </c>
      <c r="B2445" s="2" t="s">
        <v>252</v>
      </c>
      <c r="C2445" s="2" t="s">
        <v>3268</v>
      </c>
      <c r="D2445" s="716">
        <v>1</v>
      </c>
      <c r="E2445" s="4" t="s">
        <v>16</v>
      </c>
      <c r="F2445" s="47">
        <f t="shared" si="1063"/>
        <v>0</v>
      </c>
      <c r="G2445" s="47">
        <f t="shared" si="1063"/>
        <v>0</v>
      </c>
      <c r="H2445" s="47">
        <f t="shared" si="1063"/>
        <v>0</v>
      </c>
      <c r="I2445" s="47">
        <f t="shared" si="1063"/>
        <v>0</v>
      </c>
      <c r="J2445" s="47">
        <f t="shared" si="1031"/>
        <v>0</v>
      </c>
      <c r="K2445" s="47">
        <v>0</v>
      </c>
      <c r="L2445" s="47">
        <v>0</v>
      </c>
      <c r="M2445" s="893"/>
    </row>
    <row r="2446" spans="1:13" hidden="1" outlineLevel="1" x14ac:dyDescent="0.2">
      <c r="A2446" s="22" t="s">
        <v>1545</v>
      </c>
      <c r="B2446" s="2" t="s">
        <v>252</v>
      </c>
      <c r="C2446" s="2" t="s">
        <v>3268</v>
      </c>
      <c r="D2446" s="716">
        <v>1</v>
      </c>
      <c r="E2446" s="4" t="s">
        <v>17</v>
      </c>
      <c r="F2446" s="47">
        <f t="shared" si="1063"/>
        <v>0</v>
      </c>
      <c r="G2446" s="47">
        <f t="shared" si="1063"/>
        <v>0</v>
      </c>
      <c r="H2446" s="47">
        <f t="shared" si="1063"/>
        <v>0</v>
      </c>
      <c r="I2446" s="47">
        <f t="shared" si="1063"/>
        <v>0</v>
      </c>
      <c r="J2446" s="47">
        <f t="shared" si="1031"/>
        <v>0</v>
      </c>
      <c r="K2446" s="47">
        <v>0</v>
      </c>
      <c r="L2446" s="47">
        <v>0</v>
      </c>
      <c r="M2446" s="893"/>
    </row>
    <row r="2447" spans="1:13" hidden="1" outlineLevel="1" x14ac:dyDescent="0.2">
      <c r="A2447" s="22" t="s">
        <v>1545</v>
      </c>
      <c r="B2447" s="2" t="s">
        <v>252</v>
      </c>
      <c r="C2447" s="2" t="s">
        <v>3268</v>
      </c>
      <c r="D2447" s="716">
        <v>1</v>
      </c>
      <c r="E2447" s="4" t="s">
        <v>18</v>
      </c>
      <c r="F2447" s="47">
        <f t="shared" si="1063"/>
        <v>0</v>
      </c>
      <c r="G2447" s="47">
        <f t="shared" si="1063"/>
        <v>0</v>
      </c>
      <c r="H2447" s="47">
        <f t="shared" si="1063"/>
        <v>0</v>
      </c>
      <c r="I2447" s="47">
        <f t="shared" si="1063"/>
        <v>0</v>
      </c>
      <c r="J2447" s="47">
        <f t="shared" si="1031"/>
        <v>0</v>
      </c>
      <c r="K2447" s="47">
        <v>0</v>
      </c>
      <c r="L2447" s="47">
        <v>0</v>
      </c>
      <c r="M2447" s="893"/>
    </row>
    <row r="2448" spans="1:13" hidden="1" outlineLevel="1" x14ac:dyDescent="0.2">
      <c r="A2448" s="22" t="s">
        <v>1545</v>
      </c>
      <c r="B2448" s="2" t="s">
        <v>252</v>
      </c>
      <c r="C2448" s="2" t="s">
        <v>3268</v>
      </c>
      <c r="D2448" s="716">
        <v>1</v>
      </c>
      <c r="E2448" s="4" t="s">
        <v>2</v>
      </c>
      <c r="F2448" s="47">
        <f t="shared" si="1063"/>
        <v>0</v>
      </c>
      <c r="G2448" s="47">
        <f t="shared" si="1063"/>
        <v>0</v>
      </c>
      <c r="H2448" s="47">
        <f t="shared" si="1063"/>
        <v>0</v>
      </c>
      <c r="I2448" s="47">
        <f t="shared" si="1063"/>
        <v>0</v>
      </c>
      <c r="J2448" s="47">
        <f t="shared" si="1031"/>
        <v>0</v>
      </c>
      <c r="K2448" s="47">
        <v>0</v>
      </c>
      <c r="L2448" s="47">
        <v>0</v>
      </c>
      <c r="M2448" s="893"/>
    </row>
    <row r="2449" spans="1:13" hidden="1" outlineLevel="1" x14ac:dyDescent="0.2">
      <c r="A2449" s="22" t="s">
        <v>1545</v>
      </c>
      <c r="B2449" s="2" t="s">
        <v>252</v>
      </c>
      <c r="C2449" s="2" t="s">
        <v>3268</v>
      </c>
      <c r="D2449" s="716">
        <v>1</v>
      </c>
      <c r="E2449" s="4" t="s">
        <v>19</v>
      </c>
      <c r="F2449" s="47">
        <f t="shared" si="1063"/>
        <v>0</v>
      </c>
      <c r="G2449" s="47">
        <f t="shared" si="1063"/>
        <v>0</v>
      </c>
      <c r="H2449" s="47">
        <f t="shared" si="1063"/>
        <v>0</v>
      </c>
      <c r="I2449" s="47">
        <f t="shared" si="1063"/>
        <v>0</v>
      </c>
      <c r="J2449" s="47">
        <f t="shared" si="1031"/>
        <v>0</v>
      </c>
      <c r="K2449" s="47">
        <v>0</v>
      </c>
      <c r="L2449" s="47">
        <v>0</v>
      </c>
      <c r="M2449" s="893"/>
    </row>
    <row r="2450" spans="1:13" hidden="1" outlineLevel="1" x14ac:dyDescent="0.2">
      <c r="A2450" s="22" t="s">
        <v>1545</v>
      </c>
      <c r="B2450" s="2" t="s">
        <v>252</v>
      </c>
      <c r="C2450" s="2" t="s">
        <v>3268</v>
      </c>
      <c r="D2450" s="716">
        <v>1</v>
      </c>
      <c r="E2450" s="4" t="s">
        <v>3</v>
      </c>
      <c r="F2450" s="47">
        <f t="shared" si="1063"/>
        <v>0</v>
      </c>
      <c r="G2450" s="47">
        <f t="shared" si="1063"/>
        <v>0</v>
      </c>
      <c r="H2450" s="47">
        <f t="shared" si="1063"/>
        <v>0</v>
      </c>
      <c r="I2450" s="47">
        <f t="shared" si="1063"/>
        <v>0</v>
      </c>
      <c r="J2450" s="47">
        <f t="shared" si="1031"/>
        <v>0</v>
      </c>
      <c r="K2450" s="47">
        <v>0</v>
      </c>
      <c r="L2450" s="47">
        <v>0</v>
      </c>
      <c r="M2450" s="893"/>
    </row>
    <row r="2451" spans="1:13" hidden="1" outlineLevel="1" x14ac:dyDescent="0.2">
      <c r="A2451" s="22" t="s">
        <v>1545</v>
      </c>
      <c r="B2451" s="2" t="s">
        <v>252</v>
      </c>
      <c r="C2451" s="2" t="s">
        <v>3268</v>
      </c>
      <c r="D2451" s="716">
        <v>1</v>
      </c>
      <c r="E2451" s="4" t="s">
        <v>20</v>
      </c>
      <c r="F2451" s="47">
        <f t="shared" si="1063"/>
        <v>0</v>
      </c>
      <c r="G2451" s="47">
        <f t="shared" si="1063"/>
        <v>0</v>
      </c>
      <c r="H2451" s="47">
        <f t="shared" si="1063"/>
        <v>0</v>
      </c>
      <c r="I2451" s="47">
        <f t="shared" si="1063"/>
        <v>0</v>
      </c>
      <c r="J2451" s="47">
        <f t="shared" si="1031"/>
        <v>0</v>
      </c>
      <c r="K2451" s="47">
        <v>0</v>
      </c>
      <c r="L2451" s="47">
        <v>0</v>
      </c>
      <c r="M2451" s="893"/>
    </row>
    <row r="2452" spans="1:13" hidden="1" outlineLevel="1" x14ac:dyDescent="0.2">
      <c r="A2452" s="22" t="s">
        <v>1545</v>
      </c>
      <c r="B2452" s="2" t="s">
        <v>252</v>
      </c>
      <c r="C2452" s="2" t="s">
        <v>3268</v>
      </c>
      <c r="D2452" s="716">
        <v>1</v>
      </c>
      <c r="E2452" s="4" t="s">
        <v>21</v>
      </c>
      <c r="F2452" s="47">
        <f t="shared" si="1063"/>
        <v>0</v>
      </c>
      <c r="G2452" s="47">
        <f t="shared" si="1063"/>
        <v>0</v>
      </c>
      <c r="H2452" s="47">
        <f t="shared" si="1063"/>
        <v>0</v>
      </c>
      <c r="I2452" s="47">
        <f t="shared" si="1063"/>
        <v>0</v>
      </c>
      <c r="J2452" s="47">
        <f t="shared" si="1031"/>
        <v>0</v>
      </c>
      <c r="K2452" s="47">
        <v>0</v>
      </c>
      <c r="L2452" s="47">
        <v>0</v>
      </c>
      <c r="M2452" s="893"/>
    </row>
    <row r="2453" spans="1:13" hidden="1" outlineLevel="1" x14ac:dyDescent="0.2">
      <c r="A2453" s="22" t="s">
        <v>1545</v>
      </c>
      <c r="B2453" s="2" t="s">
        <v>252</v>
      </c>
      <c r="C2453" s="2" t="s">
        <v>3268</v>
      </c>
      <c r="D2453" s="716">
        <v>1</v>
      </c>
      <c r="E2453" s="4" t="s">
        <v>1096</v>
      </c>
      <c r="F2453" s="47">
        <f t="shared" si="1063"/>
        <v>0</v>
      </c>
      <c r="G2453" s="47">
        <f t="shared" si="1063"/>
        <v>0</v>
      </c>
      <c r="H2453" s="47">
        <f t="shared" si="1063"/>
        <v>0</v>
      </c>
      <c r="I2453" s="47">
        <f t="shared" si="1063"/>
        <v>0</v>
      </c>
      <c r="J2453" s="47">
        <f t="shared" si="1031"/>
        <v>0</v>
      </c>
      <c r="K2453" s="47">
        <v>0</v>
      </c>
      <c r="L2453" s="47">
        <v>0</v>
      </c>
      <c r="M2453" s="893"/>
    </row>
    <row r="2454" spans="1:13" hidden="1" outlineLevel="1" x14ac:dyDescent="0.2">
      <c r="A2454" s="22" t="s">
        <v>1545</v>
      </c>
      <c r="B2454" s="2" t="s">
        <v>252</v>
      </c>
      <c r="C2454" s="2" t="s">
        <v>3268</v>
      </c>
      <c r="D2454" s="716">
        <v>1</v>
      </c>
      <c r="E2454" s="4" t="s">
        <v>22</v>
      </c>
      <c r="F2454" s="47">
        <f t="shared" si="1063"/>
        <v>0</v>
      </c>
      <c r="G2454" s="47">
        <f t="shared" si="1063"/>
        <v>0</v>
      </c>
      <c r="H2454" s="47">
        <f t="shared" si="1063"/>
        <v>0</v>
      </c>
      <c r="I2454" s="47">
        <f t="shared" si="1063"/>
        <v>0</v>
      </c>
      <c r="J2454" s="47">
        <f t="shared" si="1031"/>
        <v>0</v>
      </c>
      <c r="K2454" s="47">
        <v>0</v>
      </c>
      <c r="L2454" s="47">
        <v>0</v>
      </c>
      <c r="M2454" s="893"/>
    </row>
    <row r="2455" spans="1:13" hidden="1" outlineLevel="1" x14ac:dyDescent="0.2">
      <c r="A2455" s="22" t="s">
        <v>1545</v>
      </c>
      <c r="B2455" s="2" t="s">
        <v>252</v>
      </c>
      <c r="C2455" s="3" t="s">
        <v>3268</v>
      </c>
      <c r="D2455" s="717">
        <v>1</v>
      </c>
      <c r="E2455" s="4" t="s">
        <v>23</v>
      </c>
      <c r="F2455" s="48">
        <f t="shared" ref="F2455" si="1064">G2455</f>
        <v>0</v>
      </c>
      <c r="G2455" s="48">
        <f t="shared" ref="G2455" si="1065">H2455</f>
        <v>0</v>
      </c>
      <c r="H2455" s="48">
        <f t="shared" ref="H2455" si="1066">I2455</f>
        <v>0</v>
      </c>
      <c r="I2455" s="48">
        <f t="shared" ref="I2455" si="1067">J2455</f>
        <v>0</v>
      </c>
      <c r="J2455" s="48">
        <f t="shared" si="1031"/>
        <v>0</v>
      </c>
      <c r="K2455" s="363">
        <v>0</v>
      </c>
      <c r="L2455" s="363">
        <v>0</v>
      </c>
      <c r="M2455" s="920"/>
    </row>
    <row r="2456" spans="1:13" hidden="1" outlineLevel="1" x14ac:dyDescent="0.2">
      <c r="A2456" s="92" t="s">
        <v>1545</v>
      </c>
      <c r="B2456" s="81" t="s">
        <v>252</v>
      </c>
      <c r="C2456" s="81" t="s">
        <v>1282</v>
      </c>
      <c r="D2456" s="715">
        <v>1</v>
      </c>
      <c r="E2456" s="468" t="s">
        <v>4</v>
      </c>
      <c r="F2456" s="380">
        <f t="shared" si="1063"/>
        <v>0</v>
      </c>
      <c r="G2456" s="89">
        <f t="shared" si="1063"/>
        <v>0</v>
      </c>
      <c r="H2456" s="89">
        <f t="shared" si="1063"/>
        <v>0</v>
      </c>
      <c r="I2456" s="89">
        <f t="shared" si="1063"/>
        <v>0</v>
      </c>
      <c r="J2456" s="89">
        <f t="shared" si="1031"/>
        <v>0</v>
      </c>
      <c r="K2456" s="380">
        <v>0</v>
      </c>
      <c r="L2456" s="380">
        <v>1</v>
      </c>
      <c r="M2456" s="892"/>
    </row>
    <row r="2457" spans="1:13" hidden="1" outlineLevel="1" x14ac:dyDescent="0.2">
      <c r="A2457" s="22" t="s">
        <v>1545</v>
      </c>
      <c r="B2457" s="2" t="s">
        <v>252</v>
      </c>
      <c r="C2457" s="2" t="s">
        <v>1282</v>
      </c>
      <c r="D2457" s="716">
        <v>1</v>
      </c>
      <c r="E2457" s="4" t="s">
        <v>5</v>
      </c>
      <c r="F2457" s="47">
        <f t="shared" si="1063"/>
        <v>0</v>
      </c>
      <c r="G2457" s="47">
        <f t="shared" si="1063"/>
        <v>0</v>
      </c>
      <c r="H2457" s="47">
        <f t="shared" si="1063"/>
        <v>0</v>
      </c>
      <c r="I2457" s="47">
        <f t="shared" si="1063"/>
        <v>0</v>
      </c>
      <c r="J2457" s="47">
        <f t="shared" si="1031"/>
        <v>0</v>
      </c>
      <c r="K2457" s="47">
        <v>0</v>
      </c>
      <c r="L2457" s="47">
        <v>0</v>
      </c>
      <c r="M2457" s="893"/>
    </row>
    <row r="2458" spans="1:13" hidden="1" outlineLevel="1" x14ac:dyDescent="0.2">
      <c r="A2458" s="22" t="s">
        <v>1545</v>
      </c>
      <c r="B2458" s="2" t="s">
        <v>252</v>
      </c>
      <c r="C2458" s="2" t="s">
        <v>1282</v>
      </c>
      <c r="D2458" s="716">
        <v>1</v>
      </c>
      <c r="E2458" s="4" t="s">
        <v>6</v>
      </c>
      <c r="F2458" s="47">
        <f t="shared" si="1063"/>
        <v>0</v>
      </c>
      <c r="G2458" s="47">
        <f t="shared" si="1063"/>
        <v>0</v>
      </c>
      <c r="H2458" s="47">
        <f t="shared" si="1063"/>
        <v>0</v>
      </c>
      <c r="I2458" s="47">
        <f t="shared" si="1063"/>
        <v>0</v>
      </c>
      <c r="J2458" s="47">
        <f t="shared" si="1031"/>
        <v>0</v>
      </c>
      <c r="K2458" s="47">
        <v>0</v>
      </c>
      <c r="L2458" s="47">
        <v>0</v>
      </c>
      <c r="M2458" s="893"/>
    </row>
    <row r="2459" spans="1:13" hidden="1" outlineLevel="1" x14ac:dyDescent="0.2">
      <c r="A2459" s="22" t="s">
        <v>1545</v>
      </c>
      <c r="B2459" s="2" t="s">
        <v>252</v>
      </c>
      <c r="C2459" s="2" t="s">
        <v>1282</v>
      </c>
      <c r="D2459" s="716">
        <v>1</v>
      </c>
      <c r="E2459" s="4" t="s">
        <v>143</v>
      </c>
      <c r="F2459" s="47">
        <f t="shared" si="1063"/>
        <v>0</v>
      </c>
      <c r="G2459" s="47">
        <f t="shared" si="1063"/>
        <v>0</v>
      </c>
      <c r="H2459" s="47">
        <f t="shared" si="1063"/>
        <v>0</v>
      </c>
      <c r="I2459" s="47">
        <f t="shared" si="1063"/>
        <v>0</v>
      </c>
      <c r="J2459" s="47">
        <f t="shared" si="1031"/>
        <v>0</v>
      </c>
      <c r="K2459" s="47">
        <v>0</v>
      </c>
      <c r="L2459" s="47">
        <v>0</v>
      </c>
      <c r="M2459" s="893"/>
    </row>
    <row r="2460" spans="1:13" hidden="1" outlineLevel="1" x14ac:dyDescent="0.2">
      <c r="A2460" s="22" t="s">
        <v>1545</v>
      </c>
      <c r="B2460" s="2" t="s">
        <v>252</v>
      </c>
      <c r="C2460" s="2" t="s">
        <v>1282</v>
      </c>
      <c r="D2460" s="716">
        <v>1</v>
      </c>
      <c r="E2460" s="4" t="s">
        <v>7</v>
      </c>
      <c r="F2460" s="47">
        <f t="shared" si="1063"/>
        <v>0</v>
      </c>
      <c r="G2460" s="47">
        <f t="shared" si="1063"/>
        <v>0</v>
      </c>
      <c r="H2460" s="47">
        <f t="shared" si="1063"/>
        <v>0</v>
      </c>
      <c r="I2460" s="47">
        <f t="shared" si="1063"/>
        <v>0</v>
      </c>
      <c r="J2460" s="47">
        <f t="shared" si="1031"/>
        <v>0</v>
      </c>
      <c r="K2460" s="47">
        <v>0</v>
      </c>
      <c r="L2460" s="47">
        <v>1</v>
      </c>
      <c r="M2460" s="893"/>
    </row>
    <row r="2461" spans="1:13" hidden="1" outlineLevel="1" x14ac:dyDescent="0.2">
      <c r="A2461" s="22" t="s">
        <v>1545</v>
      </c>
      <c r="B2461" s="2" t="s">
        <v>252</v>
      </c>
      <c r="C2461" s="2" t="s">
        <v>1282</v>
      </c>
      <c r="D2461" s="716">
        <v>1</v>
      </c>
      <c r="E2461" s="4" t="s">
        <v>31</v>
      </c>
      <c r="F2461" s="47">
        <f t="shared" si="1063"/>
        <v>0</v>
      </c>
      <c r="G2461" s="47">
        <f t="shared" si="1063"/>
        <v>0</v>
      </c>
      <c r="H2461" s="47">
        <f t="shared" si="1063"/>
        <v>0</v>
      </c>
      <c r="I2461" s="47">
        <f t="shared" si="1063"/>
        <v>0</v>
      </c>
      <c r="J2461" s="47">
        <f t="shared" ref="J2461:J2467" si="1068">K2461</f>
        <v>0</v>
      </c>
      <c r="K2461" s="47">
        <v>0</v>
      </c>
      <c r="L2461" s="47">
        <v>1</v>
      </c>
      <c r="M2461" s="893"/>
    </row>
    <row r="2462" spans="1:13" hidden="1" outlineLevel="1" x14ac:dyDescent="0.2">
      <c r="A2462" s="22" t="s">
        <v>1545</v>
      </c>
      <c r="B2462" s="2" t="s">
        <v>252</v>
      </c>
      <c r="C2462" s="2" t="s">
        <v>1282</v>
      </c>
      <c r="D2462" s="716">
        <v>1</v>
      </c>
      <c r="E2462" s="4" t="s">
        <v>8</v>
      </c>
      <c r="F2462" s="47">
        <f t="shared" si="1063"/>
        <v>0</v>
      </c>
      <c r="G2462" s="47">
        <f t="shared" si="1063"/>
        <v>0</v>
      </c>
      <c r="H2462" s="47">
        <f t="shared" si="1063"/>
        <v>0</v>
      </c>
      <c r="I2462" s="47">
        <f t="shared" si="1063"/>
        <v>0</v>
      </c>
      <c r="J2462" s="47">
        <f t="shared" si="1068"/>
        <v>0</v>
      </c>
      <c r="K2462" s="47">
        <v>0</v>
      </c>
      <c r="L2462" s="47">
        <v>1</v>
      </c>
      <c r="M2462" s="893"/>
    </row>
    <row r="2463" spans="1:13" hidden="1" outlineLevel="1" x14ac:dyDescent="0.2">
      <c r="A2463" s="22" t="s">
        <v>1545</v>
      </c>
      <c r="B2463" s="2" t="s">
        <v>252</v>
      </c>
      <c r="C2463" s="2" t="s">
        <v>1282</v>
      </c>
      <c r="D2463" s="716">
        <v>1</v>
      </c>
      <c r="E2463" s="4" t="s">
        <v>9</v>
      </c>
      <c r="F2463" s="47">
        <f t="shared" si="1063"/>
        <v>0</v>
      </c>
      <c r="G2463" s="47">
        <f t="shared" si="1063"/>
        <v>0</v>
      </c>
      <c r="H2463" s="47">
        <f t="shared" si="1063"/>
        <v>0</v>
      </c>
      <c r="I2463" s="47">
        <f t="shared" si="1063"/>
        <v>0</v>
      </c>
      <c r="J2463" s="47">
        <f t="shared" si="1068"/>
        <v>0</v>
      </c>
      <c r="K2463" s="47">
        <v>0</v>
      </c>
      <c r="L2463" s="47">
        <v>1</v>
      </c>
      <c r="M2463" s="893"/>
    </row>
    <row r="2464" spans="1:13" hidden="1" outlineLevel="1" x14ac:dyDescent="0.2">
      <c r="A2464" s="22" t="s">
        <v>1545</v>
      </c>
      <c r="B2464" s="2" t="s">
        <v>252</v>
      </c>
      <c r="C2464" s="2" t="s">
        <v>1282</v>
      </c>
      <c r="D2464" s="716">
        <v>1</v>
      </c>
      <c r="E2464" s="4" t="s">
        <v>10</v>
      </c>
      <c r="F2464" s="47">
        <f t="shared" si="1063"/>
        <v>0</v>
      </c>
      <c r="G2464" s="47">
        <f t="shared" si="1063"/>
        <v>0</v>
      </c>
      <c r="H2464" s="47">
        <f t="shared" si="1063"/>
        <v>0</v>
      </c>
      <c r="I2464" s="47">
        <f t="shared" si="1063"/>
        <v>0</v>
      </c>
      <c r="J2464" s="47">
        <f t="shared" si="1068"/>
        <v>0</v>
      </c>
      <c r="K2464" s="47">
        <v>0</v>
      </c>
      <c r="L2464" s="47">
        <v>1</v>
      </c>
      <c r="M2464" s="893"/>
    </row>
    <row r="2465" spans="1:13" hidden="1" outlineLevel="1" x14ac:dyDescent="0.2">
      <c r="A2465" s="22" t="s">
        <v>1545</v>
      </c>
      <c r="B2465" s="2" t="s">
        <v>252</v>
      </c>
      <c r="C2465" s="2" t="s">
        <v>1282</v>
      </c>
      <c r="D2465" s="716">
        <v>1</v>
      </c>
      <c r="E2465" s="4" t="s">
        <v>11</v>
      </c>
      <c r="F2465" s="47">
        <f t="shared" si="1063"/>
        <v>0</v>
      </c>
      <c r="G2465" s="47">
        <f t="shared" si="1063"/>
        <v>0</v>
      </c>
      <c r="H2465" s="47">
        <f t="shared" si="1063"/>
        <v>0</v>
      </c>
      <c r="I2465" s="47">
        <f t="shared" si="1063"/>
        <v>0</v>
      </c>
      <c r="J2465" s="47">
        <f t="shared" si="1068"/>
        <v>0</v>
      </c>
      <c r="K2465" s="47">
        <v>0</v>
      </c>
      <c r="L2465" s="47">
        <v>1</v>
      </c>
      <c r="M2465" s="893"/>
    </row>
    <row r="2466" spans="1:13" hidden="1" outlineLevel="1" x14ac:dyDescent="0.2">
      <c r="A2466" s="22" t="s">
        <v>1545</v>
      </c>
      <c r="B2466" s="2" t="s">
        <v>252</v>
      </c>
      <c r="C2466" s="2" t="s">
        <v>1282</v>
      </c>
      <c r="D2466" s="716">
        <v>1</v>
      </c>
      <c r="E2466" s="4" t="s">
        <v>12</v>
      </c>
      <c r="F2466" s="47">
        <f t="shared" si="1063"/>
        <v>0</v>
      </c>
      <c r="G2466" s="47">
        <f t="shared" si="1063"/>
        <v>0</v>
      </c>
      <c r="H2466" s="47">
        <f t="shared" si="1063"/>
        <v>0</v>
      </c>
      <c r="I2466" s="47">
        <f t="shared" si="1063"/>
        <v>0</v>
      </c>
      <c r="J2466" s="47">
        <f t="shared" si="1068"/>
        <v>0</v>
      </c>
      <c r="K2466" s="47">
        <v>0</v>
      </c>
      <c r="L2466" s="47">
        <v>1</v>
      </c>
      <c r="M2466" s="893"/>
    </row>
    <row r="2467" spans="1:13" hidden="1" outlineLevel="1" x14ac:dyDescent="0.2">
      <c r="A2467" s="22" t="s">
        <v>1545</v>
      </c>
      <c r="B2467" s="2" t="s">
        <v>252</v>
      </c>
      <c r="C2467" s="2" t="s">
        <v>1282</v>
      </c>
      <c r="D2467" s="716">
        <v>1</v>
      </c>
      <c r="E2467" s="4" t="s">
        <v>1</v>
      </c>
      <c r="F2467" s="47">
        <f t="shared" si="1063"/>
        <v>0</v>
      </c>
      <c r="G2467" s="47">
        <f t="shared" si="1063"/>
        <v>0</v>
      </c>
      <c r="H2467" s="47">
        <f t="shared" si="1063"/>
        <v>0</v>
      </c>
      <c r="I2467" s="47">
        <f t="shared" si="1063"/>
        <v>0</v>
      </c>
      <c r="J2467" s="47">
        <f t="shared" si="1068"/>
        <v>0</v>
      </c>
      <c r="K2467" s="47">
        <v>0</v>
      </c>
      <c r="L2467" s="47">
        <v>1</v>
      </c>
      <c r="M2467" s="893"/>
    </row>
    <row r="2468" spans="1:13" hidden="1" outlineLevel="1" x14ac:dyDescent="0.2">
      <c r="A2468" s="22" t="s">
        <v>1545</v>
      </c>
      <c r="B2468" s="2" t="s">
        <v>252</v>
      </c>
      <c r="C2468" s="2" t="s">
        <v>1282</v>
      </c>
      <c r="D2468" s="716">
        <v>1</v>
      </c>
      <c r="E2468" s="4" t="s">
        <v>13</v>
      </c>
      <c r="F2468" s="47">
        <f t="shared" si="1063"/>
        <v>1</v>
      </c>
      <c r="G2468" s="47">
        <f t="shared" si="1063"/>
        <v>1</v>
      </c>
      <c r="H2468" s="47">
        <f t="shared" si="1063"/>
        <v>1</v>
      </c>
      <c r="I2468" s="47">
        <f t="shared" si="1063"/>
        <v>1</v>
      </c>
      <c r="J2468" s="47">
        <f t="shared" ref="J2468:J2507" si="1069">K2468</f>
        <v>1</v>
      </c>
      <c r="K2468" s="47">
        <v>1</v>
      </c>
      <c r="L2468" s="47">
        <v>1</v>
      </c>
      <c r="M2468" s="893"/>
    </row>
    <row r="2469" spans="1:13" hidden="1" outlineLevel="1" x14ac:dyDescent="0.2">
      <c r="A2469" s="22" t="s">
        <v>1545</v>
      </c>
      <c r="B2469" s="2" t="s">
        <v>252</v>
      </c>
      <c r="C2469" s="2" t="s">
        <v>1282</v>
      </c>
      <c r="D2469" s="716">
        <v>1</v>
      </c>
      <c r="E2469" s="4" t="s">
        <v>14</v>
      </c>
      <c r="F2469" s="47">
        <f t="shared" si="1063"/>
        <v>0</v>
      </c>
      <c r="G2469" s="47">
        <f t="shared" si="1063"/>
        <v>0</v>
      </c>
      <c r="H2469" s="47">
        <f t="shared" si="1063"/>
        <v>0</v>
      </c>
      <c r="I2469" s="47">
        <f t="shared" si="1063"/>
        <v>0</v>
      </c>
      <c r="J2469" s="47">
        <f t="shared" si="1069"/>
        <v>0</v>
      </c>
      <c r="K2469" s="47">
        <v>0</v>
      </c>
      <c r="L2469" s="47">
        <v>1</v>
      </c>
      <c r="M2469" s="893"/>
    </row>
    <row r="2470" spans="1:13" hidden="1" outlineLevel="1" x14ac:dyDescent="0.2">
      <c r="A2470" s="22" t="s">
        <v>1545</v>
      </c>
      <c r="B2470" s="2" t="s">
        <v>252</v>
      </c>
      <c r="C2470" s="2" t="s">
        <v>1282</v>
      </c>
      <c r="D2470" s="716">
        <v>1</v>
      </c>
      <c r="E2470" s="4" t="s">
        <v>15</v>
      </c>
      <c r="F2470" s="47">
        <f t="shared" si="1063"/>
        <v>0</v>
      </c>
      <c r="G2470" s="47">
        <f t="shared" si="1063"/>
        <v>0</v>
      </c>
      <c r="H2470" s="47">
        <f t="shared" si="1063"/>
        <v>0</v>
      </c>
      <c r="I2470" s="47">
        <f t="shared" si="1063"/>
        <v>0</v>
      </c>
      <c r="J2470" s="47">
        <f t="shared" si="1069"/>
        <v>0</v>
      </c>
      <c r="K2470" s="47">
        <v>0</v>
      </c>
      <c r="L2470" s="47">
        <v>1</v>
      </c>
      <c r="M2470" s="893"/>
    </row>
    <row r="2471" spans="1:13" hidden="1" outlineLevel="1" x14ac:dyDescent="0.2">
      <c r="A2471" s="22" t="s">
        <v>1545</v>
      </c>
      <c r="B2471" s="2" t="s">
        <v>252</v>
      </c>
      <c r="C2471" s="2" t="s">
        <v>1282</v>
      </c>
      <c r="D2471" s="716">
        <v>1</v>
      </c>
      <c r="E2471" s="4" t="s">
        <v>16</v>
      </c>
      <c r="F2471" s="47">
        <f t="shared" ref="F2471:F2481" si="1070">G2471</f>
        <v>1</v>
      </c>
      <c r="G2471" s="47">
        <f t="shared" ref="G2471:G2481" si="1071">H2471</f>
        <v>1</v>
      </c>
      <c r="H2471" s="47">
        <f t="shared" ref="H2471:H2481" si="1072">I2471</f>
        <v>1</v>
      </c>
      <c r="I2471" s="47">
        <f t="shared" ref="I2471:I2481" si="1073">J2471</f>
        <v>1</v>
      </c>
      <c r="J2471" s="47">
        <f t="shared" si="1069"/>
        <v>1</v>
      </c>
      <c r="K2471" s="47">
        <v>1</v>
      </c>
      <c r="L2471" s="47">
        <v>1</v>
      </c>
      <c r="M2471" s="893"/>
    </row>
    <row r="2472" spans="1:13" hidden="1" outlineLevel="1" x14ac:dyDescent="0.2">
      <c r="A2472" s="22" t="s">
        <v>1545</v>
      </c>
      <c r="B2472" s="2" t="s">
        <v>252</v>
      </c>
      <c r="C2472" s="2" t="s">
        <v>1282</v>
      </c>
      <c r="D2472" s="716">
        <v>1</v>
      </c>
      <c r="E2472" s="4" t="s">
        <v>17</v>
      </c>
      <c r="F2472" s="47">
        <f t="shared" si="1070"/>
        <v>0</v>
      </c>
      <c r="G2472" s="47">
        <f t="shared" si="1071"/>
        <v>0</v>
      </c>
      <c r="H2472" s="47">
        <f t="shared" si="1072"/>
        <v>0</v>
      </c>
      <c r="I2472" s="47">
        <f t="shared" si="1073"/>
        <v>0</v>
      </c>
      <c r="J2472" s="47">
        <f t="shared" si="1069"/>
        <v>0</v>
      </c>
      <c r="K2472" s="47">
        <v>0</v>
      </c>
      <c r="L2472" s="47">
        <v>1</v>
      </c>
      <c r="M2472" s="893"/>
    </row>
    <row r="2473" spans="1:13" hidden="1" outlineLevel="1" x14ac:dyDescent="0.2">
      <c r="A2473" s="22" t="s">
        <v>1545</v>
      </c>
      <c r="B2473" s="2" t="s">
        <v>252</v>
      </c>
      <c r="C2473" s="2" t="s">
        <v>1282</v>
      </c>
      <c r="D2473" s="716">
        <v>1</v>
      </c>
      <c r="E2473" s="4" t="s">
        <v>18</v>
      </c>
      <c r="F2473" s="47">
        <f t="shared" si="1070"/>
        <v>1</v>
      </c>
      <c r="G2473" s="47">
        <f t="shared" si="1071"/>
        <v>1</v>
      </c>
      <c r="H2473" s="47">
        <f t="shared" si="1072"/>
        <v>1</v>
      </c>
      <c r="I2473" s="47">
        <f t="shared" si="1073"/>
        <v>1</v>
      </c>
      <c r="J2473" s="47">
        <f t="shared" si="1069"/>
        <v>1</v>
      </c>
      <c r="K2473" s="47">
        <v>1</v>
      </c>
      <c r="L2473" s="47">
        <v>1</v>
      </c>
      <c r="M2473" s="893"/>
    </row>
    <row r="2474" spans="1:13" hidden="1" outlineLevel="1" x14ac:dyDescent="0.2">
      <c r="A2474" s="22" t="s">
        <v>1545</v>
      </c>
      <c r="B2474" s="2" t="s">
        <v>252</v>
      </c>
      <c r="C2474" s="2" t="s">
        <v>1282</v>
      </c>
      <c r="D2474" s="716">
        <v>1</v>
      </c>
      <c r="E2474" s="4" t="s">
        <v>2</v>
      </c>
      <c r="F2474" s="47">
        <f t="shared" si="1070"/>
        <v>0</v>
      </c>
      <c r="G2474" s="47">
        <f t="shared" si="1071"/>
        <v>0</v>
      </c>
      <c r="H2474" s="47">
        <f t="shared" si="1072"/>
        <v>0</v>
      </c>
      <c r="I2474" s="47">
        <f t="shared" si="1073"/>
        <v>0</v>
      </c>
      <c r="J2474" s="47">
        <f t="shared" si="1069"/>
        <v>0</v>
      </c>
      <c r="K2474" s="47">
        <v>0</v>
      </c>
      <c r="L2474" s="47">
        <v>1</v>
      </c>
      <c r="M2474" s="893"/>
    </row>
    <row r="2475" spans="1:13" hidden="1" outlineLevel="1" x14ac:dyDescent="0.2">
      <c r="A2475" s="22" t="s">
        <v>1545</v>
      </c>
      <c r="B2475" s="2" t="s">
        <v>252</v>
      </c>
      <c r="C2475" s="2" t="s">
        <v>1282</v>
      </c>
      <c r="D2475" s="716">
        <v>1</v>
      </c>
      <c r="E2475" s="4" t="s">
        <v>19</v>
      </c>
      <c r="F2475" s="47">
        <f t="shared" si="1070"/>
        <v>0</v>
      </c>
      <c r="G2475" s="47">
        <f t="shared" si="1071"/>
        <v>0</v>
      </c>
      <c r="H2475" s="47">
        <f t="shared" si="1072"/>
        <v>0</v>
      </c>
      <c r="I2475" s="47">
        <f t="shared" si="1073"/>
        <v>0</v>
      </c>
      <c r="J2475" s="47">
        <f t="shared" si="1069"/>
        <v>0</v>
      </c>
      <c r="K2475" s="47">
        <v>0</v>
      </c>
      <c r="L2475" s="47">
        <v>0</v>
      </c>
      <c r="M2475" s="893"/>
    </row>
    <row r="2476" spans="1:13" hidden="1" outlineLevel="1" x14ac:dyDescent="0.2">
      <c r="A2476" s="22" t="s">
        <v>1545</v>
      </c>
      <c r="B2476" s="2" t="s">
        <v>252</v>
      </c>
      <c r="C2476" s="2" t="s">
        <v>1282</v>
      </c>
      <c r="D2476" s="716">
        <v>1</v>
      </c>
      <c r="E2476" s="4" t="s">
        <v>3</v>
      </c>
      <c r="F2476" s="47">
        <f t="shared" si="1070"/>
        <v>0</v>
      </c>
      <c r="G2476" s="47">
        <f t="shared" si="1071"/>
        <v>0</v>
      </c>
      <c r="H2476" s="47">
        <f t="shared" si="1072"/>
        <v>0</v>
      </c>
      <c r="I2476" s="47">
        <f t="shared" si="1073"/>
        <v>0</v>
      </c>
      <c r="J2476" s="47">
        <f t="shared" si="1069"/>
        <v>0</v>
      </c>
      <c r="K2476" s="47">
        <v>0</v>
      </c>
      <c r="L2476" s="47">
        <v>1</v>
      </c>
      <c r="M2476" s="893"/>
    </row>
    <row r="2477" spans="1:13" hidden="1" outlineLevel="1" x14ac:dyDescent="0.2">
      <c r="A2477" s="22" t="s">
        <v>1545</v>
      </c>
      <c r="B2477" s="2" t="s">
        <v>252</v>
      </c>
      <c r="C2477" s="2" t="s">
        <v>1282</v>
      </c>
      <c r="D2477" s="716">
        <v>1</v>
      </c>
      <c r="E2477" s="4" t="s">
        <v>20</v>
      </c>
      <c r="F2477" s="47">
        <f t="shared" si="1070"/>
        <v>1</v>
      </c>
      <c r="G2477" s="47">
        <f t="shared" si="1071"/>
        <v>1</v>
      </c>
      <c r="H2477" s="47">
        <f t="shared" si="1072"/>
        <v>1</v>
      </c>
      <c r="I2477" s="47">
        <f t="shared" si="1073"/>
        <v>1</v>
      </c>
      <c r="J2477" s="47">
        <f t="shared" si="1069"/>
        <v>1</v>
      </c>
      <c r="K2477" s="47">
        <v>1</v>
      </c>
      <c r="L2477" s="47">
        <v>1</v>
      </c>
      <c r="M2477" s="893"/>
    </row>
    <row r="2478" spans="1:13" hidden="1" outlineLevel="1" x14ac:dyDescent="0.2">
      <c r="A2478" s="22" t="s">
        <v>1545</v>
      </c>
      <c r="B2478" s="2" t="s">
        <v>252</v>
      </c>
      <c r="C2478" s="2" t="s">
        <v>1282</v>
      </c>
      <c r="D2478" s="716">
        <v>1</v>
      </c>
      <c r="E2478" s="4" t="s">
        <v>21</v>
      </c>
      <c r="F2478" s="47">
        <f t="shared" si="1070"/>
        <v>0</v>
      </c>
      <c r="G2478" s="47">
        <f t="shared" si="1071"/>
        <v>0</v>
      </c>
      <c r="H2478" s="47">
        <f t="shared" si="1072"/>
        <v>0</v>
      </c>
      <c r="I2478" s="47">
        <f t="shared" si="1073"/>
        <v>0</v>
      </c>
      <c r="J2478" s="47">
        <f t="shared" si="1069"/>
        <v>0</v>
      </c>
      <c r="K2478" s="47">
        <v>0</v>
      </c>
      <c r="L2478" s="47">
        <v>1</v>
      </c>
      <c r="M2478" s="893"/>
    </row>
    <row r="2479" spans="1:13" hidden="1" outlineLevel="1" x14ac:dyDescent="0.2">
      <c r="A2479" s="22" t="s">
        <v>1545</v>
      </c>
      <c r="B2479" s="2" t="s">
        <v>252</v>
      </c>
      <c r="C2479" s="2" t="s">
        <v>1282</v>
      </c>
      <c r="D2479" s="716">
        <v>1</v>
      </c>
      <c r="E2479" s="4" t="s">
        <v>1096</v>
      </c>
      <c r="F2479" s="47">
        <f t="shared" si="1070"/>
        <v>0</v>
      </c>
      <c r="G2479" s="47">
        <f t="shared" si="1071"/>
        <v>0</v>
      </c>
      <c r="H2479" s="47">
        <f t="shared" si="1072"/>
        <v>0</v>
      </c>
      <c r="I2479" s="47">
        <f t="shared" si="1073"/>
        <v>0</v>
      </c>
      <c r="J2479" s="47">
        <f t="shared" si="1069"/>
        <v>0</v>
      </c>
      <c r="K2479" s="47">
        <v>0</v>
      </c>
      <c r="L2479" s="47">
        <v>0</v>
      </c>
      <c r="M2479" s="893"/>
    </row>
    <row r="2480" spans="1:13" hidden="1" outlineLevel="1" x14ac:dyDescent="0.2">
      <c r="A2480" s="22" t="s">
        <v>1545</v>
      </c>
      <c r="B2480" s="2" t="s">
        <v>252</v>
      </c>
      <c r="C2480" s="2" t="s">
        <v>1282</v>
      </c>
      <c r="D2480" s="716">
        <v>1</v>
      </c>
      <c r="E2480" s="4" t="s">
        <v>22</v>
      </c>
      <c r="F2480" s="47">
        <f t="shared" si="1070"/>
        <v>0</v>
      </c>
      <c r="G2480" s="47">
        <f t="shared" si="1071"/>
        <v>0</v>
      </c>
      <c r="H2480" s="47">
        <f t="shared" si="1072"/>
        <v>0</v>
      </c>
      <c r="I2480" s="47">
        <f t="shared" si="1073"/>
        <v>0</v>
      </c>
      <c r="J2480" s="47">
        <f t="shared" si="1069"/>
        <v>0</v>
      </c>
      <c r="K2480" s="47">
        <v>0</v>
      </c>
      <c r="L2480" s="47">
        <v>1</v>
      </c>
      <c r="M2480" s="893"/>
    </row>
    <row r="2481" spans="1:13" hidden="1" outlineLevel="1" x14ac:dyDescent="0.2">
      <c r="A2481" s="22" t="s">
        <v>1545</v>
      </c>
      <c r="B2481" s="2" t="s">
        <v>252</v>
      </c>
      <c r="C2481" s="3" t="s">
        <v>1282</v>
      </c>
      <c r="D2481" s="717">
        <v>1</v>
      </c>
      <c r="E2481" s="4" t="s">
        <v>23</v>
      </c>
      <c r="F2481" s="48">
        <f t="shared" si="1070"/>
        <v>0</v>
      </c>
      <c r="G2481" s="48">
        <f t="shared" si="1071"/>
        <v>0</v>
      </c>
      <c r="H2481" s="48">
        <f t="shared" si="1072"/>
        <v>0</v>
      </c>
      <c r="I2481" s="48">
        <f t="shared" si="1073"/>
        <v>0</v>
      </c>
      <c r="J2481" s="48">
        <f t="shared" si="1069"/>
        <v>0</v>
      </c>
      <c r="K2481" s="363">
        <v>0</v>
      </c>
      <c r="L2481" s="363">
        <v>1</v>
      </c>
      <c r="M2481" s="920"/>
    </row>
    <row r="2482" spans="1:13" hidden="1" outlineLevel="1" x14ac:dyDescent="0.2">
      <c r="A2482" s="92" t="s">
        <v>1545</v>
      </c>
      <c r="B2482" s="81" t="s">
        <v>252</v>
      </c>
      <c r="C2482" s="81" t="s">
        <v>1737</v>
      </c>
      <c r="D2482" s="715">
        <v>1</v>
      </c>
      <c r="E2482" s="468" t="s">
        <v>4</v>
      </c>
      <c r="F2482" s="380">
        <f t="shared" ref="F2482:I2482" si="1074">G2482</f>
        <v>0</v>
      </c>
      <c r="G2482" s="89">
        <f t="shared" si="1074"/>
        <v>0</v>
      </c>
      <c r="H2482" s="89">
        <f t="shared" si="1074"/>
        <v>0</v>
      </c>
      <c r="I2482" s="89">
        <f t="shared" si="1074"/>
        <v>0</v>
      </c>
      <c r="J2482" s="89">
        <f t="shared" si="1069"/>
        <v>0</v>
      </c>
      <c r="K2482" s="380">
        <v>0</v>
      </c>
      <c r="L2482" s="380">
        <v>1</v>
      </c>
      <c r="M2482" s="892"/>
    </row>
    <row r="2483" spans="1:13" hidden="1" outlineLevel="1" x14ac:dyDescent="0.2">
      <c r="A2483" s="22" t="s">
        <v>1545</v>
      </c>
      <c r="B2483" s="2" t="s">
        <v>252</v>
      </c>
      <c r="C2483" s="2" t="s">
        <v>1737</v>
      </c>
      <c r="D2483" s="716">
        <v>1</v>
      </c>
      <c r="E2483" s="4" t="s">
        <v>5</v>
      </c>
      <c r="F2483" s="47">
        <f t="shared" ref="F2483:I2483" si="1075">G2483</f>
        <v>0</v>
      </c>
      <c r="G2483" s="47">
        <f t="shared" si="1075"/>
        <v>0</v>
      </c>
      <c r="H2483" s="47">
        <f t="shared" si="1075"/>
        <v>0</v>
      </c>
      <c r="I2483" s="47">
        <f t="shared" si="1075"/>
        <v>0</v>
      </c>
      <c r="J2483" s="47">
        <f t="shared" si="1069"/>
        <v>0</v>
      </c>
      <c r="K2483" s="47">
        <v>0</v>
      </c>
      <c r="L2483" s="47">
        <v>0</v>
      </c>
      <c r="M2483" s="893"/>
    </row>
    <row r="2484" spans="1:13" hidden="1" outlineLevel="1" x14ac:dyDescent="0.2">
      <c r="A2484" s="22" t="s">
        <v>1545</v>
      </c>
      <c r="B2484" s="2" t="s">
        <v>252</v>
      </c>
      <c r="C2484" s="2" t="s">
        <v>1737</v>
      </c>
      <c r="D2484" s="716">
        <v>1</v>
      </c>
      <c r="E2484" s="4" t="s">
        <v>6</v>
      </c>
      <c r="F2484" s="47">
        <f t="shared" ref="F2484:I2484" si="1076">G2484</f>
        <v>0</v>
      </c>
      <c r="G2484" s="47">
        <f t="shared" si="1076"/>
        <v>0</v>
      </c>
      <c r="H2484" s="47">
        <f t="shared" si="1076"/>
        <v>0</v>
      </c>
      <c r="I2484" s="47">
        <f t="shared" si="1076"/>
        <v>0</v>
      </c>
      <c r="J2484" s="47">
        <f t="shared" si="1069"/>
        <v>0</v>
      </c>
      <c r="K2484" s="47">
        <v>0</v>
      </c>
      <c r="L2484" s="47">
        <v>0</v>
      </c>
      <c r="M2484" s="893"/>
    </row>
    <row r="2485" spans="1:13" hidden="1" outlineLevel="1" x14ac:dyDescent="0.2">
      <c r="A2485" s="22" t="s">
        <v>1545</v>
      </c>
      <c r="B2485" s="2" t="s">
        <v>252</v>
      </c>
      <c r="C2485" s="2" t="s">
        <v>1737</v>
      </c>
      <c r="D2485" s="716">
        <v>1</v>
      </c>
      <c r="E2485" s="4" t="s">
        <v>143</v>
      </c>
      <c r="F2485" s="47">
        <f t="shared" ref="F2485:I2485" si="1077">G2485</f>
        <v>0</v>
      </c>
      <c r="G2485" s="47">
        <f t="shared" si="1077"/>
        <v>0</v>
      </c>
      <c r="H2485" s="47">
        <f t="shared" si="1077"/>
        <v>0</v>
      </c>
      <c r="I2485" s="47">
        <f t="shared" si="1077"/>
        <v>0</v>
      </c>
      <c r="J2485" s="47">
        <f t="shared" si="1069"/>
        <v>0</v>
      </c>
      <c r="K2485" s="47">
        <v>0</v>
      </c>
      <c r="L2485" s="47">
        <v>0</v>
      </c>
      <c r="M2485" s="893"/>
    </row>
    <row r="2486" spans="1:13" hidden="1" outlineLevel="1" x14ac:dyDescent="0.2">
      <c r="A2486" s="22" t="s">
        <v>1545</v>
      </c>
      <c r="B2486" s="2" t="s">
        <v>252</v>
      </c>
      <c r="C2486" s="2" t="s">
        <v>1737</v>
      </c>
      <c r="D2486" s="716">
        <v>1</v>
      </c>
      <c r="E2486" s="4" t="s">
        <v>7</v>
      </c>
      <c r="F2486" s="47">
        <f t="shared" ref="F2486:I2486" si="1078">G2486</f>
        <v>0</v>
      </c>
      <c r="G2486" s="47">
        <f t="shared" si="1078"/>
        <v>0</v>
      </c>
      <c r="H2486" s="47">
        <f t="shared" si="1078"/>
        <v>0</v>
      </c>
      <c r="I2486" s="47">
        <f t="shared" si="1078"/>
        <v>0</v>
      </c>
      <c r="J2486" s="47">
        <f t="shared" si="1069"/>
        <v>0</v>
      </c>
      <c r="K2486" s="47">
        <v>0</v>
      </c>
      <c r="L2486" s="47">
        <v>1</v>
      </c>
      <c r="M2486" s="893"/>
    </row>
    <row r="2487" spans="1:13" hidden="1" outlineLevel="1" x14ac:dyDescent="0.2">
      <c r="A2487" s="22" t="s">
        <v>1545</v>
      </c>
      <c r="B2487" s="2" t="s">
        <v>252</v>
      </c>
      <c r="C2487" s="2" t="s">
        <v>1737</v>
      </c>
      <c r="D2487" s="716">
        <v>1</v>
      </c>
      <c r="E2487" s="4" t="s">
        <v>31</v>
      </c>
      <c r="F2487" s="47">
        <f t="shared" ref="F2487:I2487" si="1079">G2487</f>
        <v>0</v>
      </c>
      <c r="G2487" s="47">
        <f t="shared" si="1079"/>
        <v>0</v>
      </c>
      <c r="H2487" s="47">
        <f t="shared" si="1079"/>
        <v>0</v>
      </c>
      <c r="I2487" s="47">
        <f t="shared" si="1079"/>
        <v>0</v>
      </c>
      <c r="J2487" s="47">
        <f t="shared" si="1069"/>
        <v>0</v>
      </c>
      <c r="K2487" s="47">
        <v>0</v>
      </c>
      <c r="L2487" s="47">
        <v>1</v>
      </c>
      <c r="M2487" s="893"/>
    </row>
    <row r="2488" spans="1:13" hidden="1" outlineLevel="1" x14ac:dyDescent="0.2">
      <c r="A2488" s="22" t="s">
        <v>1545</v>
      </c>
      <c r="B2488" s="2" t="s">
        <v>252</v>
      </c>
      <c r="C2488" s="2" t="s">
        <v>1737</v>
      </c>
      <c r="D2488" s="716">
        <v>1</v>
      </c>
      <c r="E2488" s="4" t="s">
        <v>8</v>
      </c>
      <c r="F2488" s="47">
        <f t="shared" ref="F2488:I2488" si="1080">G2488</f>
        <v>0</v>
      </c>
      <c r="G2488" s="47">
        <f t="shared" si="1080"/>
        <v>0</v>
      </c>
      <c r="H2488" s="47">
        <f t="shared" si="1080"/>
        <v>0</v>
      </c>
      <c r="I2488" s="47">
        <f t="shared" si="1080"/>
        <v>0</v>
      </c>
      <c r="J2488" s="47">
        <f t="shared" si="1069"/>
        <v>0</v>
      </c>
      <c r="K2488" s="47">
        <v>0</v>
      </c>
      <c r="L2488" s="47">
        <v>1</v>
      </c>
      <c r="M2488" s="893"/>
    </row>
    <row r="2489" spans="1:13" hidden="1" outlineLevel="1" x14ac:dyDescent="0.2">
      <c r="A2489" s="22" t="s">
        <v>1545</v>
      </c>
      <c r="B2489" s="2" t="s">
        <v>252</v>
      </c>
      <c r="C2489" s="2" t="s">
        <v>1737</v>
      </c>
      <c r="D2489" s="716">
        <v>1</v>
      </c>
      <c r="E2489" s="4" t="s">
        <v>9</v>
      </c>
      <c r="F2489" s="47">
        <f t="shared" ref="F2489:I2489" si="1081">G2489</f>
        <v>0</v>
      </c>
      <c r="G2489" s="47">
        <f t="shared" si="1081"/>
        <v>0</v>
      </c>
      <c r="H2489" s="47">
        <f t="shared" si="1081"/>
        <v>0</v>
      </c>
      <c r="I2489" s="47">
        <f t="shared" si="1081"/>
        <v>0</v>
      </c>
      <c r="J2489" s="47">
        <f t="shared" si="1069"/>
        <v>0</v>
      </c>
      <c r="K2489" s="47">
        <v>0</v>
      </c>
      <c r="L2489" s="47">
        <v>1</v>
      </c>
      <c r="M2489" s="893"/>
    </row>
    <row r="2490" spans="1:13" hidden="1" outlineLevel="1" x14ac:dyDescent="0.2">
      <c r="A2490" s="22" t="s">
        <v>1545</v>
      </c>
      <c r="B2490" s="2" t="s">
        <v>252</v>
      </c>
      <c r="C2490" s="2" t="s">
        <v>1737</v>
      </c>
      <c r="D2490" s="716">
        <v>1</v>
      </c>
      <c r="E2490" s="4" t="s">
        <v>10</v>
      </c>
      <c r="F2490" s="47">
        <f t="shared" ref="F2490:I2490" si="1082">G2490</f>
        <v>0</v>
      </c>
      <c r="G2490" s="47">
        <f t="shared" si="1082"/>
        <v>0</v>
      </c>
      <c r="H2490" s="47">
        <f t="shared" si="1082"/>
        <v>0</v>
      </c>
      <c r="I2490" s="47">
        <f t="shared" si="1082"/>
        <v>0</v>
      </c>
      <c r="J2490" s="47">
        <f t="shared" si="1069"/>
        <v>0</v>
      </c>
      <c r="K2490" s="47">
        <v>0</v>
      </c>
      <c r="L2490" s="47">
        <v>1</v>
      </c>
      <c r="M2490" s="893"/>
    </row>
    <row r="2491" spans="1:13" hidden="1" outlineLevel="1" x14ac:dyDescent="0.2">
      <c r="A2491" s="22" t="s">
        <v>1545</v>
      </c>
      <c r="B2491" s="2" t="s">
        <v>252</v>
      </c>
      <c r="C2491" s="2" t="s">
        <v>1737</v>
      </c>
      <c r="D2491" s="716">
        <v>1</v>
      </c>
      <c r="E2491" s="4" t="s">
        <v>11</v>
      </c>
      <c r="F2491" s="47">
        <f t="shared" ref="F2491:I2491" si="1083">G2491</f>
        <v>0</v>
      </c>
      <c r="G2491" s="47">
        <f t="shared" si="1083"/>
        <v>0</v>
      </c>
      <c r="H2491" s="47">
        <f t="shared" si="1083"/>
        <v>0</v>
      </c>
      <c r="I2491" s="47">
        <f t="shared" si="1083"/>
        <v>0</v>
      </c>
      <c r="J2491" s="47">
        <f t="shared" si="1069"/>
        <v>0</v>
      </c>
      <c r="K2491" s="47">
        <v>0</v>
      </c>
      <c r="L2491" s="47">
        <v>1</v>
      </c>
      <c r="M2491" s="893"/>
    </row>
    <row r="2492" spans="1:13" hidden="1" outlineLevel="1" x14ac:dyDescent="0.2">
      <c r="A2492" s="22" t="s">
        <v>1545</v>
      </c>
      <c r="B2492" s="2" t="s">
        <v>252</v>
      </c>
      <c r="C2492" s="2" t="s">
        <v>1737</v>
      </c>
      <c r="D2492" s="716">
        <v>1</v>
      </c>
      <c r="E2492" s="4" t="s">
        <v>12</v>
      </c>
      <c r="F2492" s="47">
        <f t="shared" ref="F2492:I2492" si="1084">G2492</f>
        <v>0</v>
      </c>
      <c r="G2492" s="47">
        <f t="shared" si="1084"/>
        <v>0</v>
      </c>
      <c r="H2492" s="47">
        <f t="shared" si="1084"/>
        <v>0</v>
      </c>
      <c r="I2492" s="47">
        <f t="shared" si="1084"/>
        <v>0</v>
      </c>
      <c r="J2492" s="47">
        <f t="shared" si="1069"/>
        <v>0</v>
      </c>
      <c r="K2492" s="47">
        <v>0</v>
      </c>
      <c r="L2492" s="47">
        <v>1</v>
      </c>
      <c r="M2492" s="893"/>
    </row>
    <row r="2493" spans="1:13" hidden="1" outlineLevel="1" x14ac:dyDescent="0.2">
      <c r="A2493" s="22" t="s">
        <v>1545</v>
      </c>
      <c r="B2493" s="2" t="s">
        <v>252</v>
      </c>
      <c r="C2493" s="2" t="s">
        <v>1737</v>
      </c>
      <c r="D2493" s="716">
        <v>1</v>
      </c>
      <c r="E2493" s="4" t="s">
        <v>1</v>
      </c>
      <c r="F2493" s="47">
        <f t="shared" ref="F2493:I2493" si="1085">G2493</f>
        <v>0</v>
      </c>
      <c r="G2493" s="47">
        <f t="shared" si="1085"/>
        <v>0</v>
      </c>
      <c r="H2493" s="47">
        <f t="shared" si="1085"/>
        <v>0</v>
      </c>
      <c r="I2493" s="47">
        <f t="shared" si="1085"/>
        <v>0</v>
      </c>
      <c r="J2493" s="47">
        <f t="shared" si="1069"/>
        <v>0</v>
      </c>
      <c r="K2493" s="47">
        <v>0</v>
      </c>
      <c r="L2493" s="47">
        <v>1</v>
      </c>
      <c r="M2493" s="893"/>
    </row>
    <row r="2494" spans="1:13" hidden="1" outlineLevel="1" x14ac:dyDescent="0.2">
      <c r="A2494" s="22" t="s">
        <v>1545</v>
      </c>
      <c r="B2494" s="2" t="s">
        <v>252</v>
      </c>
      <c r="C2494" s="2" t="s">
        <v>1737</v>
      </c>
      <c r="D2494" s="716">
        <v>1</v>
      </c>
      <c r="E2494" s="4" t="s">
        <v>13</v>
      </c>
      <c r="F2494" s="47">
        <f t="shared" ref="F2494:I2494" si="1086">G2494</f>
        <v>1</v>
      </c>
      <c r="G2494" s="47">
        <f t="shared" si="1086"/>
        <v>1</v>
      </c>
      <c r="H2494" s="47">
        <f t="shared" si="1086"/>
        <v>1</v>
      </c>
      <c r="I2494" s="47">
        <f t="shared" si="1086"/>
        <v>1</v>
      </c>
      <c r="J2494" s="47">
        <f t="shared" si="1069"/>
        <v>1</v>
      </c>
      <c r="K2494" s="47">
        <v>1</v>
      </c>
      <c r="L2494" s="47">
        <v>1</v>
      </c>
      <c r="M2494" s="893"/>
    </row>
    <row r="2495" spans="1:13" hidden="1" outlineLevel="1" x14ac:dyDescent="0.2">
      <c r="A2495" s="22" t="s">
        <v>1545</v>
      </c>
      <c r="B2495" s="2" t="s">
        <v>252</v>
      </c>
      <c r="C2495" s="2" t="s">
        <v>1737</v>
      </c>
      <c r="D2495" s="716">
        <v>1</v>
      </c>
      <c r="E2495" s="4" t="s">
        <v>14</v>
      </c>
      <c r="F2495" s="47">
        <f t="shared" ref="F2495:I2495" si="1087">G2495</f>
        <v>0</v>
      </c>
      <c r="G2495" s="47">
        <f t="shared" si="1087"/>
        <v>0</v>
      </c>
      <c r="H2495" s="47">
        <f t="shared" si="1087"/>
        <v>0</v>
      </c>
      <c r="I2495" s="47">
        <f t="shared" si="1087"/>
        <v>0</v>
      </c>
      <c r="J2495" s="47">
        <f t="shared" si="1069"/>
        <v>0</v>
      </c>
      <c r="K2495" s="47">
        <v>0</v>
      </c>
      <c r="L2495" s="47">
        <v>0</v>
      </c>
      <c r="M2495" s="893"/>
    </row>
    <row r="2496" spans="1:13" hidden="1" outlineLevel="1" x14ac:dyDescent="0.2">
      <c r="A2496" s="22" t="s">
        <v>1545</v>
      </c>
      <c r="B2496" s="2" t="s">
        <v>252</v>
      </c>
      <c r="C2496" s="2" t="s">
        <v>1737</v>
      </c>
      <c r="D2496" s="716">
        <v>1</v>
      </c>
      <c r="E2496" s="4" t="s">
        <v>15</v>
      </c>
      <c r="F2496" s="47">
        <f t="shared" ref="F2496:I2496" si="1088">G2496</f>
        <v>0</v>
      </c>
      <c r="G2496" s="47">
        <f t="shared" si="1088"/>
        <v>0</v>
      </c>
      <c r="H2496" s="47">
        <f t="shared" si="1088"/>
        <v>0</v>
      </c>
      <c r="I2496" s="47">
        <f t="shared" si="1088"/>
        <v>0</v>
      </c>
      <c r="J2496" s="47">
        <f t="shared" si="1069"/>
        <v>0</v>
      </c>
      <c r="K2496" s="47">
        <v>0</v>
      </c>
      <c r="L2496" s="47">
        <v>1</v>
      </c>
      <c r="M2496" s="893"/>
    </row>
    <row r="2497" spans="1:13" hidden="1" outlineLevel="1" x14ac:dyDescent="0.2">
      <c r="A2497" s="22" t="s">
        <v>1545</v>
      </c>
      <c r="B2497" s="2" t="s">
        <v>252</v>
      </c>
      <c r="C2497" s="2" t="s">
        <v>1737</v>
      </c>
      <c r="D2497" s="716">
        <v>1</v>
      </c>
      <c r="E2497" s="4" t="s">
        <v>16</v>
      </c>
      <c r="F2497" s="47">
        <f t="shared" ref="F2497:I2497" si="1089">G2497</f>
        <v>1</v>
      </c>
      <c r="G2497" s="47">
        <f t="shared" si="1089"/>
        <v>1</v>
      </c>
      <c r="H2497" s="47">
        <f t="shared" si="1089"/>
        <v>1</v>
      </c>
      <c r="I2497" s="47">
        <f t="shared" si="1089"/>
        <v>1</v>
      </c>
      <c r="J2497" s="47">
        <f t="shared" si="1069"/>
        <v>1</v>
      </c>
      <c r="K2497" s="47">
        <v>1</v>
      </c>
      <c r="L2497" s="47">
        <v>1</v>
      </c>
      <c r="M2497" s="893"/>
    </row>
    <row r="2498" spans="1:13" hidden="1" outlineLevel="1" x14ac:dyDescent="0.2">
      <c r="A2498" s="22" t="s">
        <v>1545</v>
      </c>
      <c r="B2498" s="2" t="s">
        <v>252</v>
      </c>
      <c r="C2498" s="2" t="s">
        <v>1737</v>
      </c>
      <c r="D2498" s="716">
        <v>1</v>
      </c>
      <c r="E2498" s="4" t="s">
        <v>17</v>
      </c>
      <c r="F2498" s="47">
        <f t="shared" ref="F2498:I2498" si="1090">G2498</f>
        <v>0</v>
      </c>
      <c r="G2498" s="47">
        <f t="shared" si="1090"/>
        <v>0</v>
      </c>
      <c r="H2498" s="47">
        <f t="shared" si="1090"/>
        <v>0</v>
      </c>
      <c r="I2498" s="47">
        <f t="shared" si="1090"/>
        <v>0</v>
      </c>
      <c r="J2498" s="47">
        <f t="shared" si="1069"/>
        <v>0</v>
      </c>
      <c r="K2498" s="47">
        <v>0</v>
      </c>
      <c r="L2498" s="47">
        <v>1</v>
      </c>
      <c r="M2498" s="893"/>
    </row>
    <row r="2499" spans="1:13" hidden="1" outlineLevel="1" x14ac:dyDescent="0.2">
      <c r="A2499" s="22" t="s">
        <v>1545</v>
      </c>
      <c r="B2499" s="2" t="s">
        <v>252</v>
      </c>
      <c r="C2499" s="2" t="s">
        <v>1737</v>
      </c>
      <c r="D2499" s="716">
        <v>1</v>
      </c>
      <c r="E2499" s="4" t="s">
        <v>18</v>
      </c>
      <c r="F2499" s="47">
        <f t="shared" ref="F2499:I2499" si="1091">G2499</f>
        <v>1</v>
      </c>
      <c r="G2499" s="47">
        <f t="shared" si="1091"/>
        <v>1</v>
      </c>
      <c r="H2499" s="47">
        <f t="shared" si="1091"/>
        <v>1</v>
      </c>
      <c r="I2499" s="47">
        <f t="shared" si="1091"/>
        <v>1</v>
      </c>
      <c r="J2499" s="47">
        <f t="shared" si="1069"/>
        <v>1</v>
      </c>
      <c r="K2499" s="47">
        <v>1</v>
      </c>
      <c r="L2499" s="47">
        <v>1</v>
      </c>
      <c r="M2499" s="893"/>
    </row>
    <row r="2500" spans="1:13" hidden="1" outlineLevel="1" x14ac:dyDescent="0.2">
      <c r="A2500" s="22" t="s">
        <v>1545</v>
      </c>
      <c r="B2500" s="2" t="s">
        <v>252</v>
      </c>
      <c r="C2500" s="2" t="s">
        <v>1737</v>
      </c>
      <c r="D2500" s="716">
        <v>1</v>
      </c>
      <c r="E2500" s="4" t="s">
        <v>2</v>
      </c>
      <c r="F2500" s="47">
        <f t="shared" ref="F2500:I2500" si="1092">G2500</f>
        <v>0</v>
      </c>
      <c r="G2500" s="47">
        <f t="shared" si="1092"/>
        <v>0</v>
      </c>
      <c r="H2500" s="47">
        <f t="shared" si="1092"/>
        <v>0</v>
      </c>
      <c r="I2500" s="47">
        <f t="shared" si="1092"/>
        <v>0</v>
      </c>
      <c r="J2500" s="47">
        <f t="shared" si="1069"/>
        <v>0</v>
      </c>
      <c r="K2500" s="47">
        <v>0</v>
      </c>
      <c r="L2500" s="47">
        <v>1</v>
      </c>
      <c r="M2500" s="893"/>
    </row>
    <row r="2501" spans="1:13" hidden="1" outlineLevel="1" x14ac:dyDescent="0.2">
      <c r="A2501" s="22" t="s">
        <v>1545</v>
      </c>
      <c r="B2501" s="2" t="s">
        <v>252</v>
      </c>
      <c r="C2501" s="2" t="s">
        <v>1737</v>
      </c>
      <c r="D2501" s="716">
        <v>1</v>
      </c>
      <c r="E2501" s="4" t="s">
        <v>19</v>
      </c>
      <c r="F2501" s="47">
        <f t="shared" ref="F2501:I2501" si="1093">G2501</f>
        <v>0</v>
      </c>
      <c r="G2501" s="47">
        <f t="shared" si="1093"/>
        <v>0</v>
      </c>
      <c r="H2501" s="47">
        <f t="shared" si="1093"/>
        <v>0</v>
      </c>
      <c r="I2501" s="47">
        <f t="shared" si="1093"/>
        <v>0</v>
      </c>
      <c r="J2501" s="47">
        <f t="shared" si="1069"/>
        <v>0</v>
      </c>
      <c r="K2501" s="47">
        <v>0</v>
      </c>
      <c r="L2501" s="47">
        <v>1</v>
      </c>
      <c r="M2501" s="893"/>
    </row>
    <row r="2502" spans="1:13" hidden="1" outlineLevel="1" x14ac:dyDescent="0.2">
      <c r="A2502" s="22" t="s">
        <v>1545</v>
      </c>
      <c r="B2502" s="2" t="s">
        <v>252</v>
      </c>
      <c r="C2502" s="2" t="s">
        <v>1737</v>
      </c>
      <c r="D2502" s="716">
        <v>1</v>
      </c>
      <c r="E2502" s="4" t="s">
        <v>3</v>
      </c>
      <c r="F2502" s="47">
        <f t="shared" ref="F2502:I2502" si="1094">G2502</f>
        <v>0</v>
      </c>
      <c r="G2502" s="47">
        <f t="shared" si="1094"/>
        <v>0</v>
      </c>
      <c r="H2502" s="47">
        <f t="shared" si="1094"/>
        <v>0</v>
      </c>
      <c r="I2502" s="47">
        <f t="shared" si="1094"/>
        <v>0</v>
      </c>
      <c r="J2502" s="47">
        <f t="shared" si="1069"/>
        <v>0</v>
      </c>
      <c r="K2502" s="47">
        <v>0</v>
      </c>
      <c r="L2502" s="47">
        <v>0</v>
      </c>
      <c r="M2502" s="893"/>
    </row>
    <row r="2503" spans="1:13" hidden="1" outlineLevel="1" x14ac:dyDescent="0.2">
      <c r="A2503" s="22" t="s">
        <v>1545</v>
      </c>
      <c r="B2503" s="2" t="s">
        <v>252</v>
      </c>
      <c r="C2503" s="2" t="s">
        <v>1737</v>
      </c>
      <c r="D2503" s="716">
        <v>1</v>
      </c>
      <c r="E2503" s="4" t="s">
        <v>20</v>
      </c>
      <c r="F2503" s="47">
        <f t="shared" ref="F2503:I2503" si="1095">G2503</f>
        <v>1</v>
      </c>
      <c r="G2503" s="47">
        <f t="shared" si="1095"/>
        <v>1</v>
      </c>
      <c r="H2503" s="47">
        <f t="shared" si="1095"/>
        <v>1</v>
      </c>
      <c r="I2503" s="47">
        <f t="shared" si="1095"/>
        <v>1</v>
      </c>
      <c r="J2503" s="47">
        <f t="shared" si="1069"/>
        <v>1</v>
      </c>
      <c r="K2503" s="47">
        <v>1</v>
      </c>
      <c r="L2503" s="47">
        <v>1</v>
      </c>
      <c r="M2503" s="893"/>
    </row>
    <row r="2504" spans="1:13" hidden="1" outlineLevel="1" x14ac:dyDescent="0.2">
      <c r="A2504" s="22" t="s">
        <v>1545</v>
      </c>
      <c r="B2504" s="2" t="s">
        <v>252</v>
      </c>
      <c r="C2504" s="2" t="s">
        <v>1737</v>
      </c>
      <c r="D2504" s="716">
        <v>1</v>
      </c>
      <c r="E2504" s="4" t="s">
        <v>21</v>
      </c>
      <c r="F2504" s="47">
        <f t="shared" ref="F2504:I2504" si="1096">G2504</f>
        <v>0</v>
      </c>
      <c r="G2504" s="47">
        <f t="shared" si="1096"/>
        <v>0</v>
      </c>
      <c r="H2504" s="47">
        <f t="shared" si="1096"/>
        <v>0</v>
      </c>
      <c r="I2504" s="47">
        <f t="shared" si="1096"/>
        <v>0</v>
      </c>
      <c r="J2504" s="47">
        <f t="shared" si="1069"/>
        <v>0</v>
      </c>
      <c r="K2504" s="47">
        <v>0</v>
      </c>
      <c r="L2504" s="47">
        <v>0</v>
      </c>
      <c r="M2504" s="893"/>
    </row>
    <row r="2505" spans="1:13" hidden="1" outlineLevel="1" x14ac:dyDescent="0.2">
      <c r="A2505" s="22" t="s">
        <v>1545</v>
      </c>
      <c r="B2505" s="2" t="s">
        <v>252</v>
      </c>
      <c r="C2505" s="2" t="s">
        <v>1737</v>
      </c>
      <c r="D2505" s="716">
        <v>1</v>
      </c>
      <c r="E2505" s="4" t="s">
        <v>1096</v>
      </c>
      <c r="F2505" s="47">
        <f t="shared" ref="F2505:I2505" si="1097">G2505</f>
        <v>0</v>
      </c>
      <c r="G2505" s="47">
        <f t="shared" si="1097"/>
        <v>0</v>
      </c>
      <c r="H2505" s="47">
        <f t="shared" si="1097"/>
        <v>0</v>
      </c>
      <c r="I2505" s="47">
        <f t="shared" si="1097"/>
        <v>0</v>
      </c>
      <c r="J2505" s="47">
        <f t="shared" si="1069"/>
        <v>0</v>
      </c>
      <c r="K2505" s="47">
        <v>0</v>
      </c>
      <c r="L2505" s="47">
        <v>0</v>
      </c>
      <c r="M2505" s="893"/>
    </row>
    <row r="2506" spans="1:13" hidden="1" outlineLevel="1" x14ac:dyDescent="0.2">
      <c r="A2506" s="22" t="s">
        <v>1545</v>
      </c>
      <c r="B2506" s="2" t="s">
        <v>252</v>
      </c>
      <c r="C2506" s="2" t="s">
        <v>1737</v>
      </c>
      <c r="D2506" s="716">
        <v>1</v>
      </c>
      <c r="E2506" s="4" t="s">
        <v>22</v>
      </c>
      <c r="F2506" s="47">
        <f t="shared" ref="F2506:I2506" si="1098">G2506</f>
        <v>0</v>
      </c>
      <c r="G2506" s="47">
        <f t="shared" si="1098"/>
        <v>0</v>
      </c>
      <c r="H2506" s="47">
        <f t="shared" si="1098"/>
        <v>0</v>
      </c>
      <c r="I2506" s="47">
        <f t="shared" si="1098"/>
        <v>0</v>
      </c>
      <c r="J2506" s="47">
        <f t="shared" si="1069"/>
        <v>0</v>
      </c>
      <c r="K2506" s="47">
        <v>0</v>
      </c>
      <c r="L2506" s="47">
        <v>1</v>
      </c>
      <c r="M2506" s="893"/>
    </row>
    <row r="2507" spans="1:13" hidden="1" outlineLevel="1" x14ac:dyDescent="0.2">
      <c r="A2507" s="22" t="s">
        <v>1545</v>
      </c>
      <c r="B2507" s="2" t="s">
        <v>252</v>
      </c>
      <c r="C2507" s="3" t="s">
        <v>1737</v>
      </c>
      <c r="D2507" s="717">
        <v>1</v>
      </c>
      <c r="E2507" s="4" t="s">
        <v>23</v>
      </c>
      <c r="F2507" s="48">
        <f t="shared" ref="F2507:I2507" si="1099">G2507</f>
        <v>0</v>
      </c>
      <c r="G2507" s="48">
        <f t="shared" si="1099"/>
        <v>0</v>
      </c>
      <c r="H2507" s="48">
        <f t="shared" si="1099"/>
        <v>0</v>
      </c>
      <c r="I2507" s="48">
        <f t="shared" si="1099"/>
        <v>0</v>
      </c>
      <c r="J2507" s="48">
        <f t="shared" si="1069"/>
        <v>0</v>
      </c>
      <c r="K2507" s="363">
        <v>0</v>
      </c>
      <c r="L2507" s="363">
        <v>1</v>
      </c>
      <c r="M2507" s="920"/>
    </row>
    <row r="2508" spans="1:13" hidden="1" outlineLevel="1" x14ac:dyDescent="0.2">
      <c r="A2508" s="92" t="s">
        <v>1545</v>
      </c>
      <c r="B2508" s="81" t="s">
        <v>58</v>
      </c>
      <c r="C2508" s="81" t="s">
        <v>1225</v>
      </c>
      <c r="D2508" s="715">
        <v>1</v>
      </c>
      <c r="E2508" s="468" t="s">
        <v>4</v>
      </c>
      <c r="F2508" s="381">
        <f t="shared" ref="F2508:L2517" si="1100">SUMIFS(F$1468:F$2507, $E$1468:$E$2507, $E2508)</f>
        <v>16</v>
      </c>
      <c r="G2508" s="94">
        <f t="shared" si="1100"/>
        <v>16</v>
      </c>
      <c r="H2508" s="94">
        <f t="shared" si="1100"/>
        <v>16</v>
      </c>
      <c r="I2508" s="94">
        <f t="shared" si="1100"/>
        <v>16</v>
      </c>
      <c r="J2508" s="94">
        <f t="shared" ref="J2508:J2533" si="1101">SUMIFS(J$1468:J$2507, $E$1468:$E$2507, $E2508)</f>
        <v>16</v>
      </c>
      <c r="K2508" s="381">
        <f t="shared" si="1100"/>
        <v>16</v>
      </c>
      <c r="L2508" s="381">
        <f t="shared" si="1100"/>
        <v>26</v>
      </c>
      <c r="M2508" s="894"/>
    </row>
    <row r="2509" spans="1:13" hidden="1" outlineLevel="1" x14ac:dyDescent="0.2">
      <c r="A2509" s="22" t="s">
        <v>1545</v>
      </c>
      <c r="B2509" s="2" t="s">
        <v>58</v>
      </c>
      <c r="C2509" s="2" t="s">
        <v>1225</v>
      </c>
      <c r="D2509" s="716">
        <v>1</v>
      </c>
      <c r="E2509" s="4" t="s">
        <v>5</v>
      </c>
      <c r="F2509" s="74">
        <f t="shared" si="1100"/>
        <v>2</v>
      </c>
      <c r="G2509" s="74">
        <f t="shared" si="1100"/>
        <v>2</v>
      </c>
      <c r="H2509" s="74">
        <f t="shared" si="1100"/>
        <v>2</v>
      </c>
      <c r="I2509" s="74">
        <f t="shared" si="1100"/>
        <v>2</v>
      </c>
      <c r="J2509" s="74">
        <f t="shared" si="1101"/>
        <v>2</v>
      </c>
      <c r="K2509" s="74">
        <f t="shared" si="1100"/>
        <v>2</v>
      </c>
      <c r="L2509" s="74">
        <f t="shared" si="1100"/>
        <v>4</v>
      </c>
      <c r="M2509" s="895"/>
    </row>
    <row r="2510" spans="1:13" hidden="1" outlineLevel="1" x14ac:dyDescent="0.2">
      <c r="A2510" s="22" t="s">
        <v>1545</v>
      </c>
      <c r="B2510" s="2" t="s">
        <v>58</v>
      </c>
      <c r="C2510" s="2" t="s">
        <v>1225</v>
      </c>
      <c r="D2510" s="716">
        <v>1</v>
      </c>
      <c r="E2510" s="4" t="s">
        <v>6</v>
      </c>
      <c r="F2510" s="74">
        <f t="shared" si="1100"/>
        <v>0</v>
      </c>
      <c r="G2510" s="74">
        <f t="shared" si="1100"/>
        <v>0</v>
      </c>
      <c r="H2510" s="74">
        <f t="shared" si="1100"/>
        <v>0</v>
      </c>
      <c r="I2510" s="74">
        <f t="shared" si="1100"/>
        <v>0</v>
      </c>
      <c r="J2510" s="74">
        <f t="shared" si="1101"/>
        <v>0</v>
      </c>
      <c r="K2510" s="74">
        <f t="shared" si="1100"/>
        <v>0</v>
      </c>
      <c r="L2510" s="74">
        <f t="shared" si="1100"/>
        <v>0</v>
      </c>
      <c r="M2510" s="895"/>
    </row>
    <row r="2511" spans="1:13" hidden="1" outlineLevel="1" x14ac:dyDescent="0.2">
      <c r="A2511" s="22" t="s">
        <v>1545</v>
      </c>
      <c r="B2511" s="2" t="s">
        <v>58</v>
      </c>
      <c r="C2511" s="2" t="s">
        <v>1225</v>
      </c>
      <c r="D2511" s="716">
        <v>1</v>
      </c>
      <c r="E2511" s="4" t="s">
        <v>143</v>
      </c>
      <c r="F2511" s="74">
        <f t="shared" si="1100"/>
        <v>2</v>
      </c>
      <c r="G2511" s="74">
        <f t="shared" si="1100"/>
        <v>2</v>
      </c>
      <c r="H2511" s="74">
        <f t="shared" si="1100"/>
        <v>2</v>
      </c>
      <c r="I2511" s="74">
        <f t="shared" si="1100"/>
        <v>2</v>
      </c>
      <c r="J2511" s="74">
        <f t="shared" si="1101"/>
        <v>2</v>
      </c>
      <c r="K2511" s="74">
        <f t="shared" si="1100"/>
        <v>2</v>
      </c>
      <c r="L2511" s="74">
        <f t="shared" si="1100"/>
        <v>3</v>
      </c>
      <c r="M2511" s="895"/>
    </row>
    <row r="2512" spans="1:13" hidden="1" outlineLevel="1" x14ac:dyDescent="0.2">
      <c r="A2512" s="22" t="s">
        <v>1545</v>
      </c>
      <c r="B2512" s="2" t="s">
        <v>58</v>
      </c>
      <c r="C2512" s="2" t="s">
        <v>1225</v>
      </c>
      <c r="D2512" s="716">
        <v>1</v>
      </c>
      <c r="E2512" s="4" t="s">
        <v>7</v>
      </c>
      <c r="F2512" s="74">
        <f t="shared" si="1100"/>
        <v>3</v>
      </c>
      <c r="G2512" s="74">
        <f t="shared" si="1100"/>
        <v>3</v>
      </c>
      <c r="H2512" s="74">
        <f t="shared" si="1100"/>
        <v>3</v>
      </c>
      <c r="I2512" s="74">
        <f t="shared" si="1100"/>
        <v>3</v>
      </c>
      <c r="J2512" s="74">
        <f t="shared" si="1101"/>
        <v>3</v>
      </c>
      <c r="K2512" s="74">
        <f t="shared" si="1100"/>
        <v>3</v>
      </c>
      <c r="L2512" s="74">
        <f t="shared" si="1100"/>
        <v>4</v>
      </c>
      <c r="M2512" s="895"/>
    </row>
    <row r="2513" spans="1:13" hidden="1" outlineLevel="1" x14ac:dyDescent="0.2">
      <c r="A2513" s="22" t="s">
        <v>1545</v>
      </c>
      <c r="B2513" s="2" t="s">
        <v>58</v>
      </c>
      <c r="C2513" s="2" t="s">
        <v>1225</v>
      </c>
      <c r="D2513" s="716">
        <v>1</v>
      </c>
      <c r="E2513" s="4" t="s">
        <v>31</v>
      </c>
      <c r="F2513" s="74">
        <f t="shared" si="1100"/>
        <v>26</v>
      </c>
      <c r="G2513" s="74">
        <f t="shared" si="1100"/>
        <v>26</v>
      </c>
      <c r="H2513" s="74">
        <f t="shared" si="1100"/>
        <v>26</v>
      </c>
      <c r="I2513" s="74">
        <f t="shared" si="1100"/>
        <v>26</v>
      </c>
      <c r="J2513" s="74">
        <f t="shared" si="1101"/>
        <v>26</v>
      </c>
      <c r="K2513" s="74">
        <f t="shared" si="1100"/>
        <v>26</v>
      </c>
      <c r="L2513" s="74">
        <f t="shared" si="1100"/>
        <v>30</v>
      </c>
      <c r="M2513" s="895"/>
    </row>
    <row r="2514" spans="1:13" hidden="1" outlineLevel="1" x14ac:dyDescent="0.2">
      <c r="A2514" s="22" t="s">
        <v>1545</v>
      </c>
      <c r="B2514" s="2" t="s">
        <v>58</v>
      </c>
      <c r="C2514" s="2" t="s">
        <v>1225</v>
      </c>
      <c r="D2514" s="716">
        <v>1</v>
      </c>
      <c r="E2514" s="4" t="s">
        <v>8</v>
      </c>
      <c r="F2514" s="74">
        <f t="shared" si="1100"/>
        <v>20</v>
      </c>
      <c r="G2514" s="74">
        <f t="shared" si="1100"/>
        <v>20</v>
      </c>
      <c r="H2514" s="74">
        <f t="shared" si="1100"/>
        <v>20</v>
      </c>
      <c r="I2514" s="74">
        <f t="shared" si="1100"/>
        <v>20</v>
      </c>
      <c r="J2514" s="74">
        <f t="shared" si="1101"/>
        <v>20</v>
      </c>
      <c r="K2514" s="74">
        <f t="shared" si="1100"/>
        <v>20</v>
      </c>
      <c r="L2514" s="74">
        <f t="shared" si="1100"/>
        <v>26</v>
      </c>
      <c r="M2514" s="895"/>
    </row>
    <row r="2515" spans="1:13" hidden="1" outlineLevel="1" x14ac:dyDescent="0.2">
      <c r="A2515" s="22" t="s">
        <v>1545</v>
      </c>
      <c r="B2515" s="2" t="s">
        <v>58</v>
      </c>
      <c r="C2515" s="2" t="s">
        <v>1225</v>
      </c>
      <c r="D2515" s="716">
        <v>1</v>
      </c>
      <c r="E2515" s="4" t="s">
        <v>9</v>
      </c>
      <c r="F2515" s="74">
        <f t="shared" si="1100"/>
        <v>11</v>
      </c>
      <c r="G2515" s="74">
        <f t="shared" si="1100"/>
        <v>11</v>
      </c>
      <c r="H2515" s="74">
        <f t="shared" si="1100"/>
        <v>11</v>
      </c>
      <c r="I2515" s="74">
        <f t="shared" si="1100"/>
        <v>11</v>
      </c>
      <c r="J2515" s="74">
        <f t="shared" si="1101"/>
        <v>11</v>
      </c>
      <c r="K2515" s="74">
        <f t="shared" si="1100"/>
        <v>11</v>
      </c>
      <c r="L2515" s="74">
        <f t="shared" si="1100"/>
        <v>16</v>
      </c>
      <c r="M2515" s="895"/>
    </row>
    <row r="2516" spans="1:13" hidden="1" outlineLevel="1" x14ac:dyDescent="0.2">
      <c r="A2516" s="22" t="s">
        <v>1545</v>
      </c>
      <c r="B2516" s="2" t="s">
        <v>58</v>
      </c>
      <c r="C2516" s="2" t="s">
        <v>1225</v>
      </c>
      <c r="D2516" s="716">
        <v>1</v>
      </c>
      <c r="E2516" s="4" t="s">
        <v>10</v>
      </c>
      <c r="F2516" s="74">
        <f t="shared" si="1100"/>
        <v>12</v>
      </c>
      <c r="G2516" s="74">
        <f t="shared" si="1100"/>
        <v>12</v>
      </c>
      <c r="H2516" s="74">
        <f t="shared" si="1100"/>
        <v>12</v>
      </c>
      <c r="I2516" s="74">
        <f t="shared" si="1100"/>
        <v>12</v>
      </c>
      <c r="J2516" s="74">
        <f t="shared" si="1101"/>
        <v>12</v>
      </c>
      <c r="K2516" s="74">
        <f t="shared" si="1100"/>
        <v>12</v>
      </c>
      <c r="L2516" s="74">
        <f t="shared" si="1100"/>
        <v>17</v>
      </c>
      <c r="M2516" s="895"/>
    </row>
    <row r="2517" spans="1:13" hidden="1" outlineLevel="1" x14ac:dyDescent="0.2">
      <c r="A2517" s="22" t="s">
        <v>1545</v>
      </c>
      <c r="B2517" s="2" t="s">
        <v>58</v>
      </c>
      <c r="C2517" s="2" t="s">
        <v>1225</v>
      </c>
      <c r="D2517" s="716">
        <v>1</v>
      </c>
      <c r="E2517" s="4" t="s">
        <v>11</v>
      </c>
      <c r="F2517" s="74">
        <f t="shared" si="1100"/>
        <v>2</v>
      </c>
      <c r="G2517" s="74">
        <f t="shared" si="1100"/>
        <v>2</v>
      </c>
      <c r="H2517" s="74">
        <f t="shared" si="1100"/>
        <v>2</v>
      </c>
      <c r="I2517" s="74">
        <f t="shared" si="1100"/>
        <v>2</v>
      </c>
      <c r="J2517" s="74">
        <f t="shared" si="1101"/>
        <v>2</v>
      </c>
      <c r="K2517" s="74">
        <f t="shared" si="1100"/>
        <v>2</v>
      </c>
      <c r="L2517" s="74">
        <f t="shared" si="1100"/>
        <v>7</v>
      </c>
      <c r="M2517" s="895"/>
    </row>
    <row r="2518" spans="1:13" hidden="1" outlineLevel="1" x14ac:dyDescent="0.2">
      <c r="A2518" s="22" t="s">
        <v>1545</v>
      </c>
      <c r="B2518" s="2" t="s">
        <v>58</v>
      </c>
      <c r="C2518" s="2" t="s">
        <v>1225</v>
      </c>
      <c r="D2518" s="716">
        <v>1</v>
      </c>
      <c r="E2518" s="4" t="s">
        <v>12</v>
      </c>
      <c r="F2518" s="74">
        <f t="shared" ref="F2518:L2527" si="1102">SUMIFS(F$1468:F$2507, $E$1468:$E$2507, $E2518)</f>
        <v>6</v>
      </c>
      <c r="G2518" s="74">
        <f t="shared" si="1102"/>
        <v>6</v>
      </c>
      <c r="H2518" s="74">
        <f t="shared" si="1102"/>
        <v>6</v>
      </c>
      <c r="I2518" s="74">
        <f t="shared" si="1102"/>
        <v>6</v>
      </c>
      <c r="J2518" s="74">
        <f t="shared" si="1101"/>
        <v>6</v>
      </c>
      <c r="K2518" s="74">
        <f t="shared" si="1102"/>
        <v>6</v>
      </c>
      <c r="L2518" s="74">
        <f t="shared" si="1102"/>
        <v>10</v>
      </c>
      <c r="M2518" s="895"/>
    </row>
    <row r="2519" spans="1:13" hidden="1" outlineLevel="1" x14ac:dyDescent="0.2">
      <c r="A2519" s="22" t="s">
        <v>1545</v>
      </c>
      <c r="B2519" s="2" t="s">
        <v>58</v>
      </c>
      <c r="C2519" s="2" t="s">
        <v>1225</v>
      </c>
      <c r="D2519" s="716">
        <v>1</v>
      </c>
      <c r="E2519" s="4" t="s">
        <v>1</v>
      </c>
      <c r="F2519" s="74">
        <f t="shared" si="1102"/>
        <v>10</v>
      </c>
      <c r="G2519" s="74">
        <f t="shared" si="1102"/>
        <v>10</v>
      </c>
      <c r="H2519" s="74">
        <f t="shared" si="1102"/>
        <v>10</v>
      </c>
      <c r="I2519" s="74">
        <f t="shared" si="1102"/>
        <v>10</v>
      </c>
      <c r="J2519" s="74">
        <f t="shared" si="1101"/>
        <v>10</v>
      </c>
      <c r="K2519" s="74">
        <f t="shared" si="1102"/>
        <v>10</v>
      </c>
      <c r="L2519" s="74">
        <f t="shared" si="1102"/>
        <v>13</v>
      </c>
      <c r="M2519" s="895"/>
    </row>
    <row r="2520" spans="1:13" hidden="1" outlineLevel="1" x14ac:dyDescent="0.2">
      <c r="A2520" s="22" t="s">
        <v>1545</v>
      </c>
      <c r="B2520" s="2" t="s">
        <v>58</v>
      </c>
      <c r="C2520" s="2" t="s">
        <v>1225</v>
      </c>
      <c r="D2520" s="716">
        <v>1</v>
      </c>
      <c r="E2520" s="4" t="s">
        <v>13</v>
      </c>
      <c r="F2520" s="74">
        <f t="shared" si="1102"/>
        <v>14</v>
      </c>
      <c r="G2520" s="74">
        <f t="shared" si="1102"/>
        <v>14</v>
      </c>
      <c r="H2520" s="74">
        <f t="shared" si="1102"/>
        <v>14</v>
      </c>
      <c r="I2520" s="74">
        <f t="shared" si="1102"/>
        <v>14</v>
      </c>
      <c r="J2520" s="74">
        <f t="shared" si="1101"/>
        <v>14</v>
      </c>
      <c r="K2520" s="74">
        <f t="shared" si="1102"/>
        <v>14</v>
      </c>
      <c r="L2520" s="74">
        <f t="shared" si="1102"/>
        <v>14</v>
      </c>
      <c r="M2520" s="895"/>
    </row>
    <row r="2521" spans="1:13" hidden="1" outlineLevel="1" x14ac:dyDescent="0.2">
      <c r="A2521" s="22" t="s">
        <v>1545</v>
      </c>
      <c r="B2521" s="2" t="s">
        <v>58</v>
      </c>
      <c r="C2521" s="2" t="s">
        <v>1225</v>
      </c>
      <c r="D2521" s="716">
        <v>1</v>
      </c>
      <c r="E2521" s="4" t="s">
        <v>14</v>
      </c>
      <c r="F2521" s="74">
        <f t="shared" si="1102"/>
        <v>1</v>
      </c>
      <c r="G2521" s="74">
        <f t="shared" si="1102"/>
        <v>1</v>
      </c>
      <c r="H2521" s="74">
        <f t="shared" si="1102"/>
        <v>1</v>
      </c>
      <c r="I2521" s="74">
        <f>SUMIFS(I$1468:I$2507, $E$1468:$E$2507, $E2521)</f>
        <v>1</v>
      </c>
      <c r="J2521" s="74">
        <f t="shared" si="1101"/>
        <v>1</v>
      </c>
      <c r="K2521" s="74">
        <f t="shared" si="1102"/>
        <v>1</v>
      </c>
      <c r="L2521" s="74">
        <f t="shared" si="1102"/>
        <v>2</v>
      </c>
      <c r="M2521" s="895"/>
    </row>
    <row r="2522" spans="1:13" hidden="1" outlineLevel="1" x14ac:dyDescent="0.2">
      <c r="A2522" s="22" t="s">
        <v>1545</v>
      </c>
      <c r="B2522" s="2" t="s">
        <v>58</v>
      </c>
      <c r="C2522" s="2" t="s">
        <v>1225</v>
      </c>
      <c r="D2522" s="716">
        <v>1</v>
      </c>
      <c r="E2522" s="4" t="s">
        <v>15</v>
      </c>
      <c r="F2522" s="74">
        <f t="shared" si="1102"/>
        <v>2</v>
      </c>
      <c r="G2522" s="74">
        <f t="shared" si="1102"/>
        <v>2</v>
      </c>
      <c r="H2522" s="74">
        <f t="shared" si="1102"/>
        <v>2</v>
      </c>
      <c r="I2522" s="74">
        <f t="shared" si="1102"/>
        <v>2</v>
      </c>
      <c r="J2522" s="74">
        <f t="shared" si="1101"/>
        <v>2</v>
      </c>
      <c r="K2522" s="74">
        <f t="shared" si="1102"/>
        <v>2</v>
      </c>
      <c r="L2522" s="74">
        <f t="shared" si="1102"/>
        <v>3</v>
      </c>
      <c r="M2522" s="895"/>
    </row>
    <row r="2523" spans="1:13" hidden="1" outlineLevel="1" x14ac:dyDescent="0.2">
      <c r="A2523" s="22" t="s">
        <v>1545</v>
      </c>
      <c r="B2523" s="2" t="s">
        <v>58</v>
      </c>
      <c r="C2523" s="2" t="s">
        <v>1225</v>
      </c>
      <c r="D2523" s="716">
        <v>1</v>
      </c>
      <c r="E2523" s="4" t="s">
        <v>16</v>
      </c>
      <c r="F2523" s="74">
        <f t="shared" si="1102"/>
        <v>9</v>
      </c>
      <c r="G2523" s="74">
        <f t="shared" si="1102"/>
        <v>9</v>
      </c>
      <c r="H2523" s="74">
        <f t="shared" si="1102"/>
        <v>9</v>
      </c>
      <c r="I2523" s="74">
        <f t="shared" si="1102"/>
        <v>9</v>
      </c>
      <c r="J2523" s="74">
        <f t="shared" si="1101"/>
        <v>9</v>
      </c>
      <c r="K2523" s="74">
        <f t="shared" si="1102"/>
        <v>9</v>
      </c>
      <c r="L2523" s="74">
        <f t="shared" si="1102"/>
        <v>10</v>
      </c>
      <c r="M2523" s="895"/>
    </row>
    <row r="2524" spans="1:13" hidden="1" outlineLevel="1" x14ac:dyDescent="0.2">
      <c r="A2524" s="22" t="s">
        <v>1545</v>
      </c>
      <c r="B2524" s="2" t="s">
        <v>58</v>
      </c>
      <c r="C2524" s="2" t="s">
        <v>1225</v>
      </c>
      <c r="D2524" s="716">
        <v>1</v>
      </c>
      <c r="E2524" s="4" t="s">
        <v>17</v>
      </c>
      <c r="F2524" s="74">
        <f t="shared" si="1102"/>
        <v>4</v>
      </c>
      <c r="G2524" s="74">
        <f t="shared" si="1102"/>
        <v>4</v>
      </c>
      <c r="H2524" s="74">
        <f t="shared" si="1102"/>
        <v>4</v>
      </c>
      <c r="I2524" s="74">
        <f t="shared" si="1102"/>
        <v>4</v>
      </c>
      <c r="J2524" s="74">
        <f t="shared" si="1101"/>
        <v>4</v>
      </c>
      <c r="K2524" s="74">
        <f t="shared" si="1102"/>
        <v>4</v>
      </c>
      <c r="L2524" s="74">
        <f t="shared" si="1102"/>
        <v>9</v>
      </c>
      <c r="M2524" s="895"/>
    </row>
    <row r="2525" spans="1:13" hidden="1" outlineLevel="1" x14ac:dyDescent="0.2">
      <c r="A2525" s="22" t="s">
        <v>1545</v>
      </c>
      <c r="B2525" s="2" t="s">
        <v>58</v>
      </c>
      <c r="C2525" s="2" t="s">
        <v>1225</v>
      </c>
      <c r="D2525" s="716">
        <v>1</v>
      </c>
      <c r="E2525" s="4" t="s">
        <v>18</v>
      </c>
      <c r="F2525" s="74">
        <f t="shared" si="1102"/>
        <v>22</v>
      </c>
      <c r="G2525" s="74">
        <f t="shared" si="1102"/>
        <v>22</v>
      </c>
      <c r="H2525" s="74">
        <f t="shared" si="1102"/>
        <v>22</v>
      </c>
      <c r="I2525" s="74">
        <f t="shared" si="1102"/>
        <v>22</v>
      </c>
      <c r="J2525" s="74">
        <f t="shared" si="1101"/>
        <v>22</v>
      </c>
      <c r="K2525" s="74">
        <f t="shared" si="1102"/>
        <v>22</v>
      </c>
      <c r="L2525" s="74">
        <f t="shared" si="1102"/>
        <v>25</v>
      </c>
      <c r="M2525" s="895"/>
    </row>
    <row r="2526" spans="1:13" hidden="1" outlineLevel="1" x14ac:dyDescent="0.2">
      <c r="A2526" s="22" t="s">
        <v>1545</v>
      </c>
      <c r="B2526" s="2" t="s">
        <v>58</v>
      </c>
      <c r="C2526" s="2" t="s">
        <v>1225</v>
      </c>
      <c r="D2526" s="716">
        <v>1</v>
      </c>
      <c r="E2526" s="4" t="s">
        <v>2</v>
      </c>
      <c r="F2526" s="74">
        <f t="shared" si="1102"/>
        <v>6</v>
      </c>
      <c r="G2526" s="74">
        <f t="shared" si="1102"/>
        <v>6</v>
      </c>
      <c r="H2526" s="74">
        <f t="shared" si="1102"/>
        <v>6</v>
      </c>
      <c r="I2526" s="74">
        <f t="shared" si="1102"/>
        <v>6</v>
      </c>
      <c r="J2526" s="74">
        <f t="shared" si="1101"/>
        <v>6</v>
      </c>
      <c r="K2526" s="74">
        <f t="shared" si="1102"/>
        <v>6</v>
      </c>
      <c r="L2526" s="74">
        <f t="shared" si="1102"/>
        <v>12</v>
      </c>
      <c r="M2526" s="895"/>
    </row>
    <row r="2527" spans="1:13" hidden="1" outlineLevel="1" x14ac:dyDescent="0.2">
      <c r="A2527" s="22" t="s">
        <v>1545</v>
      </c>
      <c r="B2527" s="2" t="s">
        <v>58</v>
      </c>
      <c r="C2527" s="2" t="s">
        <v>1225</v>
      </c>
      <c r="D2527" s="716">
        <v>1</v>
      </c>
      <c r="E2527" s="4" t="s">
        <v>19</v>
      </c>
      <c r="F2527" s="74">
        <f t="shared" si="1102"/>
        <v>5</v>
      </c>
      <c r="G2527" s="74">
        <f t="shared" si="1102"/>
        <v>5</v>
      </c>
      <c r="H2527" s="74">
        <f t="shared" si="1102"/>
        <v>5</v>
      </c>
      <c r="I2527" s="74">
        <f t="shared" si="1102"/>
        <v>5</v>
      </c>
      <c r="J2527" s="74">
        <f t="shared" si="1101"/>
        <v>5</v>
      </c>
      <c r="K2527" s="74">
        <f t="shared" si="1102"/>
        <v>5</v>
      </c>
      <c r="L2527" s="74">
        <f t="shared" si="1102"/>
        <v>8</v>
      </c>
      <c r="M2527" s="895"/>
    </row>
    <row r="2528" spans="1:13" hidden="1" outlineLevel="1" x14ac:dyDescent="0.2">
      <c r="A2528" s="22" t="s">
        <v>1545</v>
      </c>
      <c r="B2528" s="2" t="s">
        <v>58</v>
      </c>
      <c r="C2528" s="2" t="s">
        <v>1225</v>
      </c>
      <c r="D2528" s="716">
        <v>1</v>
      </c>
      <c r="E2528" s="4" t="s">
        <v>3</v>
      </c>
      <c r="F2528" s="74">
        <f t="shared" ref="F2528:L2533" si="1103">SUMIFS(F$1468:F$2507, $E$1468:$E$2507, $E2528)</f>
        <v>3</v>
      </c>
      <c r="G2528" s="74">
        <f t="shared" si="1103"/>
        <v>3</v>
      </c>
      <c r="H2528" s="74">
        <f t="shared" si="1103"/>
        <v>3</v>
      </c>
      <c r="I2528" s="74">
        <f t="shared" si="1103"/>
        <v>3</v>
      </c>
      <c r="J2528" s="74">
        <f t="shared" si="1101"/>
        <v>3</v>
      </c>
      <c r="K2528" s="74">
        <f t="shared" si="1103"/>
        <v>3</v>
      </c>
      <c r="L2528" s="74">
        <f t="shared" si="1103"/>
        <v>6</v>
      </c>
      <c r="M2528" s="895"/>
    </row>
    <row r="2529" spans="1:22" hidden="1" outlineLevel="1" x14ac:dyDescent="0.2">
      <c r="A2529" s="22" t="s">
        <v>1545</v>
      </c>
      <c r="B2529" s="2" t="s">
        <v>58</v>
      </c>
      <c r="C2529" s="2" t="s">
        <v>1225</v>
      </c>
      <c r="D2529" s="716">
        <v>1</v>
      </c>
      <c r="E2529" s="4" t="s">
        <v>20</v>
      </c>
      <c r="F2529" s="74">
        <f t="shared" si="1103"/>
        <v>15</v>
      </c>
      <c r="G2529" s="74">
        <f t="shared" si="1103"/>
        <v>15</v>
      </c>
      <c r="H2529" s="74">
        <f t="shared" si="1103"/>
        <v>15</v>
      </c>
      <c r="I2529" s="74">
        <f t="shared" si="1103"/>
        <v>15</v>
      </c>
      <c r="J2529" s="74">
        <f t="shared" si="1101"/>
        <v>15</v>
      </c>
      <c r="K2529" s="74">
        <f t="shared" si="1103"/>
        <v>15</v>
      </c>
      <c r="L2529" s="74">
        <f t="shared" si="1103"/>
        <v>17</v>
      </c>
      <c r="M2529" s="895"/>
    </row>
    <row r="2530" spans="1:22" hidden="1" outlineLevel="1" x14ac:dyDescent="0.2">
      <c r="A2530" s="22" t="s">
        <v>1545</v>
      </c>
      <c r="B2530" s="2" t="s">
        <v>58</v>
      </c>
      <c r="C2530" s="2" t="s">
        <v>1225</v>
      </c>
      <c r="D2530" s="716">
        <v>1</v>
      </c>
      <c r="E2530" s="4" t="s">
        <v>21</v>
      </c>
      <c r="F2530" s="74">
        <f t="shared" si="1103"/>
        <v>1</v>
      </c>
      <c r="G2530" s="74">
        <f t="shared" si="1103"/>
        <v>1</v>
      </c>
      <c r="H2530" s="74">
        <f t="shared" si="1103"/>
        <v>1</v>
      </c>
      <c r="I2530" s="74">
        <f t="shared" si="1103"/>
        <v>1</v>
      </c>
      <c r="J2530" s="74">
        <f t="shared" si="1101"/>
        <v>1</v>
      </c>
      <c r="K2530" s="74">
        <f t="shared" si="1103"/>
        <v>1</v>
      </c>
      <c r="L2530" s="74">
        <f t="shared" si="1103"/>
        <v>3</v>
      </c>
      <c r="M2530" s="895"/>
    </row>
    <row r="2531" spans="1:22" hidden="1" outlineLevel="1" x14ac:dyDescent="0.2">
      <c r="A2531" s="22" t="s">
        <v>1545</v>
      </c>
      <c r="B2531" s="2" t="s">
        <v>58</v>
      </c>
      <c r="C2531" s="2" t="s">
        <v>1225</v>
      </c>
      <c r="D2531" s="716">
        <v>1</v>
      </c>
      <c r="E2531" s="4" t="s">
        <v>1096</v>
      </c>
      <c r="F2531" s="74">
        <f t="shared" si="1103"/>
        <v>2</v>
      </c>
      <c r="G2531" s="74">
        <f t="shared" si="1103"/>
        <v>2</v>
      </c>
      <c r="H2531" s="74">
        <f t="shared" si="1103"/>
        <v>2</v>
      </c>
      <c r="I2531" s="74">
        <f t="shared" si="1103"/>
        <v>2</v>
      </c>
      <c r="J2531" s="74">
        <f t="shared" si="1101"/>
        <v>2</v>
      </c>
      <c r="K2531" s="74">
        <f t="shared" si="1103"/>
        <v>2</v>
      </c>
      <c r="L2531" s="74">
        <f t="shared" si="1103"/>
        <v>2</v>
      </c>
      <c r="M2531" s="895"/>
    </row>
    <row r="2532" spans="1:22" hidden="1" outlineLevel="1" x14ac:dyDescent="0.2">
      <c r="A2532" s="22" t="s">
        <v>1545</v>
      </c>
      <c r="B2532" s="2" t="s">
        <v>58</v>
      </c>
      <c r="C2532" s="2" t="s">
        <v>1225</v>
      </c>
      <c r="D2532" s="716">
        <v>1</v>
      </c>
      <c r="E2532" s="4" t="s">
        <v>22</v>
      </c>
      <c r="F2532" s="74">
        <f t="shared" si="1103"/>
        <v>9</v>
      </c>
      <c r="G2532" s="74">
        <f t="shared" si="1103"/>
        <v>9</v>
      </c>
      <c r="H2532" s="74">
        <f t="shared" si="1103"/>
        <v>9</v>
      </c>
      <c r="I2532" s="74">
        <f t="shared" si="1103"/>
        <v>9</v>
      </c>
      <c r="J2532" s="74">
        <f t="shared" si="1101"/>
        <v>9</v>
      </c>
      <c r="K2532" s="74">
        <f t="shared" si="1103"/>
        <v>9</v>
      </c>
      <c r="L2532" s="74">
        <f t="shared" si="1103"/>
        <v>15</v>
      </c>
      <c r="M2532" s="895"/>
    </row>
    <row r="2533" spans="1:22" hidden="1" outlineLevel="1" x14ac:dyDescent="0.2">
      <c r="A2533" s="22" t="s">
        <v>1545</v>
      </c>
      <c r="B2533" s="2" t="s">
        <v>58</v>
      </c>
      <c r="C2533" s="2" t="s">
        <v>1225</v>
      </c>
      <c r="D2533" s="903">
        <v>1</v>
      </c>
      <c r="E2533" s="4" t="s">
        <v>23</v>
      </c>
      <c r="F2533" s="74">
        <f t="shared" si="1103"/>
        <v>2</v>
      </c>
      <c r="G2533" s="74">
        <f t="shared" si="1103"/>
        <v>2</v>
      </c>
      <c r="H2533" s="74">
        <f t="shared" si="1103"/>
        <v>2</v>
      </c>
      <c r="I2533" s="74">
        <f t="shared" si="1103"/>
        <v>2</v>
      </c>
      <c r="J2533" s="74">
        <f t="shared" si="1101"/>
        <v>2</v>
      </c>
      <c r="K2533" s="74">
        <f t="shared" si="1103"/>
        <v>2</v>
      </c>
      <c r="L2533" s="74">
        <f t="shared" si="1103"/>
        <v>5</v>
      </c>
      <c r="M2533" s="895"/>
    </row>
    <row r="2534" spans="1:22" collapsed="1" x14ac:dyDescent="0.2">
      <c r="A2534" s="909" t="s">
        <v>1496</v>
      </c>
      <c r="B2534" s="910"/>
      <c r="C2534" s="910"/>
      <c r="D2534" s="911"/>
      <c r="E2534" s="910"/>
      <c r="F2534" s="912"/>
      <c r="G2534" s="912"/>
      <c r="H2534" s="912"/>
      <c r="I2534" s="912"/>
      <c r="J2534" s="912"/>
      <c r="K2534" s="912"/>
      <c r="L2534" s="912"/>
      <c r="M2534" s="891"/>
    </row>
    <row r="2535" spans="1:22" hidden="1" outlineLevel="1" x14ac:dyDescent="0.2">
      <c r="A2535" s="907" t="s">
        <v>0</v>
      </c>
      <c r="B2535" s="905" t="s">
        <v>1497</v>
      </c>
      <c r="C2535" s="905" t="s">
        <v>1315</v>
      </c>
      <c r="D2535" s="908" t="s">
        <v>1316</v>
      </c>
      <c r="E2535" s="905"/>
      <c r="F2535" s="905"/>
      <c r="G2535" s="905"/>
      <c r="H2535" s="905"/>
      <c r="I2535" s="905"/>
      <c r="J2535" s="905"/>
      <c r="K2535" s="905"/>
      <c r="L2535" s="905"/>
      <c r="M2535" s="885"/>
    </row>
    <row r="2536" spans="1:22" s="107" customFormat="1" hidden="1" outlineLevel="1" x14ac:dyDescent="0.2">
      <c r="A2536" s="105" t="s">
        <v>4</v>
      </c>
      <c r="B2536" s="104" t="s">
        <v>1317</v>
      </c>
      <c r="C2536" s="104" t="s">
        <v>1318</v>
      </c>
      <c r="D2536" s="104" t="s">
        <v>1319</v>
      </c>
      <c r="E2536" s="104"/>
      <c r="F2536" s="104"/>
      <c r="G2536" s="104"/>
      <c r="H2536" s="104"/>
      <c r="I2536" s="104"/>
      <c r="J2536" s="104"/>
      <c r="K2536" s="104"/>
      <c r="L2536" s="104"/>
      <c r="M2536" s="41"/>
      <c r="N2536" s="106"/>
      <c r="O2536" s="106"/>
      <c r="P2536" s="106"/>
      <c r="Q2536" s="106"/>
      <c r="R2536" s="106"/>
      <c r="S2536" s="106"/>
      <c r="T2536" s="106"/>
      <c r="U2536" s="106"/>
      <c r="V2536" s="106"/>
    </row>
    <row r="2537" spans="1:22" s="107" customFormat="1" hidden="1" outlineLevel="1" x14ac:dyDescent="0.2">
      <c r="A2537" s="105" t="s">
        <v>4</v>
      </c>
      <c r="B2537" s="104" t="s">
        <v>1320</v>
      </c>
      <c r="C2537" s="104" t="s">
        <v>1321</v>
      </c>
      <c r="D2537" s="104" t="s">
        <v>1322</v>
      </c>
      <c r="E2537" s="104"/>
      <c r="F2537" s="104"/>
      <c r="G2537" s="104"/>
      <c r="H2537" s="104"/>
      <c r="I2537" s="104"/>
      <c r="J2537" s="104"/>
      <c r="K2537" s="104"/>
      <c r="L2537" s="104"/>
      <c r="M2537" s="41"/>
      <c r="N2537" s="106"/>
      <c r="O2537" s="106"/>
      <c r="P2537" s="106"/>
      <c r="Q2537" s="106"/>
      <c r="R2537" s="106"/>
    </row>
    <row r="2538" spans="1:22" s="107" customFormat="1" hidden="1" outlineLevel="1" x14ac:dyDescent="0.2">
      <c r="A2538" s="105" t="s">
        <v>4</v>
      </c>
      <c r="B2538" s="104" t="s">
        <v>1323</v>
      </c>
      <c r="C2538" s="104" t="s">
        <v>1324</v>
      </c>
      <c r="D2538" s="104" t="s">
        <v>1325</v>
      </c>
      <c r="E2538" s="104"/>
      <c r="F2538" s="104"/>
      <c r="G2538" s="104"/>
      <c r="H2538" s="104"/>
      <c r="I2538" s="104"/>
      <c r="J2538" s="104"/>
      <c r="K2538" s="104"/>
      <c r="L2538" s="104"/>
      <c r="M2538" s="41"/>
      <c r="N2538" s="106"/>
      <c r="O2538" s="106"/>
      <c r="P2538" s="106"/>
      <c r="Q2538" s="106"/>
      <c r="R2538" s="106"/>
    </row>
    <row r="2539" spans="1:22" s="107" customFormat="1" hidden="1" outlineLevel="1" x14ac:dyDescent="0.2">
      <c r="A2539" s="105" t="s">
        <v>7</v>
      </c>
      <c r="B2539" s="104" t="s">
        <v>1326</v>
      </c>
      <c r="C2539" s="104" t="s">
        <v>1327</v>
      </c>
      <c r="D2539" s="104" t="s">
        <v>1328</v>
      </c>
      <c r="E2539" s="104"/>
      <c r="F2539" s="104"/>
      <c r="G2539" s="104"/>
      <c r="H2539" s="104"/>
      <c r="I2539" s="104"/>
      <c r="J2539" s="104"/>
      <c r="K2539" s="104"/>
      <c r="L2539" s="104"/>
      <c r="M2539" s="41"/>
      <c r="N2539" s="106"/>
      <c r="O2539" s="106"/>
      <c r="P2539" s="106"/>
      <c r="Q2539" s="106"/>
      <c r="R2539" s="106"/>
    </row>
    <row r="2540" spans="1:22" s="107" customFormat="1" hidden="1" outlineLevel="1" x14ac:dyDescent="0.2">
      <c r="A2540" s="105" t="s">
        <v>7</v>
      </c>
      <c r="B2540" s="104" t="s">
        <v>1329</v>
      </c>
      <c r="C2540" s="104" t="s">
        <v>1330</v>
      </c>
      <c r="D2540" s="104" t="s">
        <v>1331</v>
      </c>
      <c r="E2540" s="104"/>
      <c r="F2540" s="104"/>
      <c r="G2540" s="104"/>
      <c r="H2540" s="104"/>
      <c r="I2540" s="104"/>
      <c r="J2540" s="104"/>
      <c r="K2540" s="104"/>
      <c r="L2540" s="104"/>
      <c r="M2540" s="41"/>
      <c r="N2540" s="106"/>
      <c r="O2540" s="106"/>
      <c r="P2540" s="106"/>
      <c r="Q2540" s="106"/>
      <c r="R2540" s="106"/>
    </row>
    <row r="2541" spans="1:22" s="107" customFormat="1" hidden="1" outlineLevel="1" x14ac:dyDescent="0.2">
      <c r="A2541" s="105" t="s">
        <v>7</v>
      </c>
      <c r="B2541" s="104" t="s">
        <v>1332</v>
      </c>
      <c r="C2541" s="104" t="s">
        <v>1333</v>
      </c>
      <c r="D2541" s="104" t="s">
        <v>1334</v>
      </c>
      <c r="E2541" s="104"/>
      <c r="F2541" s="104"/>
      <c r="G2541" s="104"/>
      <c r="H2541" s="104"/>
      <c r="I2541" s="104"/>
      <c r="J2541" s="104"/>
      <c r="K2541" s="104"/>
      <c r="L2541" s="104"/>
      <c r="M2541" s="41"/>
      <c r="N2541" s="106"/>
      <c r="O2541" s="106"/>
      <c r="P2541" s="106"/>
      <c r="Q2541" s="106"/>
      <c r="R2541" s="106"/>
    </row>
    <row r="2542" spans="1:22" s="107" customFormat="1" hidden="1" outlineLevel="1" x14ac:dyDescent="0.2">
      <c r="A2542" s="105" t="s">
        <v>7</v>
      </c>
      <c r="B2542" s="104" t="s">
        <v>1335</v>
      </c>
      <c r="C2542" s="104" t="s">
        <v>1336</v>
      </c>
      <c r="D2542" s="104" t="s">
        <v>1539</v>
      </c>
      <c r="E2542" s="104"/>
      <c r="F2542" s="104"/>
      <c r="G2542" s="104"/>
      <c r="H2542" s="104"/>
      <c r="I2542" s="104"/>
      <c r="J2542" s="104"/>
      <c r="K2542" s="104"/>
      <c r="L2542" s="104"/>
      <c r="M2542" s="41"/>
      <c r="N2542" s="106"/>
      <c r="O2542" s="106"/>
      <c r="P2542" s="106"/>
      <c r="Q2542" s="106"/>
      <c r="R2542" s="106"/>
    </row>
    <row r="2543" spans="1:22" s="107" customFormat="1" hidden="1" outlineLevel="1" x14ac:dyDescent="0.2">
      <c r="A2543" s="105" t="s">
        <v>7</v>
      </c>
      <c r="B2543" s="104" t="s">
        <v>1337</v>
      </c>
      <c r="C2543" s="104" t="s">
        <v>1538</v>
      </c>
      <c r="D2543" s="104" t="s">
        <v>1338</v>
      </c>
      <c r="E2543" s="104"/>
      <c r="F2543" s="104"/>
      <c r="G2543" s="104"/>
      <c r="H2543" s="104"/>
      <c r="I2543" s="104"/>
      <c r="J2543" s="104"/>
      <c r="K2543" s="104"/>
      <c r="L2543" s="104"/>
      <c r="M2543" s="41"/>
      <c r="N2543" s="106"/>
      <c r="O2543" s="106"/>
      <c r="P2543" s="106"/>
      <c r="Q2543" s="106"/>
      <c r="R2543" s="106"/>
    </row>
    <row r="2544" spans="1:22" s="107" customFormat="1" hidden="1" outlineLevel="1" x14ac:dyDescent="0.2">
      <c r="A2544" s="105" t="s">
        <v>7</v>
      </c>
      <c r="B2544" s="104" t="s">
        <v>1339</v>
      </c>
      <c r="C2544" s="104" t="s">
        <v>1340</v>
      </c>
      <c r="D2544" s="104" t="s">
        <v>1341</v>
      </c>
      <c r="E2544" s="104"/>
      <c r="F2544" s="104"/>
      <c r="G2544" s="104"/>
      <c r="H2544" s="104"/>
      <c r="I2544" s="104"/>
      <c r="J2544" s="104"/>
      <c r="K2544" s="104"/>
      <c r="L2544" s="104"/>
      <c r="M2544" s="41"/>
      <c r="N2544" s="106"/>
      <c r="O2544" s="106"/>
      <c r="P2544" s="106"/>
      <c r="Q2544" s="106"/>
      <c r="R2544" s="106"/>
    </row>
    <row r="2545" spans="1:18" s="107" customFormat="1" hidden="1" outlineLevel="1" x14ac:dyDescent="0.2">
      <c r="A2545" s="105" t="s">
        <v>31</v>
      </c>
      <c r="B2545" s="104" t="s">
        <v>1342</v>
      </c>
      <c r="C2545" s="104" t="s">
        <v>1343</v>
      </c>
      <c r="D2545" s="104" t="s">
        <v>1344</v>
      </c>
      <c r="E2545" s="104"/>
      <c r="F2545" s="104"/>
      <c r="G2545" s="104"/>
      <c r="H2545" s="104"/>
      <c r="I2545" s="104"/>
      <c r="J2545" s="104"/>
      <c r="K2545" s="104"/>
      <c r="L2545" s="104"/>
      <c r="M2545" s="41"/>
      <c r="N2545" s="106"/>
      <c r="O2545" s="106"/>
      <c r="P2545" s="106"/>
      <c r="Q2545" s="106"/>
      <c r="R2545" s="106"/>
    </row>
    <row r="2546" spans="1:18" s="107" customFormat="1" hidden="1" outlineLevel="1" x14ac:dyDescent="0.2">
      <c r="A2546" s="105" t="s">
        <v>31</v>
      </c>
      <c r="B2546" s="104" t="s">
        <v>1345</v>
      </c>
      <c r="C2546" s="104" t="s">
        <v>1346</v>
      </c>
      <c r="D2546" s="104" t="s">
        <v>1347</v>
      </c>
      <c r="E2546" s="104"/>
      <c r="F2546" s="104"/>
      <c r="G2546" s="104"/>
      <c r="H2546" s="104"/>
      <c r="I2546" s="104"/>
      <c r="J2546" s="104"/>
      <c r="K2546" s="104"/>
      <c r="L2546" s="104"/>
      <c r="M2546" s="41"/>
      <c r="N2546" s="106"/>
      <c r="O2546" s="106"/>
      <c r="P2546" s="106"/>
      <c r="Q2546" s="106"/>
      <c r="R2546" s="106"/>
    </row>
    <row r="2547" spans="1:18" s="107" customFormat="1" hidden="1" outlineLevel="1" x14ac:dyDescent="0.2">
      <c r="A2547" s="105" t="s">
        <v>31</v>
      </c>
      <c r="B2547" s="104" t="s">
        <v>1348</v>
      </c>
      <c r="C2547" s="104" t="str">
        <f t="shared" ref="C2547:C2548" si="1104">$C$2543</f>
        <v>No website</v>
      </c>
      <c r="D2547" s="104" t="s">
        <v>1349</v>
      </c>
      <c r="E2547" s="104"/>
      <c r="F2547" s="104"/>
      <c r="G2547" s="104"/>
      <c r="H2547" s="104"/>
      <c r="I2547" s="104"/>
      <c r="J2547" s="104"/>
      <c r="K2547" s="104"/>
      <c r="L2547" s="104"/>
      <c r="M2547" s="41"/>
      <c r="N2547" s="106"/>
      <c r="O2547" s="106"/>
      <c r="P2547" s="106"/>
      <c r="Q2547" s="106"/>
      <c r="R2547" s="106"/>
    </row>
    <row r="2548" spans="1:18" s="107" customFormat="1" hidden="1" outlineLevel="1" x14ac:dyDescent="0.2">
      <c r="A2548" s="105" t="s">
        <v>31</v>
      </c>
      <c r="B2548" s="104" t="s">
        <v>1350</v>
      </c>
      <c r="C2548" s="104" t="str">
        <f t="shared" si="1104"/>
        <v>No website</v>
      </c>
      <c r="D2548" s="104" t="s">
        <v>1351</v>
      </c>
      <c r="E2548" s="104"/>
      <c r="F2548" s="104"/>
      <c r="G2548" s="104"/>
      <c r="H2548" s="104"/>
      <c r="I2548" s="104"/>
      <c r="J2548" s="104"/>
      <c r="K2548" s="104"/>
      <c r="L2548" s="104"/>
      <c r="M2548" s="41"/>
      <c r="N2548" s="106"/>
      <c r="O2548" s="106"/>
      <c r="P2548" s="106"/>
      <c r="Q2548" s="106"/>
      <c r="R2548" s="106"/>
    </row>
    <row r="2549" spans="1:18" s="107" customFormat="1" hidden="1" outlineLevel="1" x14ac:dyDescent="0.2">
      <c r="A2549" s="105" t="s">
        <v>31</v>
      </c>
      <c r="B2549" s="104" t="s">
        <v>1352</v>
      </c>
      <c r="C2549" s="104" t="s">
        <v>1353</v>
      </c>
      <c r="D2549" s="104" t="s">
        <v>1354</v>
      </c>
      <c r="E2549" s="104"/>
      <c r="F2549" s="104"/>
      <c r="G2549" s="104"/>
      <c r="H2549" s="104"/>
      <c r="I2549" s="104"/>
      <c r="J2549" s="104"/>
      <c r="K2549" s="104"/>
      <c r="L2549" s="104"/>
      <c r="M2549" s="41"/>
      <c r="N2549" s="106"/>
      <c r="O2549" s="106"/>
      <c r="P2549" s="106"/>
      <c r="Q2549" s="106"/>
      <c r="R2549" s="106"/>
    </row>
    <row r="2550" spans="1:18" s="107" customFormat="1" hidden="1" outlineLevel="1" x14ac:dyDescent="0.2">
      <c r="A2550" s="105" t="s">
        <v>31</v>
      </c>
      <c r="B2550" s="104" t="s">
        <v>1355</v>
      </c>
      <c r="C2550" s="104" t="str">
        <f t="shared" ref="C2550:C2552" si="1105">$C$2543</f>
        <v>No website</v>
      </c>
      <c r="D2550" s="104" t="s">
        <v>1356</v>
      </c>
      <c r="E2550" s="104"/>
      <c r="F2550" s="104"/>
      <c r="G2550" s="104"/>
      <c r="H2550" s="104"/>
      <c r="I2550" s="104"/>
      <c r="J2550" s="104"/>
      <c r="K2550" s="104"/>
      <c r="L2550" s="104"/>
      <c r="M2550" s="41"/>
      <c r="N2550" s="106"/>
      <c r="O2550" s="106"/>
      <c r="P2550" s="106"/>
      <c r="Q2550" s="106"/>
      <c r="R2550" s="106"/>
    </row>
    <row r="2551" spans="1:18" s="107" customFormat="1" hidden="1" outlineLevel="1" x14ac:dyDescent="0.2">
      <c r="A2551" s="105" t="s">
        <v>31</v>
      </c>
      <c r="B2551" s="104" t="s">
        <v>1357</v>
      </c>
      <c r="C2551" s="104" t="str">
        <f t="shared" si="1105"/>
        <v>No website</v>
      </c>
      <c r="D2551" s="104" t="s">
        <v>1358</v>
      </c>
      <c r="E2551" s="104"/>
      <c r="F2551" s="104"/>
      <c r="G2551" s="104"/>
      <c r="H2551" s="104"/>
      <c r="I2551" s="104"/>
      <c r="J2551" s="104"/>
      <c r="K2551" s="104"/>
      <c r="L2551" s="104"/>
      <c r="M2551" s="41"/>
      <c r="N2551" s="106"/>
      <c r="O2551" s="106"/>
      <c r="P2551" s="106"/>
      <c r="Q2551" s="106"/>
      <c r="R2551" s="106"/>
    </row>
    <row r="2552" spans="1:18" s="107" customFormat="1" hidden="1" outlineLevel="1" x14ac:dyDescent="0.2">
      <c r="A2552" s="105" t="s">
        <v>31</v>
      </c>
      <c r="B2552" s="104" t="s">
        <v>1359</v>
      </c>
      <c r="C2552" s="104" t="str">
        <f t="shared" si="1105"/>
        <v>No website</v>
      </c>
      <c r="D2552" s="104" t="s">
        <v>1360</v>
      </c>
      <c r="E2552" s="104"/>
      <c r="F2552" s="104"/>
      <c r="G2552" s="104"/>
      <c r="H2552" s="104"/>
      <c r="I2552" s="104"/>
      <c r="J2552" s="104"/>
      <c r="K2552" s="104"/>
      <c r="L2552" s="104"/>
      <c r="M2552" s="41"/>
      <c r="N2552" s="106"/>
      <c r="O2552" s="106"/>
      <c r="P2552" s="106"/>
      <c r="Q2552" s="106"/>
      <c r="R2552" s="106"/>
    </row>
    <row r="2553" spans="1:18" s="107" customFormat="1" hidden="1" outlineLevel="1" x14ac:dyDescent="0.2">
      <c r="A2553" s="105" t="s">
        <v>31</v>
      </c>
      <c r="B2553" s="104" t="s">
        <v>1361</v>
      </c>
      <c r="C2553" s="104" t="s">
        <v>1362</v>
      </c>
      <c r="D2553" s="104" t="s">
        <v>1363</v>
      </c>
      <c r="E2553" s="104"/>
      <c r="F2553" s="104"/>
      <c r="G2553" s="104"/>
      <c r="H2553" s="104"/>
      <c r="I2553" s="104"/>
      <c r="J2553" s="104"/>
      <c r="K2553" s="104"/>
      <c r="L2553" s="104"/>
      <c r="M2553" s="41"/>
      <c r="N2553" s="106"/>
      <c r="O2553" s="106"/>
      <c r="P2553" s="106"/>
      <c r="Q2553" s="106"/>
      <c r="R2553" s="106"/>
    </row>
    <row r="2554" spans="1:18" s="107" customFormat="1" hidden="1" outlineLevel="1" x14ac:dyDescent="0.2">
      <c r="A2554" s="105" t="s">
        <v>9</v>
      </c>
      <c r="B2554" s="104" t="s">
        <v>1364</v>
      </c>
      <c r="C2554" s="104" t="str">
        <f>$C$2543</f>
        <v>No website</v>
      </c>
      <c r="D2554" s="104" t="s">
        <v>1365</v>
      </c>
      <c r="E2554" s="104"/>
      <c r="F2554" s="104"/>
      <c r="G2554" s="104"/>
      <c r="H2554" s="104"/>
      <c r="I2554" s="104"/>
      <c r="J2554" s="104"/>
      <c r="K2554" s="104"/>
      <c r="L2554" s="104"/>
      <c r="M2554" s="41"/>
      <c r="N2554" s="106"/>
      <c r="O2554" s="106"/>
      <c r="P2554" s="106"/>
      <c r="Q2554" s="106"/>
      <c r="R2554" s="106"/>
    </row>
    <row r="2555" spans="1:18" s="107" customFormat="1" hidden="1" outlineLevel="1" x14ac:dyDescent="0.2">
      <c r="A2555" s="105" t="s">
        <v>9</v>
      </c>
      <c r="B2555" s="104" t="s">
        <v>1366</v>
      </c>
      <c r="C2555" s="104" t="s">
        <v>1367</v>
      </c>
      <c r="D2555" s="104" t="s">
        <v>1368</v>
      </c>
      <c r="E2555" s="104"/>
      <c r="F2555" s="104"/>
      <c r="G2555" s="104"/>
      <c r="H2555" s="104"/>
      <c r="I2555" s="104"/>
      <c r="J2555" s="104"/>
      <c r="K2555" s="104"/>
      <c r="L2555" s="104"/>
      <c r="M2555" s="41"/>
      <c r="N2555" s="106"/>
      <c r="O2555" s="106"/>
      <c r="P2555" s="106"/>
      <c r="Q2555" s="106"/>
      <c r="R2555" s="106"/>
    </row>
    <row r="2556" spans="1:18" s="107" customFormat="1" hidden="1" outlineLevel="1" x14ac:dyDescent="0.2">
      <c r="A2556" s="105" t="s">
        <v>9</v>
      </c>
      <c r="B2556" s="104" t="s">
        <v>1369</v>
      </c>
      <c r="C2556" s="104" t="s">
        <v>1370</v>
      </c>
      <c r="D2556" s="104" t="s">
        <v>1371</v>
      </c>
      <c r="E2556" s="104"/>
      <c r="F2556" s="104"/>
      <c r="G2556" s="104"/>
      <c r="H2556" s="104"/>
      <c r="I2556" s="104"/>
      <c r="J2556" s="104"/>
      <c r="K2556" s="104"/>
      <c r="L2556" s="104"/>
      <c r="M2556" s="41"/>
      <c r="N2556" s="106"/>
      <c r="O2556" s="106"/>
      <c r="P2556" s="106"/>
      <c r="Q2556" s="106"/>
      <c r="R2556" s="106"/>
    </row>
    <row r="2557" spans="1:18" s="107" customFormat="1" hidden="1" outlineLevel="1" x14ac:dyDescent="0.2">
      <c r="A2557" s="105" t="s">
        <v>10</v>
      </c>
      <c r="B2557" s="104" t="s">
        <v>1372</v>
      </c>
      <c r="C2557" s="104" t="s">
        <v>1373</v>
      </c>
      <c r="D2557" s="104" t="s">
        <v>1374</v>
      </c>
      <c r="E2557" s="104"/>
      <c r="F2557" s="104"/>
      <c r="G2557" s="104"/>
      <c r="H2557" s="104"/>
      <c r="I2557" s="104"/>
      <c r="J2557" s="104"/>
      <c r="K2557" s="104"/>
      <c r="L2557" s="104"/>
      <c r="M2557" s="41"/>
      <c r="N2557" s="106"/>
      <c r="O2557" s="106"/>
      <c r="P2557" s="106"/>
      <c r="Q2557" s="106"/>
      <c r="R2557" s="106"/>
    </row>
    <row r="2558" spans="1:18" s="107" customFormat="1" hidden="1" outlineLevel="1" x14ac:dyDescent="0.2">
      <c r="A2558" s="105" t="s">
        <v>10</v>
      </c>
      <c r="B2558" s="104" t="s">
        <v>1375</v>
      </c>
      <c r="C2558" s="104" t="str">
        <f>$C$2543</f>
        <v>No website</v>
      </c>
      <c r="D2558" s="104" t="s">
        <v>1376</v>
      </c>
      <c r="E2558" s="104"/>
      <c r="F2558" s="104"/>
      <c r="G2558" s="104"/>
      <c r="H2558" s="104"/>
      <c r="I2558" s="104"/>
      <c r="J2558" s="104"/>
      <c r="K2558" s="104"/>
      <c r="L2558" s="104"/>
      <c r="M2558" s="41"/>
      <c r="N2558" s="106"/>
      <c r="O2558" s="106"/>
      <c r="P2558" s="106"/>
      <c r="Q2558" s="106"/>
      <c r="R2558" s="106"/>
    </row>
    <row r="2559" spans="1:18" s="107" customFormat="1" hidden="1" outlineLevel="1" x14ac:dyDescent="0.2">
      <c r="A2559" s="105" t="s">
        <v>10</v>
      </c>
      <c r="B2559" s="104" t="s">
        <v>1377</v>
      </c>
      <c r="C2559" s="104" t="s">
        <v>1378</v>
      </c>
      <c r="D2559" s="104" t="s">
        <v>1379</v>
      </c>
      <c r="E2559" s="104"/>
      <c r="F2559" s="104"/>
      <c r="G2559" s="104"/>
      <c r="H2559" s="104"/>
      <c r="I2559" s="104"/>
      <c r="J2559" s="104"/>
      <c r="K2559" s="104"/>
      <c r="L2559" s="104"/>
      <c r="M2559" s="41"/>
      <c r="N2559" s="106"/>
      <c r="O2559" s="106"/>
      <c r="P2559" s="106"/>
      <c r="Q2559" s="106"/>
      <c r="R2559" s="106"/>
    </row>
    <row r="2560" spans="1:18" s="107" customFormat="1" hidden="1" outlineLevel="1" x14ac:dyDescent="0.2">
      <c r="A2560" s="105" t="s">
        <v>12</v>
      </c>
      <c r="B2560" s="104" t="s">
        <v>1380</v>
      </c>
      <c r="C2560" s="104" t="str">
        <f>$C$2543</f>
        <v>No website</v>
      </c>
      <c r="D2560" s="104" t="s">
        <v>1381</v>
      </c>
      <c r="E2560" s="104"/>
      <c r="F2560" s="104"/>
      <c r="G2560" s="104"/>
      <c r="H2560" s="104"/>
      <c r="I2560" s="104"/>
      <c r="J2560" s="104"/>
      <c r="K2560" s="104"/>
      <c r="L2560" s="104"/>
      <c r="M2560" s="41"/>
      <c r="N2560" s="106"/>
      <c r="O2560" s="106"/>
      <c r="P2560" s="106"/>
      <c r="Q2560" s="106"/>
      <c r="R2560" s="106"/>
    </row>
    <row r="2561" spans="1:18" s="107" customFormat="1" hidden="1" outlineLevel="1" x14ac:dyDescent="0.2">
      <c r="A2561" s="105" t="s">
        <v>12</v>
      </c>
      <c r="B2561" s="104" t="s">
        <v>1382</v>
      </c>
      <c r="C2561" s="104" t="s">
        <v>1383</v>
      </c>
      <c r="D2561" s="104" t="s">
        <v>1384</v>
      </c>
      <c r="E2561" s="104"/>
      <c r="F2561" s="104"/>
      <c r="G2561" s="104"/>
      <c r="H2561" s="104"/>
      <c r="I2561" s="104"/>
      <c r="J2561" s="104"/>
      <c r="K2561" s="104"/>
      <c r="L2561" s="104"/>
      <c r="M2561" s="41"/>
      <c r="N2561" s="106"/>
      <c r="O2561" s="106"/>
      <c r="P2561" s="106"/>
      <c r="Q2561" s="106"/>
      <c r="R2561" s="106"/>
    </row>
    <row r="2562" spans="1:18" s="107" customFormat="1" hidden="1" outlineLevel="1" x14ac:dyDescent="0.2">
      <c r="A2562" s="105" t="s">
        <v>12</v>
      </c>
      <c r="B2562" s="104" t="s">
        <v>1385</v>
      </c>
      <c r="C2562" s="104" t="s">
        <v>1386</v>
      </c>
      <c r="D2562" s="104" t="s">
        <v>1387</v>
      </c>
      <c r="E2562" s="104"/>
      <c r="F2562" s="104"/>
      <c r="G2562" s="104"/>
      <c r="H2562" s="104"/>
      <c r="I2562" s="104"/>
      <c r="J2562" s="104"/>
      <c r="K2562" s="104"/>
      <c r="L2562" s="104"/>
      <c r="M2562" s="41"/>
      <c r="N2562" s="106"/>
      <c r="O2562" s="106"/>
      <c r="P2562" s="106"/>
      <c r="Q2562" s="106"/>
      <c r="R2562" s="106"/>
    </row>
    <row r="2563" spans="1:18" s="107" customFormat="1" hidden="1" outlineLevel="1" x14ac:dyDescent="0.2">
      <c r="A2563" s="105" t="s">
        <v>1</v>
      </c>
      <c r="B2563" s="104" t="s">
        <v>1388</v>
      </c>
      <c r="C2563" s="104" t="str">
        <f>$C$2543</f>
        <v>No website</v>
      </c>
      <c r="D2563" s="104" t="s">
        <v>1389</v>
      </c>
      <c r="E2563" s="104"/>
      <c r="F2563" s="104"/>
      <c r="G2563" s="104"/>
      <c r="H2563" s="104"/>
      <c r="I2563" s="104"/>
      <c r="J2563" s="104"/>
      <c r="K2563" s="104"/>
      <c r="L2563" s="104"/>
      <c r="M2563" s="41"/>
      <c r="N2563" s="106"/>
      <c r="O2563" s="106"/>
      <c r="P2563" s="106"/>
      <c r="Q2563" s="106"/>
      <c r="R2563" s="106"/>
    </row>
    <row r="2564" spans="1:18" s="107" customFormat="1" hidden="1" outlineLevel="1" x14ac:dyDescent="0.2">
      <c r="A2564" s="105" t="s">
        <v>1</v>
      </c>
      <c r="B2564" s="104" t="s">
        <v>1390</v>
      </c>
      <c r="C2564" s="104" t="s">
        <v>1391</v>
      </c>
      <c r="D2564" s="104" t="s">
        <v>1392</v>
      </c>
      <c r="E2564" s="104"/>
      <c r="F2564" s="104"/>
      <c r="G2564" s="104"/>
      <c r="H2564" s="104"/>
      <c r="I2564" s="104"/>
      <c r="J2564" s="104"/>
      <c r="K2564" s="104"/>
      <c r="L2564" s="104"/>
      <c r="M2564" s="41"/>
      <c r="N2564" s="106"/>
      <c r="O2564" s="106"/>
      <c r="P2564" s="106"/>
      <c r="Q2564" s="106"/>
      <c r="R2564" s="106"/>
    </row>
    <row r="2565" spans="1:18" s="107" customFormat="1" hidden="1" outlineLevel="1" x14ac:dyDescent="0.2">
      <c r="A2565" s="105" t="s">
        <v>1</v>
      </c>
      <c r="B2565" s="104" t="s">
        <v>1393</v>
      </c>
      <c r="C2565" s="104" t="s">
        <v>1394</v>
      </c>
      <c r="D2565" s="104" t="s">
        <v>1395</v>
      </c>
      <c r="E2565" s="104"/>
      <c r="F2565" s="104"/>
      <c r="G2565" s="104"/>
      <c r="H2565" s="104"/>
      <c r="I2565" s="104"/>
      <c r="J2565" s="104"/>
      <c r="K2565" s="104"/>
      <c r="L2565" s="104"/>
      <c r="M2565" s="41"/>
      <c r="N2565" s="106"/>
      <c r="O2565" s="106"/>
      <c r="P2565" s="106"/>
      <c r="Q2565" s="106"/>
      <c r="R2565" s="106"/>
    </row>
    <row r="2566" spans="1:18" s="107" customFormat="1" hidden="1" outlineLevel="1" x14ac:dyDescent="0.2">
      <c r="A2566" s="105" t="s">
        <v>13</v>
      </c>
      <c r="B2566" s="104" t="s">
        <v>1388</v>
      </c>
      <c r="C2566" s="104" t="str">
        <f>$C$2543</f>
        <v>No website</v>
      </c>
      <c r="D2566" s="104" t="s">
        <v>1389</v>
      </c>
      <c r="E2566" s="104"/>
      <c r="F2566" s="104"/>
      <c r="G2566" s="104"/>
      <c r="H2566" s="104"/>
      <c r="I2566" s="104"/>
      <c r="J2566" s="104"/>
      <c r="K2566" s="104"/>
      <c r="L2566" s="104"/>
      <c r="M2566" s="41"/>
      <c r="N2566" s="106"/>
      <c r="O2566" s="106"/>
      <c r="P2566" s="106"/>
      <c r="Q2566" s="106"/>
      <c r="R2566" s="106"/>
    </row>
    <row r="2567" spans="1:18" s="107" customFormat="1" hidden="1" outlineLevel="1" x14ac:dyDescent="0.2">
      <c r="A2567" s="105" t="s">
        <v>13</v>
      </c>
      <c r="B2567" s="104" t="s">
        <v>1396</v>
      </c>
      <c r="C2567" s="104" t="s">
        <v>1397</v>
      </c>
      <c r="D2567" s="104" t="s">
        <v>1398</v>
      </c>
      <c r="E2567" s="104"/>
      <c r="F2567" s="104"/>
      <c r="G2567" s="104"/>
      <c r="H2567" s="104"/>
      <c r="I2567" s="104"/>
      <c r="J2567" s="104"/>
      <c r="K2567" s="104"/>
      <c r="L2567" s="104"/>
      <c r="M2567" s="41"/>
      <c r="N2567" s="106"/>
      <c r="O2567" s="106"/>
      <c r="P2567" s="106"/>
      <c r="Q2567" s="106"/>
      <c r="R2567" s="106"/>
    </row>
    <row r="2568" spans="1:18" s="107" customFormat="1" hidden="1" outlineLevel="1" x14ac:dyDescent="0.2">
      <c r="A2568" s="105" t="s">
        <v>13</v>
      </c>
      <c r="B2568" s="104" t="s">
        <v>1399</v>
      </c>
      <c r="C2568" s="104" t="str">
        <f>$C$2543</f>
        <v>No website</v>
      </c>
      <c r="D2568" s="104" t="s">
        <v>1400</v>
      </c>
      <c r="E2568" s="104"/>
      <c r="F2568" s="104"/>
      <c r="G2568" s="104"/>
      <c r="H2568" s="104"/>
      <c r="I2568" s="104"/>
      <c r="J2568" s="104"/>
      <c r="K2568" s="104"/>
      <c r="L2568" s="104"/>
      <c r="M2568" s="41"/>
      <c r="N2568" s="106"/>
      <c r="O2568" s="106"/>
      <c r="P2568" s="106"/>
      <c r="Q2568" s="106"/>
      <c r="R2568" s="106"/>
    </row>
    <row r="2569" spans="1:18" s="107" customFormat="1" hidden="1" outlineLevel="1" x14ac:dyDescent="0.2">
      <c r="A2569" s="105" t="s">
        <v>15</v>
      </c>
      <c r="B2569" s="104" t="s">
        <v>1401</v>
      </c>
      <c r="C2569" s="104" t="s">
        <v>1402</v>
      </c>
      <c r="D2569" s="104" t="s">
        <v>1403</v>
      </c>
      <c r="E2569" s="104"/>
      <c r="F2569" s="104"/>
      <c r="G2569" s="104"/>
      <c r="H2569" s="104"/>
      <c r="I2569" s="104"/>
      <c r="J2569" s="104"/>
      <c r="K2569" s="104"/>
      <c r="L2569" s="104"/>
      <c r="M2569" s="41"/>
      <c r="N2569" s="106"/>
      <c r="O2569" s="106"/>
      <c r="P2569" s="106"/>
      <c r="Q2569" s="106"/>
      <c r="R2569" s="106"/>
    </row>
    <row r="2570" spans="1:18" s="107" customFormat="1" hidden="1" outlineLevel="1" x14ac:dyDescent="0.2">
      <c r="A2570" s="105" t="s">
        <v>16</v>
      </c>
      <c r="B2570" s="104" t="s">
        <v>1404</v>
      </c>
      <c r="C2570" s="104" t="s">
        <v>1405</v>
      </c>
      <c r="D2570" s="104" t="s">
        <v>1406</v>
      </c>
      <c r="E2570" s="104"/>
      <c r="F2570" s="104"/>
      <c r="G2570" s="104"/>
      <c r="H2570" s="104"/>
      <c r="I2570" s="104"/>
      <c r="J2570" s="104"/>
      <c r="K2570" s="104"/>
      <c r="L2570" s="104"/>
      <c r="M2570" s="41"/>
      <c r="N2570" s="106"/>
      <c r="O2570" s="106"/>
      <c r="P2570" s="106"/>
      <c r="Q2570" s="106"/>
      <c r="R2570" s="106"/>
    </row>
    <row r="2571" spans="1:18" s="107" customFormat="1" hidden="1" outlineLevel="1" x14ac:dyDescent="0.2">
      <c r="A2571" s="105" t="s">
        <v>16</v>
      </c>
      <c r="B2571" s="104" t="s">
        <v>1377</v>
      </c>
      <c r="C2571" s="104" t="s">
        <v>1378</v>
      </c>
      <c r="D2571" s="104" t="s">
        <v>1379</v>
      </c>
      <c r="E2571" s="104"/>
      <c r="F2571" s="104"/>
      <c r="G2571" s="104"/>
      <c r="H2571" s="104"/>
      <c r="I2571" s="104"/>
      <c r="J2571" s="104"/>
      <c r="K2571" s="104"/>
      <c r="L2571" s="104"/>
      <c r="M2571" s="41"/>
      <c r="N2571" s="106"/>
      <c r="O2571" s="106"/>
      <c r="P2571" s="106"/>
      <c r="Q2571" s="106"/>
      <c r="R2571" s="106"/>
    </row>
    <row r="2572" spans="1:18" s="107" customFormat="1" hidden="1" outlineLevel="1" x14ac:dyDescent="0.2">
      <c r="A2572" s="105" t="s">
        <v>16</v>
      </c>
      <c r="B2572" s="104" t="s">
        <v>1407</v>
      </c>
      <c r="C2572" s="104" t="s">
        <v>1408</v>
      </c>
      <c r="D2572" s="104" t="s">
        <v>1409</v>
      </c>
      <c r="E2572" s="104"/>
      <c r="F2572" s="104"/>
      <c r="G2572" s="104"/>
      <c r="H2572" s="104"/>
      <c r="I2572" s="104"/>
      <c r="J2572" s="104"/>
      <c r="K2572" s="104"/>
      <c r="L2572" s="104"/>
      <c r="M2572" s="41"/>
      <c r="N2572" s="106"/>
      <c r="O2572" s="106"/>
      <c r="P2572" s="106"/>
      <c r="Q2572" s="106"/>
      <c r="R2572" s="106"/>
    </row>
    <row r="2573" spans="1:18" s="107" customFormat="1" hidden="1" outlineLevel="1" x14ac:dyDescent="0.2">
      <c r="A2573" s="105" t="s">
        <v>16</v>
      </c>
      <c r="B2573" s="104" t="s">
        <v>1410</v>
      </c>
      <c r="C2573" s="104" t="str">
        <f>$C$2543</f>
        <v>No website</v>
      </c>
      <c r="D2573" s="104" t="s">
        <v>1411</v>
      </c>
      <c r="E2573" s="104"/>
      <c r="F2573" s="104"/>
      <c r="G2573" s="104"/>
      <c r="H2573" s="104"/>
      <c r="I2573" s="104"/>
      <c r="J2573" s="104"/>
      <c r="K2573" s="104"/>
      <c r="L2573" s="104"/>
      <c r="M2573" s="41"/>
      <c r="N2573" s="106"/>
      <c r="O2573" s="106"/>
      <c r="P2573" s="106"/>
      <c r="Q2573" s="106"/>
      <c r="R2573" s="106"/>
    </row>
    <row r="2574" spans="1:18" s="107" customFormat="1" hidden="1" outlineLevel="1" x14ac:dyDescent="0.2">
      <c r="A2574" s="105" t="s">
        <v>16</v>
      </c>
      <c r="B2574" s="104" t="s">
        <v>1412</v>
      </c>
      <c r="C2574" s="104" t="s">
        <v>1413</v>
      </c>
      <c r="D2574" s="104" t="s">
        <v>1414</v>
      </c>
      <c r="E2574" s="104"/>
      <c r="F2574" s="104"/>
      <c r="G2574" s="104"/>
      <c r="H2574" s="104"/>
      <c r="I2574" s="104"/>
      <c r="J2574" s="104"/>
      <c r="K2574" s="104"/>
      <c r="L2574" s="104"/>
      <c r="M2574" s="41"/>
      <c r="N2574" s="106"/>
      <c r="O2574" s="106"/>
      <c r="P2574" s="106"/>
      <c r="Q2574" s="106"/>
      <c r="R2574" s="106"/>
    </row>
    <row r="2575" spans="1:18" s="107" customFormat="1" hidden="1" outlineLevel="1" x14ac:dyDescent="0.2">
      <c r="A2575" s="105" t="s">
        <v>16</v>
      </c>
      <c r="B2575" s="104" t="s">
        <v>1415</v>
      </c>
      <c r="C2575" s="104" t="s">
        <v>1416</v>
      </c>
      <c r="D2575" s="104" t="s">
        <v>1417</v>
      </c>
      <c r="E2575" s="104"/>
      <c r="F2575" s="104"/>
      <c r="G2575" s="104"/>
      <c r="H2575" s="104"/>
      <c r="I2575" s="104"/>
      <c r="J2575" s="104"/>
      <c r="K2575" s="104"/>
      <c r="L2575" s="104"/>
      <c r="M2575" s="41"/>
      <c r="N2575" s="106"/>
      <c r="O2575" s="106"/>
      <c r="P2575" s="106"/>
      <c r="Q2575" s="106"/>
      <c r="R2575" s="106"/>
    </row>
    <row r="2576" spans="1:18" s="107" customFormat="1" hidden="1" outlineLevel="1" x14ac:dyDescent="0.2">
      <c r="A2576" s="105" t="s">
        <v>18</v>
      </c>
      <c r="B2576" s="104" t="s">
        <v>1418</v>
      </c>
      <c r="C2576" s="104" t="s">
        <v>1419</v>
      </c>
      <c r="D2576" s="104" t="s">
        <v>1420</v>
      </c>
      <c r="E2576" s="104"/>
      <c r="F2576" s="104"/>
      <c r="G2576" s="104"/>
      <c r="H2576" s="104"/>
      <c r="I2576" s="104"/>
      <c r="J2576" s="104"/>
      <c r="K2576" s="104"/>
      <c r="L2576" s="104"/>
      <c r="M2576" s="41"/>
      <c r="N2576" s="106"/>
      <c r="O2576" s="106"/>
      <c r="P2576" s="106"/>
      <c r="Q2576" s="106"/>
      <c r="R2576" s="106"/>
    </row>
    <row r="2577" spans="1:18" s="107" customFormat="1" hidden="1" outlineLevel="1" x14ac:dyDescent="0.2">
      <c r="A2577" s="105" t="s">
        <v>18</v>
      </c>
      <c r="B2577" s="104" t="s">
        <v>1388</v>
      </c>
      <c r="C2577" s="104" t="str">
        <f t="shared" ref="C2577:C2578" si="1106">$C$2543</f>
        <v>No website</v>
      </c>
      <c r="D2577" s="104" t="s">
        <v>1389</v>
      </c>
      <c r="E2577" s="104"/>
      <c r="F2577" s="104"/>
      <c r="G2577" s="104"/>
      <c r="H2577" s="104"/>
      <c r="I2577" s="104"/>
      <c r="J2577" s="104"/>
      <c r="K2577" s="104"/>
      <c r="L2577" s="104"/>
      <c r="M2577" s="41"/>
      <c r="N2577" s="106"/>
      <c r="O2577" s="106"/>
      <c r="P2577" s="106"/>
      <c r="Q2577" s="106"/>
      <c r="R2577" s="106"/>
    </row>
    <row r="2578" spans="1:18" s="107" customFormat="1" hidden="1" outlineLevel="1" x14ac:dyDescent="0.2">
      <c r="A2578" s="105" t="s">
        <v>18</v>
      </c>
      <c r="B2578" s="104" t="s">
        <v>1421</v>
      </c>
      <c r="C2578" s="104" t="str">
        <f t="shared" si="1106"/>
        <v>No website</v>
      </c>
      <c r="D2578" s="104" t="s">
        <v>1422</v>
      </c>
      <c r="E2578" s="104"/>
      <c r="F2578" s="104"/>
      <c r="G2578" s="104"/>
      <c r="H2578" s="104"/>
      <c r="I2578" s="104"/>
      <c r="J2578" s="104"/>
      <c r="K2578" s="104"/>
      <c r="L2578" s="104"/>
      <c r="M2578" s="41"/>
      <c r="N2578" s="106"/>
      <c r="O2578" s="106"/>
      <c r="P2578" s="106"/>
      <c r="Q2578" s="106"/>
      <c r="R2578" s="106"/>
    </row>
    <row r="2579" spans="1:18" s="107" customFormat="1" hidden="1" outlineLevel="1" x14ac:dyDescent="0.2">
      <c r="A2579" s="105" t="s">
        <v>18</v>
      </c>
      <c r="B2579" s="104" t="s">
        <v>1423</v>
      </c>
      <c r="C2579" s="104" t="s">
        <v>1424</v>
      </c>
      <c r="D2579" s="104" t="s">
        <v>1425</v>
      </c>
      <c r="E2579" s="104"/>
      <c r="F2579" s="104"/>
      <c r="G2579" s="104"/>
      <c r="H2579" s="104"/>
      <c r="I2579" s="104"/>
      <c r="J2579" s="104"/>
      <c r="K2579" s="104"/>
      <c r="L2579" s="104"/>
      <c r="M2579" s="41"/>
    </row>
    <row r="2580" spans="1:18" s="107" customFormat="1" hidden="1" outlineLevel="1" x14ac:dyDescent="0.2">
      <c r="A2580" s="109" t="s">
        <v>18</v>
      </c>
      <c r="B2580" s="110" t="s">
        <v>1426</v>
      </c>
      <c r="C2580" s="104" t="str">
        <f t="shared" ref="C2580:C2581" si="1107">$C$2543</f>
        <v>No website</v>
      </c>
      <c r="D2580" s="110" t="s">
        <v>1427</v>
      </c>
      <c r="E2580" s="111"/>
      <c r="F2580" s="111"/>
      <c r="G2580" s="111"/>
      <c r="H2580" s="111"/>
      <c r="I2580" s="111"/>
      <c r="J2580" s="111"/>
      <c r="K2580" s="111"/>
      <c r="L2580" s="111"/>
      <c r="M2580" s="467"/>
    </row>
    <row r="2581" spans="1:18" s="107" customFormat="1" hidden="1" outlineLevel="1" x14ac:dyDescent="0.2">
      <c r="A2581" s="109" t="s">
        <v>2</v>
      </c>
      <c r="B2581" s="110" t="s">
        <v>1428</v>
      </c>
      <c r="C2581" s="104" t="str">
        <f t="shared" si="1107"/>
        <v>No website</v>
      </c>
      <c r="D2581" s="110" t="s">
        <v>1429</v>
      </c>
      <c r="E2581" s="111"/>
      <c r="F2581" s="111"/>
      <c r="G2581" s="111"/>
      <c r="H2581" s="111"/>
      <c r="I2581" s="111"/>
      <c r="J2581" s="111"/>
      <c r="K2581" s="111"/>
      <c r="L2581" s="111"/>
      <c r="M2581" s="467"/>
    </row>
    <row r="2582" spans="1:18" s="107" customFormat="1" hidden="1" outlineLevel="1" x14ac:dyDescent="0.2">
      <c r="A2582" s="109" t="s">
        <v>2</v>
      </c>
      <c r="B2582" s="110" t="s">
        <v>1430</v>
      </c>
      <c r="C2582" s="111" t="s">
        <v>1431</v>
      </c>
      <c r="D2582" s="110" t="s">
        <v>1432</v>
      </c>
      <c r="E2582" s="111"/>
      <c r="F2582" s="111"/>
      <c r="G2582" s="111"/>
      <c r="H2582" s="111"/>
      <c r="I2582" s="111"/>
      <c r="J2582" s="111"/>
      <c r="K2582" s="111"/>
      <c r="L2582" s="111"/>
      <c r="M2582" s="467"/>
    </row>
    <row r="2583" spans="1:18" s="107" customFormat="1" hidden="1" outlineLevel="1" x14ac:dyDescent="0.2">
      <c r="A2583" s="109" t="s">
        <v>2</v>
      </c>
      <c r="B2583" s="110" t="s">
        <v>1433</v>
      </c>
      <c r="C2583" s="104" t="str">
        <f>$C$2543</f>
        <v>No website</v>
      </c>
      <c r="D2583" s="110" t="s">
        <v>1434</v>
      </c>
      <c r="E2583" s="111"/>
      <c r="F2583" s="111"/>
      <c r="G2583" s="111"/>
      <c r="H2583" s="111"/>
      <c r="I2583" s="111"/>
      <c r="J2583" s="111"/>
      <c r="K2583" s="111"/>
      <c r="L2583" s="111"/>
      <c r="M2583" s="467"/>
    </row>
    <row r="2584" spans="1:18" s="107" customFormat="1" hidden="1" outlineLevel="1" x14ac:dyDescent="0.2">
      <c r="A2584" s="109" t="s">
        <v>2</v>
      </c>
      <c r="B2584" s="110" t="s">
        <v>1435</v>
      </c>
      <c r="C2584" s="111" t="s">
        <v>1436</v>
      </c>
      <c r="D2584" s="110" t="s">
        <v>1437</v>
      </c>
      <c r="E2584" s="111"/>
      <c r="F2584" s="111"/>
      <c r="G2584" s="111"/>
      <c r="H2584" s="111"/>
      <c r="I2584" s="111"/>
      <c r="J2584" s="111"/>
      <c r="K2584" s="111"/>
      <c r="L2584" s="111"/>
      <c r="M2584" s="467"/>
    </row>
    <row r="2585" spans="1:18" s="107" customFormat="1" hidden="1" outlineLevel="1" x14ac:dyDescent="0.2">
      <c r="A2585" s="109" t="s">
        <v>2</v>
      </c>
      <c r="B2585" s="110" t="s">
        <v>1438</v>
      </c>
      <c r="C2585" s="111" t="s">
        <v>1439</v>
      </c>
      <c r="D2585" s="110" t="s">
        <v>1440</v>
      </c>
      <c r="E2585" s="111"/>
      <c r="F2585" s="111"/>
      <c r="G2585" s="111"/>
      <c r="H2585" s="111"/>
      <c r="I2585" s="111"/>
      <c r="J2585" s="111"/>
      <c r="K2585" s="111"/>
      <c r="L2585" s="111"/>
      <c r="M2585" s="467"/>
    </row>
    <row r="2586" spans="1:18" s="107" customFormat="1" hidden="1" outlineLevel="1" x14ac:dyDescent="0.2">
      <c r="A2586" s="109" t="s">
        <v>2</v>
      </c>
      <c r="B2586" s="110" t="s">
        <v>1441</v>
      </c>
      <c r="C2586" s="104" t="str">
        <f t="shared" ref="C2586:C2589" si="1108">$C$2543</f>
        <v>No website</v>
      </c>
      <c r="D2586" s="110" t="s">
        <v>1442</v>
      </c>
      <c r="E2586" s="111"/>
      <c r="F2586" s="111"/>
      <c r="G2586" s="111"/>
      <c r="H2586" s="111"/>
      <c r="I2586" s="111"/>
      <c r="J2586" s="111"/>
      <c r="K2586" s="111"/>
      <c r="L2586" s="111"/>
      <c r="M2586" s="467"/>
    </row>
    <row r="2587" spans="1:18" s="107" customFormat="1" hidden="1" outlineLevel="1" x14ac:dyDescent="0.2">
      <c r="A2587" s="109" t="s">
        <v>2</v>
      </c>
      <c r="B2587" s="110" t="s">
        <v>1443</v>
      </c>
      <c r="C2587" s="104" t="str">
        <f t="shared" si="1108"/>
        <v>No website</v>
      </c>
      <c r="D2587" s="110" t="s">
        <v>1444</v>
      </c>
      <c r="E2587" s="111"/>
      <c r="F2587" s="111"/>
      <c r="G2587" s="111"/>
      <c r="H2587" s="111"/>
      <c r="I2587" s="111"/>
      <c r="J2587" s="111"/>
      <c r="K2587" s="111"/>
      <c r="L2587" s="111"/>
      <c r="M2587" s="467"/>
    </row>
    <row r="2588" spans="1:18" s="107" customFormat="1" hidden="1" outlineLevel="1" x14ac:dyDescent="0.2">
      <c r="A2588" s="109" t="s">
        <v>2</v>
      </c>
      <c r="B2588" s="110" t="s">
        <v>1445</v>
      </c>
      <c r="C2588" s="104" t="str">
        <f t="shared" si="1108"/>
        <v>No website</v>
      </c>
      <c r="D2588" s="110" t="s">
        <v>1446</v>
      </c>
      <c r="E2588" s="111"/>
      <c r="F2588" s="111"/>
      <c r="G2588" s="111"/>
      <c r="H2588" s="111"/>
      <c r="I2588" s="111"/>
      <c r="J2588" s="111"/>
      <c r="K2588" s="111"/>
      <c r="L2588" s="111"/>
      <c r="M2588" s="467"/>
    </row>
    <row r="2589" spans="1:18" s="107" customFormat="1" hidden="1" outlineLevel="1" x14ac:dyDescent="0.2">
      <c r="A2589" s="109" t="s">
        <v>2</v>
      </c>
      <c r="B2589" s="110" t="s">
        <v>1447</v>
      </c>
      <c r="C2589" s="104" t="str">
        <f t="shared" si="1108"/>
        <v>No website</v>
      </c>
      <c r="D2589" s="110" t="s">
        <v>1448</v>
      </c>
      <c r="E2589" s="111"/>
      <c r="F2589" s="111"/>
      <c r="G2589" s="111"/>
      <c r="H2589" s="111"/>
      <c r="I2589" s="111"/>
      <c r="J2589" s="111"/>
      <c r="K2589" s="111"/>
      <c r="L2589" s="111"/>
      <c r="M2589" s="467"/>
    </row>
    <row r="2590" spans="1:18" s="107" customFormat="1" hidden="1" outlineLevel="1" x14ac:dyDescent="0.2">
      <c r="A2590" s="109" t="s">
        <v>2</v>
      </c>
      <c r="B2590" s="110" t="s">
        <v>1449</v>
      </c>
      <c r="C2590" s="111" t="s">
        <v>1450</v>
      </c>
      <c r="D2590" s="110" t="s">
        <v>1451</v>
      </c>
      <c r="E2590" s="111"/>
      <c r="F2590" s="111"/>
      <c r="G2590" s="111"/>
      <c r="H2590" s="111"/>
      <c r="I2590" s="111"/>
      <c r="J2590" s="111"/>
      <c r="K2590" s="111"/>
      <c r="L2590" s="111"/>
      <c r="M2590" s="467"/>
    </row>
    <row r="2591" spans="1:18" s="107" customFormat="1" hidden="1" outlineLevel="1" x14ac:dyDescent="0.2">
      <c r="A2591" s="109" t="s">
        <v>3</v>
      </c>
      <c r="B2591" s="110" t="s">
        <v>1452</v>
      </c>
      <c r="C2591" s="111" t="s">
        <v>1453</v>
      </c>
      <c r="D2591" s="110" t="s">
        <v>1454</v>
      </c>
      <c r="E2591" s="111"/>
      <c r="F2591" s="111"/>
      <c r="G2591" s="111"/>
      <c r="H2591" s="111"/>
      <c r="I2591" s="111"/>
      <c r="J2591" s="111"/>
      <c r="K2591" s="111"/>
      <c r="L2591" s="111"/>
      <c r="M2591" s="467"/>
    </row>
    <row r="2592" spans="1:18" s="107" customFormat="1" hidden="1" outlineLevel="1" x14ac:dyDescent="0.2">
      <c r="A2592" s="109" t="s">
        <v>3</v>
      </c>
      <c r="B2592" s="110" t="s">
        <v>1455</v>
      </c>
      <c r="C2592" s="111" t="s">
        <v>1456</v>
      </c>
      <c r="D2592" s="110" t="s">
        <v>1457</v>
      </c>
      <c r="E2592" s="111"/>
      <c r="F2592" s="111"/>
      <c r="G2592" s="111"/>
      <c r="H2592" s="111"/>
      <c r="I2592" s="111"/>
      <c r="J2592" s="111"/>
      <c r="K2592" s="111"/>
      <c r="L2592" s="111"/>
      <c r="M2592" s="467"/>
    </row>
    <row r="2593" spans="1:13" s="107" customFormat="1" hidden="1" outlineLevel="1" x14ac:dyDescent="0.2">
      <c r="A2593" s="109" t="s">
        <v>20</v>
      </c>
      <c r="B2593" s="110" t="s">
        <v>1458</v>
      </c>
      <c r="C2593" s="104" t="str">
        <f t="shared" ref="C2593" si="1109">$C$2543</f>
        <v>No website</v>
      </c>
      <c r="D2593" s="110" t="s">
        <v>1459</v>
      </c>
      <c r="E2593" s="111"/>
      <c r="F2593" s="111"/>
      <c r="G2593" s="111"/>
      <c r="H2593" s="111"/>
      <c r="I2593" s="111"/>
      <c r="J2593" s="111"/>
      <c r="K2593" s="111"/>
      <c r="L2593" s="111"/>
      <c r="M2593" s="467"/>
    </row>
    <row r="2594" spans="1:13" s="107" customFormat="1" hidden="1" outlineLevel="1" x14ac:dyDescent="0.2">
      <c r="A2594" s="109" t="s">
        <v>20</v>
      </c>
      <c r="B2594" s="110" t="s">
        <v>1460</v>
      </c>
      <c r="C2594" s="111" t="s">
        <v>1461</v>
      </c>
      <c r="D2594" s="110" t="s">
        <v>1462</v>
      </c>
      <c r="E2594" s="111"/>
      <c r="F2594" s="111"/>
      <c r="G2594" s="111"/>
      <c r="H2594" s="111"/>
      <c r="I2594" s="111"/>
      <c r="J2594" s="111"/>
      <c r="K2594" s="111"/>
      <c r="L2594" s="111"/>
      <c r="M2594" s="467"/>
    </row>
    <row r="2595" spans="1:13" s="107" customFormat="1" hidden="1" outlineLevel="1" x14ac:dyDescent="0.2">
      <c r="A2595" s="109" t="s">
        <v>20</v>
      </c>
      <c r="B2595" s="110" t="s">
        <v>1463</v>
      </c>
      <c r="C2595" s="111" t="s">
        <v>1464</v>
      </c>
      <c r="D2595" s="110" t="s">
        <v>1465</v>
      </c>
      <c r="E2595" s="111"/>
      <c r="F2595" s="111"/>
      <c r="G2595" s="111"/>
      <c r="H2595" s="111"/>
      <c r="I2595" s="111"/>
      <c r="J2595" s="111"/>
      <c r="K2595" s="111"/>
      <c r="L2595" s="111"/>
      <c r="M2595" s="467"/>
    </row>
    <row r="2596" spans="1:13" s="107" customFormat="1" hidden="1" outlineLevel="1" x14ac:dyDescent="0.2">
      <c r="A2596" s="109" t="s">
        <v>20</v>
      </c>
      <c r="B2596" s="110" t="s">
        <v>1466</v>
      </c>
      <c r="C2596" s="111" t="s">
        <v>1467</v>
      </c>
      <c r="D2596" s="110" t="s">
        <v>1468</v>
      </c>
      <c r="E2596" s="111"/>
      <c r="F2596" s="111"/>
      <c r="G2596" s="111"/>
      <c r="H2596" s="111"/>
      <c r="I2596" s="111"/>
      <c r="J2596" s="111"/>
      <c r="K2596" s="111"/>
      <c r="L2596" s="111"/>
      <c r="M2596" s="467"/>
    </row>
    <row r="2597" spans="1:13" s="107" customFormat="1" hidden="1" outlineLevel="1" x14ac:dyDescent="0.2">
      <c r="A2597" s="109" t="s">
        <v>20</v>
      </c>
      <c r="B2597" s="110" t="s">
        <v>1469</v>
      </c>
      <c r="C2597" s="104" t="str">
        <f>$C$2543</f>
        <v>No website</v>
      </c>
      <c r="D2597" s="110" t="s">
        <v>1470</v>
      </c>
      <c r="E2597" s="111"/>
      <c r="F2597" s="111"/>
      <c r="G2597" s="111"/>
      <c r="H2597" s="111"/>
      <c r="I2597" s="111"/>
      <c r="J2597" s="111"/>
      <c r="K2597" s="111"/>
      <c r="L2597" s="111"/>
      <c r="M2597" s="467"/>
    </row>
    <row r="2598" spans="1:13" s="107" customFormat="1" hidden="1" outlineLevel="1" x14ac:dyDescent="0.2">
      <c r="A2598" s="109" t="s">
        <v>20</v>
      </c>
      <c r="B2598" s="110" t="s">
        <v>1471</v>
      </c>
      <c r="C2598" s="111" t="s">
        <v>1472</v>
      </c>
      <c r="D2598" s="110" t="s">
        <v>1473</v>
      </c>
      <c r="E2598" s="111"/>
      <c r="F2598" s="111"/>
      <c r="G2598" s="111"/>
      <c r="H2598" s="111"/>
      <c r="I2598" s="111"/>
      <c r="J2598" s="111"/>
      <c r="K2598" s="111"/>
      <c r="L2598" s="111"/>
      <c r="M2598" s="467"/>
    </row>
    <row r="2599" spans="1:13" s="107" customFormat="1" hidden="1" outlineLevel="1" x14ac:dyDescent="0.2">
      <c r="A2599" s="109" t="s">
        <v>20</v>
      </c>
      <c r="B2599" s="110" t="s">
        <v>1474</v>
      </c>
      <c r="C2599" s="104" t="str">
        <f>$C$2543</f>
        <v>No website</v>
      </c>
      <c r="D2599" s="110" t="s">
        <v>1475</v>
      </c>
      <c r="E2599" s="111"/>
      <c r="F2599" s="111"/>
      <c r="G2599" s="111"/>
      <c r="H2599" s="111"/>
      <c r="I2599" s="111"/>
      <c r="J2599" s="111"/>
      <c r="K2599" s="111"/>
      <c r="L2599" s="111"/>
      <c r="M2599" s="467"/>
    </row>
    <row r="2600" spans="1:13" s="107" customFormat="1" hidden="1" outlineLevel="1" x14ac:dyDescent="0.2">
      <c r="A2600" s="109" t="s">
        <v>20</v>
      </c>
      <c r="B2600" s="110" t="s">
        <v>1476</v>
      </c>
      <c r="C2600" s="104" t="str">
        <f>$C$2543</f>
        <v>No website</v>
      </c>
      <c r="D2600" s="110" t="s">
        <v>1477</v>
      </c>
      <c r="E2600" s="111"/>
      <c r="F2600" s="111"/>
      <c r="G2600" s="111"/>
      <c r="H2600" s="111"/>
      <c r="I2600" s="111"/>
      <c r="J2600" s="111"/>
      <c r="K2600" s="111"/>
      <c r="L2600" s="111"/>
      <c r="M2600" s="467"/>
    </row>
    <row r="2601" spans="1:13" s="107" customFormat="1" hidden="1" outlineLevel="1" x14ac:dyDescent="0.2">
      <c r="A2601" s="109" t="s">
        <v>20</v>
      </c>
      <c r="B2601" s="110" t="s">
        <v>1478</v>
      </c>
      <c r="C2601" s="104" t="s">
        <v>1479</v>
      </c>
      <c r="D2601" s="110" t="s">
        <v>1480</v>
      </c>
      <c r="E2601" s="111"/>
      <c r="F2601" s="111"/>
      <c r="G2601" s="111"/>
      <c r="H2601" s="111"/>
      <c r="I2601" s="111"/>
      <c r="J2601" s="111"/>
      <c r="K2601" s="111"/>
      <c r="L2601" s="111"/>
      <c r="M2601" s="467"/>
    </row>
    <row r="2602" spans="1:13" s="107" customFormat="1" hidden="1" outlineLevel="1" x14ac:dyDescent="0.2">
      <c r="A2602" s="109" t="s">
        <v>20</v>
      </c>
      <c r="B2602" s="110" t="s">
        <v>1481</v>
      </c>
      <c r="C2602" s="104" t="s">
        <v>1482</v>
      </c>
      <c r="D2602" s="110" t="s">
        <v>1483</v>
      </c>
      <c r="E2602" s="111"/>
      <c r="F2602" s="111"/>
      <c r="G2602" s="111"/>
      <c r="H2602" s="111"/>
      <c r="I2602" s="111"/>
      <c r="J2602" s="111"/>
      <c r="K2602" s="111"/>
      <c r="L2602" s="111"/>
      <c r="M2602" s="467"/>
    </row>
    <row r="2603" spans="1:13" s="107" customFormat="1" hidden="1" outlineLevel="1" x14ac:dyDescent="0.2">
      <c r="A2603" s="109" t="s">
        <v>20</v>
      </c>
      <c r="B2603" s="110" t="s">
        <v>1484</v>
      </c>
      <c r="C2603" s="104" t="s">
        <v>1485</v>
      </c>
      <c r="D2603" s="110" t="s">
        <v>1486</v>
      </c>
      <c r="E2603" s="111"/>
      <c r="F2603" s="111"/>
      <c r="G2603" s="111"/>
      <c r="H2603" s="111"/>
      <c r="I2603" s="111"/>
      <c r="J2603" s="111"/>
      <c r="K2603" s="111"/>
      <c r="L2603" s="111"/>
      <c r="M2603" s="467"/>
    </row>
    <row r="2604" spans="1:13" s="107" customFormat="1" hidden="1" outlineLevel="1" x14ac:dyDescent="0.2">
      <c r="A2604" s="109" t="s">
        <v>22</v>
      </c>
      <c r="B2604" s="110" t="s">
        <v>1487</v>
      </c>
      <c r="C2604" s="104" t="s">
        <v>1488</v>
      </c>
      <c r="D2604" s="110" t="s">
        <v>1489</v>
      </c>
      <c r="E2604" s="111"/>
      <c r="F2604" s="111"/>
      <c r="G2604" s="111"/>
      <c r="H2604" s="111"/>
      <c r="I2604" s="111"/>
      <c r="J2604" s="111"/>
      <c r="K2604" s="111"/>
      <c r="L2604" s="111"/>
      <c r="M2604" s="467"/>
    </row>
    <row r="2605" spans="1:13" s="107" customFormat="1" hidden="1" outlineLevel="1" x14ac:dyDescent="0.2">
      <c r="A2605" s="109" t="s">
        <v>23</v>
      </c>
      <c r="B2605" s="110" t="s">
        <v>1490</v>
      </c>
      <c r="C2605" s="104" t="s">
        <v>1491</v>
      </c>
      <c r="D2605" s="110" t="s">
        <v>1492</v>
      </c>
      <c r="E2605" s="111"/>
      <c r="F2605" s="111"/>
      <c r="G2605" s="111"/>
      <c r="H2605" s="111"/>
      <c r="I2605" s="111"/>
      <c r="J2605" s="111"/>
      <c r="K2605" s="111"/>
      <c r="L2605" s="111"/>
      <c r="M2605" s="467"/>
    </row>
    <row r="2606" spans="1:13" s="107" customFormat="1" hidden="1" outlineLevel="1" x14ac:dyDescent="0.2">
      <c r="A2606" s="109" t="s">
        <v>23</v>
      </c>
      <c r="B2606" s="110" t="s">
        <v>1493</v>
      </c>
      <c r="C2606" s="104" t="s">
        <v>1494</v>
      </c>
      <c r="D2606" s="110" t="s">
        <v>1495</v>
      </c>
      <c r="E2606" s="111"/>
      <c r="F2606" s="111"/>
      <c r="G2606" s="111"/>
      <c r="H2606" s="111"/>
      <c r="I2606" s="111"/>
      <c r="J2606" s="111"/>
      <c r="K2606" s="111"/>
      <c r="L2606" s="111"/>
      <c r="M2606" s="467"/>
    </row>
    <row r="2607" spans="1:13" s="107" customFormat="1" hidden="1" outlineLevel="1" x14ac:dyDescent="0.2">
      <c r="A2607" s="109"/>
      <c r="B2607" s="110"/>
      <c r="C2607" s="104"/>
      <c r="D2607" s="110"/>
      <c r="E2607" s="111"/>
      <c r="F2607" s="111"/>
      <c r="G2607" s="111"/>
      <c r="H2607" s="111"/>
      <c r="I2607" s="111"/>
      <c r="J2607" s="111"/>
      <c r="K2607" s="111"/>
      <c r="L2607" s="111"/>
      <c r="M2607" s="467"/>
    </row>
    <row r="2608" spans="1:13" s="107" customFormat="1" hidden="1" outlineLevel="1" x14ac:dyDescent="0.2">
      <c r="A2608" s="109"/>
      <c r="B2608" s="110"/>
      <c r="C2608" s="104"/>
      <c r="D2608" s="110"/>
      <c r="E2608" s="111"/>
      <c r="F2608" s="111"/>
      <c r="G2608" s="111"/>
      <c r="H2608" s="111"/>
      <c r="I2608" s="111"/>
      <c r="J2608" s="111"/>
      <c r="K2608" s="111"/>
      <c r="L2608" s="111"/>
      <c r="M2608" s="467"/>
    </row>
    <row r="2609" spans="1:13" s="107" customFormat="1" hidden="1" outlineLevel="1" x14ac:dyDescent="0.2">
      <c r="A2609" s="109"/>
      <c r="B2609" s="110"/>
      <c r="C2609" s="104"/>
      <c r="D2609" s="110"/>
      <c r="E2609" s="111"/>
      <c r="F2609" s="111"/>
      <c r="G2609" s="111"/>
      <c r="H2609" s="111"/>
      <c r="I2609" s="111"/>
      <c r="J2609" s="111"/>
      <c r="K2609" s="111"/>
      <c r="L2609" s="111"/>
      <c r="M2609" s="467"/>
    </row>
    <row r="2610" spans="1:13" s="107" customFormat="1" hidden="1" outlineLevel="1" x14ac:dyDescent="0.2">
      <c r="A2610" s="109"/>
      <c r="B2610" s="110"/>
      <c r="C2610" s="104"/>
      <c r="D2610" s="110"/>
      <c r="E2610" s="111"/>
      <c r="F2610" s="111"/>
      <c r="G2610" s="111"/>
      <c r="H2610" s="111"/>
      <c r="I2610" s="111"/>
      <c r="J2610" s="111"/>
      <c r="K2610" s="111"/>
      <c r="L2610" s="111"/>
      <c r="M2610" s="467"/>
    </row>
    <row r="2611" spans="1:13" s="107" customFormat="1" hidden="1" outlineLevel="1" x14ac:dyDescent="0.2">
      <c r="A2611" s="109"/>
      <c r="B2611" s="110"/>
      <c r="C2611" s="104"/>
      <c r="D2611" s="110"/>
      <c r="E2611" s="111"/>
      <c r="F2611" s="111"/>
      <c r="G2611" s="111"/>
      <c r="H2611" s="111"/>
      <c r="I2611" s="111"/>
      <c r="J2611" s="111"/>
      <c r="K2611" s="111"/>
      <c r="L2611" s="111"/>
      <c r="M2611" s="467"/>
    </row>
    <row r="2612" spans="1:13" s="107" customFormat="1" hidden="1" outlineLevel="1" x14ac:dyDescent="0.2">
      <c r="A2612" s="109"/>
      <c r="B2612" s="110"/>
      <c r="C2612" s="104"/>
      <c r="D2612" s="110"/>
      <c r="E2612" s="111"/>
      <c r="F2612" s="111"/>
      <c r="G2612" s="111"/>
      <c r="H2612" s="111"/>
      <c r="I2612" s="111"/>
      <c r="J2612" s="111"/>
      <c r="K2612" s="111"/>
      <c r="L2612" s="111"/>
      <c r="M2612" s="467"/>
    </row>
    <row r="2613" spans="1:13" s="107" customFormat="1" hidden="1" outlineLevel="1" x14ac:dyDescent="0.2">
      <c r="A2613" s="109"/>
      <c r="B2613" s="110"/>
      <c r="C2613" s="104"/>
      <c r="D2613" s="110"/>
      <c r="E2613" s="111"/>
      <c r="F2613" s="111"/>
      <c r="G2613" s="111"/>
      <c r="H2613" s="111"/>
      <c r="I2613" s="111"/>
      <c r="J2613" s="111"/>
      <c r="K2613" s="111"/>
      <c r="L2613" s="111"/>
      <c r="M2613" s="467"/>
    </row>
    <row r="2614" spans="1:13" s="107" customFormat="1" hidden="1" outlineLevel="1" x14ac:dyDescent="0.2">
      <c r="A2614" s="109"/>
      <c r="B2614" s="110"/>
      <c r="C2614" s="104"/>
      <c r="D2614" s="110"/>
      <c r="E2614" s="111"/>
      <c r="F2614" s="111"/>
      <c r="G2614" s="111"/>
      <c r="H2614" s="111"/>
      <c r="I2614" s="111"/>
      <c r="J2614" s="111"/>
      <c r="K2614" s="111"/>
      <c r="L2614" s="111"/>
      <c r="M2614" s="467"/>
    </row>
    <row r="2615" spans="1:13" s="107" customFormat="1" hidden="1" outlineLevel="1" x14ac:dyDescent="0.2">
      <c r="A2615" s="109"/>
      <c r="B2615" s="110"/>
      <c r="C2615" s="104"/>
      <c r="D2615" s="110"/>
      <c r="E2615" s="111"/>
      <c r="F2615" s="111"/>
      <c r="G2615" s="111"/>
      <c r="H2615" s="111"/>
      <c r="I2615" s="111"/>
      <c r="J2615" s="111"/>
      <c r="K2615" s="111"/>
      <c r="L2615" s="111"/>
      <c r="M2615" s="467"/>
    </row>
    <row r="2616" spans="1:13" s="107" customFormat="1" hidden="1" outlineLevel="1" x14ac:dyDescent="0.2">
      <c r="A2616" s="109"/>
      <c r="B2616" s="110"/>
      <c r="C2616" s="104"/>
      <c r="D2616" s="110"/>
      <c r="E2616" s="111"/>
      <c r="F2616" s="111"/>
      <c r="G2616" s="111"/>
      <c r="H2616" s="111"/>
      <c r="I2616" s="111"/>
      <c r="J2616" s="111"/>
      <c r="K2616" s="111"/>
      <c r="L2616" s="111"/>
      <c r="M2616" s="467"/>
    </row>
    <row r="2617" spans="1:13" s="107" customFormat="1" hidden="1" outlineLevel="1" x14ac:dyDescent="0.2">
      <c r="A2617" s="109"/>
      <c r="B2617" s="110"/>
      <c r="C2617" s="104"/>
      <c r="D2617" s="110"/>
      <c r="E2617" s="111"/>
      <c r="F2617" s="111"/>
      <c r="G2617" s="111"/>
      <c r="H2617" s="111"/>
      <c r="I2617" s="111"/>
      <c r="J2617" s="111"/>
      <c r="K2617" s="111"/>
      <c r="L2617" s="111"/>
      <c r="M2617" s="467"/>
    </row>
    <row r="2618" spans="1:13" s="107" customFormat="1" hidden="1" outlineLevel="1" x14ac:dyDescent="0.2">
      <c r="A2618" s="109"/>
      <c r="B2618" s="110"/>
      <c r="C2618" s="104"/>
      <c r="D2618" s="110"/>
      <c r="E2618" s="111"/>
      <c r="F2618" s="111"/>
      <c r="G2618" s="111"/>
      <c r="H2618" s="111"/>
      <c r="I2618" s="111"/>
      <c r="J2618" s="111"/>
      <c r="K2618" s="111"/>
      <c r="L2618" s="111"/>
      <c r="M2618" s="467"/>
    </row>
    <row r="2619" spans="1:13" s="107" customFormat="1" hidden="1" outlineLevel="1" x14ac:dyDescent="0.2">
      <c r="A2619" s="109"/>
      <c r="B2619" s="110"/>
      <c r="C2619" s="104"/>
      <c r="D2619" s="110"/>
      <c r="E2619" s="111"/>
      <c r="F2619" s="111"/>
      <c r="G2619" s="111"/>
      <c r="H2619" s="111"/>
      <c r="I2619" s="111"/>
      <c r="J2619" s="111"/>
      <c r="K2619" s="111"/>
      <c r="L2619" s="111"/>
      <c r="M2619" s="467"/>
    </row>
    <row r="2620" spans="1:13" s="107" customFormat="1" hidden="1" outlineLevel="1" x14ac:dyDescent="0.2">
      <c r="A2620" s="109"/>
      <c r="B2620" s="110"/>
      <c r="C2620" s="104"/>
      <c r="D2620" s="110"/>
      <c r="E2620" s="111"/>
      <c r="F2620" s="111"/>
      <c r="G2620" s="111"/>
      <c r="H2620" s="111"/>
      <c r="I2620" s="111"/>
      <c r="J2620" s="111"/>
      <c r="K2620" s="111"/>
      <c r="L2620" s="111"/>
      <c r="M2620" s="467"/>
    </row>
    <row r="2621" spans="1:13" s="107" customFormat="1" hidden="1" outlineLevel="1" x14ac:dyDescent="0.2">
      <c r="A2621" s="109"/>
      <c r="B2621" s="110"/>
      <c r="C2621" s="104"/>
      <c r="D2621" s="110"/>
      <c r="E2621" s="111"/>
      <c r="F2621" s="111"/>
      <c r="G2621" s="111"/>
      <c r="H2621" s="111"/>
      <c r="I2621" s="111"/>
      <c r="J2621" s="111"/>
      <c r="K2621" s="111"/>
      <c r="L2621" s="111"/>
      <c r="M2621" s="467"/>
    </row>
    <row r="2622" spans="1:13" s="107" customFormat="1" hidden="1" outlineLevel="1" x14ac:dyDescent="0.2">
      <c r="A2622" s="109"/>
      <c r="B2622" s="110"/>
      <c r="C2622" s="104"/>
      <c r="D2622" s="110"/>
      <c r="E2622" s="111"/>
      <c r="F2622" s="111"/>
      <c r="G2622" s="111"/>
      <c r="H2622" s="111"/>
      <c r="I2622" s="111"/>
      <c r="J2622" s="111"/>
      <c r="K2622" s="111"/>
      <c r="L2622" s="111"/>
      <c r="M2622" s="467"/>
    </row>
    <row r="2623" spans="1:13" s="107" customFormat="1" hidden="1" outlineLevel="1" x14ac:dyDescent="0.2">
      <c r="A2623" s="109"/>
      <c r="B2623" s="110"/>
      <c r="C2623" s="104"/>
      <c r="D2623" s="110"/>
      <c r="E2623" s="111"/>
      <c r="F2623" s="111"/>
      <c r="G2623" s="111"/>
      <c r="H2623" s="111"/>
      <c r="I2623" s="111"/>
      <c r="J2623" s="111"/>
      <c r="K2623" s="111"/>
      <c r="L2623" s="111"/>
      <c r="M2623" s="467"/>
    </row>
    <row r="2624" spans="1:13" s="107" customFormat="1" hidden="1" outlineLevel="1" x14ac:dyDescent="0.2">
      <c r="A2624" s="109"/>
      <c r="B2624" s="110"/>
      <c r="C2624" s="104"/>
      <c r="D2624" s="110"/>
      <c r="E2624" s="111"/>
      <c r="F2624" s="111"/>
      <c r="G2624" s="111"/>
      <c r="H2624" s="111"/>
      <c r="I2624" s="111"/>
      <c r="J2624" s="111"/>
      <c r="K2624" s="111"/>
      <c r="L2624" s="111"/>
      <c r="M2624" s="467"/>
    </row>
    <row r="2625" spans="1:22" s="107" customFormat="1" hidden="1" outlineLevel="1" x14ac:dyDescent="0.2">
      <c r="A2625" s="109"/>
      <c r="B2625" s="110"/>
      <c r="C2625" s="104"/>
      <c r="D2625" s="110"/>
      <c r="E2625" s="111"/>
      <c r="F2625" s="111"/>
      <c r="G2625" s="111"/>
      <c r="H2625" s="111"/>
      <c r="I2625" s="111"/>
      <c r="J2625" s="111"/>
      <c r="K2625" s="111"/>
      <c r="L2625" s="111"/>
      <c r="M2625" s="467"/>
    </row>
    <row r="2626" spans="1:22" s="107" customFormat="1" hidden="1" outlineLevel="1" x14ac:dyDescent="0.2">
      <c r="A2626" s="109"/>
      <c r="B2626" s="110"/>
      <c r="C2626" s="104"/>
      <c r="D2626" s="110"/>
      <c r="E2626" s="111"/>
      <c r="F2626" s="111"/>
      <c r="G2626" s="111"/>
      <c r="H2626" s="111"/>
      <c r="I2626" s="111"/>
      <c r="J2626" s="111"/>
      <c r="K2626" s="111"/>
      <c r="L2626" s="111"/>
      <c r="M2626" s="467"/>
    </row>
    <row r="2627" spans="1:22" s="107" customFormat="1" hidden="1" outlineLevel="1" x14ac:dyDescent="0.2">
      <c r="A2627" s="109"/>
      <c r="B2627" s="110"/>
      <c r="C2627" s="104"/>
      <c r="D2627" s="110"/>
      <c r="E2627" s="111"/>
      <c r="F2627" s="111"/>
      <c r="G2627" s="111"/>
      <c r="H2627" s="111"/>
      <c r="I2627" s="111"/>
      <c r="J2627" s="111"/>
      <c r="K2627" s="111"/>
      <c r="L2627" s="111"/>
      <c r="M2627" s="467"/>
    </row>
    <row r="2628" spans="1:22" s="107" customFormat="1" hidden="1" outlineLevel="1" x14ac:dyDescent="0.2">
      <c r="A2628" s="109"/>
      <c r="B2628" s="110"/>
      <c r="C2628" s="104"/>
      <c r="D2628" s="110"/>
      <c r="E2628" s="111"/>
      <c r="F2628" s="111"/>
      <c r="G2628" s="111"/>
      <c r="H2628" s="111"/>
      <c r="I2628" s="111"/>
      <c r="J2628" s="111"/>
      <c r="K2628" s="111"/>
      <c r="L2628" s="111"/>
      <c r="M2628" s="467"/>
    </row>
    <row r="2629" spans="1:22" s="107" customFormat="1" hidden="1" outlineLevel="1" x14ac:dyDescent="0.2">
      <c r="A2629" s="109"/>
      <c r="B2629" s="110"/>
      <c r="C2629" s="104"/>
      <c r="D2629" s="110"/>
      <c r="E2629" s="111"/>
      <c r="F2629" s="111"/>
      <c r="G2629" s="111"/>
      <c r="H2629" s="111"/>
      <c r="I2629" s="111"/>
      <c r="J2629" s="111"/>
      <c r="K2629" s="111"/>
      <c r="L2629" s="111"/>
      <c r="M2629" s="467"/>
    </row>
    <row r="2630" spans="1:22" s="107" customFormat="1" hidden="1" outlineLevel="1" x14ac:dyDescent="0.2">
      <c r="A2630" s="109"/>
      <c r="B2630" s="110"/>
      <c r="C2630" s="111"/>
      <c r="D2630" s="110"/>
      <c r="E2630" s="111"/>
      <c r="F2630" s="111"/>
      <c r="G2630" s="111"/>
      <c r="H2630" s="111"/>
      <c r="I2630" s="111"/>
      <c r="J2630" s="111"/>
      <c r="K2630" s="111"/>
      <c r="L2630" s="111"/>
      <c r="M2630" s="467"/>
    </row>
    <row r="2631" spans="1:22" s="107" customFormat="1" hidden="1" outlineLevel="1" x14ac:dyDescent="0.2">
      <c r="A2631" s="109"/>
      <c r="B2631" s="110"/>
      <c r="C2631" s="111"/>
      <c r="D2631" s="110"/>
      <c r="E2631" s="111"/>
      <c r="F2631" s="111"/>
      <c r="G2631" s="111"/>
      <c r="H2631" s="111"/>
      <c r="I2631" s="111"/>
      <c r="J2631" s="111"/>
      <c r="K2631" s="111"/>
      <c r="L2631" s="111"/>
      <c r="M2631" s="467"/>
    </row>
    <row r="2632" spans="1:22" s="107" customFormat="1" hidden="1" outlineLevel="1" x14ac:dyDescent="0.2">
      <c r="A2632" s="109"/>
      <c r="B2632" s="110"/>
      <c r="C2632" s="111"/>
      <c r="D2632" s="110"/>
      <c r="E2632" s="111"/>
      <c r="F2632" s="111"/>
      <c r="G2632" s="111"/>
      <c r="H2632" s="111"/>
      <c r="I2632" s="111"/>
      <c r="J2632" s="111"/>
      <c r="K2632" s="111"/>
      <c r="L2632" s="111"/>
      <c r="M2632" s="467"/>
    </row>
    <row r="2633" spans="1:22" s="107" customFormat="1" hidden="1" outlineLevel="1" x14ac:dyDescent="0.2">
      <c r="A2633" s="109"/>
      <c r="B2633" s="110"/>
      <c r="C2633" s="111"/>
      <c r="D2633" s="110"/>
      <c r="E2633" s="111"/>
      <c r="F2633" s="111"/>
      <c r="G2633" s="111"/>
      <c r="H2633" s="111"/>
      <c r="I2633" s="111"/>
      <c r="J2633" s="111"/>
      <c r="K2633" s="111"/>
      <c r="L2633" s="111"/>
      <c r="M2633" s="467"/>
    </row>
    <row r="2634" spans="1:22" s="107" customFormat="1" hidden="1" outlineLevel="1" x14ac:dyDescent="0.2">
      <c r="A2634" s="109"/>
      <c r="B2634" s="110"/>
      <c r="C2634" s="111"/>
      <c r="D2634" s="110"/>
      <c r="E2634" s="111"/>
      <c r="F2634" s="111"/>
      <c r="G2634" s="111"/>
      <c r="H2634" s="111"/>
      <c r="I2634" s="111"/>
      <c r="J2634" s="111"/>
      <c r="K2634" s="111"/>
      <c r="L2634" s="111"/>
      <c r="M2634" s="467"/>
    </row>
    <row r="2635" spans="1:22" s="107" customFormat="1" hidden="1" outlineLevel="1" x14ac:dyDescent="0.2">
      <c r="A2635" s="109"/>
      <c r="B2635" s="110"/>
      <c r="C2635" s="111"/>
      <c r="D2635" s="110"/>
      <c r="E2635" s="111"/>
      <c r="F2635" s="111"/>
      <c r="G2635" s="111"/>
      <c r="H2635" s="111"/>
      <c r="I2635" s="111"/>
      <c r="J2635" s="111"/>
      <c r="K2635" s="111"/>
      <c r="L2635" s="111"/>
      <c r="M2635" s="467"/>
    </row>
    <row r="2636" spans="1:22" collapsed="1" x14ac:dyDescent="0.2">
      <c r="A2636" s="909" t="s">
        <v>1556</v>
      </c>
      <c r="B2636" s="910"/>
      <c r="C2636" s="910"/>
      <c r="D2636" s="911"/>
      <c r="E2636" s="910"/>
      <c r="F2636" s="912"/>
      <c r="G2636" s="912"/>
      <c r="H2636" s="912"/>
      <c r="I2636" s="912"/>
      <c r="J2636" s="912"/>
      <c r="K2636" s="912"/>
      <c r="L2636" s="912"/>
      <c r="M2636" s="891"/>
    </row>
    <row r="2637" spans="1:22" hidden="1" outlineLevel="1" x14ac:dyDescent="0.2">
      <c r="A2637" s="913" t="s">
        <v>0</v>
      </c>
      <c r="B2637" s="914" t="s">
        <v>1497</v>
      </c>
      <c r="C2637" s="914" t="s">
        <v>1315</v>
      </c>
      <c r="D2637" s="915" t="s">
        <v>1228</v>
      </c>
      <c r="E2637" s="914"/>
      <c r="F2637" s="152"/>
      <c r="G2637" s="152"/>
      <c r="H2637" s="152"/>
      <c r="I2637" s="152"/>
      <c r="J2637" s="152"/>
      <c r="K2637" s="152"/>
      <c r="L2637" s="152"/>
      <c r="M2637" s="904"/>
    </row>
    <row r="2638" spans="1:22" s="107" customFormat="1" hidden="1" outlineLevel="1" x14ac:dyDescent="0.2">
      <c r="A2638" s="105" t="s">
        <v>18</v>
      </c>
      <c r="B2638" s="104" t="s">
        <v>1558</v>
      </c>
      <c r="C2638" s="104" t="s">
        <v>1559</v>
      </c>
      <c r="D2638" s="104" t="s">
        <v>1231</v>
      </c>
      <c r="E2638" s="104"/>
      <c r="F2638" s="104"/>
      <c r="G2638" s="104"/>
      <c r="H2638" s="104"/>
      <c r="I2638" s="104"/>
      <c r="J2638" s="104"/>
      <c r="K2638" s="104"/>
      <c r="L2638" s="104"/>
      <c r="M2638" s="108"/>
      <c r="N2638" s="106"/>
      <c r="O2638" s="106"/>
      <c r="P2638" s="106"/>
      <c r="Q2638" s="106"/>
      <c r="R2638" s="106"/>
      <c r="S2638" s="106"/>
      <c r="T2638" s="106"/>
      <c r="U2638" s="106"/>
      <c r="V2638" s="106"/>
    </row>
    <row r="2639" spans="1:22" s="107" customFormat="1" hidden="1" outlineLevel="1" x14ac:dyDescent="0.2">
      <c r="A2639" s="105" t="s">
        <v>11</v>
      </c>
      <c r="B2639" s="104" t="s">
        <v>1560</v>
      </c>
      <c r="C2639" s="104" t="s">
        <v>1562</v>
      </c>
      <c r="D2639" s="104" t="s">
        <v>1561</v>
      </c>
      <c r="E2639" s="104"/>
      <c r="F2639" s="104"/>
      <c r="G2639" s="104"/>
      <c r="H2639" s="104"/>
      <c r="I2639" s="104"/>
      <c r="J2639" s="104"/>
      <c r="K2639" s="104"/>
      <c r="L2639" s="104"/>
      <c r="M2639" s="108"/>
      <c r="N2639" s="106"/>
      <c r="O2639" s="106"/>
      <c r="P2639" s="106"/>
      <c r="Q2639" s="106"/>
      <c r="R2639" s="106"/>
    </row>
    <row r="2640" spans="1:22" s="107" customFormat="1" hidden="1" outlineLevel="1" x14ac:dyDescent="0.2">
      <c r="A2640" s="105" t="s">
        <v>8</v>
      </c>
      <c r="B2640" s="104" t="s">
        <v>1563</v>
      </c>
      <c r="C2640" s="104" t="s">
        <v>1565</v>
      </c>
      <c r="D2640" s="104" t="s">
        <v>1564</v>
      </c>
      <c r="E2640" s="104"/>
      <c r="F2640" s="104"/>
      <c r="G2640" s="104"/>
      <c r="H2640" s="104"/>
      <c r="I2640" s="104"/>
      <c r="J2640" s="104"/>
      <c r="K2640" s="104"/>
      <c r="L2640" s="104"/>
      <c r="M2640" s="108"/>
      <c r="N2640" s="106"/>
      <c r="O2640" s="106"/>
      <c r="P2640" s="106"/>
      <c r="Q2640" s="106"/>
      <c r="R2640" s="106"/>
    </row>
    <row r="2641" spans="1:18" s="107" customFormat="1" hidden="1" outlineLevel="1" x14ac:dyDescent="0.2">
      <c r="A2641" s="105" t="s">
        <v>31</v>
      </c>
      <c r="B2641" s="104" t="s">
        <v>1566</v>
      </c>
      <c r="C2641" s="104" t="s">
        <v>1568</v>
      </c>
      <c r="D2641" s="104" t="s">
        <v>1567</v>
      </c>
      <c r="E2641" s="104"/>
      <c r="F2641" s="104"/>
      <c r="G2641" s="104"/>
      <c r="H2641" s="104"/>
      <c r="I2641" s="104"/>
      <c r="J2641" s="104"/>
      <c r="K2641" s="104"/>
      <c r="L2641" s="104"/>
      <c r="M2641" s="108"/>
      <c r="N2641" s="106"/>
      <c r="O2641" s="106"/>
      <c r="P2641" s="106"/>
      <c r="Q2641" s="106"/>
      <c r="R2641" s="106"/>
    </row>
    <row r="2642" spans="1:18" s="107" customFormat="1" hidden="1" outlineLevel="1" x14ac:dyDescent="0.2">
      <c r="A2642" s="105" t="s">
        <v>31</v>
      </c>
      <c r="B2642" s="104" t="s">
        <v>1569</v>
      </c>
      <c r="C2642" s="104" t="s">
        <v>1570</v>
      </c>
      <c r="D2642" s="104" t="s">
        <v>1564</v>
      </c>
      <c r="E2642" s="104"/>
      <c r="F2642" s="104"/>
      <c r="G2642" s="104"/>
      <c r="H2642" s="104"/>
      <c r="I2642" s="104"/>
      <c r="J2642" s="104"/>
      <c r="K2642" s="104"/>
      <c r="L2642" s="104"/>
      <c r="M2642" s="108"/>
      <c r="N2642" s="106"/>
      <c r="O2642" s="106"/>
      <c r="P2642" s="106"/>
      <c r="Q2642" s="106"/>
      <c r="R2642" s="106"/>
    </row>
    <row r="2643" spans="1:18" s="107" customFormat="1" hidden="1" outlineLevel="1" x14ac:dyDescent="0.2">
      <c r="A2643" s="105" t="s">
        <v>9</v>
      </c>
      <c r="B2643" s="104" t="s">
        <v>1571</v>
      </c>
      <c r="C2643" s="104" t="s">
        <v>1572</v>
      </c>
      <c r="D2643" s="104" t="s">
        <v>1564</v>
      </c>
      <c r="E2643" s="104"/>
      <c r="F2643" s="104"/>
      <c r="G2643" s="104"/>
      <c r="H2643" s="104"/>
      <c r="I2643" s="104"/>
      <c r="J2643" s="104"/>
      <c r="K2643" s="104"/>
      <c r="L2643" s="104"/>
      <c r="M2643" s="108"/>
      <c r="N2643" s="106"/>
      <c r="O2643" s="106"/>
      <c r="P2643" s="106"/>
      <c r="Q2643" s="106"/>
      <c r="R2643" s="106"/>
    </row>
    <row r="2644" spans="1:18" s="107" customFormat="1" hidden="1" outlineLevel="1" x14ac:dyDescent="0.2">
      <c r="A2644" s="105" t="s">
        <v>31</v>
      </c>
      <c r="B2644" s="104" t="s">
        <v>1573</v>
      </c>
      <c r="C2644" s="104" t="s">
        <v>1574</v>
      </c>
      <c r="D2644" s="104" t="s">
        <v>1564</v>
      </c>
      <c r="E2644" s="104"/>
      <c r="F2644" s="104"/>
      <c r="G2644" s="104"/>
      <c r="H2644" s="104"/>
      <c r="I2644" s="104"/>
      <c r="J2644" s="104"/>
      <c r="K2644" s="104"/>
      <c r="L2644" s="104"/>
      <c r="M2644" s="108"/>
      <c r="N2644" s="106"/>
      <c r="O2644" s="106"/>
      <c r="P2644" s="106"/>
      <c r="Q2644" s="106"/>
      <c r="R2644" s="106"/>
    </row>
    <row r="2645" spans="1:18" s="107" customFormat="1" hidden="1" outlineLevel="1" x14ac:dyDescent="0.2">
      <c r="A2645" s="105" t="s">
        <v>4</v>
      </c>
      <c r="B2645" s="104" t="s">
        <v>1575</v>
      </c>
      <c r="C2645" s="104" t="s">
        <v>1576</v>
      </c>
      <c r="D2645" s="104" t="s">
        <v>1564</v>
      </c>
      <c r="E2645" s="104"/>
      <c r="F2645" s="104"/>
      <c r="G2645" s="104"/>
      <c r="H2645" s="104"/>
      <c r="I2645" s="104"/>
      <c r="J2645" s="104"/>
      <c r="K2645" s="104"/>
      <c r="L2645" s="104"/>
      <c r="M2645" s="108"/>
      <c r="N2645" s="106"/>
      <c r="O2645" s="106"/>
      <c r="P2645" s="106"/>
      <c r="Q2645" s="106"/>
      <c r="R2645" s="106"/>
    </row>
    <row r="2646" spans="1:18" s="107" customFormat="1" hidden="1" outlineLevel="1" x14ac:dyDescent="0.2">
      <c r="A2646" s="105" t="s">
        <v>4</v>
      </c>
      <c r="B2646" s="104" t="s">
        <v>1577</v>
      </c>
      <c r="C2646" s="104" t="s">
        <v>1578</v>
      </c>
      <c r="D2646" s="104" t="s">
        <v>1564</v>
      </c>
      <c r="E2646" s="104"/>
      <c r="F2646" s="104"/>
      <c r="G2646" s="104"/>
      <c r="H2646" s="104"/>
      <c r="I2646" s="104"/>
      <c r="J2646" s="104"/>
      <c r="K2646" s="104"/>
      <c r="L2646" s="104"/>
      <c r="M2646" s="108"/>
      <c r="N2646" s="106"/>
      <c r="O2646" s="106"/>
      <c r="P2646" s="106"/>
      <c r="Q2646" s="106"/>
      <c r="R2646" s="106"/>
    </row>
    <row r="2647" spans="1:18" s="107" customFormat="1" hidden="1" outlineLevel="1" x14ac:dyDescent="0.2">
      <c r="A2647" s="105" t="s">
        <v>22</v>
      </c>
      <c r="B2647" s="104" t="s">
        <v>1579</v>
      </c>
      <c r="C2647" s="104" t="s">
        <v>1580</v>
      </c>
      <c r="D2647" s="104" t="s">
        <v>1564</v>
      </c>
      <c r="E2647" s="104"/>
      <c r="F2647" s="104"/>
      <c r="G2647" s="104"/>
      <c r="H2647" s="104"/>
      <c r="I2647" s="104"/>
      <c r="J2647" s="104"/>
      <c r="K2647" s="104"/>
      <c r="L2647" s="104"/>
      <c r="M2647" s="108"/>
      <c r="N2647" s="106"/>
      <c r="O2647" s="106"/>
      <c r="P2647" s="106"/>
      <c r="Q2647" s="106"/>
      <c r="R2647" s="106"/>
    </row>
    <row r="2648" spans="1:18" s="107" customFormat="1" hidden="1" outlineLevel="1" x14ac:dyDescent="0.2">
      <c r="A2648" s="105" t="s">
        <v>31</v>
      </c>
      <c r="B2648" s="104" t="s">
        <v>1581</v>
      </c>
      <c r="C2648" s="104" t="s">
        <v>1582</v>
      </c>
      <c r="D2648" s="104" t="s">
        <v>1564</v>
      </c>
      <c r="E2648" s="104"/>
      <c r="F2648" s="104"/>
      <c r="G2648" s="104"/>
      <c r="H2648" s="104"/>
      <c r="I2648" s="104"/>
      <c r="J2648" s="104"/>
      <c r="K2648" s="104"/>
      <c r="L2648" s="104"/>
      <c r="M2648" s="108"/>
      <c r="N2648" s="106"/>
      <c r="O2648" s="106"/>
      <c r="P2648" s="106"/>
      <c r="Q2648" s="106"/>
      <c r="R2648" s="106"/>
    </row>
    <row r="2649" spans="1:18" s="107" customFormat="1" hidden="1" outlineLevel="1" x14ac:dyDescent="0.2">
      <c r="A2649" s="105" t="s">
        <v>31</v>
      </c>
      <c r="B2649" s="104" t="s">
        <v>1583</v>
      </c>
      <c r="C2649" s="104" t="s">
        <v>1584</v>
      </c>
      <c r="D2649" s="104" t="s">
        <v>1564</v>
      </c>
      <c r="E2649" s="104"/>
      <c r="F2649" s="104"/>
      <c r="G2649" s="104"/>
      <c r="H2649" s="104"/>
      <c r="I2649" s="104"/>
      <c r="J2649" s="104"/>
      <c r="K2649" s="104"/>
      <c r="L2649" s="104"/>
      <c r="M2649" s="108"/>
      <c r="N2649" s="106"/>
      <c r="O2649" s="106"/>
      <c r="P2649" s="106"/>
      <c r="Q2649" s="106"/>
      <c r="R2649" s="106"/>
    </row>
    <row r="2650" spans="1:18" s="107" customFormat="1" hidden="1" outlineLevel="1" x14ac:dyDescent="0.2">
      <c r="A2650" s="105" t="s">
        <v>10</v>
      </c>
      <c r="B2650" s="104" t="s">
        <v>1585</v>
      </c>
      <c r="C2650" s="104" t="s">
        <v>1586</v>
      </c>
      <c r="D2650" s="104" t="s">
        <v>1567</v>
      </c>
      <c r="E2650" s="104"/>
      <c r="F2650" s="104"/>
      <c r="G2650" s="104"/>
      <c r="H2650" s="104"/>
      <c r="I2650" s="104"/>
      <c r="J2650" s="104"/>
      <c r="K2650" s="104"/>
      <c r="L2650" s="104"/>
      <c r="M2650" s="108"/>
      <c r="N2650" s="106"/>
      <c r="O2650" s="106"/>
      <c r="P2650" s="106"/>
      <c r="Q2650" s="106"/>
      <c r="R2650" s="106"/>
    </row>
    <row r="2651" spans="1:18" s="107" customFormat="1" hidden="1" outlineLevel="1" x14ac:dyDescent="0.2">
      <c r="A2651" s="105" t="s">
        <v>20</v>
      </c>
      <c r="B2651" s="104" t="s">
        <v>1587</v>
      </c>
      <c r="C2651" s="104" t="s">
        <v>1588</v>
      </c>
      <c r="D2651" s="104" t="s">
        <v>1564</v>
      </c>
      <c r="E2651" s="104"/>
      <c r="F2651" s="104"/>
      <c r="G2651" s="104"/>
      <c r="H2651" s="104"/>
      <c r="I2651" s="104"/>
      <c r="J2651" s="104"/>
      <c r="K2651" s="104"/>
      <c r="L2651" s="104"/>
      <c r="M2651" s="108"/>
      <c r="N2651" s="106"/>
      <c r="O2651" s="106"/>
      <c r="P2651" s="106"/>
      <c r="Q2651" s="106"/>
      <c r="R2651" s="106"/>
    </row>
    <row r="2652" spans="1:18" s="107" customFormat="1" hidden="1" outlineLevel="1" x14ac:dyDescent="0.2">
      <c r="A2652" s="105" t="s">
        <v>31</v>
      </c>
      <c r="B2652" s="104" t="s">
        <v>1589</v>
      </c>
      <c r="C2652" s="104" t="s">
        <v>1591</v>
      </c>
      <c r="D2652" s="104" t="s">
        <v>1590</v>
      </c>
      <c r="E2652" s="104"/>
      <c r="F2652" s="104"/>
      <c r="G2652" s="104"/>
      <c r="H2652" s="104"/>
      <c r="I2652" s="104"/>
      <c r="J2652" s="104"/>
      <c r="K2652" s="104"/>
      <c r="L2652" s="104"/>
      <c r="M2652" s="108"/>
      <c r="N2652" s="106"/>
      <c r="O2652" s="106"/>
      <c r="P2652" s="106"/>
      <c r="Q2652" s="106"/>
      <c r="R2652" s="106"/>
    </row>
    <row r="2653" spans="1:18" s="107" customFormat="1" hidden="1" outlineLevel="1" x14ac:dyDescent="0.2">
      <c r="A2653" s="105" t="s">
        <v>1</v>
      </c>
      <c r="B2653" s="104" t="s">
        <v>1592</v>
      </c>
      <c r="C2653" s="104" t="s">
        <v>1594</v>
      </c>
      <c r="D2653" s="104" t="s">
        <v>1593</v>
      </c>
      <c r="E2653" s="104"/>
      <c r="F2653" s="104"/>
      <c r="G2653" s="104"/>
      <c r="H2653" s="104"/>
      <c r="I2653" s="104"/>
      <c r="J2653" s="104"/>
      <c r="K2653" s="104"/>
      <c r="L2653" s="104"/>
      <c r="M2653" s="108"/>
      <c r="N2653" s="106"/>
      <c r="O2653" s="106"/>
      <c r="P2653" s="106"/>
      <c r="Q2653" s="106"/>
      <c r="R2653" s="106"/>
    </row>
    <row r="2654" spans="1:18" s="107" customFormat="1" hidden="1" outlineLevel="1" x14ac:dyDescent="0.2">
      <c r="A2654" s="105" t="s">
        <v>18</v>
      </c>
      <c r="B2654" s="104" t="s">
        <v>1595</v>
      </c>
      <c r="C2654" s="104" t="s">
        <v>1596</v>
      </c>
      <c r="D2654" s="104" t="s">
        <v>1564</v>
      </c>
      <c r="E2654" s="104"/>
      <c r="F2654" s="104"/>
      <c r="G2654" s="104"/>
      <c r="H2654" s="104"/>
      <c r="I2654" s="104"/>
      <c r="J2654" s="104"/>
      <c r="K2654" s="104"/>
      <c r="L2654" s="104"/>
      <c r="M2654" s="108"/>
      <c r="N2654" s="106"/>
      <c r="O2654" s="106"/>
      <c r="P2654" s="106"/>
      <c r="Q2654" s="106"/>
      <c r="R2654" s="106"/>
    </row>
    <row r="2655" spans="1:18" s="107" customFormat="1" hidden="1" outlineLevel="1" x14ac:dyDescent="0.2">
      <c r="A2655" s="105" t="s">
        <v>10</v>
      </c>
      <c r="B2655" s="104" t="s">
        <v>1597</v>
      </c>
      <c r="C2655" s="104" t="s">
        <v>1598</v>
      </c>
      <c r="D2655" s="104" t="s">
        <v>1564</v>
      </c>
      <c r="E2655" s="104"/>
      <c r="F2655" s="104"/>
      <c r="G2655" s="104"/>
      <c r="H2655" s="104"/>
      <c r="I2655" s="104"/>
      <c r="J2655" s="104"/>
      <c r="K2655" s="104"/>
      <c r="L2655" s="104"/>
      <c r="M2655" s="108"/>
      <c r="N2655" s="106"/>
      <c r="O2655" s="106"/>
      <c r="P2655" s="106"/>
      <c r="Q2655" s="106"/>
      <c r="R2655" s="106"/>
    </row>
    <row r="2656" spans="1:18" s="107" customFormat="1" hidden="1" outlineLevel="1" x14ac:dyDescent="0.2">
      <c r="A2656" s="105" t="s">
        <v>31</v>
      </c>
      <c r="B2656" s="104" t="s">
        <v>1599</v>
      </c>
      <c r="C2656" s="104" t="s">
        <v>1601</v>
      </c>
      <c r="D2656" s="104" t="s">
        <v>1600</v>
      </c>
      <c r="E2656" s="104"/>
      <c r="F2656" s="104"/>
      <c r="G2656" s="104"/>
      <c r="H2656" s="104"/>
      <c r="I2656" s="104"/>
      <c r="J2656" s="104"/>
      <c r="K2656" s="104"/>
      <c r="L2656" s="104"/>
      <c r="M2656" s="108"/>
      <c r="N2656" s="106"/>
      <c r="O2656" s="106"/>
      <c r="P2656" s="106"/>
      <c r="Q2656" s="106"/>
      <c r="R2656" s="106"/>
    </row>
    <row r="2657" spans="1:18" s="107" customFormat="1" hidden="1" outlineLevel="1" x14ac:dyDescent="0.2">
      <c r="A2657" s="105" t="s">
        <v>18</v>
      </c>
      <c r="B2657" s="104" t="s">
        <v>1602</v>
      </c>
      <c r="C2657" s="104" t="s">
        <v>1603</v>
      </c>
      <c r="D2657" s="104" t="s">
        <v>1564</v>
      </c>
      <c r="E2657" s="104"/>
      <c r="F2657" s="104"/>
      <c r="G2657" s="104"/>
      <c r="H2657" s="104"/>
      <c r="I2657" s="104"/>
      <c r="J2657" s="104"/>
      <c r="K2657" s="104"/>
      <c r="L2657" s="104"/>
      <c r="M2657" s="108"/>
      <c r="N2657" s="106"/>
      <c r="O2657" s="106"/>
      <c r="P2657" s="106"/>
      <c r="Q2657" s="106"/>
      <c r="R2657" s="106"/>
    </row>
    <row r="2658" spans="1:18" s="107" customFormat="1" hidden="1" outlineLevel="1" x14ac:dyDescent="0.2">
      <c r="A2658" s="105" t="s">
        <v>31</v>
      </c>
      <c r="B2658" s="104" t="s">
        <v>1604</v>
      </c>
      <c r="C2658" s="104" t="s">
        <v>1605</v>
      </c>
      <c r="D2658" s="104" t="s">
        <v>1567</v>
      </c>
      <c r="E2658" s="104"/>
      <c r="F2658" s="104"/>
      <c r="G2658" s="104"/>
      <c r="H2658" s="104"/>
      <c r="I2658" s="104"/>
      <c r="J2658" s="104"/>
      <c r="K2658" s="104"/>
      <c r="L2658" s="104"/>
      <c r="M2658" s="108"/>
      <c r="N2658" s="106"/>
      <c r="O2658" s="106"/>
      <c r="P2658" s="106"/>
      <c r="Q2658" s="106"/>
      <c r="R2658" s="106"/>
    </row>
    <row r="2659" spans="1:18" s="107" customFormat="1" hidden="1" outlineLevel="1" x14ac:dyDescent="0.2">
      <c r="A2659" s="105" t="s">
        <v>9</v>
      </c>
      <c r="B2659" s="104" t="s">
        <v>1606</v>
      </c>
      <c r="C2659" s="104" t="s">
        <v>1608</v>
      </c>
      <c r="D2659" s="104" t="s">
        <v>1607</v>
      </c>
      <c r="E2659" s="104"/>
      <c r="F2659" s="104"/>
      <c r="G2659" s="104"/>
      <c r="H2659" s="104"/>
      <c r="I2659" s="104"/>
      <c r="J2659" s="104"/>
      <c r="K2659" s="104"/>
      <c r="L2659" s="104"/>
      <c r="M2659" s="108"/>
      <c r="N2659" s="106"/>
      <c r="O2659" s="106"/>
      <c r="P2659" s="106"/>
      <c r="Q2659" s="106"/>
      <c r="R2659" s="106"/>
    </row>
    <row r="2660" spans="1:18" s="107" customFormat="1" hidden="1" outlineLevel="1" x14ac:dyDescent="0.2">
      <c r="A2660" s="105" t="s">
        <v>18</v>
      </c>
      <c r="B2660" s="104" t="s">
        <v>1609</v>
      </c>
      <c r="C2660" s="104" t="s">
        <v>1610</v>
      </c>
      <c r="D2660" s="104" t="s">
        <v>1567</v>
      </c>
      <c r="E2660" s="104"/>
      <c r="F2660" s="104"/>
      <c r="G2660" s="104"/>
      <c r="H2660" s="104"/>
      <c r="I2660" s="104"/>
      <c r="J2660" s="104"/>
      <c r="K2660" s="104"/>
      <c r="L2660" s="104"/>
      <c r="M2660" s="108"/>
      <c r="N2660" s="106"/>
      <c r="O2660" s="106"/>
      <c r="P2660" s="106"/>
      <c r="Q2660" s="106"/>
      <c r="R2660" s="106"/>
    </row>
    <row r="2661" spans="1:18" s="107" customFormat="1" hidden="1" outlineLevel="1" x14ac:dyDescent="0.2">
      <c r="A2661" s="105" t="s">
        <v>9</v>
      </c>
      <c r="B2661" s="104" t="s">
        <v>1611</v>
      </c>
      <c r="C2661" s="104" t="s">
        <v>1612</v>
      </c>
      <c r="D2661" s="104" t="s">
        <v>1564</v>
      </c>
      <c r="E2661" s="104"/>
      <c r="F2661" s="104"/>
      <c r="G2661" s="104"/>
      <c r="H2661" s="104"/>
      <c r="I2661" s="104"/>
      <c r="J2661" s="104"/>
      <c r="K2661" s="104"/>
      <c r="L2661" s="104"/>
      <c r="M2661" s="108"/>
      <c r="N2661" s="106"/>
      <c r="O2661" s="106"/>
      <c r="P2661" s="106"/>
      <c r="Q2661" s="106"/>
      <c r="R2661" s="106"/>
    </row>
    <row r="2662" spans="1:18" s="107" customFormat="1" hidden="1" outlineLevel="1" x14ac:dyDescent="0.2">
      <c r="A2662" s="105" t="s">
        <v>31</v>
      </c>
      <c r="B2662" s="104" t="s">
        <v>1613</v>
      </c>
      <c r="C2662" s="104" t="s">
        <v>1614</v>
      </c>
      <c r="D2662" s="104" t="s">
        <v>1590</v>
      </c>
      <c r="E2662" s="104"/>
      <c r="F2662" s="104"/>
      <c r="G2662" s="104"/>
      <c r="H2662" s="104"/>
      <c r="I2662" s="104"/>
      <c r="J2662" s="104"/>
      <c r="K2662" s="104"/>
      <c r="L2662" s="104"/>
      <c r="M2662" s="108"/>
      <c r="N2662" s="106"/>
      <c r="O2662" s="106"/>
      <c r="P2662" s="106"/>
      <c r="Q2662" s="106"/>
      <c r="R2662" s="106"/>
    </row>
    <row r="2663" spans="1:18" s="107" customFormat="1" hidden="1" outlineLevel="1" x14ac:dyDescent="0.2">
      <c r="A2663" s="105" t="s">
        <v>16</v>
      </c>
      <c r="B2663" s="104" t="s">
        <v>1615</v>
      </c>
      <c r="C2663" s="104" t="s">
        <v>1378</v>
      </c>
      <c r="D2663" s="104" t="s">
        <v>1590</v>
      </c>
      <c r="E2663" s="104"/>
      <c r="F2663" s="104"/>
      <c r="G2663" s="104"/>
      <c r="H2663" s="104"/>
      <c r="I2663" s="104"/>
      <c r="J2663" s="104"/>
      <c r="K2663" s="104"/>
      <c r="L2663" s="104"/>
      <c r="M2663" s="108"/>
      <c r="N2663" s="106"/>
      <c r="O2663" s="106"/>
      <c r="P2663" s="106"/>
      <c r="Q2663" s="106"/>
      <c r="R2663" s="106"/>
    </row>
    <row r="2664" spans="1:18" s="107" customFormat="1" hidden="1" outlineLevel="1" x14ac:dyDescent="0.2">
      <c r="A2664" s="105" t="s">
        <v>10</v>
      </c>
      <c r="B2664" s="104" t="s">
        <v>1615</v>
      </c>
      <c r="C2664" s="104" t="s">
        <v>1378</v>
      </c>
      <c r="D2664" s="104" t="s">
        <v>1590</v>
      </c>
      <c r="E2664" s="104"/>
      <c r="F2664" s="104"/>
      <c r="G2664" s="104"/>
      <c r="H2664" s="104"/>
      <c r="I2664" s="104"/>
      <c r="J2664" s="104"/>
      <c r="K2664" s="104"/>
      <c r="L2664" s="104"/>
      <c r="M2664" s="108"/>
      <c r="N2664" s="106"/>
      <c r="O2664" s="106"/>
      <c r="P2664" s="106"/>
      <c r="Q2664" s="106"/>
      <c r="R2664" s="106"/>
    </row>
    <row r="2665" spans="1:18" s="107" customFormat="1" hidden="1" outlineLevel="1" x14ac:dyDescent="0.2">
      <c r="A2665" s="105" t="s">
        <v>1</v>
      </c>
      <c r="B2665" s="104" t="s">
        <v>1615</v>
      </c>
      <c r="C2665" s="104" t="s">
        <v>1378</v>
      </c>
      <c r="D2665" s="104" t="s">
        <v>1590</v>
      </c>
      <c r="E2665" s="104"/>
      <c r="F2665" s="104"/>
      <c r="G2665" s="104"/>
      <c r="H2665" s="104"/>
      <c r="I2665" s="104"/>
      <c r="J2665" s="104"/>
      <c r="K2665" s="104"/>
      <c r="L2665" s="104"/>
      <c r="M2665" s="108"/>
      <c r="N2665" s="106"/>
      <c r="O2665" s="106"/>
      <c r="P2665" s="106"/>
      <c r="Q2665" s="106"/>
      <c r="R2665" s="106"/>
    </row>
    <row r="2666" spans="1:18" s="107" customFormat="1" hidden="1" outlineLevel="1" x14ac:dyDescent="0.2">
      <c r="A2666" s="105" t="s">
        <v>13</v>
      </c>
      <c r="B2666" s="104" t="s">
        <v>1615</v>
      </c>
      <c r="C2666" s="104" t="s">
        <v>1378</v>
      </c>
      <c r="D2666" s="104" t="s">
        <v>1590</v>
      </c>
      <c r="E2666" s="104"/>
      <c r="F2666" s="104"/>
      <c r="G2666" s="104"/>
      <c r="H2666" s="104"/>
      <c r="I2666" s="104"/>
      <c r="J2666" s="104"/>
      <c r="K2666" s="104"/>
      <c r="L2666" s="104"/>
      <c r="M2666" s="108"/>
      <c r="N2666" s="106"/>
      <c r="O2666" s="106"/>
      <c r="P2666" s="106"/>
      <c r="Q2666" s="106"/>
      <c r="R2666" s="106"/>
    </row>
    <row r="2667" spans="1:18" s="107" customFormat="1" hidden="1" outlineLevel="1" x14ac:dyDescent="0.2">
      <c r="A2667" s="105" t="s">
        <v>2</v>
      </c>
      <c r="B2667" s="104" t="s">
        <v>1615</v>
      </c>
      <c r="C2667" s="104" t="s">
        <v>1378</v>
      </c>
      <c r="D2667" s="104" t="s">
        <v>1590</v>
      </c>
      <c r="E2667" s="104"/>
      <c r="F2667" s="104"/>
      <c r="G2667" s="104"/>
      <c r="H2667" s="104"/>
      <c r="I2667" s="104"/>
      <c r="J2667" s="104"/>
      <c r="K2667" s="104"/>
      <c r="L2667" s="104"/>
      <c r="M2667" s="108"/>
      <c r="N2667" s="106"/>
      <c r="O2667" s="106"/>
      <c r="P2667" s="106"/>
      <c r="Q2667" s="106"/>
      <c r="R2667" s="106"/>
    </row>
    <row r="2668" spans="1:18" s="107" customFormat="1" hidden="1" outlineLevel="1" x14ac:dyDescent="0.2">
      <c r="A2668" s="105" t="s">
        <v>19</v>
      </c>
      <c r="B2668" s="104" t="s">
        <v>1615</v>
      </c>
      <c r="C2668" s="104" t="s">
        <v>1378</v>
      </c>
      <c r="D2668" s="104" t="s">
        <v>1590</v>
      </c>
      <c r="E2668" s="104"/>
      <c r="F2668" s="104"/>
      <c r="G2668" s="104"/>
      <c r="H2668" s="104"/>
      <c r="I2668" s="104"/>
      <c r="J2668" s="104"/>
      <c r="K2668" s="104"/>
      <c r="L2668" s="104"/>
      <c r="M2668" s="108"/>
      <c r="N2668" s="106"/>
      <c r="O2668" s="106"/>
      <c r="P2668" s="106"/>
      <c r="Q2668" s="106"/>
      <c r="R2668" s="106"/>
    </row>
    <row r="2669" spans="1:18" s="107" customFormat="1" hidden="1" outlineLevel="1" x14ac:dyDescent="0.2">
      <c r="A2669" s="105" t="s">
        <v>31</v>
      </c>
      <c r="B2669" s="104" t="s">
        <v>1616</v>
      </c>
      <c r="C2669" s="104" t="s">
        <v>1617</v>
      </c>
      <c r="D2669" s="104" t="s">
        <v>1564</v>
      </c>
      <c r="E2669" s="104"/>
      <c r="F2669" s="104"/>
      <c r="G2669" s="104"/>
      <c r="H2669" s="104"/>
      <c r="I2669" s="104"/>
      <c r="J2669" s="104"/>
      <c r="K2669" s="104"/>
      <c r="L2669" s="104"/>
      <c r="M2669" s="108"/>
      <c r="N2669" s="106"/>
      <c r="O2669" s="106"/>
      <c r="P2669" s="106"/>
      <c r="Q2669" s="106"/>
      <c r="R2669" s="106"/>
    </row>
    <row r="2670" spans="1:18" s="107" customFormat="1" hidden="1" outlineLevel="1" x14ac:dyDescent="0.2">
      <c r="A2670" s="105" t="s">
        <v>4</v>
      </c>
      <c r="B2670" s="104" t="s">
        <v>1618</v>
      </c>
      <c r="C2670" s="104" t="s">
        <v>1619</v>
      </c>
      <c r="D2670" s="104" t="s">
        <v>1590</v>
      </c>
      <c r="E2670" s="104"/>
      <c r="F2670" s="104"/>
      <c r="G2670" s="104"/>
      <c r="H2670" s="104"/>
      <c r="I2670" s="104"/>
      <c r="J2670" s="104"/>
      <c r="K2670" s="104"/>
      <c r="L2670" s="104"/>
      <c r="M2670" s="108"/>
      <c r="N2670" s="106"/>
      <c r="O2670" s="106"/>
      <c r="P2670" s="106"/>
      <c r="Q2670" s="106"/>
      <c r="R2670" s="106"/>
    </row>
    <row r="2671" spans="1:18" s="107" customFormat="1" hidden="1" outlineLevel="1" x14ac:dyDescent="0.2">
      <c r="A2671" s="105" t="s">
        <v>7</v>
      </c>
      <c r="B2671" s="104" t="s">
        <v>1618</v>
      </c>
      <c r="C2671" s="104" t="s">
        <v>1619</v>
      </c>
      <c r="D2671" s="104" t="s">
        <v>1590</v>
      </c>
      <c r="E2671" s="104"/>
      <c r="F2671" s="104"/>
      <c r="G2671" s="104"/>
      <c r="H2671" s="104"/>
      <c r="I2671" s="104"/>
      <c r="J2671" s="104"/>
      <c r="K2671" s="104"/>
      <c r="L2671" s="104"/>
      <c r="M2671" s="108"/>
      <c r="N2671" s="106"/>
      <c r="O2671" s="106"/>
      <c r="P2671" s="106"/>
      <c r="Q2671" s="106"/>
      <c r="R2671" s="106"/>
    </row>
    <row r="2672" spans="1:18" s="107" customFormat="1" hidden="1" outlineLevel="1" x14ac:dyDescent="0.2">
      <c r="A2672" s="105" t="s">
        <v>31</v>
      </c>
      <c r="B2672" s="104" t="s">
        <v>1618</v>
      </c>
      <c r="C2672" s="104" t="s">
        <v>1619</v>
      </c>
      <c r="D2672" s="104" t="s">
        <v>1590</v>
      </c>
      <c r="E2672" s="104"/>
      <c r="F2672" s="104"/>
      <c r="G2672" s="104"/>
      <c r="H2672" s="104"/>
      <c r="I2672" s="104"/>
      <c r="J2672" s="104"/>
      <c r="K2672" s="104"/>
      <c r="L2672" s="104"/>
      <c r="M2672" s="108"/>
      <c r="N2672" s="106"/>
      <c r="O2672" s="106"/>
      <c r="P2672" s="106"/>
      <c r="Q2672" s="106"/>
      <c r="R2672" s="106"/>
    </row>
    <row r="2673" spans="1:18" s="107" customFormat="1" hidden="1" outlineLevel="1" x14ac:dyDescent="0.2">
      <c r="A2673" s="105" t="s">
        <v>9</v>
      </c>
      <c r="B2673" s="104" t="s">
        <v>1618</v>
      </c>
      <c r="C2673" s="104" t="s">
        <v>1619</v>
      </c>
      <c r="D2673" s="104" t="s">
        <v>1590</v>
      </c>
      <c r="E2673" s="104"/>
      <c r="F2673" s="104"/>
      <c r="G2673" s="104"/>
      <c r="H2673" s="104"/>
      <c r="I2673" s="104"/>
      <c r="J2673" s="104"/>
      <c r="K2673" s="104"/>
      <c r="L2673" s="104"/>
      <c r="M2673" s="108"/>
      <c r="N2673" s="106"/>
      <c r="O2673" s="106"/>
      <c r="P2673" s="106"/>
      <c r="Q2673" s="106"/>
      <c r="R2673" s="106"/>
    </row>
    <row r="2674" spans="1:18" s="107" customFormat="1" hidden="1" outlineLevel="1" x14ac:dyDescent="0.2">
      <c r="A2674" s="105" t="s">
        <v>12</v>
      </c>
      <c r="B2674" s="104" t="s">
        <v>1618</v>
      </c>
      <c r="C2674" s="104" t="s">
        <v>1619</v>
      </c>
      <c r="D2674" s="104" t="s">
        <v>1590</v>
      </c>
      <c r="E2674" s="104"/>
      <c r="F2674" s="104"/>
      <c r="G2674" s="104"/>
      <c r="H2674" s="104"/>
      <c r="I2674" s="104"/>
      <c r="J2674" s="104"/>
      <c r="K2674" s="104"/>
      <c r="L2674" s="104"/>
      <c r="M2674" s="108"/>
      <c r="N2674" s="106"/>
      <c r="O2674" s="106"/>
      <c r="P2674" s="106"/>
      <c r="Q2674" s="106"/>
      <c r="R2674" s="106"/>
    </row>
    <row r="2675" spans="1:18" s="107" customFormat="1" hidden="1" outlineLevel="1" x14ac:dyDescent="0.2">
      <c r="A2675" s="105" t="s">
        <v>19</v>
      </c>
      <c r="B2675" s="104" t="s">
        <v>1618</v>
      </c>
      <c r="C2675" s="104" t="s">
        <v>1619</v>
      </c>
      <c r="D2675" s="104" t="s">
        <v>1590</v>
      </c>
      <c r="E2675" s="104"/>
      <c r="F2675" s="104"/>
      <c r="G2675" s="104"/>
      <c r="H2675" s="104"/>
      <c r="I2675" s="104"/>
      <c r="J2675" s="104"/>
      <c r="K2675" s="104"/>
      <c r="L2675" s="104"/>
      <c r="M2675" s="108"/>
      <c r="N2675" s="106"/>
      <c r="O2675" s="106"/>
      <c r="P2675" s="106"/>
      <c r="Q2675" s="106"/>
      <c r="R2675" s="106"/>
    </row>
    <row r="2676" spans="1:18" s="107" customFormat="1" hidden="1" outlineLevel="1" x14ac:dyDescent="0.2">
      <c r="A2676" s="105" t="s">
        <v>20</v>
      </c>
      <c r="B2676" s="104" t="s">
        <v>1618</v>
      </c>
      <c r="C2676" s="104" t="s">
        <v>1619</v>
      </c>
      <c r="D2676" s="104" t="s">
        <v>1590</v>
      </c>
      <c r="E2676" s="104"/>
      <c r="F2676" s="104"/>
      <c r="G2676" s="104"/>
      <c r="H2676" s="104"/>
      <c r="I2676" s="104"/>
      <c r="J2676" s="104"/>
      <c r="K2676" s="104"/>
      <c r="L2676" s="104"/>
      <c r="M2676" s="108"/>
      <c r="N2676" s="106"/>
      <c r="O2676" s="106"/>
      <c r="P2676" s="106"/>
      <c r="Q2676" s="106"/>
      <c r="R2676" s="106"/>
    </row>
    <row r="2677" spans="1:18" s="107" customFormat="1" hidden="1" outlineLevel="1" x14ac:dyDescent="0.2">
      <c r="A2677" s="105" t="s">
        <v>22</v>
      </c>
      <c r="B2677" s="104" t="s">
        <v>1618</v>
      </c>
      <c r="C2677" s="104" t="s">
        <v>1619</v>
      </c>
      <c r="D2677" s="104" t="s">
        <v>1590</v>
      </c>
      <c r="E2677" s="104"/>
      <c r="F2677" s="104"/>
      <c r="G2677" s="104"/>
      <c r="H2677" s="104"/>
      <c r="I2677" s="104"/>
      <c r="J2677" s="104"/>
      <c r="K2677" s="104"/>
      <c r="L2677" s="104"/>
      <c r="M2677" s="108"/>
      <c r="N2677" s="106"/>
      <c r="O2677" s="106"/>
      <c r="P2677" s="106"/>
      <c r="Q2677" s="106"/>
      <c r="R2677" s="106"/>
    </row>
    <row r="2678" spans="1:18" s="107" customFormat="1" hidden="1" outlineLevel="1" x14ac:dyDescent="0.2">
      <c r="A2678" s="105" t="s">
        <v>23</v>
      </c>
      <c r="B2678" s="104" t="s">
        <v>1618</v>
      </c>
      <c r="C2678" s="104" t="s">
        <v>1619</v>
      </c>
      <c r="D2678" s="104" t="s">
        <v>1590</v>
      </c>
      <c r="E2678" s="104"/>
      <c r="F2678" s="104"/>
      <c r="G2678" s="104"/>
      <c r="H2678" s="104"/>
      <c r="I2678" s="104"/>
      <c r="J2678" s="104"/>
      <c r="K2678" s="104"/>
      <c r="L2678" s="104"/>
      <c r="M2678" s="108"/>
      <c r="N2678" s="106"/>
      <c r="O2678" s="106"/>
      <c r="P2678" s="106"/>
      <c r="Q2678" s="106"/>
      <c r="R2678" s="106"/>
    </row>
    <row r="2679" spans="1:18" s="107" customFormat="1" hidden="1" outlineLevel="1" x14ac:dyDescent="0.2">
      <c r="A2679" s="105" t="s">
        <v>8</v>
      </c>
      <c r="B2679" s="104" t="s">
        <v>1620</v>
      </c>
      <c r="C2679" s="104" t="s">
        <v>1621</v>
      </c>
      <c r="D2679" s="104" t="s">
        <v>1564</v>
      </c>
      <c r="E2679" s="104"/>
      <c r="F2679" s="104"/>
      <c r="G2679" s="104"/>
      <c r="H2679" s="104"/>
      <c r="I2679" s="104"/>
      <c r="J2679" s="104"/>
      <c r="K2679" s="104"/>
      <c r="L2679" s="104"/>
      <c r="M2679" s="108"/>
      <c r="N2679" s="106"/>
      <c r="O2679" s="106"/>
      <c r="P2679" s="106"/>
      <c r="Q2679" s="106"/>
      <c r="R2679" s="106"/>
    </row>
    <row r="2680" spans="1:18" s="107" customFormat="1" hidden="1" outlineLevel="1" x14ac:dyDescent="0.2">
      <c r="A2680" s="105" t="s">
        <v>31</v>
      </c>
      <c r="B2680" s="104" t="s">
        <v>1622</v>
      </c>
      <c r="C2680" s="104" t="s">
        <v>1538</v>
      </c>
      <c r="D2680" s="104" t="s">
        <v>1231</v>
      </c>
      <c r="E2680" s="104"/>
      <c r="F2680" s="104"/>
      <c r="G2680" s="104"/>
      <c r="H2680" s="104"/>
      <c r="I2680" s="104"/>
      <c r="J2680" s="104"/>
      <c r="K2680" s="104"/>
      <c r="L2680" s="104"/>
      <c r="M2680" s="108"/>
      <c r="N2680" s="106"/>
      <c r="O2680" s="106"/>
      <c r="P2680" s="106"/>
      <c r="Q2680" s="106"/>
      <c r="R2680" s="106"/>
    </row>
    <row r="2681" spans="1:18" s="107" customFormat="1" hidden="1" outlineLevel="1" x14ac:dyDescent="0.2">
      <c r="A2681" s="105" t="s">
        <v>17</v>
      </c>
      <c r="B2681" s="104" t="s">
        <v>1623</v>
      </c>
      <c r="C2681" s="104" t="s">
        <v>1624</v>
      </c>
      <c r="D2681" s="104" t="s">
        <v>1607</v>
      </c>
      <c r="E2681" s="104"/>
      <c r="F2681" s="104"/>
      <c r="G2681" s="104"/>
      <c r="H2681" s="104"/>
      <c r="I2681" s="104"/>
      <c r="J2681" s="104"/>
      <c r="K2681" s="104"/>
      <c r="L2681" s="104"/>
      <c r="M2681" s="108"/>
      <c r="N2681" s="106"/>
      <c r="O2681" s="106"/>
      <c r="P2681" s="106"/>
      <c r="Q2681" s="106"/>
      <c r="R2681" s="106"/>
    </row>
    <row r="2682" spans="1:18" s="107" customFormat="1" hidden="1" outlineLevel="1" x14ac:dyDescent="0.2">
      <c r="A2682" s="105" t="s">
        <v>31</v>
      </c>
      <c r="B2682" s="104" t="s">
        <v>1625</v>
      </c>
      <c r="C2682" s="104" t="s">
        <v>1626</v>
      </c>
      <c r="D2682" s="104" t="s">
        <v>1231</v>
      </c>
      <c r="E2682" s="104"/>
      <c r="F2682" s="104"/>
      <c r="G2682" s="104"/>
      <c r="H2682" s="104"/>
      <c r="I2682" s="104"/>
      <c r="J2682" s="104"/>
      <c r="K2682" s="104"/>
      <c r="L2682" s="104"/>
      <c r="M2682" s="108"/>
      <c r="N2682" s="106"/>
      <c r="O2682" s="106"/>
      <c r="P2682" s="106"/>
      <c r="Q2682" s="106"/>
      <c r="R2682" s="106"/>
    </row>
    <row r="2683" spans="1:18" s="107" customFormat="1" hidden="1" outlineLevel="1" x14ac:dyDescent="0.2">
      <c r="A2683" s="105" t="s">
        <v>31</v>
      </c>
      <c r="B2683" s="104" t="s">
        <v>1627</v>
      </c>
      <c r="C2683" s="104" t="s">
        <v>1628</v>
      </c>
      <c r="D2683" s="104" t="s">
        <v>1567</v>
      </c>
      <c r="E2683" s="104"/>
      <c r="F2683" s="104"/>
      <c r="G2683" s="104"/>
      <c r="H2683" s="104"/>
      <c r="I2683" s="104"/>
      <c r="J2683" s="104"/>
      <c r="K2683" s="104"/>
      <c r="L2683" s="104"/>
      <c r="M2683" s="108"/>
      <c r="N2683" s="106"/>
      <c r="O2683" s="106"/>
      <c r="P2683" s="106"/>
      <c r="Q2683" s="106"/>
      <c r="R2683" s="106"/>
    </row>
    <row r="2684" spans="1:18" s="107" customFormat="1" hidden="1" outlineLevel="1" x14ac:dyDescent="0.2">
      <c r="A2684" s="105" t="s">
        <v>6</v>
      </c>
      <c r="B2684" s="104" t="s">
        <v>1629</v>
      </c>
      <c r="C2684" s="104" t="s">
        <v>1630</v>
      </c>
      <c r="D2684" s="104" t="s">
        <v>1567</v>
      </c>
      <c r="E2684" s="104"/>
      <c r="F2684" s="104"/>
      <c r="G2684" s="104"/>
      <c r="H2684" s="104"/>
      <c r="I2684" s="104"/>
      <c r="J2684" s="104"/>
      <c r="K2684" s="104"/>
      <c r="L2684" s="104"/>
      <c r="M2684" s="108"/>
      <c r="N2684" s="106"/>
      <c r="O2684" s="106"/>
      <c r="P2684" s="106"/>
      <c r="Q2684" s="106"/>
      <c r="R2684" s="106"/>
    </row>
    <row r="2685" spans="1:18" s="107" customFormat="1" hidden="1" outlineLevel="1" x14ac:dyDescent="0.2">
      <c r="A2685" s="105" t="s">
        <v>19</v>
      </c>
      <c r="B2685" s="104" t="s">
        <v>1631</v>
      </c>
      <c r="C2685" s="104" t="s">
        <v>1632</v>
      </c>
      <c r="D2685" s="104" t="s">
        <v>1231</v>
      </c>
      <c r="E2685" s="104"/>
      <c r="F2685" s="104"/>
      <c r="G2685" s="104"/>
      <c r="H2685" s="104"/>
      <c r="I2685" s="104"/>
      <c r="J2685" s="104"/>
      <c r="K2685" s="104"/>
      <c r="L2685" s="104"/>
      <c r="M2685" s="108"/>
      <c r="N2685" s="106"/>
      <c r="O2685" s="106"/>
      <c r="P2685" s="106"/>
      <c r="Q2685" s="106"/>
      <c r="R2685" s="106"/>
    </row>
    <row r="2686" spans="1:18" s="107" customFormat="1" hidden="1" outlineLevel="1" x14ac:dyDescent="0.2">
      <c r="A2686" s="105" t="s">
        <v>18</v>
      </c>
      <c r="B2686" s="104" t="s">
        <v>1633</v>
      </c>
      <c r="C2686" s="104" t="s">
        <v>1634</v>
      </c>
      <c r="D2686" s="104" t="s">
        <v>1567</v>
      </c>
      <c r="E2686" s="104"/>
      <c r="F2686" s="104"/>
      <c r="G2686" s="104"/>
      <c r="H2686" s="104"/>
      <c r="I2686" s="104"/>
      <c r="J2686" s="104"/>
      <c r="K2686" s="104"/>
      <c r="L2686" s="104"/>
      <c r="M2686" s="108"/>
      <c r="N2686" s="106"/>
      <c r="O2686" s="106"/>
      <c r="P2686" s="106"/>
      <c r="Q2686" s="106"/>
      <c r="R2686" s="106"/>
    </row>
    <row r="2687" spans="1:18" s="107" customFormat="1" hidden="1" outlineLevel="1" x14ac:dyDescent="0.2">
      <c r="A2687" s="105" t="s">
        <v>31</v>
      </c>
      <c r="B2687" s="104" t="s">
        <v>1635</v>
      </c>
      <c r="C2687" s="104" t="s">
        <v>1591</v>
      </c>
      <c r="D2687" s="104" t="s">
        <v>1564</v>
      </c>
      <c r="E2687" s="104"/>
      <c r="F2687" s="104"/>
      <c r="G2687" s="104"/>
      <c r="H2687" s="104"/>
      <c r="I2687" s="104"/>
      <c r="J2687" s="104"/>
      <c r="K2687" s="104"/>
      <c r="L2687" s="104"/>
      <c r="M2687" s="108"/>
      <c r="N2687" s="106"/>
      <c r="O2687" s="106"/>
      <c r="P2687" s="106"/>
      <c r="Q2687" s="106"/>
      <c r="R2687" s="106"/>
    </row>
    <row r="2688" spans="1:18" s="107" customFormat="1" hidden="1" outlineLevel="1" x14ac:dyDescent="0.2">
      <c r="A2688" s="105" t="s">
        <v>18</v>
      </c>
      <c r="B2688" s="104" t="s">
        <v>1636</v>
      </c>
      <c r="C2688" s="104" t="s">
        <v>1637</v>
      </c>
      <c r="D2688" s="104" t="s">
        <v>1564</v>
      </c>
      <c r="E2688" s="104"/>
      <c r="F2688" s="104"/>
      <c r="G2688" s="104"/>
      <c r="H2688" s="104"/>
      <c r="I2688" s="104"/>
      <c r="J2688" s="104"/>
      <c r="K2688" s="104"/>
      <c r="L2688" s="104"/>
      <c r="M2688" s="108"/>
      <c r="N2688" s="106"/>
      <c r="O2688" s="106"/>
      <c r="P2688" s="106"/>
      <c r="Q2688" s="106"/>
      <c r="R2688" s="106"/>
    </row>
    <row r="2689" spans="1:13" s="107" customFormat="1" hidden="1" outlineLevel="1" x14ac:dyDescent="0.2">
      <c r="A2689" s="105" t="s">
        <v>4</v>
      </c>
      <c r="B2689" s="104" t="s">
        <v>1638</v>
      </c>
      <c r="C2689" s="104" t="s">
        <v>1639</v>
      </c>
      <c r="D2689" s="104" t="s">
        <v>1564</v>
      </c>
      <c r="E2689" s="104"/>
      <c r="F2689" s="104"/>
      <c r="G2689" s="104"/>
      <c r="H2689" s="104"/>
      <c r="I2689" s="104"/>
      <c r="J2689" s="104"/>
      <c r="K2689" s="104"/>
      <c r="L2689" s="104"/>
      <c r="M2689" s="108"/>
    </row>
    <row r="2690" spans="1:13" s="107" customFormat="1" hidden="1" outlineLevel="1" x14ac:dyDescent="0.2">
      <c r="A2690" s="109" t="s">
        <v>4</v>
      </c>
      <c r="B2690" s="110" t="s">
        <v>1640</v>
      </c>
      <c r="C2690" s="104" t="s">
        <v>1641</v>
      </c>
      <c r="D2690" s="110" t="s">
        <v>1564</v>
      </c>
      <c r="E2690" s="111"/>
      <c r="F2690" s="111"/>
      <c r="G2690" s="111"/>
      <c r="H2690" s="111"/>
      <c r="I2690" s="111"/>
      <c r="J2690" s="111"/>
      <c r="K2690" s="111"/>
      <c r="L2690" s="111"/>
      <c r="M2690" s="112"/>
    </row>
    <row r="2691" spans="1:13" s="107" customFormat="1" hidden="1" outlineLevel="1" x14ac:dyDescent="0.2">
      <c r="A2691" s="109" t="s">
        <v>31</v>
      </c>
      <c r="B2691" s="110" t="s">
        <v>1642</v>
      </c>
      <c r="C2691" s="104" t="s">
        <v>1643</v>
      </c>
      <c r="D2691" s="110" t="s">
        <v>1231</v>
      </c>
      <c r="E2691" s="111"/>
      <c r="F2691" s="111"/>
      <c r="G2691" s="111"/>
      <c r="H2691" s="111"/>
      <c r="I2691" s="111"/>
      <c r="J2691" s="111"/>
      <c r="K2691" s="111"/>
      <c r="L2691" s="111"/>
      <c r="M2691" s="112"/>
    </row>
    <row r="2692" spans="1:13" s="107" customFormat="1" hidden="1" outlineLevel="1" x14ac:dyDescent="0.2">
      <c r="A2692" s="109" t="s">
        <v>1096</v>
      </c>
      <c r="B2692" s="110" t="s">
        <v>1644</v>
      </c>
      <c r="C2692" s="111" t="s">
        <v>1645</v>
      </c>
      <c r="D2692" s="110" t="s">
        <v>1567</v>
      </c>
      <c r="E2692" s="111"/>
      <c r="F2692" s="111"/>
      <c r="G2692" s="111"/>
      <c r="H2692" s="111"/>
      <c r="I2692" s="111"/>
      <c r="J2692" s="111"/>
      <c r="K2692" s="111"/>
      <c r="L2692" s="111"/>
      <c r="M2692" s="112"/>
    </row>
    <row r="2693" spans="1:13" s="107" customFormat="1" hidden="1" outlineLevel="1" x14ac:dyDescent="0.2">
      <c r="A2693" s="109" t="s">
        <v>31</v>
      </c>
      <c r="B2693" s="110" t="s">
        <v>1646</v>
      </c>
      <c r="C2693" s="104" t="s">
        <v>1647</v>
      </c>
      <c r="D2693" s="110" t="s">
        <v>1564</v>
      </c>
      <c r="E2693" s="111"/>
      <c r="F2693" s="111"/>
      <c r="G2693" s="111"/>
      <c r="H2693" s="111"/>
      <c r="I2693" s="111"/>
      <c r="J2693" s="111"/>
      <c r="K2693" s="111"/>
      <c r="L2693" s="111"/>
      <c r="M2693" s="112"/>
    </row>
    <row r="2694" spans="1:13" s="107" customFormat="1" hidden="1" outlineLevel="1" x14ac:dyDescent="0.2">
      <c r="A2694" s="109" t="s">
        <v>31</v>
      </c>
      <c r="B2694" s="110" t="s">
        <v>1648</v>
      </c>
      <c r="C2694" s="104" t="s">
        <v>1649</v>
      </c>
      <c r="D2694" s="110" t="s">
        <v>1231</v>
      </c>
      <c r="E2694" s="111"/>
      <c r="F2694" s="111"/>
      <c r="G2694" s="111"/>
      <c r="H2694" s="111"/>
      <c r="I2694" s="111"/>
      <c r="J2694" s="111"/>
      <c r="K2694" s="111"/>
      <c r="L2694" s="111"/>
      <c r="M2694" s="112"/>
    </row>
    <row r="2695" spans="1:13" s="107" customFormat="1" hidden="1" outlineLevel="1" x14ac:dyDescent="0.2">
      <c r="A2695" s="109"/>
      <c r="B2695" s="110"/>
      <c r="C2695" s="104"/>
      <c r="D2695" s="110"/>
      <c r="E2695" s="111"/>
      <c r="F2695" s="111"/>
      <c r="G2695" s="111"/>
      <c r="H2695" s="111"/>
      <c r="I2695" s="111"/>
      <c r="J2695" s="111"/>
      <c r="K2695" s="111"/>
      <c r="L2695" s="111"/>
      <c r="M2695" s="112"/>
    </row>
    <row r="2696" spans="1:13" s="107" customFormat="1" hidden="1" outlineLevel="1" x14ac:dyDescent="0.2">
      <c r="A2696" s="109"/>
      <c r="B2696" s="110"/>
      <c r="C2696" s="104"/>
      <c r="D2696" s="110"/>
      <c r="E2696" s="111"/>
      <c r="F2696" s="111"/>
      <c r="G2696" s="111"/>
      <c r="H2696" s="111"/>
      <c r="I2696" s="111"/>
      <c r="J2696" s="111"/>
      <c r="K2696" s="111"/>
      <c r="L2696" s="111"/>
      <c r="M2696" s="112"/>
    </row>
    <row r="2697" spans="1:13" s="107" customFormat="1" hidden="1" outlineLevel="1" x14ac:dyDescent="0.2">
      <c r="A2697" s="109"/>
      <c r="B2697" s="110"/>
      <c r="C2697" s="104"/>
      <c r="D2697" s="110"/>
      <c r="E2697" s="111"/>
      <c r="F2697" s="111"/>
      <c r="G2697" s="111"/>
      <c r="H2697" s="111"/>
      <c r="I2697" s="111"/>
      <c r="J2697" s="111"/>
      <c r="K2697" s="111"/>
      <c r="L2697" s="111"/>
      <c r="M2697" s="112"/>
    </row>
    <row r="2698" spans="1:13" s="107" customFormat="1" hidden="1" outlineLevel="1" x14ac:dyDescent="0.2">
      <c r="A2698" s="109"/>
      <c r="B2698" s="110"/>
      <c r="C2698" s="104"/>
      <c r="D2698" s="110"/>
      <c r="E2698" s="111"/>
      <c r="F2698" s="111"/>
      <c r="G2698" s="111"/>
      <c r="H2698" s="111"/>
      <c r="I2698" s="111"/>
      <c r="J2698" s="111"/>
      <c r="K2698" s="111"/>
      <c r="L2698" s="111"/>
      <c r="M2698" s="112"/>
    </row>
    <row r="2699" spans="1:13" s="107" customFormat="1" hidden="1" outlineLevel="1" x14ac:dyDescent="0.2">
      <c r="A2699" s="109"/>
      <c r="B2699" s="110"/>
      <c r="C2699" s="104"/>
      <c r="D2699" s="110"/>
      <c r="E2699" s="111"/>
      <c r="F2699" s="111"/>
      <c r="G2699" s="111"/>
      <c r="H2699" s="111"/>
      <c r="I2699" s="111"/>
      <c r="J2699" s="111"/>
      <c r="K2699" s="111"/>
      <c r="L2699" s="111"/>
      <c r="M2699" s="112"/>
    </row>
    <row r="2700" spans="1:13" s="107" customFormat="1" hidden="1" outlineLevel="1" x14ac:dyDescent="0.2">
      <c r="A2700" s="109"/>
      <c r="B2700" s="110"/>
      <c r="C2700" s="104"/>
      <c r="D2700" s="110"/>
      <c r="E2700" s="111"/>
      <c r="F2700" s="111"/>
      <c r="G2700" s="111"/>
      <c r="H2700" s="111"/>
      <c r="I2700" s="111"/>
      <c r="J2700" s="111"/>
      <c r="K2700" s="111"/>
      <c r="L2700" s="111"/>
      <c r="M2700" s="112"/>
    </row>
    <row r="2701" spans="1:13" s="107" customFormat="1" hidden="1" outlineLevel="1" x14ac:dyDescent="0.2">
      <c r="A2701" s="109"/>
      <c r="B2701" s="110"/>
      <c r="C2701" s="104"/>
      <c r="D2701" s="110"/>
      <c r="E2701" s="111"/>
      <c r="F2701" s="111"/>
      <c r="G2701" s="111"/>
      <c r="H2701" s="111"/>
      <c r="I2701" s="111"/>
      <c r="J2701" s="111"/>
      <c r="K2701" s="111"/>
      <c r="L2701" s="111"/>
      <c r="M2701" s="112"/>
    </row>
    <row r="2702" spans="1:13" s="107" customFormat="1" hidden="1" outlineLevel="1" x14ac:dyDescent="0.2">
      <c r="A2702" s="109"/>
      <c r="B2702" s="110"/>
      <c r="C2702" s="104"/>
      <c r="D2702" s="110"/>
      <c r="E2702" s="111"/>
      <c r="F2702" s="111"/>
      <c r="G2702" s="111"/>
      <c r="H2702" s="111"/>
      <c r="I2702" s="111"/>
      <c r="J2702" s="111"/>
      <c r="K2702" s="111"/>
      <c r="L2702" s="111"/>
      <c r="M2702" s="112"/>
    </row>
    <row r="2703" spans="1:13" s="107" customFormat="1" hidden="1" outlineLevel="1" x14ac:dyDescent="0.2">
      <c r="A2703" s="109"/>
      <c r="B2703" s="110"/>
      <c r="C2703" s="104"/>
      <c r="D2703" s="110"/>
      <c r="E2703" s="111"/>
      <c r="F2703" s="111"/>
      <c r="G2703" s="111"/>
      <c r="H2703" s="111"/>
      <c r="I2703" s="111"/>
      <c r="J2703" s="111"/>
      <c r="K2703" s="111"/>
      <c r="L2703" s="111"/>
      <c r="M2703" s="112"/>
    </row>
    <row r="2704" spans="1:13" s="107" customFormat="1" hidden="1" outlineLevel="1" x14ac:dyDescent="0.2">
      <c r="A2704" s="109"/>
      <c r="B2704" s="110"/>
      <c r="C2704" s="104"/>
      <c r="D2704" s="110"/>
      <c r="E2704" s="111"/>
      <c r="F2704" s="111"/>
      <c r="G2704" s="111"/>
      <c r="H2704" s="111"/>
      <c r="I2704" s="111"/>
      <c r="J2704" s="111"/>
      <c r="K2704" s="111"/>
      <c r="L2704" s="111"/>
      <c r="M2704" s="112"/>
    </row>
    <row r="2705" spans="1:13" s="107" customFormat="1" hidden="1" outlineLevel="1" x14ac:dyDescent="0.2">
      <c r="A2705" s="109"/>
      <c r="B2705" s="110"/>
      <c r="C2705" s="104"/>
      <c r="D2705" s="110"/>
      <c r="E2705" s="111"/>
      <c r="F2705" s="111"/>
      <c r="G2705" s="111"/>
      <c r="H2705" s="111"/>
      <c r="I2705" s="111"/>
      <c r="J2705" s="111"/>
      <c r="K2705" s="111"/>
      <c r="L2705" s="111"/>
      <c r="M2705" s="112"/>
    </row>
    <row r="2706" spans="1:13" s="107" customFormat="1" hidden="1" outlineLevel="1" x14ac:dyDescent="0.2">
      <c r="A2706" s="109"/>
      <c r="B2706" s="110"/>
      <c r="C2706" s="104"/>
      <c r="D2706" s="110"/>
      <c r="E2706" s="111"/>
      <c r="F2706" s="111"/>
      <c r="G2706" s="111"/>
      <c r="H2706" s="111"/>
      <c r="I2706" s="111"/>
      <c r="J2706" s="111"/>
      <c r="K2706" s="111"/>
      <c r="L2706" s="111"/>
      <c r="M2706" s="112"/>
    </row>
    <row r="2707" spans="1:13" s="107" customFormat="1" hidden="1" outlineLevel="1" x14ac:dyDescent="0.2">
      <c r="A2707" s="109"/>
      <c r="B2707" s="110"/>
      <c r="C2707" s="104"/>
      <c r="D2707" s="110"/>
      <c r="E2707" s="111"/>
      <c r="F2707" s="111"/>
      <c r="G2707" s="111"/>
      <c r="H2707" s="111"/>
      <c r="I2707" s="111"/>
      <c r="J2707" s="111"/>
      <c r="K2707" s="111"/>
      <c r="L2707" s="111"/>
      <c r="M2707" s="112"/>
    </row>
    <row r="2708" spans="1:13" s="107" customFormat="1" hidden="1" outlineLevel="1" x14ac:dyDescent="0.2">
      <c r="A2708" s="109"/>
      <c r="B2708" s="110"/>
      <c r="C2708" s="104"/>
      <c r="D2708" s="110"/>
      <c r="E2708" s="111"/>
      <c r="F2708" s="111"/>
      <c r="G2708" s="111"/>
      <c r="H2708" s="111"/>
      <c r="I2708" s="111"/>
      <c r="J2708" s="111"/>
      <c r="K2708" s="111"/>
      <c r="L2708" s="111"/>
      <c r="M2708" s="112"/>
    </row>
    <row r="2709" spans="1:13" s="107" customFormat="1" hidden="1" outlineLevel="1" x14ac:dyDescent="0.2">
      <c r="A2709" s="109"/>
      <c r="B2709" s="110"/>
      <c r="C2709" s="104"/>
      <c r="D2709" s="110"/>
      <c r="E2709" s="111"/>
      <c r="F2709" s="111"/>
      <c r="G2709" s="111"/>
      <c r="H2709" s="111"/>
      <c r="I2709" s="111"/>
      <c r="J2709" s="111"/>
      <c r="K2709" s="111"/>
      <c r="L2709" s="111"/>
      <c r="M2709" s="112"/>
    </row>
    <row r="2710" spans="1:13" s="107" customFormat="1" hidden="1" outlineLevel="1" x14ac:dyDescent="0.2">
      <c r="A2710" s="109"/>
      <c r="B2710" s="110"/>
      <c r="C2710" s="104"/>
      <c r="D2710" s="110"/>
      <c r="E2710" s="111"/>
      <c r="F2710" s="111"/>
      <c r="G2710" s="111"/>
      <c r="H2710" s="111"/>
      <c r="I2710" s="111"/>
      <c r="J2710" s="111"/>
      <c r="K2710" s="111"/>
      <c r="L2710" s="111"/>
      <c r="M2710" s="112"/>
    </row>
    <row r="2711" spans="1:13" s="107" customFormat="1" hidden="1" outlineLevel="1" x14ac:dyDescent="0.2">
      <c r="A2711" s="109"/>
      <c r="B2711" s="110"/>
      <c r="C2711" s="104"/>
      <c r="D2711" s="110"/>
      <c r="E2711" s="111"/>
      <c r="F2711" s="111"/>
      <c r="G2711" s="111"/>
      <c r="H2711" s="111"/>
      <c r="I2711" s="111"/>
      <c r="J2711" s="111"/>
      <c r="K2711" s="111"/>
      <c r="L2711" s="111"/>
      <c r="M2711" s="112"/>
    </row>
    <row r="2712" spans="1:13" s="107" customFormat="1" hidden="1" outlineLevel="1" x14ac:dyDescent="0.2">
      <c r="A2712" s="109"/>
      <c r="B2712" s="110"/>
      <c r="C2712" s="104"/>
      <c r="D2712" s="110"/>
      <c r="E2712" s="111"/>
      <c r="F2712" s="111"/>
      <c r="G2712" s="111"/>
      <c r="H2712" s="111"/>
      <c r="I2712" s="111"/>
      <c r="J2712" s="111"/>
      <c r="K2712" s="111"/>
      <c r="L2712" s="111"/>
      <c r="M2712" s="112"/>
    </row>
    <row r="2713" spans="1:13" s="107" customFormat="1" hidden="1" outlineLevel="1" x14ac:dyDescent="0.2">
      <c r="A2713" s="109"/>
      <c r="B2713" s="110"/>
      <c r="C2713" s="104"/>
      <c r="D2713" s="110"/>
      <c r="E2713" s="111"/>
      <c r="F2713" s="111"/>
      <c r="G2713" s="111"/>
      <c r="H2713" s="111"/>
      <c r="I2713" s="111"/>
      <c r="J2713" s="111"/>
      <c r="K2713" s="111"/>
      <c r="L2713" s="111"/>
      <c r="M2713" s="112"/>
    </row>
    <row r="2714" spans="1:13" s="107" customFormat="1" hidden="1" outlineLevel="1" x14ac:dyDescent="0.2">
      <c r="A2714" s="109"/>
      <c r="B2714" s="110"/>
      <c r="C2714" s="104"/>
      <c r="D2714" s="110"/>
      <c r="E2714" s="111"/>
      <c r="F2714" s="111"/>
      <c r="G2714" s="111"/>
      <c r="H2714" s="111"/>
      <c r="I2714" s="111"/>
      <c r="J2714" s="111"/>
      <c r="K2714" s="111"/>
      <c r="L2714" s="111"/>
      <c r="M2714" s="112"/>
    </row>
    <row r="2715" spans="1:13" s="107" customFormat="1" hidden="1" outlineLevel="1" x14ac:dyDescent="0.2">
      <c r="A2715" s="109"/>
      <c r="B2715" s="110"/>
      <c r="C2715" s="111"/>
      <c r="D2715" s="110"/>
      <c r="E2715" s="111"/>
      <c r="F2715" s="111"/>
      <c r="G2715" s="111"/>
      <c r="H2715" s="111"/>
      <c r="I2715" s="111"/>
      <c r="J2715" s="111"/>
      <c r="K2715" s="111"/>
      <c r="L2715" s="111"/>
      <c r="M2715" s="112"/>
    </row>
    <row r="2716" spans="1:13" s="107" customFormat="1" hidden="1" outlineLevel="1" x14ac:dyDescent="0.2">
      <c r="A2716" s="109"/>
      <c r="B2716" s="110"/>
      <c r="C2716" s="111"/>
      <c r="D2716" s="110"/>
      <c r="E2716" s="111"/>
      <c r="F2716" s="111"/>
      <c r="G2716" s="111"/>
      <c r="H2716" s="111"/>
      <c r="I2716" s="111"/>
      <c r="J2716" s="111"/>
      <c r="K2716" s="111"/>
      <c r="L2716" s="111"/>
      <c r="M2716" s="112"/>
    </row>
    <row r="2717" spans="1:13" s="107" customFormat="1" hidden="1" outlineLevel="1" x14ac:dyDescent="0.2">
      <c r="A2717" s="109"/>
      <c r="B2717" s="110"/>
      <c r="C2717" s="104"/>
      <c r="D2717" s="110"/>
      <c r="E2717" s="111"/>
      <c r="F2717" s="111"/>
      <c r="G2717" s="111"/>
      <c r="H2717" s="111"/>
      <c r="I2717" s="111"/>
      <c r="J2717" s="111"/>
      <c r="K2717" s="111"/>
      <c r="L2717" s="111"/>
      <c r="M2717" s="112"/>
    </row>
    <row r="2718" spans="1:13" s="107" customFormat="1" hidden="1" outlineLevel="1" x14ac:dyDescent="0.2">
      <c r="A2718" s="109"/>
      <c r="B2718" s="110"/>
      <c r="C2718" s="104"/>
      <c r="D2718" s="110"/>
      <c r="E2718" s="111"/>
      <c r="F2718" s="111"/>
      <c r="G2718" s="111"/>
      <c r="H2718" s="111"/>
      <c r="I2718" s="111"/>
      <c r="J2718" s="111"/>
      <c r="K2718" s="111"/>
      <c r="L2718" s="111"/>
      <c r="M2718" s="112"/>
    </row>
    <row r="2719" spans="1:13" s="107" customFormat="1" hidden="1" outlineLevel="1" x14ac:dyDescent="0.2">
      <c r="A2719" s="109"/>
      <c r="B2719" s="110"/>
      <c r="C2719" s="104"/>
      <c r="D2719" s="110"/>
      <c r="E2719" s="111"/>
      <c r="F2719" s="111"/>
      <c r="G2719" s="111"/>
      <c r="H2719" s="111"/>
      <c r="I2719" s="111"/>
      <c r="J2719" s="111"/>
      <c r="K2719" s="111"/>
      <c r="L2719" s="111"/>
      <c r="M2719" s="112"/>
    </row>
    <row r="2720" spans="1:13" s="107" customFormat="1" hidden="1" outlineLevel="1" x14ac:dyDescent="0.2">
      <c r="A2720" s="109"/>
      <c r="B2720" s="110"/>
      <c r="C2720" s="104"/>
      <c r="D2720" s="110"/>
      <c r="E2720" s="111"/>
      <c r="F2720" s="111"/>
      <c r="G2720" s="111"/>
      <c r="H2720" s="111"/>
      <c r="I2720" s="111"/>
      <c r="J2720" s="111"/>
      <c r="K2720" s="111"/>
      <c r="L2720" s="111"/>
      <c r="M2720" s="112"/>
    </row>
    <row r="2721" spans="1:13" s="107" customFormat="1" hidden="1" outlineLevel="1" x14ac:dyDescent="0.2">
      <c r="A2721" s="109"/>
      <c r="B2721" s="110"/>
      <c r="C2721" s="111"/>
      <c r="D2721" s="110"/>
      <c r="E2721" s="111"/>
      <c r="F2721" s="111"/>
      <c r="G2721" s="111"/>
      <c r="H2721" s="111"/>
      <c r="I2721" s="111"/>
      <c r="J2721" s="111"/>
      <c r="K2721" s="111"/>
      <c r="L2721" s="111"/>
      <c r="M2721" s="112"/>
    </row>
    <row r="2722" spans="1:13" s="107" customFormat="1" hidden="1" outlineLevel="1" x14ac:dyDescent="0.2">
      <c r="A2722" s="109"/>
      <c r="B2722" s="110"/>
      <c r="C2722" s="111"/>
      <c r="D2722" s="110"/>
      <c r="E2722" s="111"/>
      <c r="F2722" s="111"/>
      <c r="G2722" s="111"/>
      <c r="H2722" s="111"/>
      <c r="I2722" s="111"/>
      <c r="J2722" s="111"/>
      <c r="K2722" s="111"/>
      <c r="L2722" s="111"/>
      <c r="M2722" s="112"/>
    </row>
    <row r="2723" spans="1:13" s="107" customFormat="1" hidden="1" outlineLevel="1" x14ac:dyDescent="0.2">
      <c r="A2723" s="109"/>
      <c r="B2723" s="110"/>
      <c r="C2723" s="111"/>
      <c r="D2723" s="110"/>
      <c r="E2723" s="111"/>
      <c r="F2723" s="111"/>
      <c r="G2723" s="111"/>
      <c r="H2723" s="111"/>
      <c r="I2723" s="111"/>
      <c r="J2723" s="111"/>
      <c r="K2723" s="111"/>
      <c r="L2723" s="111"/>
      <c r="M2723" s="112"/>
    </row>
    <row r="2724" spans="1:13" s="107" customFormat="1" hidden="1" outlineLevel="1" x14ac:dyDescent="0.2">
      <c r="A2724" s="109"/>
      <c r="B2724" s="110"/>
      <c r="C2724" s="104"/>
      <c r="D2724" s="110"/>
      <c r="E2724" s="111"/>
      <c r="F2724" s="111"/>
      <c r="G2724" s="111"/>
      <c r="H2724" s="111"/>
      <c r="I2724" s="111"/>
      <c r="J2724" s="111"/>
      <c r="K2724" s="111"/>
      <c r="L2724" s="111"/>
      <c r="M2724" s="112"/>
    </row>
    <row r="2725" spans="1:13" s="107" customFormat="1" hidden="1" outlineLevel="1" x14ac:dyDescent="0.2">
      <c r="A2725" s="109"/>
      <c r="B2725" s="110"/>
      <c r="C2725" s="111"/>
      <c r="D2725" s="110"/>
      <c r="E2725" s="111"/>
      <c r="F2725" s="111"/>
      <c r="G2725" s="111"/>
      <c r="H2725" s="111"/>
      <c r="I2725" s="111"/>
      <c r="J2725" s="111"/>
      <c r="K2725" s="111"/>
      <c r="L2725" s="111"/>
      <c r="M2725" s="112"/>
    </row>
    <row r="2726" spans="1:13" s="107" customFormat="1" hidden="1" outlineLevel="1" x14ac:dyDescent="0.2">
      <c r="A2726" s="109"/>
      <c r="B2726" s="110"/>
      <c r="C2726" s="111"/>
      <c r="D2726" s="110"/>
      <c r="E2726" s="111"/>
      <c r="F2726" s="111"/>
      <c r="G2726" s="111"/>
      <c r="H2726" s="111"/>
      <c r="I2726" s="111"/>
      <c r="J2726" s="111"/>
      <c r="K2726" s="111"/>
      <c r="L2726" s="111"/>
      <c r="M2726" s="112"/>
    </row>
    <row r="2727" spans="1:13" s="107" customFormat="1" hidden="1" outlineLevel="1" x14ac:dyDescent="0.2">
      <c r="A2727" s="109"/>
      <c r="B2727" s="110"/>
      <c r="C2727" s="111"/>
      <c r="D2727" s="110"/>
      <c r="E2727" s="111"/>
      <c r="F2727" s="111"/>
      <c r="G2727" s="111"/>
      <c r="H2727" s="111"/>
      <c r="I2727" s="111"/>
      <c r="J2727" s="111"/>
      <c r="K2727" s="111"/>
      <c r="L2727" s="111"/>
      <c r="M2727" s="112"/>
    </row>
    <row r="2728" spans="1:13" s="107" customFormat="1" hidden="1" outlineLevel="1" x14ac:dyDescent="0.2">
      <c r="A2728" s="109"/>
      <c r="B2728" s="110"/>
      <c r="C2728" s="104"/>
      <c r="D2728" s="110"/>
      <c r="E2728" s="111"/>
      <c r="F2728" s="111"/>
      <c r="G2728" s="111"/>
      <c r="H2728" s="111"/>
      <c r="I2728" s="111"/>
      <c r="J2728" s="111"/>
      <c r="K2728" s="111"/>
      <c r="L2728" s="111"/>
      <c r="M2728" s="112"/>
    </row>
    <row r="2729" spans="1:13" s="107" customFormat="1" hidden="1" outlineLevel="1" x14ac:dyDescent="0.2">
      <c r="A2729" s="109"/>
      <c r="B2729" s="110"/>
      <c r="C2729" s="111"/>
      <c r="D2729" s="110"/>
      <c r="E2729" s="111"/>
      <c r="F2729" s="111"/>
      <c r="G2729" s="111"/>
      <c r="H2729" s="111"/>
      <c r="I2729" s="111"/>
      <c r="J2729" s="111"/>
      <c r="K2729" s="111"/>
      <c r="L2729" s="111"/>
      <c r="M2729" s="112"/>
    </row>
    <row r="2730" spans="1:13" s="107" customFormat="1" hidden="1" outlineLevel="1" x14ac:dyDescent="0.2">
      <c r="A2730" s="109"/>
      <c r="B2730" s="110"/>
      <c r="C2730" s="104"/>
      <c r="D2730" s="110"/>
      <c r="E2730" s="111"/>
      <c r="F2730" s="111"/>
      <c r="G2730" s="111"/>
      <c r="H2730" s="111"/>
      <c r="I2730" s="111"/>
      <c r="J2730" s="111"/>
      <c r="K2730" s="111"/>
      <c r="L2730" s="111"/>
      <c r="M2730" s="112"/>
    </row>
    <row r="2731" spans="1:13" s="107" customFormat="1" hidden="1" outlineLevel="1" x14ac:dyDescent="0.2">
      <c r="A2731" s="109"/>
      <c r="B2731" s="110"/>
      <c r="C2731" s="104"/>
      <c r="D2731" s="110"/>
      <c r="E2731" s="111"/>
      <c r="F2731" s="111"/>
      <c r="G2731" s="111"/>
      <c r="H2731" s="111"/>
      <c r="I2731" s="111"/>
      <c r="J2731" s="111"/>
      <c r="K2731" s="111"/>
      <c r="L2731" s="111"/>
      <c r="M2731" s="112"/>
    </row>
    <row r="2732" spans="1:13" s="107" customFormat="1" hidden="1" outlineLevel="1" x14ac:dyDescent="0.2">
      <c r="A2732" s="109"/>
      <c r="B2732" s="110"/>
      <c r="C2732" s="111"/>
      <c r="D2732" s="110"/>
      <c r="E2732" s="111"/>
      <c r="F2732" s="111"/>
      <c r="G2732" s="111"/>
      <c r="H2732" s="111"/>
      <c r="I2732" s="111"/>
      <c r="J2732" s="111"/>
      <c r="K2732" s="111"/>
      <c r="L2732" s="111"/>
      <c r="M2732" s="112"/>
    </row>
    <row r="2733" spans="1:13" s="107" customFormat="1" hidden="1" outlineLevel="1" x14ac:dyDescent="0.2">
      <c r="A2733" s="109"/>
      <c r="B2733" s="110"/>
      <c r="C2733" s="111"/>
      <c r="D2733" s="110"/>
      <c r="E2733" s="111"/>
      <c r="F2733" s="111"/>
      <c r="G2733" s="111"/>
      <c r="H2733" s="111"/>
      <c r="I2733" s="111"/>
      <c r="J2733" s="111"/>
      <c r="K2733" s="111"/>
      <c r="L2733" s="111"/>
      <c r="M2733" s="112"/>
    </row>
    <row r="2734" spans="1:13" s="107" customFormat="1" hidden="1" outlineLevel="1" x14ac:dyDescent="0.2">
      <c r="A2734" s="109"/>
      <c r="B2734" s="110"/>
      <c r="C2734" s="111"/>
      <c r="D2734" s="110"/>
      <c r="E2734" s="111"/>
      <c r="F2734" s="111"/>
      <c r="G2734" s="111"/>
      <c r="H2734" s="111"/>
      <c r="I2734" s="111"/>
      <c r="J2734" s="111"/>
      <c r="K2734" s="111"/>
      <c r="L2734" s="111"/>
      <c r="M2734" s="112"/>
    </row>
    <row r="2735" spans="1:13" s="107" customFormat="1" hidden="1" outlineLevel="1" x14ac:dyDescent="0.2">
      <c r="A2735" s="109"/>
      <c r="B2735" s="110"/>
      <c r="C2735" s="111"/>
      <c r="D2735" s="110"/>
      <c r="E2735" s="111"/>
      <c r="F2735" s="111"/>
      <c r="G2735" s="111"/>
      <c r="H2735" s="111"/>
      <c r="I2735" s="111"/>
      <c r="J2735" s="111"/>
      <c r="K2735" s="111"/>
      <c r="L2735" s="111"/>
      <c r="M2735" s="112"/>
    </row>
    <row r="2736" spans="1:13" s="107" customFormat="1" hidden="1" outlineLevel="1" x14ac:dyDescent="0.2">
      <c r="A2736" s="109"/>
      <c r="B2736" s="110"/>
      <c r="C2736" s="111"/>
      <c r="D2736" s="110"/>
      <c r="E2736" s="111"/>
      <c r="F2736" s="111"/>
      <c r="G2736" s="111"/>
      <c r="H2736" s="111"/>
      <c r="I2736" s="111"/>
      <c r="J2736" s="111"/>
      <c r="K2736" s="111"/>
      <c r="L2736" s="111"/>
      <c r="M2736" s="112"/>
    </row>
    <row r="2737" spans="1:13" s="107" customFormat="1" hidden="1" outlineLevel="1" x14ac:dyDescent="0.2">
      <c r="A2737" s="130"/>
      <c r="B2737" s="113"/>
      <c r="C2737" s="114"/>
      <c r="D2737" s="113"/>
      <c r="E2737" s="114"/>
      <c r="F2737" s="114"/>
      <c r="G2737" s="114"/>
      <c r="H2737" s="114"/>
      <c r="I2737" s="114"/>
      <c r="J2737" s="114"/>
      <c r="K2737" s="114"/>
      <c r="L2737" s="114"/>
      <c r="M2737" s="115"/>
    </row>
    <row r="2738" spans="1:13" s="107" customFormat="1" hidden="1" outlineLevel="1" x14ac:dyDescent="0.2"/>
    <row r="2739" spans="1:13" s="524" customFormat="1" hidden="1" outlineLevel="1" x14ac:dyDescent="0.2">
      <c r="A2739" s="207" t="s">
        <v>0</v>
      </c>
      <c r="F2739" s="39"/>
      <c r="G2739" s="39"/>
      <c r="H2739" s="39"/>
      <c r="I2739" s="39"/>
      <c r="J2739" s="39"/>
      <c r="K2739" s="39"/>
      <c r="L2739" s="39"/>
      <c r="M2739" s="39"/>
    </row>
    <row r="2740" spans="1:13" s="524" customFormat="1" hidden="1" outlineLevel="1" x14ac:dyDescent="0.2">
      <c r="A2740" s="40" t="str">
        <f>str_Country</f>
        <v>Brazil</v>
      </c>
      <c r="F2740" s="39"/>
      <c r="G2740" s="39"/>
      <c r="H2740" s="39"/>
      <c r="I2740" s="39"/>
      <c r="J2740" s="39"/>
      <c r="K2740" s="39"/>
      <c r="L2740" s="39"/>
      <c r="M2740" s="39"/>
    </row>
    <row r="2741" spans="1:13" collapsed="1" x14ac:dyDescent="0.2"/>
    <row r="2742" spans="1:13" s="107" customFormat="1" hidden="1" outlineLevel="1" x14ac:dyDescent="0.2">
      <c r="A2742" s="116" t="s">
        <v>1498</v>
      </c>
      <c r="B2742" s="524"/>
      <c r="C2742" s="524"/>
      <c r="D2742" s="524"/>
      <c r="E2742" s="524"/>
      <c r="F2742" s="524"/>
      <c r="G2742" s="524"/>
      <c r="H2742" s="524"/>
      <c r="I2742" s="524"/>
      <c r="J2742" s="524"/>
      <c r="K2742" s="524"/>
      <c r="L2742" s="524"/>
      <c r="M2742" s="524"/>
    </row>
    <row r="2743" spans="1:13" hidden="1" outlineLevel="1" x14ac:dyDescent="0.2">
      <c r="D2743" s="97"/>
    </row>
    <row r="2744" spans="1:13" hidden="1" outlineLevel="1" x14ac:dyDescent="0.2">
      <c r="A2744" s="897" t="s">
        <v>0</v>
      </c>
      <c r="B2744" s="898" t="s">
        <v>1497</v>
      </c>
      <c r="C2744" s="898" t="s">
        <v>1315</v>
      </c>
      <c r="D2744" s="899" t="s">
        <v>1316</v>
      </c>
      <c r="E2744" s="525" t="s">
        <v>1526</v>
      </c>
    </row>
    <row r="2745" spans="1:13" hidden="1" outlineLevel="1" x14ac:dyDescent="0.2">
      <c r="A2745" s="342" t="s">
        <v>31</v>
      </c>
      <c r="B2745" s="343" t="s">
        <v>1342</v>
      </c>
      <c r="C2745" s="343" t="s">
        <v>1343</v>
      </c>
      <c r="D2745" s="343" t="s">
        <v>1344</v>
      </c>
      <c r="E2745" s="524" t="s">
        <v>1526</v>
      </c>
    </row>
    <row r="2746" spans="1:13" hidden="1" outlineLevel="1" x14ac:dyDescent="0.2">
      <c r="A2746" s="342" t="s">
        <v>31</v>
      </c>
      <c r="B2746" s="343" t="s">
        <v>1345</v>
      </c>
      <c r="C2746" s="343" t="s">
        <v>1346</v>
      </c>
      <c r="D2746" s="343" t="s">
        <v>1347</v>
      </c>
      <c r="E2746" s="524" t="s">
        <v>1526</v>
      </c>
    </row>
    <row r="2747" spans="1:13" hidden="1" outlineLevel="1" x14ac:dyDescent="0.2">
      <c r="A2747" s="342" t="s">
        <v>31</v>
      </c>
      <c r="B2747" s="343" t="s">
        <v>1348</v>
      </c>
      <c r="C2747" s="343" t="s">
        <v>1538</v>
      </c>
      <c r="D2747" s="343" t="s">
        <v>1349</v>
      </c>
      <c r="E2747" s="524" t="s">
        <v>1526</v>
      </c>
    </row>
    <row r="2748" spans="1:13" hidden="1" outlineLevel="1" x14ac:dyDescent="0.2">
      <c r="A2748" s="342" t="s">
        <v>31</v>
      </c>
      <c r="B2748" s="343" t="s">
        <v>1350</v>
      </c>
      <c r="C2748" s="343" t="s">
        <v>1538</v>
      </c>
      <c r="D2748" s="343" t="s">
        <v>1351</v>
      </c>
      <c r="E2748" s="524" t="s">
        <v>1526</v>
      </c>
    </row>
    <row r="2749" spans="1:13" hidden="1" outlineLevel="1" x14ac:dyDescent="0.2">
      <c r="A2749" s="342" t="s">
        <v>31</v>
      </c>
      <c r="B2749" s="343" t="s">
        <v>1352</v>
      </c>
      <c r="C2749" s="343" t="s">
        <v>1353</v>
      </c>
      <c r="D2749" s="343" t="s">
        <v>1354</v>
      </c>
      <c r="E2749" s="524" t="s">
        <v>1526</v>
      </c>
    </row>
    <row r="2750" spans="1:13" hidden="1" outlineLevel="1" x14ac:dyDescent="0.2">
      <c r="A2750" s="342" t="s">
        <v>31</v>
      </c>
      <c r="B2750" s="343" t="s">
        <v>1355</v>
      </c>
      <c r="C2750" s="343" t="s">
        <v>1538</v>
      </c>
      <c r="D2750" s="343" t="s">
        <v>1356</v>
      </c>
      <c r="E2750" s="524" t="s">
        <v>1526</v>
      </c>
    </row>
    <row r="2751" spans="1:13" hidden="1" outlineLevel="1" x14ac:dyDescent="0.2">
      <c r="A2751" s="342" t="s">
        <v>31</v>
      </c>
      <c r="B2751" s="343" t="s">
        <v>1357</v>
      </c>
      <c r="C2751" s="343" t="s">
        <v>1538</v>
      </c>
      <c r="D2751" s="343" t="s">
        <v>1358</v>
      </c>
      <c r="E2751" s="524" t="s">
        <v>1526</v>
      </c>
    </row>
    <row r="2752" spans="1:13" hidden="1" outlineLevel="1" x14ac:dyDescent="0.2">
      <c r="A2752" s="342" t="s">
        <v>31</v>
      </c>
      <c r="B2752" s="343" t="s">
        <v>1359</v>
      </c>
      <c r="C2752" s="343" t="s">
        <v>1538</v>
      </c>
      <c r="D2752" s="343" t="s">
        <v>1360</v>
      </c>
      <c r="E2752" s="524" t="s">
        <v>1526</v>
      </c>
    </row>
    <row r="2753" spans="1:13" hidden="1" outlineLevel="1" x14ac:dyDescent="0.2">
      <c r="A2753" s="342" t="s">
        <v>31</v>
      </c>
      <c r="B2753" s="343" t="s">
        <v>1361</v>
      </c>
      <c r="C2753" s="343" t="s">
        <v>1362</v>
      </c>
      <c r="D2753" s="343" t="s">
        <v>1363</v>
      </c>
      <c r="E2753" s="524" t="s">
        <v>1526</v>
      </c>
    </row>
    <row r="2754" spans="1:13" hidden="1" outlineLevel="1" x14ac:dyDescent="0.2">
      <c r="A2754" s="344"/>
      <c r="B2754" s="345"/>
      <c r="C2754" s="343"/>
      <c r="D2754" s="345"/>
      <c r="E2754" s="524" t="s">
        <v>1526</v>
      </c>
    </row>
    <row r="2755" spans="1:13" hidden="1" outlineLevel="1" x14ac:dyDescent="0.2">
      <c r="A2755" s="344"/>
      <c r="B2755" s="345"/>
      <c r="C2755" s="343"/>
      <c r="D2755" s="345"/>
      <c r="E2755" s="524" t="s">
        <v>1526</v>
      </c>
    </row>
    <row r="2756" spans="1:13" hidden="1" outlineLevel="1" x14ac:dyDescent="0.2">
      <c r="A2756" s="344"/>
      <c r="B2756" s="345"/>
      <c r="C2756" s="346"/>
      <c r="D2756" s="901"/>
      <c r="E2756" s="524" t="s">
        <v>1526</v>
      </c>
    </row>
    <row r="2757" spans="1:13" hidden="1" outlineLevel="1" x14ac:dyDescent="0.2">
      <c r="A2757" s="344"/>
      <c r="B2757" s="345"/>
      <c r="C2757" s="346"/>
      <c r="D2757" s="901"/>
      <c r="E2757" s="524" t="s">
        <v>1526</v>
      </c>
    </row>
    <row r="2758" spans="1:13" hidden="1" outlineLevel="1" x14ac:dyDescent="0.2">
      <c r="A2758" s="344"/>
      <c r="B2758" s="345"/>
      <c r="C2758" s="346"/>
      <c r="D2758" s="901"/>
      <c r="E2758" s="524" t="s">
        <v>1526</v>
      </c>
    </row>
    <row r="2759" spans="1:13" hidden="1" outlineLevel="1" x14ac:dyDescent="0.2">
      <c r="A2759" s="344"/>
      <c r="B2759" s="345"/>
      <c r="C2759" s="346"/>
      <c r="D2759" s="901"/>
      <c r="E2759" s="524" t="s">
        <v>1526</v>
      </c>
    </row>
    <row r="2760" spans="1:13" hidden="1" outlineLevel="1" x14ac:dyDescent="0.2">
      <c r="A2760" s="344"/>
      <c r="B2760" s="345"/>
      <c r="C2760" s="346"/>
      <c r="D2760" s="901"/>
      <c r="E2760" s="524" t="s">
        <v>1526</v>
      </c>
    </row>
    <row r="2761" spans="1:13" hidden="1" outlineLevel="1" x14ac:dyDescent="0.2">
      <c r="A2761" s="342"/>
      <c r="B2761" s="343"/>
      <c r="C2761" s="343"/>
      <c r="D2761" s="348"/>
      <c r="E2761" s="524" t="s">
        <v>1526</v>
      </c>
    </row>
    <row r="2762" spans="1:13" hidden="1" outlineLevel="1" x14ac:dyDescent="0.2">
      <c r="A2762" s="342"/>
      <c r="B2762" s="343"/>
      <c r="C2762" s="343"/>
      <c r="D2762" s="348"/>
      <c r="E2762" s="524" t="s">
        <v>1526</v>
      </c>
    </row>
    <row r="2763" spans="1:13" hidden="1" outlineLevel="1" x14ac:dyDescent="0.2">
      <c r="A2763" s="342"/>
      <c r="B2763" s="343"/>
      <c r="C2763" s="343"/>
      <c r="D2763" s="348"/>
      <c r="E2763" s="524" t="s">
        <v>1526</v>
      </c>
    </row>
    <row r="2764" spans="1:13" hidden="1" outlineLevel="1" x14ac:dyDescent="0.2">
      <c r="A2764" s="349"/>
      <c r="B2764" s="347"/>
      <c r="C2764" s="347"/>
      <c r="D2764" s="902"/>
      <c r="E2764" s="524" t="s">
        <v>1526</v>
      </c>
    </row>
    <row r="2765" spans="1:13" hidden="1" outlineLevel="1" x14ac:dyDescent="0.2">
      <c r="D2765" s="97"/>
      <c r="F2765" s="97"/>
    </row>
    <row r="2766" spans="1:13" s="107" customFormat="1" hidden="1" outlineLevel="1" x14ac:dyDescent="0.2">
      <c r="A2766" s="116" t="s">
        <v>1557</v>
      </c>
      <c r="B2766" s="524"/>
      <c r="C2766" s="524"/>
      <c r="D2766" s="524"/>
      <c r="E2766" s="524"/>
      <c r="F2766" s="524"/>
      <c r="G2766" s="524"/>
      <c r="H2766" s="524"/>
      <c r="I2766" s="524"/>
      <c r="J2766" s="524"/>
      <c r="K2766" s="524"/>
      <c r="L2766" s="524"/>
      <c r="M2766" s="524"/>
    </row>
    <row r="2767" spans="1:13" hidden="1" outlineLevel="1" x14ac:dyDescent="0.2">
      <c r="D2767" s="97"/>
      <c r="F2767" s="97"/>
    </row>
    <row r="2768" spans="1:13" hidden="1" outlineLevel="1" x14ac:dyDescent="0.2">
      <c r="A2768" s="897" t="s">
        <v>0</v>
      </c>
      <c r="B2768" s="898" t="s">
        <v>1497</v>
      </c>
      <c r="C2768" s="898" t="s">
        <v>1315</v>
      </c>
      <c r="D2768" s="899" t="s">
        <v>1228</v>
      </c>
      <c r="E2768" s="525" t="s">
        <v>1526</v>
      </c>
    </row>
    <row r="2769" spans="1:5" hidden="1" outlineLevel="1" x14ac:dyDescent="0.2">
      <c r="A2769" s="342" t="s">
        <v>31</v>
      </c>
      <c r="B2769" s="343" t="s">
        <v>1566</v>
      </c>
      <c r="C2769" s="343" t="s">
        <v>1568</v>
      </c>
      <c r="D2769" s="343" t="s">
        <v>1567</v>
      </c>
      <c r="E2769" s="524" t="s">
        <v>1526</v>
      </c>
    </row>
    <row r="2770" spans="1:5" hidden="1" outlineLevel="1" x14ac:dyDescent="0.2">
      <c r="A2770" s="342" t="s">
        <v>31</v>
      </c>
      <c r="B2770" s="343" t="s">
        <v>1569</v>
      </c>
      <c r="C2770" s="343" t="s">
        <v>1570</v>
      </c>
      <c r="D2770" s="343" t="s">
        <v>1564</v>
      </c>
      <c r="E2770" s="524" t="s">
        <v>1526</v>
      </c>
    </row>
    <row r="2771" spans="1:5" hidden="1" outlineLevel="1" x14ac:dyDescent="0.2">
      <c r="A2771" s="342" t="s">
        <v>31</v>
      </c>
      <c r="B2771" s="343" t="s">
        <v>1573</v>
      </c>
      <c r="C2771" s="343" t="s">
        <v>1574</v>
      </c>
      <c r="D2771" s="343" t="s">
        <v>1564</v>
      </c>
      <c r="E2771" s="524" t="s">
        <v>1526</v>
      </c>
    </row>
    <row r="2772" spans="1:5" hidden="1" outlineLevel="1" x14ac:dyDescent="0.2">
      <c r="A2772" s="342" t="s">
        <v>31</v>
      </c>
      <c r="B2772" s="343" t="s">
        <v>1581</v>
      </c>
      <c r="C2772" s="343" t="s">
        <v>1582</v>
      </c>
      <c r="D2772" s="343" t="s">
        <v>1564</v>
      </c>
      <c r="E2772" s="524" t="s">
        <v>1526</v>
      </c>
    </row>
    <row r="2773" spans="1:5" hidden="1" outlineLevel="1" x14ac:dyDescent="0.2">
      <c r="A2773" s="342" t="s">
        <v>31</v>
      </c>
      <c r="B2773" s="343" t="s">
        <v>1583</v>
      </c>
      <c r="C2773" s="343" t="s">
        <v>1584</v>
      </c>
      <c r="D2773" s="343" t="s">
        <v>1564</v>
      </c>
      <c r="E2773" s="524" t="s">
        <v>1526</v>
      </c>
    </row>
    <row r="2774" spans="1:5" hidden="1" outlineLevel="1" x14ac:dyDescent="0.2">
      <c r="A2774" s="342" t="s">
        <v>31</v>
      </c>
      <c r="B2774" s="343" t="s">
        <v>1589</v>
      </c>
      <c r="C2774" s="343" t="s">
        <v>1591</v>
      </c>
      <c r="D2774" s="343" t="s">
        <v>1590</v>
      </c>
      <c r="E2774" s="524" t="s">
        <v>1526</v>
      </c>
    </row>
    <row r="2775" spans="1:5" hidden="1" outlineLevel="1" x14ac:dyDescent="0.2">
      <c r="A2775" s="342" t="s">
        <v>31</v>
      </c>
      <c r="B2775" s="343" t="s">
        <v>1599</v>
      </c>
      <c r="C2775" s="343" t="s">
        <v>1601</v>
      </c>
      <c r="D2775" s="343" t="s">
        <v>1600</v>
      </c>
      <c r="E2775" s="524" t="s">
        <v>1526</v>
      </c>
    </row>
    <row r="2776" spans="1:5" hidden="1" outlineLevel="1" x14ac:dyDescent="0.2">
      <c r="A2776" s="342" t="s">
        <v>31</v>
      </c>
      <c r="B2776" s="343" t="s">
        <v>1604</v>
      </c>
      <c r="C2776" s="343" t="s">
        <v>1605</v>
      </c>
      <c r="D2776" s="343" t="s">
        <v>1567</v>
      </c>
      <c r="E2776" s="524" t="s">
        <v>1526</v>
      </c>
    </row>
    <row r="2777" spans="1:5" hidden="1" outlineLevel="1" x14ac:dyDescent="0.2">
      <c r="A2777" s="342" t="s">
        <v>31</v>
      </c>
      <c r="B2777" s="343" t="s">
        <v>1613</v>
      </c>
      <c r="C2777" s="343" t="s">
        <v>1614</v>
      </c>
      <c r="D2777" s="343" t="s">
        <v>1590</v>
      </c>
      <c r="E2777" s="524" t="s">
        <v>1526</v>
      </c>
    </row>
    <row r="2778" spans="1:5" hidden="1" outlineLevel="1" x14ac:dyDescent="0.2">
      <c r="A2778" s="342" t="s">
        <v>31</v>
      </c>
      <c r="B2778" s="343" t="s">
        <v>1616</v>
      </c>
      <c r="C2778" s="343" t="s">
        <v>1617</v>
      </c>
      <c r="D2778" s="343" t="s">
        <v>1564</v>
      </c>
      <c r="E2778" s="524" t="s">
        <v>1526</v>
      </c>
    </row>
    <row r="2779" spans="1:5" hidden="1" outlineLevel="1" x14ac:dyDescent="0.2">
      <c r="A2779" s="342" t="s">
        <v>31</v>
      </c>
      <c r="B2779" s="343" t="s">
        <v>1618</v>
      </c>
      <c r="C2779" s="343" t="s">
        <v>1619</v>
      </c>
      <c r="D2779" s="343" t="s">
        <v>1590</v>
      </c>
      <c r="E2779" s="524" t="s">
        <v>1526</v>
      </c>
    </row>
    <row r="2780" spans="1:5" hidden="1" outlineLevel="1" x14ac:dyDescent="0.2">
      <c r="A2780" s="342" t="s">
        <v>31</v>
      </c>
      <c r="B2780" s="343" t="s">
        <v>1622</v>
      </c>
      <c r="C2780" s="343" t="s">
        <v>1538</v>
      </c>
      <c r="D2780" s="343" t="s">
        <v>1231</v>
      </c>
      <c r="E2780" s="524" t="s">
        <v>1526</v>
      </c>
    </row>
    <row r="2781" spans="1:5" hidden="1" outlineLevel="1" x14ac:dyDescent="0.2">
      <c r="A2781" s="342" t="s">
        <v>31</v>
      </c>
      <c r="B2781" s="343" t="s">
        <v>1625</v>
      </c>
      <c r="C2781" s="343" t="s">
        <v>1626</v>
      </c>
      <c r="D2781" s="343" t="s">
        <v>1231</v>
      </c>
      <c r="E2781" s="524" t="s">
        <v>1526</v>
      </c>
    </row>
    <row r="2782" spans="1:5" hidden="1" outlineLevel="1" x14ac:dyDescent="0.2">
      <c r="A2782" s="342" t="s">
        <v>31</v>
      </c>
      <c r="B2782" s="343" t="s">
        <v>1627</v>
      </c>
      <c r="C2782" s="343" t="s">
        <v>1628</v>
      </c>
      <c r="D2782" s="343" t="s">
        <v>1567</v>
      </c>
      <c r="E2782" s="524" t="s">
        <v>1526</v>
      </c>
    </row>
    <row r="2783" spans="1:5" hidden="1" outlineLevel="1" x14ac:dyDescent="0.2">
      <c r="A2783" s="342" t="s">
        <v>31</v>
      </c>
      <c r="B2783" s="343" t="s">
        <v>1635</v>
      </c>
      <c r="C2783" s="343" t="s">
        <v>1591</v>
      </c>
      <c r="D2783" s="343" t="s">
        <v>1564</v>
      </c>
      <c r="E2783" s="524" t="s">
        <v>1526</v>
      </c>
    </row>
    <row r="2784" spans="1:5" hidden="1" outlineLevel="1" x14ac:dyDescent="0.2">
      <c r="A2784" s="344" t="s">
        <v>31</v>
      </c>
      <c r="B2784" s="345" t="s">
        <v>1642</v>
      </c>
      <c r="C2784" s="343" t="s">
        <v>1643</v>
      </c>
      <c r="D2784" s="345" t="s">
        <v>1231</v>
      </c>
      <c r="E2784" s="524" t="s">
        <v>1526</v>
      </c>
    </row>
    <row r="2785" spans="1:5" hidden="1" outlineLevel="1" x14ac:dyDescent="0.2">
      <c r="A2785" s="344" t="s">
        <v>31</v>
      </c>
      <c r="B2785" s="345" t="s">
        <v>1646</v>
      </c>
      <c r="C2785" s="343" t="s">
        <v>1647</v>
      </c>
      <c r="D2785" s="345" t="s">
        <v>1564</v>
      </c>
      <c r="E2785" s="524" t="s">
        <v>1526</v>
      </c>
    </row>
    <row r="2786" spans="1:5" hidden="1" outlineLevel="1" x14ac:dyDescent="0.2">
      <c r="A2786" s="344" t="s">
        <v>31</v>
      </c>
      <c r="B2786" s="345" t="s">
        <v>1648</v>
      </c>
      <c r="C2786" s="343" t="s">
        <v>1649</v>
      </c>
      <c r="D2786" s="345" t="s">
        <v>1231</v>
      </c>
      <c r="E2786" s="524" t="s">
        <v>1526</v>
      </c>
    </row>
    <row r="2787" spans="1:5" hidden="1" outlineLevel="1" x14ac:dyDescent="0.2">
      <c r="A2787" s="342"/>
      <c r="B2787" s="343"/>
      <c r="C2787" s="343"/>
      <c r="D2787" s="348"/>
      <c r="E2787" s="524" t="s">
        <v>1526</v>
      </c>
    </row>
    <row r="2788" spans="1:5" hidden="1" outlineLevel="1" x14ac:dyDescent="0.2">
      <c r="A2788" s="349"/>
      <c r="B2788" s="347"/>
      <c r="C2788" s="347"/>
      <c r="D2788" s="902"/>
      <c r="E2788" s="524" t="s">
        <v>1526</v>
      </c>
    </row>
    <row r="2789" spans="1:5" x14ac:dyDescent="0.2">
      <c r="D2789" s="97"/>
    </row>
    <row r="2790" spans="1:5" x14ac:dyDescent="0.2">
      <c r="D2790" s="97"/>
    </row>
  </sheetData>
  <sheetProtection password="ECD7" sheet="1" objects="1" scenarios="1"/>
  <sortState ref="C2004:C2042">
    <sortCondition ref="C2003"/>
  </sortState>
  <conditionalFormatting sqref="F5:L5">
    <cfRule type="expression" dxfId="2" priority="4">
      <formula>F$5=int_Year</formula>
    </cfRule>
  </conditionalFormatting>
  <conditionalFormatting sqref="D6:D2533">
    <cfRule type="expression" dxfId="1" priority="3">
      <formula>D6=1</formula>
    </cfRule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AH1304"/>
  <sheetViews>
    <sheetView showGridLines="0" zoomScale="85" zoomScaleNormal="85" zoomScalePageLayoutView="80" workbookViewId="0">
      <pane xSplit="8" ySplit="5" topLeftCell="I6" activePane="bottomRight" state="frozen"/>
      <selection activeCell="D53" sqref="D53"/>
      <selection pane="topRight" activeCell="D53" sqref="D53"/>
      <selection pane="bottomLeft" activeCell="D53" sqref="D53"/>
      <selection pane="bottomRight" activeCell="L21" sqref="L21"/>
    </sheetView>
  </sheetViews>
  <sheetFormatPr defaultColWidth="8.85546875" defaultRowHeight="12.75" x14ac:dyDescent="0.2"/>
  <cols>
    <col min="1" max="1" width="9.140625" style="9" customWidth="1"/>
    <col min="2" max="2" width="7" style="9" customWidth="1"/>
    <col min="3" max="4" width="9.140625" style="8" customWidth="1"/>
    <col min="5" max="5" width="20.140625" style="8" customWidth="1"/>
    <col min="6" max="6" width="17.28515625" style="8" customWidth="1"/>
    <col min="7" max="7" width="33.28515625" style="8" customWidth="1"/>
    <col min="8" max="8" width="9.85546875" style="637" customWidth="1"/>
    <col min="9" max="26" width="12.140625" style="31" customWidth="1"/>
    <col min="27" max="30" width="12.140625" style="637" customWidth="1"/>
    <col min="31" max="33" width="12.140625" style="769" customWidth="1"/>
    <col min="34" max="16384" width="8.85546875" style="7"/>
  </cols>
  <sheetData>
    <row r="1" spans="1:34" s="50" customFormat="1" ht="21" x14ac:dyDescent="0.2">
      <c r="A1" s="295" t="s">
        <v>1652</v>
      </c>
      <c r="B1" s="296"/>
      <c r="C1" s="296"/>
      <c r="D1" s="297"/>
      <c r="E1" s="298"/>
      <c r="F1" s="299"/>
      <c r="G1" s="298"/>
      <c r="H1" s="785"/>
      <c r="I1" s="208" t="s">
        <v>1674</v>
      </c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763"/>
      <c r="AB1" s="763"/>
      <c r="AC1" s="763"/>
      <c r="AD1" s="763"/>
      <c r="AE1" s="764"/>
      <c r="AF1" s="764"/>
      <c r="AG1" s="765"/>
    </row>
    <row r="2" spans="1:34" s="50" customFormat="1" ht="21" x14ac:dyDescent="0.2">
      <c r="A2" s="300"/>
      <c r="B2" s="301"/>
      <c r="C2" s="301"/>
      <c r="D2" s="302"/>
      <c r="E2" s="303"/>
      <c r="F2" s="304"/>
      <c r="G2" s="303"/>
      <c r="H2" s="786"/>
      <c r="I2" s="206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766"/>
      <c r="AB2" s="766"/>
      <c r="AC2" s="766"/>
      <c r="AD2" s="766"/>
      <c r="AE2" s="767"/>
      <c r="AF2" s="767"/>
      <c r="AG2" s="768"/>
    </row>
    <row r="3" spans="1:34" x14ac:dyDescent="0.2">
      <c r="AH3" s="99" t="s">
        <v>1526</v>
      </c>
    </row>
    <row r="4" spans="1:34" s="550" customFormat="1" ht="21" x14ac:dyDescent="0.2">
      <c r="A4" s="546" t="s">
        <v>1677</v>
      </c>
      <c r="B4" s="547"/>
      <c r="C4" s="548"/>
      <c r="D4" s="548"/>
      <c r="E4" s="548"/>
      <c r="F4" s="548"/>
      <c r="G4" s="548"/>
      <c r="H4" s="770"/>
      <c r="I4" s="549" t="s">
        <v>1218</v>
      </c>
      <c r="J4" s="549"/>
      <c r="K4" s="549"/>
      <c r="L4" s="549"/>
      <c r="M4" s="549"/>
      <c r="N4" s="549"/>
      <c r="O4" s="549"/>
      <c r="P4" s="549"/>
      <c r="Q4" s="549"/>
      <c r="R4" s="549"/>
      <c r="S4" s="549"/>
      <c r="T4" s="549"/>
      <c r="U4" s="549"/>
      <c r="V4" s="549"/>
      <c r="W4" s="549"/>
      <c r="X4" s="549"/>
      <c r="Y4" s="549"/>
      <c r="Z4" s="549"/>
      <c r="AA4" s="770"/>
      <c r="AB4" s="770"/>
      <c r="AC4" s="770"/>
      <c r="AD4" s="770"/>
      <c r="AE4" s="771"/>
      <c r="AF4" s="771"/>
      <c r="AG4" s="772"/>
      <c r="AH4" s="222" t="s">
        <v>1526</v>
      </c>
    </row>
    <row r="5" spans="1:34" s="100" customFormat="1" x14ac:dyDescent="0.2">
      <c r="A5" s="150" t="s">
        <v>24</v>
      </c>
      <c r="B5" s="151" t="s">
        <v>1217</v>
      </c>
      <c r="C5" s="152" t="s">
        <v>1216</v>
      </c>
      <c r="D5" s="152" t="s">
        <v>1215</v>
      </c>
      <c r="E5" s="152" t="s">
        <v>0</v>
      </c>
      <c r="F5" s="152" t="s">
        <v>1203</v>
      </c>
      <c r="G5" s="152" t="s">
        <v>1214</v>
      </c>
      <c r="H5" s="773" t="s">
        <v>1213</v>
      </c>
      <c r="I5" s="153" t="s">
        <v>78</v>
      </c>
      <c r="J5" s="153" t="s">
        <v>1212</v>
      </c>
      <c r="K5" s="153" t="s">
        <v>1211</v>
      </c>
      <c r="L5" s="153" t="s">
        <v>1210</v>
      </c>
      <c r="M5" s="153" t="s">
        <v>1209</v>
      </c>
      <c r="N5" s="153" t="s">
        <v>1208</v>
      </c>
      <c r="O5" s="153" t="s">
        <v>1207</v>
      </c>
      <c r="P5" s="153" t="s">
        <v>1206</v>
      </c>
      <c r="Q5" s="153" t="s">
        <v>1205</v>
      </c>
      <c r="R5" s="153" t="s">
        <v>1204</v>
      </c>
      <c r="S5" s="153" t="s">
        <v>1203</v>
      </c>
      <c r="T5" s="153" t="s">
        <v>1202</v>
      </c>
      <c r="U5" s="153" t="s">
        <v>1201</v>
      </c>
      <c r="V5" s="153" t="s">
        <v>1200</v>
      </c>
      <c r="W5" s="153" t="s">
        <v>1199</v>
      </c>
      <c r="X5" s="153" t="s">
        <v>1198</v>
      </c>
      <c r="Y5" s="153" t="s">
        <v>1197</v>
      </c>
      <c r="Z5" s="154" t="s">
        <v>1196</v>
      </c>
      <c r="AA5" s="773" t="s">
        <v>1195</v>
      </c>
      <c r="AB5" s="773" t="s">
        <v>1194</v>
      </c>
      <c r="AC5" s="773" t="s">
        <v>1193</v>
      </c>
      <c r="AD5" s="773" t="s">
        <v>1192</v>
      </c>
      <c r="AE5" s="774" t="s">
        <v>1191</v>
      </c>
      <c r="AF5" s="774" t="s">
        <v>1190</v>
      </c>
      <c r="AG5" s="775" t="s">
        <v>1189</v>
      </c>
      <c r="AH5" s="99" t="s">
        <v>1526</v>
      </c>
    </row>
    <row r="6" spans="1:34" x14ac:dyDescent="0.2">
      <c r="A6" s="15">
        <f t="shared" ref="A6:A69" si="0">IF(K6="","",IF(AND(YEAR(Z6)&lt;2004,YEAR(Z6)&gt;1910),2004,YEAR(Z6)))</f>
        <v>2010</v>
      </c>
      <c r="B6" s="14">
        <f t="shared" ref="B6:B69" si="1">IF(K6="","",IF(ISNUMBER(Z6),MONTH(Z6),0))</f>
        <v>3</v>
      </c>
      <c r="C6" s="13" t="str">
        <f t="shared" ref="C6:C69" si="2">IF(K6="","",IF(AND(B6&gt;=1,B6&lt;=3),"Q1",IF(AND(B6&gt;3,B6&lt;=6),"Q2",IF(AND(B6&gt;6,B6&lt;=9),"Q3",IF(AND(B6&gt;9,B6&lt;=12),"Q4",0)))))</f>
        <v>Q1</v>
      </c>
      <c r="D6" s="13" t="str">
        <f t="shared" ref="D6:D69" si="3">IF(A6&lt;2006, "&lt; 2006", A6&amp;C6)</f>
        <v>2010Q1</v>
      </c>
      <c r="E6" s="13" t="str">
        <f t="shared" ref="E6:E69" si="4">IF(K6="","", M6)</f>
        <v>Brazil</v>
      </c>
      <c r="F6" s="13" t="str">
        <f>IF(K6="","",IF(OR(T6="Wind",T6="Solar",T6="Geothermal",T6="Small Hydro",T6="Biofuels",T6="Biomass &amp; Waste"),T6,"Other Clean Energy"))</f>
        <v>Biofuels</v>
      </c>
      <c r="G6" s="13" t="str">
        <f>IF(K6="","",IF(OR(J6="PM",J6="MA"), "Corporate finance investments", IF(J6="VCPE", "VC/PE investments", IF(J6="AF", "Asset finance investments"))))</f>
        <v>Corporate finance investments</v>
      </c>
      <c r="H6" s="638">
        <f t="shared" ref="H6:H69" si="5">IF(K6="","",AG6)</f>
        <v>1176.977006907608</v>
      </c>
      <c r="I6" s="24" t="s">
        <v>87</v>
      </c>
      <c r="J6" s="25" t="s">
        <v>86</v>
      </c>
      <c r="K6" s="25" t="s">
        <v>176</v>
      </c>
      <c r="L6" s="25" t="s">
        <v>1746</v>
      </c>
      <c r="M6" s="25" t="s">
        <v>31</v>
      </c>
      <c r="N6" s="25" t="s">
        <v>31</v>
      </c>
      <c r="O6" s="25" t="s">
        <v>92</v>
      </c>
      <c r="P6" s="25" t="s">
        <v>83</v>
      </c>
      <c r="Q6" s="25" t="s">
        <v>82</v>
      </c>
      <c r="R6" s="25" t="s">
        <v>91</v>
      </c>
      <c r="S6" s="25" t="s">
        <v>96</v>
      </c>
      <c r="T6" s="25" t="s">
        <v>96</v>
      </c>
      <c r="U6" s="25" t="s">
        <v>98</v>
      </c>
      <c r="V6" s="25">
        <v>0</v>
      </c>
      <c r="W6" s="25" t="s">
        <v>97</v>
      </c>
      <c r="X6" s="25" t="s">
        <v>1747</v>
      </c>
      <c r="Y6" s="25" t="e">
        <v>#N/A</v>
      </c>
      <c r="Z6" s="26">
        <v>40259</v>
      </c>
      <c r="AA6" s="776" t="s">
        <v>1748</v>
      </c>
      <c r="AB6" s="776" t="s">
        <v>1748</v>
      </c>
      <c r="AC6" s="776" t="s">
        <v>1748</v>
      </c>
      <c r="AD6" s="776" t="s">
        <v>1748</v>
      </c>
      <c r="AE6" s="777">
        <v>1176.0999999999999</v>
      </c>
      <c r="AF6" s="777">
        <v>1176.0999999999999</v>
      </c>
      <c r="AG6" s="778">
        <v>1176.977006907608</v>
      </c>
      <c r="AH6" s="99" t="s">
        <v>1526</v>
      </c>
    </row>
    <row r="7" spans="1:34" x14ac:dyDescent="0.2">
      <c r="A7" s="15">
        <f t="shared" si="0"/>
        <v>2009</v>
      </c>
      <c r="B7" s="14">
        <f t="shared" si="1"/>
        <v>2</v>
      </c>
      <c r="C7" s="13" t="str">
        <f t="shared" si="2"/>
        <v>Q1</v>
      </c>
      <c r="D7" s="13" t="str">
        <f t="shared" si="3"/>
        <v>2009Q1</v>
      </c>
      <c r="E7" s="13" t="str">
        <f t="shared" si="4"/>
        <v>Brazil</v>
      </c>
      <c r="F7" s="13" t="str">
        <f t="shared" ref="F7:F70" si="6">IF(K7="","",IF(OR(T7="Wind",T7="Solar",T7="Geothermal",T7="Small Hydro",T7="Biofuels",T7="Biomass &amp; Waste"),T7,"Other Clean Energy"))</f>
        <v>Biofuels</v>
      </c>
      <c r="G7" s="13" t="str">
        <f t="shared" ref="G7:G70" si="7">IF(K7="","",IF(OR(J7="PM",J7="MA"), "Corporate finance investments", IF(J7="VCPE", "VC/PE investments", IF(J7="AF", "Asset finance investments"))))</f>
        <v>Asset finance investments</v>
      </c>
      <c r="H7" s="638">
        <f t="shared" si="5"/>
        <v>1024.5005519772587</v>
      </c>
      <c r="I7" s="24" t="s">
        <v>87</v>
      </c>
      <c r="J7" s="25" t="s">
        <v>246</v>
      </c>
      <c r="K7" s="25" t="s">
        <v>416</v>
      </c>
      <c r="L7" s="25" t="s">
        <v>415</v>
      </c>
      <c r="M7" s="25" t="s">
        <v>31</v>
      </c>
      <c r="N7" s="25" t="s">
        <v>31</v>
      </c>
      <c r="O7" s="25" t="s">
        <v>92</v>
      </c>
      <c r="P7" s="25" t="s">
        <v>83</v>
      </c>
      <c r="Q7" s="25" t="s">
        <v>82</v>
      </c>
      <c r="R7" s="25" t="s">
        <v>91</v>
      </c>
      <c r="S7" s="25" t="s">
        <v>96</v>
      </c>
      <c r="T7" s="25" t="s">
        <v>96</v>
      </c>
      <c r="U7" s="25" t="s">
        <v>98</v>
      </c>
      <c r="V7" s="25" t="s">
        <v>230</v>
      </c>
      <c r="W7" s="25" t="s">
        <v>249</v>
      </c>
      <c r="X7" s="25" t="s">
        <v>1749</v>
      </c>
      <c r="Y7" s="25" t="s">
        <v>1750</v>
      </c>
      <c r="Z7" s="26">
        <v>39846</v>
      </c>
      <c r="AA7" s="776">
        <v>0</v>
      </c>
      <c r="AB7" s="776">
        <v>459</v>
      </c>
      <c r="AC7" s="776">
        <v>0</v>
      </c>
      <c r="AD7" s="776">
        <v>0</v>
      </c>
      <c r="AE7" s="777">
        <v>1024.5</v>
      </c>
      <c r="AF7" s="777">
        <v>1024.5</v>
      </c>
      <c r="AG7" s="778">
        <v>1024.5005519772587</v>
      </c>
      <c r="AH7" s="99" t="s">
        <v>1526</v>
      </c>
    </row>
    <row r="8" spans="1:34" x14ac:dyDescent="0.2">
      <c r="A8" s="15">
        <f t="shared" si="0"/>
        <v>2010</v>
      </c>
      <c r="B8" s="14">
        <f t="shared" si="1"/>
        <v>12</v>
      </c>
      <c r="C8" s="13" t="str">
        <f t="shared" si="2"/>
        <v>Q4</v>
      </c>
      <c r="D8" s="13" t="str">
        <f t="shared" si="3"/>
        <v>2010Q4</v>
      </c>
      <c r="E8" s="13" t="str">
        <f t="shared" si="4"/>
        <v>Brazil</v>
      </c>
      <c r="F8" s="13" t="str">
        <f t="shared" si="6"/>
        <v>Biofuels</v>
      </c>
      <c r="G8" s="13" t="str">
        <f t="shared" si="7"/>
        <v>Asset finance investments</v>
      </c>
      <c r="H8" s="638">
        <f t="shared" si="5"/>
        <v>950.70840622585467</v>
      </c>
      <c r="I8" s="24" t="s">
        <v>87</v>
      </c>
      <c r="J8" s="25" t="s">
        <v>246</v>
      </c>
      <c r="K8" s="25" t="s">
        <v>449</v>
      </c>
      <c r="L8" s="25" t="s">
        <v>1751</v>
      </c>
      <c r="M8" s="25" t="s">
        <v>31</v>
      </c>
      <c r="N8" s="25" t="s">
        <v>31</v>
      </c>
      <c r="O8" s="25" t="s">
        <v>92</v>
      </c>
      <c r="P8" s="25" t="s">
        <v>83</v>
      </c>
      <c r="Q8" s="25" t="s">
        <v>82</v>
      </c>
      <c r="R8" s="25" t="s">
        <v>91</v>
      </c>
      <c r="S8" s="25" t="s">
        <v>96</v>
      </c>
      <c r="T8" s="25" t="s">
        <v>96</v>
      </c>
      <c r="U8" s="25" t="s">
        <v>98</v>
      </c>
      <c r="V8" s="25" t="s">
        <v>230</v>
      </c>
      <c r="W8" s="25" t="s">
        <v>245</v>
      </c>
      <c r="X8" s="25" t="s">
        <v>1752</v>
      </c>
      <c r="Y8" s="25" t="s">
        <v>1753</v>
      </c>
      <c r="Z8" s="26">
        <v>40528</v>
      </c>
      <c r="AA8" s="776">
        <v>115.2</v>
      </c>
      <c r="AB8" s="776">
        <v>470</v>
      </c>
      <c r="AC8" s="776">
        <v>0</v>
      </c>
      <c r="AD8" s="776">
        <v>0</v>
      </c>
      <c r="AE8" s="777">
        <v>950</v>
      </c>
      <c r="AF8" s="777">
        <v>950</v>
      </c>
      <c r="AG8" s="778">
        <v>950.70840622585467</v>
      </c>
      <c r="AH8" s="99" t="s">
        <v>1526</v>
      </c>
    </row>
    <row r="9" spans="1:34" x14ac:dyDescent="0.2">
      <c r="A9" s="15">
        <f t="shared" si="0"/>
        <v>2011</v>
      </c>
      <c r="B9" s="14">
        <f t="shared" si="1"/>
        <v>12</v>
      </c>
      <c r="C9" s="13" t="str">
        <f t="shared" si="2"/>
        <v>Q4</v>
      </c>
      <c r="D9" s="13" t="str">
        <f t="shared" si="3"/>
        <v>2011Q4</v>
      </c>
      <c r="E9" s="13" t="str">
        <f t="shared" si="4"/>
        <v>Brazil</v>
      </c>
      <c r="F9" s="13" t="str">
        <f t="shared" si="6"/>
        <v>Wind</v>
      </c>
      <c r="G9" s="13" t="str">
        <f t="shared" si="7"/>
        <v>Corporate finance investments</v>
      </c>
      <c r="H9" s="638">
        <f t="shared" si="5"/>
        <v>814.99300561440339</v>
      </c>
      <c r="I9" s="24" t="s">
        <v>87</v>
      </c>
      <c r="J9" s="25" t="s">
        <v>86</v>
      </c>
      <c r="K9" s="25" t="s">
        <v>178</v>
      </c>
      <c r="L9" s="25" t="s">
        <v>177</v>
      </c>
      <c r="M9" s="25" t="s">
        <v>31</v>
      </c>
      <c r="N9" s="25" t="s">
        <v>31</v>
      </c>
      <c r="O9" s="25" t="s">
        <v>92</v>
      </c>
      <c r="P9" s="25" t="s">
        <v>83</v>
      </c>
      <c r="Q9" s="25" t="s">
        <v>82</v>
      </c>
      <c r="R9" s="25" t="s">
        <v>91</v>
      </c>
      <c r="S9" s="25" t="s">
        <v>101</v>
      </c>
      <c r="T9" s="25" t="s">
        <v>101</v>
      </c>
      <c r="U9" s="25" t="s">
        <v>112</v>
      </c>
      <c r="V9" s="25">
        <v>0</v>
      </c>
      <c r="W9" s="25" t="s">
        <v>94</v>
      </c>
      <c r="X9" s="25" t="s">
        <v>1747</v>
      </c>
      <c r="Y9" s="25" t="e">
        <v>#N/A</v>
      </c>
      <c r="Z9" s="26">
        <v>40896</v>
      </c>
      <c r="AA9" s="776" t="s">
        <v>1748</v>
      </c>
      <c r="AB9" s="776" t="s">
        <v>1748</v>
      </c>
      <c r="AC9" s="776" t="s">
        <v>1748</v>
      </c>
      <c r="AD9" s="776" t="s">
        <v>1748</v>
      </c>
      <c r="AE9" s="777">
        <v>809.5</v>
      </c>
      <c r="AF9" s="777">
        <v>809.5</v>
      </c>
      <c r="AG9" s="778">
        <v>814.99300561440339</v>
      </c>
      <c r="AH9" s="99" t="s">
        <v>1526</v>
      </c>
    </row>
    <row r="10" spans="1:34" x14ac:dyDescent="0.2">
      <c r="A10" s="15">
        <f t="shared" si="0"/>
        <v>2009</v>
      </c>
      <c r="B10" s="14">
        <f t="shared" si="1"/>
        <v>3</v>
      </c>
      <c r="C10" s="13" t="str">
        <f t="shared" si="2"/>
        <v>Q1</v>
      </c>
      <c r="D10" s="13" t="str">
        <f t="shared" si="3"/>
        <v>2009Q1</v>
      </c>
      <c r="E10" s="13" t="str">
        <f t="shared" si="4"/>
        <v>Brazil</v>
      </c>
      <c r="F10" s="13" t="str">
        <f t="shared" si="6"/>
        <v>Biofuels</v>
      </c>
      <c r="G10" s="13" t="str">
        <f t="shared" si="7"/>
        <v>Corporate finance investments</v>
      </c>
      <c r="H10" s="638">
        <f t="shared" si="5"/>
        <v>794.80042822013195</v>
      </c>
      <c r="I10" s="24" t="s">
        <v>87</v>
      </c>
      <c r="J10" s="25" t="s">
        <v>86</v>
      </c>
      <c r="K10" s="25" t="s">
        <v>155</v>
      </c>
      <c r="L10" s="25" t="s">
        <v>154</v>
      </c>
      <c r="M10" s="25" t="s">
        <v>31</v>
      </c>
      <c r="N10" s="25" t="s">
        <v>31</v>
      </c>
      <c r="O10" s="25" t="s">
        <v>92</v>
      </c>
      <c r="P10" s="25" t="s">
        <v>83</v>
      </c>
      <c r="Q10" s="25" t="s">
        <v>82</v>
      </c>
      <c r="R10" s="25" t="s">
        <v>91</v>
      </c>
      <c r="S10" s="25" t="s">
        <v>96</v>
      </c>
      <c r="T10" s="25" t="s">
        <v>96</v>
      </c>
      <c r="U10" s="25" t="s">
        <v>98</v>
      </c>
      <c r="V10" s="25">
        <v>0</v>
      </c>
      <c r="W10" s="25" t="s">
        <v>97</v>
      </c>
      <c r="X10" s="25" t="s">
        <v>1747</v>
      </c>
      <c r="Y10" s="25" t="e">
        <v>#N/A</v>
      </c>
      <c r="Z10" s="26">
        <v>39885</v>
      </c>
      <c r="AA10" s="776" t="s">
        <v>1748</v>
      </c>
      <c r="AB10" s="776" t="s">
        <v>1748</v>
      </c>
      <c r="AC10" s="776" t="s">
        <v>1748</v>
      </c>
      <c r="AD10" s="776" t="s">
        <v>1748</v>
      </c>
      <c r="AE10" s="777">
        <v>794.8</v>
      </c>
      <c r="AF10" s="777">
        <v>794.8</v>
      </c>
      <c r="AG10" s="778">
        <v>794.80042822013195</v>
      </c>
      <c r="AH10" s="99" t="s">
        <v>1526</v>
      </c>
    </row>
    <row r="11" spans="1:34" x14ac:dyDescent="0.2">
      <c r="A11" s="15">
        <f t="shared" si="0"/>
        <v>2009</v>
      </c>
      <c r="B11" s="14">
        <f t="shared" si="1"/>
        <v>10</v>
      </c>
      <c r="C11" s="13" t="str">
        <f t="shared" si="2"/>
        <v>Q4</v>
      </c>
      <c r="D11" s="13" t="str">
        <f t="shared" si="3"/>
        <v>2009Q4</v>
      </c>
      <c r="E11" s="13" t="str">
        <f t="shared" si="4"/>
        <v>Brazil</v>
      </c>
      <c r="F11" s="13" t="str">
        <f t="shared" si="6"/>
        <v>Biofuels</v>
      </c>
      <c r="G11" s="13" t="str">
        <f t="shared" si="7"/>
        <v>Corporate finance investments</v>
      </c>
      <c r="H11" s="638">
        <f t="shared" si="5"/>
        <v>722.40038921266137</v>
      </c>
      <c r="I11" s="24" t="s">
        <v>87</v>
      </c>
      <c r="J11" s="25" t="s">
        <v>86</v>
      </c>
      <c r="K11" s="25" t="s">
        <v>153</v>
      </c>
      <c r="L11" s="25" t="s">
        <v>152</v>
      </c>
      <c r="M11" s="25" t="s">
        <v>31</v>
      </c>
      <c r="N11" s="25" t="s">
        <v>31</v>
      </c>
      <c r="O11" s="25" t="s">
        <v>92</v>
      </c>
      <c r="P11" s="25" t="s">
        <v>83</v>
      </c>
      <c r="Q11" s="25" t="s">
        <v>82</v>
      </c>
      <c r="R11" s="25" t="s">
        <v>91</v>
      </c>
      <c r="S11" s="25" t="s">
        <v>96</v>
      </c>
      <c r="T11" s="25" t="s">
        <v>96</v>
      </c>
      <c r="U11" s="25" t="s">
        <v>98</v>
      </c>
      <c r="V11" s="25">
        <v>0</v>
      </c>
      <c r="W11" s="25" t="s">
        <v>97</v>
      </c>
      <c r="X11" s="25" t="s">
        <v>1747</v>
      </c>
      <c r="Y11" s="25" t="e">
        <v>#N/A</v>
      </c>
      <c r="Z11" s="26">
        <v>40112</v>
      </c>
      <c r="AA11" s="776" t="s">
        <v>1748</v>
      </c>
      <c r="AB11" s="776" t="s">
        <v>1748</v>
      </c>
      <c r="AC11" s="776" t="s">
        <v>1748</v>
      </c>
      <c r="AD11" s="776" t="s">
        <v>1748</v>
      </c>
      <c r="AE11" s="777">
        <v>722.4</v>
      </c>
      <c r="AF11" s="777">
        <v>722.4</v>
      </c>
      <c r="AG11" s="778">
        <v>722.40038921266137</v>
      </c>
      <c r="AH11" s="99" t="s">
        <v>1526</v>
      </c>
    </row>
    <row r="12" spans="1:34" x14ac:dyDescent="0.2">
      <c r="A12" s="15">
        <f t="shared" si="0"/>
        <v>2011</v>
      </c>
      <c r="B12" s="14">
        <f t="shared" si="1"/>
        <v>4</v>
      </c>
      <c r="C12" s="13" t="str">
        <f t="shared" si="2"/>
        <v>Q2</v>
      </c>
      <c r="D12" s="13" t="str">
        <f t="shared" si="3"/>
        <v>2011Q2</v>
      </c>
      <c r="E12" s="13" t="str">
        <f t="shared" si="4"/>
        <v>Brazil</v>
      </c>
      <c r="F12" s="13" t="str">
        <f t="shared" si="6"/>
        <v>Biofuels</v>
      </c>
      <c r="G12" s="13" t="str">
        <f t="shared" si="7"/>
        <v>Corporate finance investments</v>
      </c>
      <c r="H12" s="638">
        <f t="shared" si="5"/>
        <v>684.61426042964092</v>
      </c>
      <c r="I12" s="24" t="s">
        <v>87</v>
      </c>
      <c r="J12" s="25" t="s">
        <v>86</v>
      </c>
      <c r="K12" s="25" t="s">
        <v>207</v>
      </c>
      <c r="L12" s="25" t="s">
        <v>206</v>
      </c>
      <c r="M12" s="25" t="s">
        <v>31</v>
      </c>
      <c r="N12" s="25" t="s">
        <v>31</v>
      </c>
      <c r="O12" s="25" t="s">
        <v>92</v>
      </c>
      <c r="P12" s="25" t="s">
        <v>83</v>
      </c>
      <c r="Q12" s="25" t="s">
        <v>82</v>
      </c>
      <c r="R12" s="25" t="s">
        <v>91</v>
      </c>
      <c r="S12" s="25" t="s">
        <v>96</v>
      </c>
      <c r="T12" s="25" t="s">
        <v>96</v>
      </c>
      <c r="U12" s="25" t="s">
        <v>98</v>
      </c>
      <c r="V12" s="25">
        <v>0</v>
      </c>
      <c r="W12" s="25" t="s">
        <v>97</v>
      </c>
      <c r="X12" s="25" t="s">
        <v>1747</v>
      </c>
      <c r="Y12" s="25" t="e">
        <v>#N/A</v>
      </c>
      <c r="Z12" s="26">
        <v>40661</v>
      </c>
      <c r="AA12" s="776" t="s">
        <v>1748</v>
      </c>
      <c r="AB12" s="776" t="s">
        <v>1748</v>
      </c>
      <c r="AC12" s="776" t="s">
        <v>1748</v>
      </c>
      <c r="AD12" s="776" t="s">
        <v>1748</v>
      </c>
      <c r="AE12" s="777">
        <v>680</v>
      </c>
      <c r="AF12" s="777">
        <v>680</v>
      </c>
      <c r="AG12" s="778">
        <v>684.61426042964092</v>
      </c>
    </row>
    <row r="13" spans="1:34" x14ac:dyDescent="0.2">
      <c r="A13" s="15">
        <f t="shared" si="0"/>
        <v>2010</v>
      </c>
      <c r="B13" s="14">
        <f t="shared" si="1"/>
        <v>12</v>
      </c>
      <c r="C13" s="13" t="str">
        <f t="shared" si="2"/>
        <v>Q4</v>
      </c>
      <c r="D13" s="13" t="str">
        <f t="shared" si="3"/>
        <v>2010Q4</v>
      </c>
      <c r="E13" s="13" t="str">
        <f t="shared" si="4"/>
        <v>Brazil</v>
      </c>
      <c r="F13" s="13" t="str">
        <f t="shared" si="6"/>
        <v>Wind</v>
      </c>
      <c r="G13" s="13" t="str">
        <f t="shared" si="7"/>
        <v>Asset finance investments</v>
      </c>
      <c r="H13" s="638">
        <f t="shared" si="5"/>
        <v>545.80669974271689</v>
      </c>
      <c r="I13" s="24" t="s">
        <v>87</v>
      </c>
      <c r="J13" s="25" t="s">
        <v>246</v>
      </c>
      <c r="K13" s="25" t="s">
        <v>1754</v>
      </c>
      <c r="L13" s="25" t="s">
        <v>1755</v>
      </c>
      <c r="M13" s="25" t="s">
        <v>31</v>
      </c>
      <c r="N13" s="25" t="s">
        <v>31</v>
      </c>
      <c r="O13" s="25" t="s">
        <v>92</v>
      </c>
      <c r="P13" s="25" t="s">
        <v>83</v>
      </c>
      <c r="Q13" s="25" t="s">
        <v>82</v>
      </c>
      <c r="R13" s="25" t="s">
        <v>91</v>
      </c>
      <c r="S13" s="25" t="s">
        <v>101</v>
      </c>
      <c r="T13" s="25" t="s">
        <v>101</v>
      </c>
      <c r="U13" s="25" t="s">
        <v>112</v>
      </c>
      <c r="V13" s="25">
        <v>0</v>
      </c>
      <c r="W13" s="25" t="s">
        <v>245</v>
      </c>
      <c r="X13" s="25" t="s">
        <v>1752</v>
      </c>
      <c r="Y13" s="25" t="s">
        <v>1753</v>
      </c>
      <c r="Z13" s="26">
        <v>40543</v>
      </c>
      <c r="AA13" s="776">
        <v>270</v>
      </c>
      <c r="AB13" s="776">
        <v>0</v>
      </c>
      <c r="AC13" s="776">
        <v>0</v>
      </c>
      <c r="AD13" s="776">
        <v>0</v>
      </c>
      <c r="AE13" s="777">
        <v>0</v>
      </c>
      <c r="AF13" s="777">
        <v>545.4</v>
      </c>
      <c r="AG13" s="778">
        <v>545.80669974271689</v>
      </c>
    </row>
    <row r="14" spans="1:34" x14ac:dyDescent="0.2">
      <c r="A14" s="15">
        <f t="shared" si="0"/>
        <v>2012</v>
      </c>
      <c r="B14" s="14">
        <f t="shared" si="1"/>
        <v>6</v>
      </c>
      <c r="C14" s="13" t="str">
        <f t="shared" si="2"/>
        <v>Q2</v>
      </c>
      <c r="D14" s="13" t="str">
        <f t="shared" si="3"/>
        <v>2012Q2</v>
      </c>
      <c r="E14" s="13" t="str">
        <f t="shared" si="4"/>
        <v>Brazil</v>
      </c>
      <c r="F14" s="13" t="str">
        <f t="shared" si="6"/>
        <v>Wind</v>
      </c>
      <c r="G14" s="13" t="str">
        <f t="shared" si="7"/>
        <v>Corporate finance investments</v>
      </c>
      <c r="H14" s="638">
        <f t="shared" si="5"/>
        <v>609.19088021030893</v>
      </c>
      <c r="I14" s="24" t="s">
        <v>87</v>
      </c>
      <c r="J14" s="25" t="s">
        <v>86</v>
      </c>
      <c r="K14" s="25" t="s">
        <v>1756</v>
      </c>
      <c r="L14" s="25" t="s">
        <v>1757</v>
      </c>
      <c r="M14" s="25" t="s">
        <v>31</v>
      </c>
      <c r="N14" s="25" t="s">
        <v>31</v>
      </c>
      <c r="O14" s="25" t="s">
        <v>92</v>
      </c>
      <c r="P14" s="25" t="s">
        <v>83</v>
      </c>
      <c r="Q14" s="25" t="s">
        <v>82</v>
      </c>
      <c r="R14" s="25" t="s">
        <v>91</v>
      </c>
      <c r="S14" s="25" t="s">
        <v>101</v>
      </c>
      <c r="T14" s="25" t="s">
        <v>101</v>
      </c>
      <c r="U14" s="25">
        <v>0</v>
      </c>
      <c r="V14" s="25">
        <v>0</v>
      </c>
      <c r="W14" s="25" t="s">
        <v>94</v>
      </c>
      <c r="X14" s="25" t="s">
        <v>1747</v>
      </c>
      <c r="Y14" s="25" t="e">
        <v>#N/A</v>
      </c>
      <c r="Z14" s="26">
        <v>41079</v>
      </c>
      <c r="AA14" s="776" t="s">
        <v>1748</v>
      </c>
      <c r="AB14" s="776" t="s">
        <v>1748</v>
      </c>
      <c r="AC14" s="776" t="s">
        <v>1748</v>
      </c>
      <c r="AD14" s="776" t="s">
        <v>1748</v>
      </c>
      <c r="AE14" s="777">
        <v>529.4</v>
      </c>
      <c r="AF14" s="777">
        <v>529.4</v>
      </c>
      <c r="AG14" s="778">
        <v>609.19088021030893</v>
      </c>
    </row>
    <row r="15" spans="1:34" x14ac:dyDescent="0.2">
      <c r="A15" s="15">
        <f t="shared" si="0"/>
        <v>2007</v>
      </c>
      <c r="B15" s="14">
        <f t="shared" si="1"/>
        <v>2</v>
      </c>
      <c r="C15" s="13" t="str">
        <f t="shared" si="2"/>
        <v>Q1</v>
      </c>
      <c r="D15" s="13" t="str">
        <f t="shared" si="3"/>
        <v>2007Q1</v>
      </c>
      <c r="E15" s="13" t="str">
        <f t="shared" si="4"/>
        <v>Brazil</v>
      </c>
      <c r="F15" s="13" t="str">
        <f t="shared" si="6"/>
        <v>Biofuels</v>
      </c>
      <c r="G15" s="13" t="str">
        <f t="shared" si="7"/>
        <v>Asset finance investments</v>
      </c>
      <c r="H15" s="638">
        <f t="shared" si="5"/>
        <v>647.50597610329385</v>
      </c>
      <c r="I15" s="24" t="s">
        <v>87</v>
      </c>
      <c r="J15" s="25" t="s">
        <v>246</v>
      </c>
      <c r="K15" s="25" t="s">
        <v>317</v>
      </c>
      <c r="L15" s="25" t="s">
        <v>1758</v>
      </c>
      <c r="M15" s="25" t="s">
        <v>31</v>
      </c>
      <c r="N15" s="25" t="s">
        <v>31</v>
      </c>
      <c r="O15" s="25" t="s">
        <v>92</v>
      </c>
      <c r="P15" s="25" t="s">
        <v>83</v>
      </c>
      <c r="Q15" s="25" t="s">
        <v>82</v>
      </c>
      <c r="R15" s="25" t="s">
        <v>91</v>
      </c>
      <c r="S15" s="25" t="s">
        <v>96</v>
      </c>
      <c r="T15" s="25" t="s">
        <v>96</v>
      </c>
      <c r="U15" s="25" t="s">
        <v>98</v>
      </c>
      <c r="V15" s="25" t="s">
        <v>230</v>
      </c>
      <c r="W15" s="25" t="s">
        <v>245</v>
      </c>
      <c r="X15" s="25" t="s">
        <v>1752</v>
      </c>
      <c r="Y15" s="25" t="s">
        <v>1753</v>
      </c>
      <c r="Z15" s="26">
        <v>39129</v>
      </c>
      <c r="AA15" s="776">
        <v>0</v>
      </c>
      <c r="AB15" s="776">
        <v>554</v>
      </c>
      <c r="AC15" s="776">
        <v>0</v>
      </c>
      <c r="AD15" s="776">
        <v>0</v>
      </c>
      <c r="AE15" s="777">
        <v>0</v>
      </c>
      <c r="AF15" s="777">
        <v>479.3</v>
      </c>
      <c r="AG15" s="778">
        <v>647.50597610329385</v>
      </c>
    </row>
    <row r="16" spans="1:34" x14ac:dyDescent="0.2">
      <c r="A16" s="15">
        <f t="shared" si="0"/>
        <v>2011</v>
      </c>
      <c r="B16" s="14">
        <f t="shared" si="1"/>
        <v>9</v>
      </c>
      <c r="C16" s="13" t="str">
        <f t="shared" si="2"/>
        <v>Q3</v>
      </c>
      <c r="D16" s="13" t="str">
        <f t="shared" si="3"/>
        <v>2011Q3</v>
      </c>
      <c r="E16" s="13" t="str">
        <f t="shared" si="4"/>
        <v>Brazil</v>
      </c>
      <c r="F16" s="13" t="str">
        <f t="shared" si="6"/>
        <v>Biofuels</v>
      </c>
      <c r="G16" s="13" t="str">
        <f t="shared" si="7"/>
        <v>Corporate finance investments</v>
      </c>
      <c r="H16" s="638">
        <f t="shared" si="5"/>
        <v>431.10562693525327</v>
      </c>
      <c r="I16" s="24" t="s">
        <v>87</v>
      </c>
      <c r="J16" s="25" t="s">
        <v>86</v>
      </c>
      <c r="K16" s="25" t="s">
        <v>205</v>
      </c>
      <c r="L16" s="25" t="s">
        <v>204</v>
      </c>
      <c r="M16" s="25" t="s">
        <v>31</v>
      </c>
      <c r="N16" s="25" t="s">
        <v>31</v>
      </c>
      <c r="O16" s="25" t="s">
        <v>92</v>
      </c>
      <c r="P16" s="25" t="s">
        <v>83</v>
      </c>
      <c r="Q16" s="25" t="s">
        <v>82</v>
      </c>
      <c r="R16" s="25" t="s">
        <v>91</v>
      </c>
      <c r="S16" s="25" t="s">
        <v>96</v>
      </c>
      <c r="T16" s="25" t="s">
        <v>96</v>
      </c>
      <c r="U16" s="25" t="s">
        <v>95</v>
      </c>
      <c r="V16" s="25">
        <v>0</v>
      </c>
      <c r="W16" s="25" t="s">
        <v>97</v>
      </c>
      <c r="X16" s="25" t="s">
        <v>1747</v>
      </c>
      <c r="Y16" s="25" t="e">
        <v>#N/A</v>
      </c>
      <c r="Z16" s="26">
        <v>40792</v>
      </c>
      <c r="AA16" s="776" t="s">
        <v>1748</v>
      </c>
      <c r="AB16" s="776" t="s">
        <v>1748</v>
      </c>
      <c r="AC16" s="776" t="s">
        <v>1748</v>
      </c>
      <c r="AD16" s="776" t="s">
        <v>1748</v>
      </c>
      <c r="AE16" s="777">
        <v>428.2</v>
      </c>
      <c r="AF16" s="777">
        <v>428.2</v>
      </c>
      <c r="AG16" s="778">
        <v>431.10562693525327</v>
      </c>
    </row>
    <row r="17" spans="1:33" x14ac:dyDescent="0.2">
      <c r="A17" s="15">
        <f t="shared" si="0"/>
        <v>2012</v>
      </c>
      <c r="B17" s="14">
        <f t="shared" si="1"/>
        <v>3</v>
      </c>
      <c r="C17" s="13" t="str">
        <f t="shared" si="2"/>
        <v>Q1</v>
      </c>
      <c r="D17" s="13" t="str">
        <f t="shared" si="3"/>
        <v>2012Q1</v>
      </c>
      <c r="E17" s="13" t="str">
        <f t="shared" si="4"/>
        <v>Brazil</v>
      </c>
      <c r="F17" s="13" t="str">
        <f t="shared" si="6"/>
        <v>Wind</v>
      </c>
      <c r="G17" s="13" t="str">
        <f t="shared" si="7"/>
        <v>Corporate finance investments</v>
      </c>
      <c r="H17" s="638">
        <f t="shared" si="5"/>
        <v>458.87508376143546</v>
      </c>
      <c r="I17" s="24" t="s">
        <v>87</v>
      </c>
      <c r="J17" s="25" t="s">
        <v>86</v>
      </c>
      <c r="K17" s="25" t="s">
        <v>1759</v>
      </c>
      <c r="L17" s="25" t="s">
        <v>1760</v>
      </c>
      <c r="M17" s="25" t="s">
        <v>31</v>
      </c>
      <c r="N17" s="25" t="s">
        <v>31</v>
      </c>
      <c r="O17" s="25" t="s">
        <v>92</v>
      </c>
      <c r="P17" s="25" t="s">
        <v>83</v>
      </c>
      <c r="Q17" s="25" t="s">
        <v>82</v>
      </c>
      <c r="R17" s="25" t="s">
        <v>91</v>
      </c>
      <c r="S17" s="25" t="s">
        <v>101</v>
      </c>
      <c r="T17" s="25" t="s">
        <v>101</v>
      </c>
      <c r="U17" s="25">
        <v>0</v>
      </c>
      <c r="V17" s="25">
        <v>0</v>
      </c>
      <c r="W17" s="25" t="s">
        <v>94</v>
      </c>
      <c r="X17" s="25" t="s">
        <v>1761</v>
      </c>
      <c r="Y17" s="25" t="e">
        <v>#N/A</v>
      </c>
      <c r="Z17" s="26">
        <v>40976</v>
      </c>
      <c r="AA17" s="776" t="s">
        <v>1748</v>
      </c>
      <c r="AB17" s="776" t="s">
        <v>1748</v>
      </c>
      <c r="AC17" s="776" t="s">
        <v>1748</v>
      </c>
      <c r="AD17" s="776" t="s">
        <v>1748</v>
      </c>
      <c r="AE17" s="777">
        <v>410.6</v>
      </c>
      <c r="AF17" s="777">
        <v>410.6</v>
      </c>
      <c r="AG17" s="778">
        <v>458.87508376143546</v>
      </c>
    </row>
    <row r="18" spans="1:33" x14ac:dyDescent="0.2">
      <c r="A18" s="15">
        <f t="shared" si="0"/>
        <v>2008</v>
      </c>
      <c r="B18" s="14">
        <f t="shared" si="1"/>
        <v>3</v>
      </c>
      <c r="C18" s="13" t="str">
        <f t="shared" si="2"/>
        <v>Q1</v>
      </c>
      <c r="D18" s="13" t="str">
        <f t="shared" si="3"/>
        <v>2008Q1</v>
      </c>
      <c r="E18" s="13" t="str">
        <f t="shared" si="4"/>
        <v>Brazil</v>
      </c>
      <c r="F18" s="13" t="str">
        <f t="shared" si="6"/>
        <v>Biofuels</v>
      </c>
      <c r="G18" s="13" t="str">
        <f t="shared" si="7"/>
        <v>Asset finance investments</v>
      </c>
      <c r="H18" s="638">
        <f t="shared" si="5"/>
        <v>411.20520040685381</v>
      </c>
      <c r="I18" s="24" t="s">
        <v>87</v>
      </c>
      <c r="J18" s="25" t="s">
        <v>246</v>
      </c>
      <c r="K18" s="25" t="s">
        <v>367</v>
      </c>
      <c r="L18" s="25" t="s">
        <v>366</v>
      </c>
      <c r="M18" s="25" t="s">
        <v>31</v>
      </c>
      <c r="N18" s="25" t="s">
        <v>31</v>
      </c>
      <c r="O18" s="25" t="s">
        <v>92</v>
      </c>
      <c r="P18" s="25" t="s">
        <v>83</v>
      </c>
      <c r="Q18" s="25" t="s">
        <v>82</v>
      </c>
      <c r="R18" s="25" t="s">
        <v>91</v>
      </c>
      <c r="S18" s="25" t="s">
        <v>96</v>
      </c>
      <c r="T18" s="25" t="s">
        <v>96</v>
      </c>
      <c r="U18" s="25" t="s">
        <v>98</v>
      </c>
      <c r="V18" s="25" t="s">
        <v>230</v>
      </c>
      <c r="W18" s="25" t="s">
        <v>245</v>
      </c>
      <c r="X18" s="25" t="s">
        <v>1752</v>
      </c>
      <c r="Y18" s="25" t="s">
        <v>1753</v>
      </c>
      <c r="Z18" s="26">
        <v>39526</v>
      </c>
      <c r="AA18" s="776">
        <v>12</v>
      </c>
      <c r="AB18" s="776">
        <v>110</v>
      </c>
      <c r="AC18" s="776">
        <v>0</v>
      </c>
      <c r="AD18" s="776">
        <v>0</v>
      </c>
      <c r="AE18" s="777">
        <v>410</v>
      </c>
      <c r="AF18" s="777">
        <v>410</v>
      </c>
      <c r="AG18" s="778">
        <v>411.20520040685381</v>
      </c>
    </row>
    <row r="19" spans="1:33" x14ac:dyDescent="0.2">
      <c r="A19" s="15">
        <f t="shared" si="0"/>
        <v>2011</v>
      </c>
      <c r="B19" s="14">
        <f t="shared" si="1"/>
        <v>9</v>
      </c>
      <c r="C19" s="13" t="str">
        <f t="shared" si="2"/>
        <v>Q3</v>
      </c>
      <c r="D19" s="13" t="str">
        <f t="shared" si="3"/>
        <v>2011Q3</v>
      </c>
      <c r="E19" s="13" t="str">
        <f t="shared" si="4"/>
        <v>Brazil</v>
      </c>
      <c r="F19" s="13" t="str">
        <f t="shared" si="6"/>
        <v>Wind</v>
      </c>
      <c r="G19" s="13" t="str">
        <f t="shared" si="7"/>
        <v>Asset finance investments</v>
      </c>
      <c r="H19" s="638">
        <f t="shared" si="5"/>
        <v>406.7414135493749</v>
      </c>
      <c r="I19" s="24" t="s">
        <v>87</v>
      </c>
      <c r="J19" s="25" t="s">
        <v>246</v>
      </c>
      <c r="K19" s="25" t="s">
        <v>1762</v>
      </c>
      <c r="L19" s="25" t="s">
        <v>1763</v>
      </c>
      <c r="M19" s="25" t="s">
        <v>31</v>
      </c>
      <c r="N19" s="25" t="s">
        <v>31</v>
      </c>
      <c r="O19" s="25" t="s">
        <v>92</v>
      </c>
      <c r="P19" s="25" t="s">
        <v>83</v>
      </c>
      <c r="Q19" s="25" t="s">
        <v>82</v>
      </c>
      <c r="R19" s="25" t="s">
        <v>91</v>
      </c>
      <c r="S19" s="25" t="s">
        <v>101</v>
      </c>
      <c r="T19" s="25" t="s">
        <v>101</v>
      </c>
      <c r="U19" s="25" t="s">
        <v>112</v>
      </c>
      <c r="V19" s="25">
        <v>0</v>
      </c>
      <c r="W19" s="25" t="s">
        <v>245</v>
      </c>
      <c r="X19" s="25" t="s">
        <v>1752</v>
      </c>
      <c r="Y19" s="25" t="s">
        <v>1753</v>
      </c>
      <c r="Z19" s="26">
        <v>40797</v>
      </c>
      <c r="AA19" s="776">
        <v>200</v>
      </c>
      <c r="AB19" s="776">
        <v>0</v>
      </c>
      <c r="AC19" s="776">
        <v>0</v>
      </c>
      <c r="AD19" s="776">
        <v>0</v>
      </c>
      <c r="AE19" s="777">
        <v>0</v>
      </c>
      <c r="AF19" s="777">
        <v>404</v>
      </c>
      <c r="AG19" s="778">
        <v>406.7414135493749</v>
      </c>
    </row>
    <row r="20" spans="1:33" x14ac:dyDescent="0.2">
      <c r="A20" s="15">
        <f t="shared" si="0"/>
        <v>2010</v>
      </c>
      <c r="B20" s="14">
        <f t="shared" si="1"/>
        <v>6</v>
      </c>
      <c r="C20" s="13" t="str">
        <f t="shared" si="2"/>
        <v>Q2</v>
      </c>
      <c r="D20" s="13" t="str">
        <f t="shared" si="3"/>
        <v>2010Q2</v>
      </c>
      <c r="E20" s="13" t="str">
        <f t="shared" si="4"/>
        <v>Mexico</v>
      </c>
      <c r="F20" s="13" t="str">
        <f t="shared" si="6"/>
        <v>Wind</v>
      </c>
      <c r="G20" s="13" t="str">
        <f t="shared" si="7"/>
        <v>Asset finance investments</v>
      </c>
      <c r="H20" s="638">
        <f t="shared" si="5"/>
        <v>375.27963403652154</v>
      </c>
      <c r="I20" s="24" t="s">
        <v>87</v>
      </c>
      <c r="J20" s="25" t="s">
        <v>246</v>
      </c>
      <c r="K20" s="25" t="s">
        <v>447</v>
      </c>
      <c r="L20" s="25" t="s">
        <v>446</v>
      </c>
      <c r="M20" s="25" t="s">
        <v>18</v>
      </c>
      <c r="N20" s="25" t="s">
        <v>85</v>
      </c>
      <c r="O20" s="25" t="s">
        <v>92</v>
      </c>
      <c r="P20" s="25" t="s">
        <v>83</v>
      </c>
      <c r="Q20" s="25" t="s">
        <v>129</v>
      </c>
      <c r="R20" s="25"/>
      <c r="S20" s="25" t="s">
        <v>101</v>
      </c>
      <c r="T20" s="25" t="s">
        <v>101</v>
      </c>
      <c r="U20" s="25" t="s">
        <v>112</v>
      </c>
      <c r="V20" s="25">
        <v>0</v>
      </c>
      <c r="W20" s="25" t="s">
        <v>249</v>
      </c>
      <c r="X20" s="25" t="s">
        <v>1749</v>
      </c>
      <c r="Y20" s="25" t="s">
        <v>1750</v>
      </c>
      <c r="Z20" s="26">
        <v>40331</v>
      </c>
      <c r="AA20" s="776">
        <v>250.5</v>
      </c>
      <c r="AB20" s="776">
        <v>0</v>
      </c>
      <c r="AC20" s="776">
        <v>0</v>
      </c>
      <c r="AD20" s="776">
        <v>0</v>
      </c>
      <c r="AE20" s="777">
        <v>375</v>
      </c>
      <c r="AF20" s="777">
        <v>375</v>
      </c>
      <c r="AG20" s="778">
        <v>375.27963403652154</v>
      </c>
    </row>
    <row r="21" spans="1:33" x14ac:dyDescent="0.2">
      <c r="A21" s="15">
        <f t="shared" si="0"/>
        <v>2011</v>
      </c>
      <c r="B21" s="14">
        <f t="shared" si="1"/>
        <v>9</v>
      </c>
      <c r="C21" s="13" t="str">
        <f t="shared" si="2"/>
        <v>Q3</v>
      </c>
      <c r="D21" s="13" t="str">
        <f t="shared" si="3"/>
        <v>2011Q3</v>
      </c>
      <c r="E21" s="13" t="str">
        <f t="shared" si="4"/>
        <v>Brazil</v>
      </c>
      <c r="F21" s="13" t="str">
        <f t="shared" si="6"/>
        <v>Biofuels</v>
      </c>
      <c r="G21" s="13" t="str">
        <f t="shared" si="7"/>
        <v>Asset finance investments</v>
      </c>
      <c r="H21" s="638">
        <f t="shared" si="5"/>
        <v>352.3749869858446</v>
      </c>
      <c r="I21" s="24" t="s">
        <v>87</v>
      </c>
      <c r="J21" s="25" t="s">
        <v>246</v>
      </c>
      <c r="K21" s="25" t="s">
        <v>1764</v>
      </c>
      <c r="L21" s="25" t="s">
        <v>1765</v>
      </c>
      <c r="M21" s="25" t="s">
        <v>31</v>
      </c>
      <c r="N21" s="25" t="s">
        <v>31</v>
      </c>
      <c r="O21" s="25" t="s">
        <v>92</v>
      </c>
      <c r="P21" s="25" t="s">
        <v>83</v>
      </c>
      <c r="Q21" s="25" t="s">
        <v>82</v>
      </c>
      <c r="R21" s="25" t="s">
        <v>91</v>
      </c>
      <c r="S21" s="25" t="s">
        <v>96</v>
      </c>
      <c r="T21" s="25" t="s">
        <v>96</v>
      </c>
      <c r="U21" s="25" t="s">
        <v>98</v>
      </c>
      <c r="V21" s="25" t="s">
        <v>1766</v>
      </c>
      <c r="W21" s="25" t="s">
        <v>245</v>
      </c>
      <c r="X21" s="25" t="s">
        <v>1752</v>
      </c>
      <c r="Y21" s="25" t="s">
        <v>1753</v>
      </c>
      <c r="Z21" s="26">
        <v>40805</v>
      </c>
      <c r="AA21" s="776">
        <v>0</v>
      </c>
      <c r="AB21" s="776">
        <v>167</v>
      </c>
      <c r="AC21" s="776">
        <v>0</v>
      </c>
      <c r="AD21" s="776">
        <v>0</v>
      </c>
      <c r="AE21" s="777">
        <v>0</v>
      </c>
      <c r="AF21" s="777">
        <v>350</v>
      </c>
      <c r="AG21" s="778">
        <v>352.3749869858446</v>
      </c>
    </row>
    <row r="22" spans="1:33" x14ac:dyDescent="0.2">
      <c r="A22" s="15">
        <f t="shared" si="0"/>
        <v>2010</v>
      </c>
      <c r="B22" s="14">
        <f t="shared" si="1"/>
        <v>5</v>
      </c>
      <c r="C22" s="13" t="str">
        <f t="shared" si="2"/>
        <v>Q2</v>
      </c>
      <c r="D22" s="13" t="str">
        <f t="shared" si="3"/>
        <v>2010Q2</v>
      </c>
      <c r="E22" s="13" t="str">
        <f t="shared" si="4"/>
        <v>Brazil</v>
      </c>
      <c r="F22" s="13" t="str">
        <f t="shared" si="6"/>
        <v>Biofuels</v>
      </c>
      <c r="G22" s="13" t="str">
        <f t="shared" si="7"/>
        <v>Asset finance investments</v>
      </c>
      <c r="H22" s="638">
        <f t="shared" si="5"/>
        <v>328.24458657061086</v>
      </c>
      <c r="I22" s="24" t="s">
        <v>87</v>
      </c>
      <c r="J22" s="25" t="s">
        <v>246</v>
      </c>
      <c r="K22" s="25" t="s">
        <v>442</v>
      </c>
      <c r="L22" s="25" t="s">
        <v>441</v>
      </c>
      <c r="M22" s="25" t="s">
        <v>31</v>
      </c>
      <c r="N22" s="25" t="s">
        <v>31</v>
      </c>
      <c r="O22" s="25" t="s">
        <v>92</v>
      </c>
      <c r="P22" s="25" t="s">
        <v>83</v>
      </c>
      <c r="Q22" s="25" t="s">
        <v>82</v>
      </c>
      <c r="R22" s="25" t="s">
        <v>91</v>
      </c>
      <c r="S22" s="25" t="s">
        <v>96</v>
      </c>
      <c r="T22" s="25" t="s">
        <v>96</v>
      </c>
      <c r="U22" s="25" t="s">
        <v>95</v>
      </c>
      <c r="V22" s="25" t="s">
        <v>230</v>
      </c>
      <c r="W22" s="25" t="s">
        <v>245</v>
      </c>
      <c r="X22" s="25" t="s">
        <v>1752</v>
      </c>
      <c r="Y22" s="25" t="s">
        <v>1753</v>
      </c>
      <c r="Z22" s="26">
        <v>40329</v>
      </c>
      <c r="AA22" s="776">
        <v>25</v>
      </c>
      <c r="AB22" s="776">
        <v>175</v>
      </c>
      <c r="AC22" s="776">
        <v>0</v>
      </c>
      <c r="AD22" s="776">
        <v>0</v>
      </c>
      <c r="AE22" s="777">
        <v>328</v>
      </c>
      <c r="AF22" s="777">
        <v>328</v>
      </c>
      <c r="AG22" s="778">
        <v>328.24458657061086</v>
      </c>
    </row>
    <row r="23" spans="1:33" x14ac:dyDescent="0.2">
      <c r="A23" s="15">
        <f t="shared" si="0"/>
        <v>2009</v>
      </c>
      <c r="B23" s="14">
        <f t="shared" si="1"/>
        <v>12</v>
      </c>
      <c r="C23" s="13" t="str">
        <f t="shared" si="2"/>
        <v>Q4</v>
      </c>
      <c r="D23" s="13" t="str">
        <f t="shared" si="3"/>
        <v>2009Q4</v>
      </c>
      <c r="E23" s="13" t="str">
        <f t="shared" si="4"/>
        <v>Brazil</v>
      </c>
      <c r="F23" s="13" t="str">
        <f t="shared" si="6"/>
        <v>Wind</v>
      </c>
      <c r="G23" s="13" t="str">
        <f t="shared" si="7"/>
        <v>Asset finance investments</v>
      </c>
      <c r="H23" s="638">
        <f t="shared" si="5"/>
        <v>326.40017585688355</v>
      </c>
      <c r="I23" s="24" t="s">
        <v>87</v>
      </c>
      <c r="J23" s="25" t="s">
        <v>246</v>
      </c>
      <c r="K23" s="25" t="s">
        <v>1767</v>
      </c>
      <c r="L23" s="25" t="s">
        <v>1768</v>
      </c>
      <c r="M23" s="25" t="s">
        <v>31</v>
      </c>
      <c r="N23" s="25" t="s">
        <v>31</v>
      </c>
      <c r="O23" s="25" t="s">
        <v>92</v>
      </c>
      <c r="P23" s="25" t="s">
        <v>83</v>
      </c>
      <c r="Q23" s="25" t="s">
        <v>82</v>
      </c>
      <c r="R23" s="25" t="s">
        <v>91</v>
      </c>
      <c r="S23" s="25" t="s">
        <v>101</v>
      </c>
      <c r="T23" s="25" t="s">
        <v>101</v>
      </c>
      <c r="U23" s="25" t="s">
        <v>112</v>
      </c>
      <c r="V23" s="25">
        <v>0</v>
      </c>
      <c r="W23" s="25" t="s">
        <v>245</v>
      </c>
      <c r="X23" s="25" t="s">
        <v>1752</v>
      </c>
      <c r="Y23" s="25" t="s">
        <v>1753</v>
      </c>
      <c r="Z23" s="26">
        <v>40178</v>
      </c>
      <c r="AA23" s="776">
        <v>204</v>
      </c>
      <c r="AB23" s="776">
        <v>0</v>
      </c>
      <c r="AC23" s="776">
        <v>0</v>
      </c>
      <c r="AD23" s="776">
        <v>0</v>
      </c>
      <c r="AE23" s="777">
        <v>0</v>
      </c>
      <c r="AF23" s="777">
        <v>326.39999999999998</v>
      </c>
      <c r="AG23" s="778">
        <v>326.40017585688355</v>
      </c>
    </row>
    <row r="24" spans="1:33" x14ac:dyDescent="0.2">
      <c r="A24" s="15">
        <f t="shared" si="0"/>
        <v>2009</v>
      </c>
      <c r="B24" s="14">
        <f t="shared" si="1"/>
        <v>5</v>
      </c>
      <c r="C24" s="13" t="str">
        <f t="shared" si="2"/>
        <v>Q2</v>
      </c>
      <c r="D24" s="13" t="str">
        <f t="shared" si="3"/>
        <v>2009Q2</v>
      </c>
      <c r="E24" s="13" t="str">
        <f t="shared" si="4"/>
        <v>Brazil</v>
      </c>
      <c r="F24" s="13" t="str">
        <f t="shared" si="6"/>
        <v>Biofuels</v>
      </c>
      <c r="G24" s="13" t="str">
        <f t="shared" si="7"/>
        <v>Asset finance investments</v>
      </c>
      <c r="H24" s="638">
        <f t="shared" si="5"/>
        <v>316.00017025360052</v>
      </c>
      <c r="I24" s="24" t="s">
        <v>87</v>
      </c>
      <c r="J24" s="25" t="s">
        <v>246</v>
      </c>
      <c r="K24" s="25" t="s">
        <v>414</v>
      </c>
      <c r="L24" s="25" t="s">
        <v>413</v>
      </c>
      <c r="M24" s="25" t="s">
        <v>31</v>
      </c>
      <c r="N24" s="25" t="s">
        <v>31</v>
      </c>
      <c r="O24" s="25" t="s">
        <v>92</v>
      </c>
      <c r="P24" s="25" t="s">
        <v>83</v>
      </c>
      <c r="Q24" s="25" t="s">
        <v>82</v>
      </c>
      <c r="R24" s="25" t="s">
        <v>91</v>
      </c>
      <c r="S24" s="25" t="s">
        <v>96</v>
      </c>
      <c r="T24" s="25" t="s">
        <v>96</v>
      </c>
      <c r="U24" s="25" t="s">
        <v>98</v>
      </c>
      <c r="V24" s="25" t="s">
        <v>230</v>
      </c>
      <c r="W24" s="25" t="s">
        <v>249</v>
      </c>
      <c r="X24" s="25" t="s">
        <v>1749</v>
      </c>
      <c r="Y24" s="25" t="s">
        <v>1750</v>
      </c>
      <c r="Z24" s="26">
        <v>39959</v>
      </c>
      <c r="AA24" s="776">
        <v>41</v>
      </c>
      <c r="AB24" s="776">
        <v>370</v>
      </c>
      <c r="AC24" s="776">
        <v>0</v>
      </c>
      <c r="AD24" s="776">
        <v>0</v>
      </c>
      <c r="AE24" s="777">
        <v>316</v>
      </c>
      <c r="AF24" s="777">
        <v>316</v>
      </c>
      <c r="AG24" s="778">
        <v>316.00017025360052</v>
      </c>
    </row>
    <row r="25" spans="1:33" x14ac:dyDescent="0.2">
      <c r="A25" s="15">
        <f t="shared" si="0"/>
        <v>2011</v>
      </c>
      <c r="B25" s="14">
        <f t="shared" si="1"/>
        <v>12</v>
      </c>
      <c r="C25" s="13" t="str">
        <f t="shared" si="2"/>
        <v>Q4</v>
      </c>
      <c r="D25" s="13" t="str">
        <f t="shared" si="3"/>
        <v>2011Q4</v>
      </c>
      <c r="E25" s="13" t="str">
        <f t="shared" si="4"/>
        <v>Brazil</v>
      </c>
      <c r="F25" s="13" t="str">
        <f t="shared" si="6"/>
        <v>Wind</v>
      </c>
      <c r="G25" s="13" t="str">
        <f t="shared" si="7"/>
        <v>Asset finance investments</v>
      </c>
      <c r="H25" s="638">
        <f t="shared" si="5"/>
        <v>315.9293454747372</v>
      </c>
      <c r="I25" s="24" t="s">
        <v>87</v>
      </c>
      <c r="J25" s="25" t="s">
        <v>246</v>
      </c>
      <c r="K25" s="25" t="s">
        <v>1769</v>
      </c>
      <c r="L25" s="25" t="s">
        <v>1770</v>
      </c>
      <c r="M25" s="25" t="s">
        <v>31</v>
      </c>
      <c r="N25" s="25" t="s">
        <v>31</v>
      </c>
      <c r="O25" s="25" t="s">
        <v>92</v>
      </c>
      <c r="P25" s="25" t="s">
        <v>83</v>
      </c>
      <c r="Q25" s="25" t="s">
        <v>82</v>
      </c>
      <c r="R25" s="25" t="s">
        <v>91</v>
      </c>
      <c r="S25" s="25" t="s">
        <v>101</v>
      </c>
      <c r="T25" s="25" t="s">
        <v>101</v>
      </c>
      <c r="U25" s="25" t="s">
        <v>112</v>
      </c>
      <c r="V25" s="25">
        <v>0</v>
      </c>
      <c r="W25" s="25" t="s">
        <v>249</v>
      </c>
      <c r="X25" s="25" t="s">
        <v>1771</v>
      </c>
      <c r="Y25" s="25" t="s">
        <v>1750</v>
      </c>
      <c r="Z25" s="26">
        <v>40890</v>
      </c>
      <c r="AA25" s="776">
        <v>144</v>
      </c>
      <c r="AB25" s="776">
        <v>0</v>
      </c>
      <c r="AC25" s="776">
        <v>0</v>
      </c>
      <c r="AD25" s="776">
        <v>0</v>
      </c>
      <c r="AE25" s="777">
        <v>313.8</v>
      </c>
      <c r="AF25" s="777">
        <v>313.8</v>
      </c>
      <c r="AG25" s="778">
        <v>315.9293454747372</v>
      </c>
    </row>
    <row r="26" spans="1:33" x14ac:dyDescent="0.2">
      <c r="A26" s="15">
        <f t="shared" si="0"/>
        <v>2010</v>
      </c>
      <c r="B26" s="14">
        <f t="shared" si="1"/>
        <v>12</v>
      </c>
      <c r="C26" s="13" t="str">
        <f t="shared" si="2"/>
        <v>Q4</v>
      </c>
      <c r="D26" s="13" t="str">
        <f t="shared" si="3"/>
        <v>2010Q4</v>
      </c>
      <c r="E26" s="13" t="str">
        <f t="shared" si="4"/>
        <v>Brazil</v>
      </c>
      <c r="F26" s="13" t="str">
        <f t="shared" si="6"/>
        <v>Wind</v>
      </c>
      <c r="G26" s="13" t="str">
        <f t="shared" si="7"/>
        <v>Asset finance investments</v>
      </c>
      <c r="H26" s="638">
        <f t="shared" si="5"/>
        <v>303.2259443015094</v>
      </c>
      <c r="I26" s="24" t="s">
        <v>87</v>
      </c>
      <c r="J26" s="25" t="s">
        <v>246</v>
      </c>
      <c r="K26" s="25" t="s">
        <v>1772</v>
      </c>
      <c r="L26" s="25" t="s">
        <v>1773</v>
      </c>
      <c r="M26" s="25" t="s">
        <v>31</v>
      </c>
      <c r="N26" s="25" t="s">
        <v>31</v>
      </c>
      <c r="O26" s="25" t="s">
        <v>92</v>
      </c>
      <c r="P26" s="25" t="s">
        <v>83</v>
      </c>
      <c r="Q26" s="25" t="s">
        <v>82</v>
      </c>
      <c r="R26" s="25" t="s">
        <v>91</v>
      </c>
      <c r="S26" s="25" t="s">
        <v>101</v>
      </c>
      <c r="T26" s="25" t="s">
        <v>101</v>
      </c>
      <c r="U26" s="25" t="s">
        <v>112</v>
      </c>
      <c r="V26" s="25">
        <v>0</v>
      </c>
      <c r="W26" s="25" t="s">
        <v>245</v>
      </c>
      <c r="X26" s="25" t="s">
        <v>1752</v>
      </c>
      <c r="Y26" s="25" t="s">
        <v>1753</v>
      </c>
      <c r="Z26" s="26">
        <v>40543</v>
      </c>
      <c r="AA26" s="776">
        <v>150</v>
      </c>
      <c r="AB26" s="776">
        <v>0</v>
      </c>
      <c r="AC26" s="776">
        <v>0</v>
      </c>
      <c r="AD26" s="776">
        <v>0</v>
      </c>
      <c r="AE26" s="777">
        <v>0</v>
      </c>
      <c r="AF26" s="777">
        <v>303</v>
      </c>
      <c r="AG26" s="778">
        <v>303.2259443015094</v>
      </c>
    </row>
    <row r="27" spans="1:33" x14ac:dyDescent="0.2">
      <c r="A27" s="15">
        <f t="shared" si="0"/>
        <v>2011</v>
      </c>
      <c r="B27" s="14">
        <f t="shared" si="1"/>
        <v>5</v>
      </c>
      <c r="C27" s="13" t="str">
        <f t="shared" si="2"/>
        <v>Q2</v>
      </c>
      <c r="D27" s="13" t="str">
        <f t="shared" si="3"/>
        <v>2011Q2</v>
      </c>
      <c r="E27" s="13" t="str">
        <f t="shared" si="4"/>
        <v>Brazil</v>
      </c>
      <c r="F27" s="13" t="str">
        <f t="shared" si="6"/>
        <v>Wind</v>
      </c>
      <c r="G27" s="13" t="str">
        <f t="shared" si="7"/>
        <v>VC/PE investments</v>
      </c>
      <c r="H27" s="638">
        <f t="shared" si="5"/>
        <v>302.53909596927514</v>
      </c>
      <c r="I27" s="24" t="s">
        <v>87</v>
      </c>
      <c r="J27" s="25" t="s">
        <v>216</v>
      </c>
      <c r="K27" s="25" t="s">
        <v>244</v>
      </c>
      <c r="L27" s="25" t="s">
        <v>243</v>
      </c>
      <c r="M27" s="25" t="s">
        <v>31</v>
      </c>
      <c r="N27" s="25" t="s">
        <v>31</v>
      </c>
      <c r="O27" s="25" t="s">
        <v>92</v>
      </c>
      <c r="P27" s="25" t="s">
        <v>83</v>
      </c>
      <c r="Q27" s="25" t="s">
        <v>82</v>
      </c>
      <c r="R27" s="25" t="s">
        <v>91</v>
      </c>
      <c r="S27" s="25" t="s">
        <v>101</v>
      </c>
      <c r="T27" s="25" t="s">
        <v>101</v>
      </c>
      <c r="U27" s="25">
        <v>0</v>
      </c>
      <c r="V27" s="25">
        <v>0</v>
      </c>
      <c r="W27" s="25" t="s">
        <v>79</v>
      </c>
      <c r="X27" s="25" t="s">
        <v>213</v>
      </c>
      <c r="Y27" s="25" t="s">
        <v>212</v>
      </c>
      <c r="Z27" s="26">
        <v>40693</v>
      </c>
      <c r="AA27" s="776" t="s">
        <v>1748</v>
      </c>
      <c r="AB27" s="776" t="s">
        <v>1748</v>
      </c>
      <c r="AC27" s="776" t="s">
        <v>1748</v>
      </c>
      <c r="AD27" s="776" t="s">
        <v>1748</v>
      </c>
      <c r="AE27" s="777">
        <v>300.5</v>
      </c>
      <c r="AF27" s="777">
        <v>300.5</v>
      </c>
      <c r="AG27" s="778">
        <v>302.53909596927514</v>
      </c>
    </row>
    <row r="28" spans="1:33" x14ac:dyDescent="0.2">
      <c r="A28" s="15">
        <f t="shared" si="0"/>
        <v>2012</v>
      </c>
      <c r="B28" s="14">
        <f t="shared" si="1"/>
        <v>8</v>
      </c>
      <c r="C28" s="13" t="str">
        <f t="shared" si="2"/>
        <v>Q3</v>
      </c>
      <c r="D28" s="13" t="str">
        <f t="shared" si="3"/>
        <v>2012Q3</v>
      </c>
      <c r="E28" s="13" t="str">
        <f t="shared" si="4"/>
        <v>Mexico</v>
      </c>
      <c r="F28" s="13" t="str">
        <f t="shared" si="6"/>
        <v>Wind</v>
      </c>
      <c r="G28" s="13" t="str">
        <f t="shared" si="7"/>
        <v>Asset finance investments</v>
      </c>
      <c r="H28" s="638">
        <f t="shared" si="5"/>
        <v>305.78978186459335</v>
      </c>
      <c r="I28" s="24" t="s">
        <v>87</v>
      </c>
      <c r="J28" s="25" t="s">
        <v>246</v>
      </c>
      <c r="K28" s="25" t="s">
        <v>1774</v>
      </c>
      <c r="L28" s="25" t="s">
        <v>1775</v>
      </c>
      <c r="M28" s="25" t="s">
        <v>18</v>
      </c>
      <c r="N28" s="25" t="s">
        <v>85</v>
      </c>
      <c r="O28" s="25" t="s">
        <v>92</v>
      </c>
      <c r="P28" s="25" t="s">
        <v>83</v>
      </c>
      <c r="Q28" s="25" t="s">
        <v>129</v>
      </c>
      <c r="R28" s="25"/>
      <c r="S28" s="25" t="s">
        <v>101</v>
      </c>
      <c r="T28" s="25" t="s">
        <v>101</v>
      </c>
      <c r="U28" s="25" t="s">
        <v>112</v>
      </c>
      <c r="V28" s="25">
        <v>0</v>
      </c>
      <c r="W28" s="25" t="s">
        <v>249</v>
      </c>
      <c r="X28" s="25" t="s">
        <v>268</v>
      </c>
      <c r="Y28" s="25" t="s">
        <v>1750</v>
      </c>
      <c r="Z28" s="26">
        <v>41131</v>
      </c>
      <c r="AA28" s="776">
        <v>204</v>
      </c>
      <c r="AB28" s="776">
        <v>0</v>
      </c>
      <c r="AC28" s="776">
        <v>0</v>
      </c>
      <c r="AD28" s="776">
        <v>0</v>
      </c>
      <c r="AE28" s="777">
        <v>300</v>
      </c>
      <c r="AF28" s="777">
        <v>300</v>
      </c>
      <c r="AG28" s="778">
        <v>305.78978186459335</v>
      </c>
    </row>
    <row r="29" spans="1:33" x14ac:dyDescent="0.2">
      <c r="A29" s="15">
        <f t="shared" si="0"/>
        <v>2012</v>
      </c>
      <c r="B29" s="14">
        <f t="shared" si="1"/>
        <v>3</v>
      </c>
      <c r="C29" s="13" t="str">
        <f t="shared" si="2"/>
        <v>Q1</v>
      </c>
      <c r="D29" s="13" t="str">
        <f t="shared" si="3"/>
        <v>2012Q1</v>
      </c>
      <c r="E29" s="13" t="str">
        <f t="shared" si="4"/>
        <v>Brazil</v>
      </c>
      <c r="F29" s="13" t="str">
        <f t="shared" si="6"/>
        <v>Wind</v>
      </c>
      <c r="G29" s="13" t="str">
        <f t="shared" si="7"/>
        <v>VC/PE investments</v>
      </c>
      <c r="H29" s="638">
        <f t="shared" si="5"/>
        <v>335.82173936568228</v>
      </c>
      <c r="I29" s="24" t="s">
        <v>87</v>
      </c>
      <c r="J29" s="25" t="s">
        <v>216</v>
      </c>
      <c r="K29" s="25" t="s">
        <v>1776</v>
      </c>
      <c r="L29" s="25" t="s">
        <v>179</v>
      </c>
      <c r="M29" s="25" t="s">
        <v>31</v>
      </c>
      <c r="N29" s="25" t="s">
        <v>31</v>
      </c>
      <c r="O29" s="25" t="s">
        <v>92</v>
      </c>
      <c r="P29" s="25" t="s">
        <v>83</v>
      </c>
      <c r="Q29" s="25" t="s">
        <v>82</v>
      </c>
      <c r="R29" s="25" t="s">
        <v>91</v>
      </c>
      <c r="S29" s="25" t="s">
        <v>101</v>
      </c>
      <c r="T29" s="25" t="s">
        <v>101</v>
      </c>
      <c r="U29" s="25" t="s">
        <v>112</v>
      </c>
      <c r="V29" s="25">
        <v>0</v>
      </c>
      <c r="W29" s="25" t="s">
        <v>94</v>
      </c>
      <c r="X29" s="25" t="s">
        <v>213</v>
      </c>
      <c r="Y29" s="25" t="s">
        <v>212</v>
      </c>
      <c r="Z29" s="26">
        <v>40982</v>
      </c>
      <c r="AA29" s="776" t="s">
        <v>1748</v>
      </c>
      <c r="AB29" s="776" t="s">
        <v>1748</v>
      </c>
      <c r="AC29" s="776" t="s">
        <v>1748</v>
      </c>
      <c r="AD29" s="776" t="s">
        <v>1748</v>
      </c>
      <c r="AE29" s="777">
        <v>299.3</v>
      </c>
      <c r="AF29" s="777">
        <v>299.3</v>
      </c>
      <c r="AG29" s="778">
        <v>335.82173936568228</v>
      </c>
    </row>
    <row r="30" spans="1:33" x14ac:dyDescent="0.2">
      <c r="A30" s="15">
        <f t="shared" si="0"/>
        <v>2007</v>
      </c>
      <c r="B30" s="14">
        <f t="shared" si="1"/>
        <v>9</v>
      </c>
      <c r="C30" s="13" t="str">
        <f t="shared" si="2"/>
        <v>Q3</v>
      </c>
      <c r="D30" s="13" t="str">
        <f t="shared" si="3"/>
        <v>2007Q3</v>
      </c>
      <c r="E30" s="13" t="str">
        <f t="shared" si="4"/>
        <v>Brazil</v>
      </c>
      <c r="F30" s="13" t="str">
        <f t="shared" si="6"/>
        <v>Biofuels</v>
      </c>
      <c r="G30" s="13" t="str">
        <f t="shared" si="7"/>
        <v>Corporate finance investments</v>
      </c>
      <c r="H30" s="638">
        <f t="shared" si="5"/>
        <v>319.11228219069278</v>
      </c>
      <c r="I30" s="24" t="s">
        <v>87</v>
      </c>
      <c r="J30" s="25" t="s">
        <v>86</v>
      </c>
      <c r="K30" s="25" t="s">
        <v>132</v>
      </c>
      <c r="L30" s="25" t="s">
        <v>131</v>
      </c>
      <c r="M30" s="25" t="s">
        <v>31</v>
      </c>
      <c r="N30" s="25" t="s">
        <v>31</v>
      </c>
      <c r="O30" s="25" t="s">
        <v>92</v>
      </c>
      <c r="P30" s="25" t="s">
        <v>83</v>
      </c>
      <c r="Q30" s="25" t="s">
        <v>82</v>
      </c>
      <c r="R30" s="25" t="s">
        <v>91</v>
      </c>
      <c r="S30" s="25" t="s">
        <v>96</v>
      </c>
      <c r="T30" s="25" t="s">
        <v>96</v>
      </c>
      <c r="U30" s="25" t="s">
        <v>98</v>
      </c>
      <c r="V30" s="25">
        <v>0</v>
      </c>
      <c r="W30" s="25" t="s">
        <v>97</v>
      </c>
      <c r="X30" s="25" t="s">
        <v>1747</v>
      </c>
      <c r="Y30" s="25" t="e">
        <v>#N/A</v>
      </c>
      <c r="Z30" s="26">
        <v>39351</v>
      </c>
      <c r="AA30" s="776" t="s">
        <v>1748</v>
      </c>
      <c r="AB30" s="776" t="s">
        <v>1748</v>
      </c>
      <c r="AC30" s="776" t="s">
        <v>1748</v>
      </c>
      <c r="AD30" s="776" t="s">
        <v>1748</v>
      </c>
      <c r="AE30" s="777">
        <v>297</v>
      </c>
      <c r="AF30" s="777">
        <v>297</v>
      </c>
      <c r="AG30" s="778">
        <v>319.11228219069278</v>
      </c>
    </row>
    <row r="31" spans="1:33" x14ac:dyDescent="0.2">
      <c r="A31" s="15">
        <f t="shared" si="0"/>
        <v>2010</v>
      </c>
      <c r="B31" s="14">
        <f t="shared" si="1"/>
        <v>12</v>
      </c>
      <c r="C31" s="13" t="str">
        <f t="shared" si="2"/>
        <v>Q4</v>
      </c>
      <c r="D31" s="13" t="str">
        <f t="shared" si="3"/>
        <v>2010Q4</v>
      </c>
      <c r="E31" s="13" t="str">
        <f t="shared" si="4"/>
        <v>Brazil</v>
      </c>
      <c r="F31" s="13" t="str">
        <f t="shared" si="6"/>
        <v>Wind</v>
      </c>
      <c r="G31" s="13" t="str">
        <f t="shared" si="7"/>
        <v>Asset finance investments</v>
      </c>
      <c r="H31" s="638">
        <f t="shared" si="5"/>
        <v>287.86249645689963</v>
      </c>
      <c r="I31" s="24" t="s">
        <v>87</v>
      </c>
      <c r="J31" s="25" t="s">
        <v>246</v>
      </c>
      <c r="K31" s="25" t="s">
        <v>1777</v>
      </c>
      <c r="L31" s="25" t="s">
        <v>1778</v>
      </c>
      <c r="M31" s="25" t="s">
        <v>31</v>
      </c>
      <c r="N31" s="25" t="s">
        <v>31</v>
      </c>
      <c r="O31" s="25" t="s">
        <v>92</v>
      </c>
      <c r="P31" s="25" t="s">
        <v>83</v>
      </c>
      <c r="Q31" s="25" t="s">
        <v>82</v>
      </c>
      <c r="R31" s="25" t="s">
        <v>91</v>
      </c>
      <c r="S31" s="25" t="s">
        <v>101</v>
      </c>
      <c r="T31" s="25" t="s">
        <v>101</v>
      </c>
      <c r="U31" s="25" t="s">
        <v>112</v>
      </c>
      <c r="V31" s="25">
        <v>0</v>
      </c>
      <c r="W31" s="25" t="s">
        <v>245</v>
      </c>
      <c r="X31" s="25" t="s">
        <v>1752</v>
      </c>
      <c r="Y31" s="25" t="s">
        <v>1753</v>
      </c>
      <c r="Z31" s="26">
        <v>40543</v>
      </c>
      <c r="AA31" s="776">
        <v>142.4</v>
      </c>
      <c r="AB31" s="776">
        <v>0</v>
      </c>
      <c r="AC31" s="776">
        <v>0</v>
      </c>
      <c r="AD31" s="776">
        <v>0</v>
      </c>
      <c r="AE31" s="777">
        <v>0</v>
      </c>
      <c r="AF31" s="777">
        <v>287.64800000000002</v>
      </c>
      <c r="AG31" s="778">
        <v>287.86249645689963</v>
      </c>
    </row>
    <row r="32" spans="1:33" x14ac:dyDescent="0.2">
      <c r="A32" s="15">
        <f t="shared" si="0"/>
        <v>2010</v>
      </c>
      <c r="B32" s="14">
        <f t="shared" si="1"/>
        <v>2</v>
      </c>
      <c r="C32" s="13" t="str">
        <f t="shared" si="2"/>
        <v>Q1</v>
      </c>
      <c r="D32" s="13" t="str">
        <f t="shared" si="3"/>
        <v>2010Q1</v>
      </c>
      <c r="E32" s="13" t="str">
        <f t="shared" si="4"/>
        <v>Brazil</v>
      </c>
      <c r="F32" s="13" t="str">
        <f t="shared" si="6"/>
        <v>Wind</v>
      </c>
      <c r="G32" s="13" t="str">
        <f t="shared" si="7"/>
        <v>Asset finance investments</v>
      </c>
      <c r="H32" s="638">
        <f t="shared" si="5"/>
        <v>243.79165772703206</v>
      </c>
      <c r="I32" s="24" t="s">
        <v>87</v>
      </c>
      <c r="J32" s="25" t="s">
        <v>246</v>
      </c>
      <c r="K32" s="25" t="s">
        <v>443</v>
      </c>
      <c r="L32" s="25" t="s">
        <v>1779</v>
      </c>
      <c r="M32" s="25" t="s">
        <v>31</v>
      </c>
      <c r="N32" s="25" t="s">
        <v>31</v>
      </c>
      <c r="O32" s="25" t="s">
        <v>92</v>
      </c>
      <c r="P32" s="25" t="s">
        <v>83</v>
      </c>
      <c r="Q32" s="25" t="s">
        <v>82</v>
      </c>
      <c r="R32" s="25" t="s">
        <v>91</v>
      </c>
      <c r="S32" s="25" t="s">
        <v>101</v>
      </c>
      <c r="T32" s="25" t="s">
        <v>101</v>
      </c>
      <c r="U32" s="25" t="s">
        <v>112</v>
      </c>
      <c r="V32" s="25">
        <v>0</v>
      </c>
      <c r="W32" s="25" t="s">
        <v>249</v>
      </c>
      <c r="X32" s="25" t="s">
        <v>1749</v>
      </c>
      <c r="Y32" s="25" t="s">
        <v>1750</v>
      </c>
      <c r="Z32" s="26">
        <v>40213</v>
      </c>
      <c r="AA32" s="776">
        <v>155</v>
      </c>
      <c r="AB32" s="776">
        <v>0</v>
      </c>
      <c r="AC32" s="776">
        <v>0</v>
      </c>
      <c r="AD32" s="776">
        <v>0</v>
      </c>
      <c r="AE32" s="777">
        <v>243.61</v>
      </c>
      <c r="AF32" s="777">
        <v>243.61</v>
      </c>
      <c r="AG32" s="778">
        <v>243.79165772703206</v>
      </c>
    </row>
    <row r="33" spans="1:33" x14ac:dyDescent="0.2">
      <c r="A33" s="15">
        <f t="shared" si="0"/>
        <v>2011</v>
      </c>
      <c r="B33" s="14">
        <f t="shared" si="1"/>
        <v>12</v>
      </c>
      <c r="C33" s="13" t="str">
        <f t="shared" si="2"/>
        <v>Q4</v>
      </c>
      <c r="D33" s="13" t="str">
        <f t="shared" si="3"/>
        <v>2011Q4</v>
      </c>
      <c r="E33" s="13" t="str">
        <f t="shared" si="4"/>
        <v>Brazil</v>
      </c>
      <c r="F33" s="13" t="str">
        <f t="shared" si="6"/>
        <v>Wind</v>
      </c>
      <c r="G33" s="13" t="str">
        <f t="shared" si="7"/>
        <v>Asset finance investments</v>
      </c>
      <c r="H33" s="638">
        <f t="shared" si="5"/>
        <v>244.04484812962494</v>
      </c>
      <c r="I33" s="24" t="s">
        <v>87</v>
      </c>
      <c r="J33" s="25" t="s">
        <v>246</v>
      </c>
      <c r="K33" s="25" t="s">
        <v>1780</v>
      </c>
      <c r="L33" s="25" t="s">
        <v>1781</v>
      </c>
      <c r="M33" s="25" t="s">
        <v>31</v>
      </c>
      <c r="N33" s="25" t="s">
        <v>31</v>
      </c>
      <c r="O33" s="25" t="s">
        <v>92</v>
      </c>
      <c r="P33" s="25" t="s">
        <v>83</v>
      </c>
      <c r="Q33" s="25" t="s">
        <v>82</v>
      </c>
      <c r="R33" s="25" t="s">
        <v>91</v>
      </c>
      <c r="S33" s="25" t="s">
        <v>101</v>
      </c>
      <c r="T33" s="25" t="s">
        <v>101</v>
      </c>
      <c r="U33" s="25" t="s">
        <v>112</v>
      </c>
      <c r="V33" s="25">
        <v>0</v>
      </c>
      <c r="W33" s="25" t="s">
        <v>245</v>
      </c>
      <c r="X33" s="25" t="s">
        <v>1752</v>
      </c>
      <c r="Y33" s="25" t="s">
        <v>1753</v>
      </c>
      <c r="Z33" s="26">
        <v>40908</v>
      </c>
      <c r="AA33" s="776">
        <v>150</v>
      </c>
      <c r="AB33" s="776">
        <v>0</v>
      </c>
      <c r="AC33" s="776">
        <v>0</v>
      </c>
      <c r="AD33" s="776">
        <v>0</v>
      </c>
      <c r="AE33" s="777">
        <v>0</v>
      </c>
      <c r="AF33" s="777">
        <v>242.4</v>
      </c>
      <c r="AG33" s="778">
        <v>244.04484812962494</v>
      </c>
    </row>
    <row r="34" spans="1:33" x14ac:dyDescent="0.2">
      <c r="A34" s="15">
        <f t="shared" si="0"/>
        <v>2012</v>
      </c>
      <c r="B34" s="14">
        <f t="shared" si="1"/>
        <v>10</v>
      </c>
      <c r="C34" s="13" t="str">
        <f t="shared" si="2"/>
        <v>Q4</v>
      </c>
      <c r="D34" s="13" t="str">
        <f t="shared" si="3"/>
        <v>2012Q4</v>
      </c>
      <c r="E34" s="13" t="str">
        <f t="shared" si="4"/>
        <v>Peru</v>
      </c>
      <c r="F34" s="13" t="str">
        <f t="shared" si="6"/>
        <v>Wind</v>
      </c>
      <c r="G34" s="13" t="str">
        <f t="shared" si="7"/>
        <v>Asset finance investments</v>
      </c>
      <c r="H34" s="638">
        <f t="shared" si="5"/>
        <v>311.42229722836083</v>
      </c>
      <c r="I34" s="24" t="s">
        <v>87</v>
      </c>
      <c r="J34" s="25" t="s">
        <v>246</v>
      </c>
      <c r="K34" s="25" t="s">
        <v>1782</v>
      </c>
      <c r="L34" s="25" t="s">
        <v>1783</v>
      </c>
      <c r="M34" s="25" t="s">
        <v>20</v>
      </c>
      <c r="N34" s="25" t="s">
        <v>85</v>
      </c>
      <c r="O34" s="25" t="s">
        <v>92</v>
      </c>
      <c r="P34" s="25" t="s">
        <v>83</v>
      </c>
      <c r="Q34" s="25" t="s">
        <v>82</v>
      </c>
      <c r="R34" s="25"/>
      <c r="S34" s="25" t="s">
        <v>101</v>
      </c>
      <c r="T34" s="25" t="s">
        <v>101</v>
      </c>
      <c r="U34" s="25" t="s">
        <v>112</v>
      </c>
      <c r="V34" s="25">
        <v>0</v>
      </c>
      <c r="W34" s="25" t="s">
        <v>245</v>
      </c>
      <c r="X34" s="25" t="s">
        <v>1752</v>
      </c>
      <c r="Y34" s="25" t="s">
        <v>1753</v>
      </c>
      <c r="Z34" s="26">
        <v>41185</v>
      </c>
      <c r="AA34" s="776">
        <v>111.6</v>
      </c>
      <c r="AB34" s="776">
        <v>0</v>
      </c>
      <c r="AC34" s="776">
        <v>0</v>
      </c>
      <c r="AD34" s="776">
        <v>0</v>
      </c>
      <c r="AE34" s="777">
        <v>0</v>
      </c>
      <c r="AF34" s="777">
        <v>225.43199999999999</v>
      </c>
      <c r="AG34" s="778">
        <v>311.42229722836083</v>
      </c>
    </row>
    <row r="35" spans="1:33" x14ac:dyDescent="0.2">
      <c r="A35" s="15">
        <f t="shared" si="0"/>
        <v>2012</v>
      </c>
      <c r="B35" s="14">
        <f t="shared" si="1"/>
        <v>3</v>
      </c>
      <c r="C35" s="13" t="str">
        <f t="shared" si="2"/>
        <v>Q1</v>
      </c>
      <c r="D35" s="13" t="str">
        <f t="shared" si="3"/>
        <v>2012Q1</v>
      </c>
      <c r="E35" s="13" t="str">
        <f t="shared" si="4"/>
        <v>Chile</v>
      </c>
      <c r="F35" s="13" t="str">
        <f t="shared" si="6"/>
        <v>Small Hydro</v>
      </c>
      <c r="G35" s="13" t="str">
        <f t="shared" si="7"/>
        <v>Asset finance investments</v>
      </c>
      <c r="H35" s="638">
        <f t="shared" si="5"/>
        <v>256.48784710811452</v>
      </c>
      <c r="I35" s="24" t="s">
        <v>87</v>
      </c>
      <c r="J35" s="25" t="s">
        <v>246</v>
      </c>
      <c r="K35" s="25" t="s">
        <v>1784</v>
      </c>
      <c r="L35" s="25" t="s">
        <v>1785</v>
      </c>
      <c r="M35" s="25" t="s">
        <v>8</v>
      </c>
      <c r="N35" s="25" t="s">
        <v>85</v>
      </c>
      <c r="O35" s="25" t="s">
        <v>92</v>
      </c>
      <c r="P35" s="25" t="s">
        <v>83</v>
      </c>
      <c r="Q35" s="25" t="s">
        <v>129</v>
      </c>
      <c r="R35" s="25"/>
      <c r="S35" s="25" t="s">
        <v>126</v>
      </c>
      <c r="T35" s="25" t="s">
        <v>125</v>
      </c>
      <c r="U35" s="25" t="s">
        <v>247</v>
      </c>
      <c r="V35" s="25">
        <v>0</v>
      </c>
      <c r="W35" s="25" t="s">
        <v>249</v>
      </c>
      <c r="X35" s="25" t="s">
        <v>1749</v>
      </c>
      <c r="Y35" s="25" t="s">
        <v>1750</v>
      </c>
      <c r="Z35" s="26">
        <v>40984</v>
      </c>
      <c r="AA35" s="776">
        <v>80</v>
      </c>
      <c r="AB35" s="776">
        <v>0</v>
      </c>
      <c r="AC35" s="776">
        <v>0</v>
      </c>
      <c r="AD35" s="776">
        <v>0</v>
      </c>
      <c r="AE35" s="777">
        <v>0</v>
      </c>
      <c r="AF35" s="777">
        <v>216</v>
      </c>
      <c r="AG35" s="778">
        <v>256.48784710811452</v>
      </c>
    </row>
    <row r="36" spans="1:33" x14ac:dyDescent="0.2">
      <c r="A36" s="15">
        <f t="shared" si="0"/>
        <v>2011</v>
      </c>
      <c r="B36" s="14">
        <f t="shared" si="1"/>
        <v>8</v>
      </c>
      <c r="C36" s="13" t="str">
        <f t="shared" si="2"/>
        <v>Q3</v>
      </c>
      <c r="D36" s="13" t="str">
        <f t="shared" si="3"/>
        <v>2011Q3</v>
      </c>
      <c r="E36" s="13" t="str">
        <f t="shared" si="4"/>
        <v>Brazil</v>
      </c>
      <c r="F36" s="13" t="str">
        <f t="shared" si="6"/>
        <v>Wind</v>
      </c>
      <c r="G36" s="13" t="str">
        <f t="shared" si="7"/>
        <v>Asset finance investments</v>
      </c>
      <c r="H36" s="638">
        <f t="shared" si="5"/>
        <v>212.31901787277368</v>
      </c>
      <c r="I36" s="24" t="s">
        <v>87</v>
      </c>
      <c r="J36" s="25" t="s">
        <v>246</v>
      </c>
      <c r="K36" s="25" t="s">
        <v>1786</v>
      </c>
      <c r="L36" s="25" t="s">
        <v>1787</v>
      </c>
      <c r="M36" s="25" t="s">
        <v>31</v>
      </c>
      <c r="N36" s="25" t="s">
        <v>31</v>
      </c>
      <c r="O36" s="25" t="s">
        <v>92</v>
      </c>
      <c r="P36" s="25" t="s">
        <v>83</v>
      </c>
      <c r="Q36" s="25" t="s">
        <v>82</v>
      </c>
      <c r="R36" s="25" t="s">
        <v>91</v>
      </c>
      <c r="S36" s="25" t="s">
        <v>101</v>
      </c>
      <c r="T36" s="25" t="s">
        <v>101</v>
      </c>
      <c r="U36" s="25" t="s">
        <v>112</v>
      </c>
      <c r="V36" s="25">
        <v>0</v>
      </c>
      <c r="W36" s="25" t="s">
        <v>245</v>
      </c>
      <c r="X36" s="25" t="s">
        <v>1752</v>
      </c>
      <c r="Y36" s="25" t="s">
        <v>1753</v>
      </c>
      <c r="Z36" s="26">
        <v>40772</v>
      </c>
      <c r="AA36" s="776">
        <v>104.4</v>
      </c>
      <c r="AB36" s="776">
        <v>0</v>
      </c>
      <c r="AC36" s="776">
        <v>0</v>
      </c>
      <c r="AD36" s="776">
        <v>0</v>
      </c>
      <c r="AE36" s="777">
        <v>0</v>
      </c>
      <c r="AF36" s="777">
        <v>210.88800000000001</v>
      </c>
      <c r="AG36" s="778">
        <v>212.31901787277368</v>
      </c>
    </row>
    <row r="37" spans="1:33" x14ac:dyDescent="0.2">
      <c r="A37" s="15">
        <f t="shared" si="0"/>
        <v>2006</v>
      </c>
      <c r="B37" s="14">
        <f t="shared" si="1"/>
        <v>10</v>
      </c>
      <c r="C37" s="13" t="str">
        <f t="shared" si="2"/>
        <v>Q4</v>
      </c>
      <c r="D37" s="13" t="str">
        <f t="shared" si="3"/>
        <v>2006Q4</v>
      </c>
      <c r="E37" s="13" t="str">
        <f t="shared" si="4"/>
        <v>Brazil</v>
      </c>
      <c r="F37" s="13" t="str">
        <f t="shared" si="6"/>
        <v>Small Hydro</v>
      </c>
      <c r="G37" s="13" t="str">
        <f t="shared" si="7"/>
        <v>Asset finance investments</v>
      </c>
      <c r="H37" s="638">
        <f t="shared" si="5"/>
        <v>205.34199000000001</v>
      </c>
      <c r="I37" s="24" t="s">
        <v>87</v>
      </c>
      <c r="J37" s="25" t="s">
        <v>246</v>
      </c>
      <c r="K37" s="25" t="s">
        <v>272</v>
      </c>
      <c r="L37" s="25" t="s">
        <v>271</v>
      </c>
      <c r="M37" s="25" t="s">
        <v>31</v>
      </c>
      <c r="N37" s="25" t="s">
        <v>31</v>
      </c>
      <c r="O37" s="25" t="s">
        <v>92</v>
      </c>
      <c r="P37" s="25" t="s">
        <v>83</v>
      </c>
      <c r="Q37" s="25" t="s">
        <v>82</v>
      </c>
      <c r="R37" s="25" t="s">
        <v>91</v>
      </c>
      <c r="S37" s="25" t="s">
        <v>126</v>
      </c>
      <c r="T37" s="25" t="s">
        <v>125</v>
      </c>
      <c r="U37" s="25" t="s">
        <v>247</v>
      </c>
      <c r="V37" s="25">
        <v>0</v>
      </c>
      <c r="W37" s="25" t="s">
        <v>245</v>
      </c>
      <c r="X37" s="25" t="s">
        <v>1752</v>
      </c>
      <c r="Y37" s="25" t="s">
        <v>1753</v>
      </c>
      <c r="Z37" s="26">
        <v>39000</v>
      </c>
      <c r="AA37" s="776">
        <v>97.68</v>
      </c>
      <c r="AB37" s="776">
        <v>0</v>
      </c>
      <c r="AC37" s="776">
        <v>0</v>
      </c>
      <c r="AD37" s="776">
        <v>0</v>
      </c>
      <c r="AE37" s="777">
        <v>205</v>
      </c>
      <c r="AF37" s="777">
        <v>205</v>
      </c>
      <c r="AG37" s="778">
        <v>205.34199000000001</v>
      </c>
    </row>
    <row r="38" spans="1:33" x14ac:dyDescent="0.2">
      <c r="A38" s="15">
        <f t="shared" si="0"/>
        <v>2012</v>
      </c>
      <c r="B38" s="14">
        <f t="shared" si="1"/>
        <v>11</v>
      </c>
      <c r="C38" s="13" t="str">
        <f t="shared" si="2"/>
        <v>Q4</v>
      </c>
      <c r="D38" s="13" t="str">
        <f t="shared" si="3"/>
        <v>2012Q4</v>
      </c>
      <c r="E38" s="13" t="str">
        <f t="shared" si="4"/>
        <v>Chile</v>
      </c>
      <c r="F38" s="13" t="str">
        <f t="shared" si="6"/>
        <v>Wind</v>
      </c>
      <c r="G38" s="13" t="str">
        <f t="shared" si="7"/>
        <v>Asset finance investments</v>
      </c>
      <c r="H38" s="638">
        <f t="shared" si="5"/>
        <v>279.05223765982157</v>
      </c>
      <c r="I38" s="24" t="s">
        <v>87</v>
      </c>
      <c r="J38" s="25" t="s">
        <v>246</v>
      </c>
      <c r="K38" s="25" t="s">
        <v>1788</v>
      </c>
      <c r="L38" s="25" t="s">
        <v>1789</v>
      </c>
      <c r="M38" s="25" t="s">
        <v>8</v>
      </c>
      <c r="N38" s="25" t="s">
        <v>85</v>
      </c>
      <c r="O38" s="25" t="s">
        <v>92</v>
      </c>
      <c r="P38" s="25" t="s">
        <v>83</v>
      </c>
      <c r="Q38" s="25" t="s">
        <v>129</v>
      </c>
      <c r="R38" s="25"/>
      <c r="S38" s="25" t="s">
        <v>101</v>
      </c>
      <c r="T38" s="25" t="s">
        <v>101</v>
      </c>
      <c r="U38" s="25" t="s">
        <v>112</v>
      </c>
      <c r="V38" s="25">
        <v>0</v>
      </c>
      <c r="W38" s="25" t="s">
        <v>245</v>
      </c>
      <c r="X38" s="25" t="s">
        <v>1752</v>
      </c>
      <c r="Y38" s="25" t="s">
        <v>1753</v>
      </c>
      <c r="Z38" s="26">
        <v>41233</v>
      </c>
      <c r="AA38" s="776">
        <v>100</v>
      </c>
      <c r="AB38" s="776">
        <v>0</v>
      </c>
      <c r="AC38" s="776">
        <v>0</v>
      </c>
      <c r="AD38" s="776">
        <v>0</v>
      </c>
      <c r="AE38" s="777">
        <v>0</v>
      </c>
      <c r="AF38" s="777">
        <v>202</v>
      </c>
      <c r="AG38" s="778">
        <v>279.05223765982157</v>
      </c>
    </row>
    <row r="39" spans="1:33" x14ac:dyDescent="0.2">
      <c r="A39" s="15">
        <f t="shared" si="0"/>
        <v>2011</v>
      </c>
      <c r="B39" s="14">
        <f t="shared" si="1"/>
        <v>2</v>
      </c>
      <c r="C39" s="13" t="str">
        <f t="shared" si="2"/>
        <v>Q1</v>
      </c>
      <c r="D39" s="13" t="str">
        <f t="shared" si="3"/>
        <v>2011Q1</v>
      </c>
      <c r="E39" s="13" t="str">
        <f t="shared" si="4"/>
        <v>Brazil</v>
      </c>
      <c r="F39" s="13" t="str">
        <f t="shared" si="6"/>
        <v>Biofuels</v>
      </c>
      <c r="G39" s="13" t="str">
        <f t="shared" si="7"/>
        <v>Corporate finance investments</v>
      </c>
      <c r="H39" s="638">
        <f t="shared" si="5"/>
        <v>198.63881409230612</v>
      </c>
      <c r="I39" s="24" t="s">
        <v>87</v>
      </c>
      <c r="J39" s="25" t="s">
        <v>86</v>
      </c>
      <c r="K39" s="25" t="s">
        <v>203</v>
      </c>
      <c r="L39" s="25" t="s">
        <v>202</v>
      </c>
      <c r="M39" s="25" t="s">
        <v>31</v>
      </c>
      <c r="N39" s="25" t="s">
        <v>31</v>
      </c>
      <c r="O39" s="25" t="s">
        <v>92</v>
      </c>
      <c r="P39" s="25" t="s">
        <v>83</v>
      </c>
      <c r="Q39" s="25" t="s">
        <v>82</v>
      </c>
      <c r="R39" s="25" t="s">
        <v>91</v>
      </c>
      <c r="S39" s="25" t="s">
        <v>96</v>
      </c>
      <c r="T39" s="25" t="s">
        <v>96</v>
      </c>
      <c r="U39" s="25" t="s">
        <v>98</v>
      </c>
      <c r="V39" s="25">
        <v>0</v>
      </c>
      <c r="W39" s="25" t="s">
        <v>97</v>
      </c>
      <c r="X39" s="25" t="s">
        <v>1747</v>
      </c>
      <c r="Y39" s="25" t="e">
        <v>#N/A</v>
      </c>
      <c r="Z39" s="26">
        <v>40597</v>
      </c>
      <c r="AA39" s="776" t="s">
        <v>1748</v>
      </c>
      <c r="AB39" s="776" t="s">
        <v>1748</v>
      </c>
      <c r="AC39" s="776" t="s">
        <v>1748</v>
      </c>
      <c r="AD39" s="776" t="s">
        <v>1748</v>
      </c>
      <c r="AE39" s="777">
        <v>197.3</v>
      </c>
      <c r="AF39" s="777">
        <v>197.3</v>
      </c>
      <c r="AG39" s="778">
        <v>198.63881409230612</v>
      </c>
    </row>
    <row r="40" spans="1:33" x14ac:dyDescent="0.2">
      <c r="A40" s="15">
        <f t="shared" si="0"/>
        <v>2008</v>
      </c>
      <c r="B40" s="14">
        <f t="shared" si="1"/>
        <v>7</v>
      </c>
      <c r="C40" s="13" t="str">
        <f t="shared" si="2"/>
        <v>Q3</v>
      </c>
      <c r="D40" s="13" t="str">
        <f t="shared" si="3"/>
        <v>2008Q3</v>
      </c>
      <c r="E40" s="13" t="str">
        <f t="shared" si="4"/>
        <v>Brazil</v>
      </c>
      <c r="F40" s="13" t="str">
        <f t="shared" si="6"/>
        <v>Small Hydro</v>
      </c>
      <c r="G40" s="13" t="str">
        <f t="shared" si="7"/>
        <v>Asset finance investments</v>
      </c>
      <c r="H40" s="638">
        <f t="shared" si="5"/>
        <v>196.97362188886501</v>
      </c>
      <c r="I40" s="24" t="s">
        <v>87</v>
      </c>
      <c r="J40" s="25" t="s">
        <v>246</v>
      </c>
      <c r="K40" s="25" t="s">
        <v>365</v>
      </c>
      <c r="L40" s="25" t="s">
        <v>364</v>
      </c>
      <c r="M40" s="25" t="s">
        <v>31</v>
      </c>
      <c r="N40" s="25" t="s">
        <v>31</v>
      </c>
      <c r="O40" s="25" t="s">
        <v>92</v>
      </c>
      <c r="P40" s="25" t="s">
        <v>83</v>
      </c>
      <c r="Q40" s="25" t="s">
        <v>82</v>
      </c>
      <c r="R40" s="25" t="s">
        <v>91</v>
      </c>
      <c r="S40" s="25" t="s">
        <v>126</v>
      </c>
      <c r="T40" s="25" t="s">
        <v>125</v>
      </c>
      <c r="U40" s="25" t="s">
        <v>247</v>
      </c>
      <c r="V40" s="25">
        <v>0</v>
      </c>
      <c r="W40" s="25" t="s">
        <v>245</v>
      </c>
      <c r="X40" s="25" t="s">
        <v>1749</v>
      </c>
      <c r="Y40" s="25" t="s">
        <v>1750</v>
      </c>
      <c r="Z40" s="26">
        <v>39658</v>
      </c>
      <c r="AA40" s="776">
        <v>50.3</v>
      </c>
      <c r="AB40" s="776">
        <v>0</v>
      </c>
      <c r="AC40" s="776">
        <v>0</v>
      </c>
      <c r="AD40" s="776">
        <v>0</v>
      </c>
      <c r="AE40" s="777">
        <v>195</v>
      </c>
      <c r="AF40" s="777">
        <v>195</v>
      </c>
      <c r="AG40" s="778">
        <v>196.97362188886501</v>
      </c>
    </row>
    <row r="41" spans="1:33" x14ac:dyDescent="0.2">
      <c r="A41" s="15">
        <f t="shared" si="0"/>
        <v>2011</v>
      </c>
      <c r="B41" s="14">
        <f t="shared" si="1"/>
        <v>4</v>
      </c>
      <c r="C41" s="13" t="str">
        <f t="shared" si="2"/>
        <v>Q2</v>
      </c>
      <c r="D41" s="13" t="str">
        <f t="shared" si="3"/>
        <v>2011Q2</v>
      </c>
      <c r="E41" s="13" t="str">
        <f t="shared" si="4"/>
        <v>Brazil</v>
      </c>
      <c r="F41" s="13" t="str">
        <f t="shared" si="6"/>
        <v>Wind</v>
      </c>
      <c r="G41" s="13" t="str">
        <f t="shared" si="7"/>
        <v>Asset finance investments</v>
      </c>
      <c r="H41" s="638">
        <f t="shared" si="5"/>
        <v>193.30285000366331</v>
      </c>
      <c r="I41" s="24" t="s">
        <v>87</v>
      </c>
      <c r="J41" s="25" t="s">
        <v>246</v>
      </c>
      <c r="K41" s="25" t="s">
        <v>502</v>
      </c>
      <c r="L41" s="25" t="s">
        <v>501</v>
      </c>
      <c r="M41" s="25" t="s">
        <v>31</v>
      </c>
      <c r="N41" s="25" t="s">
        <v>31</v>
      </c>
      <c r="O41" s="25" t="s">
        <v>92</v>
      </c>
      <c r="P41" s="25" t="s">
        <v>83</v>
      </c>
      <c r="Q41" s="25" t="s">
        <v>82</v>
      </c>
      <c r="R41" s="25" t="s">
        <v>91</v>
      </c>
      <c r="S41" s="25" t="s">
        <v>101</v>
      </c>
      <c r="T41" s="25" t="s">
        <v>101</v>
      </c>
      <c r="U41" s="25" t="s">
        <v>112</v>
      </c>
      <c r="V41" s="25">
        <v>0</v>
      </c>
      <c r="W41" s="25" t="s">
        <v>249</v>
      </c>
      <c r="X41" s="25" t="s">
        <v>1752</v>
      </c>
      <c r="Y41" s="25" t="s">
        <v>1753</v>
      </c>
      <c r="Z41" s="26">
        <v>40663</v>
      </c>
      <c r="AA41" s="776">
        <v>96</v>
      </c>
      <c r="AB41" s="776">
        <v>0</v>
      </c>
      <c r="AC41" s="776">
        <v>0</v>
      </c>
      <c r="AD41" s="776">
        <v>0</v>
      </c>
      <c r="AE41" s="777">
        <v>0</v>
      </c>
      <c r="AF41" s="777">
        <v>192</v>
      </c>
      <c r="AG41" s="778">
        <v>193.30285000366331</v>
      </c>
    </row>
    <row r="42" spans="1:33" x14ac:dyDescent="0.2">
      <c r="A42" s="15">
        <f t="shared" si="0"/>
        <v>2012</v>
      </c>
      <c r="B42" s="14">
        <f t="shared" si="1"/>
        <v>7</v>
      </c>
      <c r="C42" s="13" t="str">
        <f t="shared" si="2"/>
        <v>Q3</v>
      </c>
      <c r="D42" s="13" t="str">
        <f t="shared" si="3"/>
        <v>2012Q3</v>
      </c>
      <c r="E42" s="13" t="str">
        <f t="shared" si="4"/>
        <v>Brazil</v>
      </c>
      <c r="F42" s="13" t="str">
        <f t="shared" si="6"/>
        <v>Wind</v>
      </c>
      <c r="G42" s="13" t="str">
        <f t="shared" si="7"/>
        <v>Asset finance investments</v>
      </c>
      <c r="H42" s="638">
        <f t="shared" si="5"/>
        <v>190.91475381079445</v>
      </c>
      <c r="I42" s="24" t="s">
        <v>87</v>
      </c>
      <c r="J42" s="25" t="s">
        <v>246</v>
      </c>
      <c r="K42" s="25" t="s">
        <v>1790</v>
      </c>
      <c r="L42" s="25" t="s">
        <v>1791</v>
      </c>
      <c r="M42" s="25" t="s">
        <v>31</v>
      </c>
      <c r="N42" s="25" t="s">
        <v>31</v>
      </c>
      <c r="O42" s="25" t="s">
        <v>92</v>
      </c>
      <c r="P42" s="25" t="s">
        <v>83</v>
      </c>
      <c r="Q42" s="25" t="s">
        <v>82</v>
      </c>
      <c r="R42" s="25" t="s">
        <v>91</v>
      </c>
      <c r="S42" s="25" t="s">
        <v>101</v>
      </c>
      <c r="T42" s="25" t="s">
        <v>101</v>
      </c>
      <c r="U42" s="25" t="s">
        <v>112</v>
      </c>
      <c r="V42" s="25">
        <v>0</v>
      </c>
      <c r="W42" s="25" t="s">
        <v>249</v>
      </c>
      <c r="X42" s="25" t="s">
        <v>1749</v>
      </c>
      <c r="Y42" s="25" t="s">
        <v>1750</v>
      </c>
      <c r="Z42" s="26">
        <v>41121</v>
      </c>
      <c r="AA42" s="776">
        <v>147.6</v>
      </c>
      <c r="AB42" s="776">
        <v>0</v>
      </c>
      <c r="AC42" s="776">
        <v>0</v>
      </c>
      <c r="AD42" s="776">
        <v>0</v>
      </c>
      <c r="AE42" s="777">
        <v>187.3</v>
      </c>
      <c r="AF42" s="777">
        <v>187.3</v>
      </c>
      <c r="AG42" s="778">
        <v>190.91475381079445</v>
      </c>
    </row>
    <row r="43" spans="1:33" x14ac:dyDescent="0.2">
      <c r="A43" s="15">
        <f t="shared" si="0"/>
        <v>2012</v>
      </c>
      <c r="B43" s="14">
        <f t="shared" si="1"/>
        <v>5</v>
      </c>
      <c r="C43" s="13" t="str">
        <f t="shared" si="2"/>
        <v>Q2</v>
      </c>
      <c r="D43" s="13" t="str">
        <f t="shared" si="3"/>
        <v>2012Q2</v>
      </c>
      <c r="E43" s="13" t="str">
        <f t="shared" si="4"/>
        <v>Brazil</v>
      </c>
      <c r="F43" s="13" t="str">
        <f t="shared" si="6"/>
        <v>Wind</v>
      </c>
      <c r="G43" s="13" t="str">
        <f t="shared" si="7"/>
        <v>Asset finance investments</v>
      </c>
      <c r="H43" s="638">
        <f t="shared" si="5"/>
        <v>186.50396733388828</v>
      </c>
      <c r="I43" s="24" t="s">
        <v>87</v>
      </c>
      <c r="J43" s="25" t="s">
        <v>246</v>
      </c>
      <c r="K43" s="25" t="s">
        <v>1792</v>
      </c>
      <c r="L43" s="25" t="s">
        <v>1793</v>
      </c>
      <c r="M43" s="25" t="s">
        <v>31</v>
      </c>
      <c r="N43" s="25" t="s">
        <v>31</v>
      </c>
      <c r="O43" s="25" t="s">
        <v>92</v>
      </c>
      <c r="P43" s="25" t="s">
        <v>83</v>
      </c>
      <c r="Q43" s="25" t="s">
        <v>82</v>
      </c>
      <c r="R43" s="25" t="s">
        <v>91</v>
      </c>
      <c r="S43" s="25" t="s">
        <v>101</v>
      </c>
      <c r="T43" s="25" t="s">
        <v>101</v>
      </c>
      <c r="U43" s="25" t="s">
        <v>112</v>
      </c>
      <c r="V43" s="25">
        <v>0</v>
      </c>
      <c r="W43" s="25" t="s">
        <v>249</v>
      </c>
      <c r="X43" s="25" t="s">
        <v>1749</v>
      </c>
      <c r="Y43" s="25" t="s">
        <v>1750</v>
      </c>
      <c r="Z43" s="26">
        <v>41039</v>
      </c>
      <c r="AA43" s="776">
        <v>115.4</v>
      </c>
      <c r="AB43" s="776">
        <v>0</v>
      </c>
      <c r="AC43" s="776">
        <v>0</v>
      </c>
      <c r="AD43" s="776">
        <v>0</v>
      </c>
      <c r="AE43" s="777">
        <v>183</v>
      </c>
      <c r="AF43" s="777">
        <v>183</v>
      </c>
      <c r="AG43" s="778">
        <v>186.50396733388828</v>
      </c>
    </row>
    <row r="44" spans="1:33" x14ac:dyDescent="0.2">
      <c r="A44" s="15">
        <f t="shared" si="0"/>
        <v>2012</v>
      </c>
      <c r="B44" s="14">
        <f t="shared" si="1"/>
        <v>12</v>
      </c>
      <c r="C44" s="13" t="str">
        <f t="shared" si="2"/>
        <v>Q4</v>
      </c>
      <c r="D44" s="13" t="str">
        <f t="shared" si="3"/>
        <v>2012Q4</v>
      </c>
      <c r="E44" s="13" t="str">
        <f t="shared" si="4"/>
        <v>Chile</v>
      </c>
      <c r="F44" s="13" t="str">
        <f t="shared" si="6"/>
        <v>Wind</v>
      </c>
      <c r="G44" s="13" t="str">
        <f t="shared" si="7"/>
        <v>Asset finance investments</v>
      </c>
      <c r="H44" s="638">
        <f t="shared" si="5"/>
        <v>251.14701389383941</v>
      </c>
      <c r="I44" s="24" t="s">
        <v>87</v>
      </c>
      <c r="J44" s="25" t="s">
        <v>246</v>
      </c>
      <c r="K44" s="25" t="s">
        <v>1794</v>
      </c>
      <c r="L44" s="25" t="s">
        <v>1795</v>
      </c>
      <c r="M44" s="25" t="s">
        <v>8</v>
      </c>
      <c r="N44" s="25" t="s">
        <v>85</v>
      </c>
      <c r="O44" s="25" t="s">
        <v>92</v>
      </c>
      <c r="P44" s="25" t="s">
        <v>83</v>
      </c>
      <c r="Q44" s="25" t="s">
        <v>129</v>
      </c>
      <c r="R44" s="25"/>
      <c r="S44" s="25" t="s">
        <v>101</v>
      </c>
      <c r="T44" s="25" t="s">
        <v>101</v>
      </c>
      <c r="U44" s="25" t="s">
        <v>112</v>
      </c>
      <c r="V44" s="25">
        <v>0</v>
      </c>
      <c r="W44" s="25" t="s">
        <v>245</v>
      </c>
      <c r="X44" s="25" t="s">
        <v>1752</v>
      </c>
      <c r="Y44" s="25" t="s">
        <v>1753</v>
      </c>
      <c r="Z44" s="26">
        <v>41264</v>
      </c>
      <c r="AA44" s="776">
        <v>90</v>
      </c>
      <c r="AB44" s="776">
        <v>0</v>
      </c>
      <c r="AC44" s="776">
        <v>0</v>
      </c>
      <c r="AD44" s="776">
        <v>0</v>
      </c>
      <c r="AE44" s="777">
        <v>0</v>
      </c>
      <c r="AF44" s="777">
        <v>181.8</v>
      </c>
      <c r="AG44" s="778">
        <v>251.14701389383941</v>
      </c>
    </row>
    <row r="45" spans="1:33" x14ac:dyDescent="0.2">
      <c r="A45" s="15">
        <f t="shared" si="0"/>
        <v>2011</v>
      </c>
      <c r="B45" s="14">
        <f t="shared" si="1"/>
        <v>4</v>
      </c>
      <c r="C45" s="13" t="str">
        <f t="shared" si="2"/>
        <v>Q2</v>
      </c>
      <c r="D45" s="13" t="str">
        <f t="shared" si="3"/>
        <v>2011Q2</v>
      </c>
      <c r="E45" s="13" t="str">
        <f t="shared" si="4"/>
        <v>Brazil</v>
      </c>
      <c r="F45" s="13" t="str">
        <f t="shared" si="6"/>
        <v>Biofuels</v>
      </c>
      <c r="G45" s="13" t="str">
        <f t="shared" si="7"/>
        <v>Asset finance investments</v>
      </c>
      <c r="H45" s="638">
        <f t="shared" si="5"/>
        <v>181.22142187843434</v>
      </c>
      <c r="I45" s="24" t="s">
        <v>87</v>
      </c>
      <c r="J45" s="25" t="s">
        <v>246</v>
      </c>
      <c r="K45" s="25" t="s">
        <v>500</v>
      </c>
      <c r="L45" s="25" t="s">
        <v>499</v>
      </c>
      <c r="M45" s="25" t="s">
        <v>31</v>
      </c>
      <c r="N45" s="25" t="s">
        <v>31</v>
      </c>
      <c r="O45" s="25" t="s">
        <v>92</v>
      </c>
      <c r="P45" s="25" t="s">
        <v>83</v>
      </c>
      <c r="Q45" s="25" t="s">
        <v>82</v>
      </c>
      <c r="R45" s="25" t="s">
        <v>91</v>
      </c>
      <c r="S45" s="25" t="s">
        <v>96</v>
      </c>
      <c r="T45" s="25" t="s">
        <v>96</v>
      </c>
      <c r="U45" s="25" t="s">
        <v>98</v>
      </c>
      <c r="V45" s="25" t="s">
        <v>230</v>
      </c>
      <c r="W45" s="25" t="s">
        <v>245</v>
      </c>
      <c r="X45" s="25" t="s">
        <v>1752</v>
      </c>
      <c r="Y45" s="25" t="s">
        <v>1753</v>
      </c>
      <c r="Z45" s="26">
        <v>40659</v>
      </c>
      <c r="AA45" s="776">
        <v>0</v>
      </c>
      <c r="AB45" s="776">
        <v>135</v>
      </c>
      <c r="AC45" s="776">
        <v>0</v>
      </c>
      <c r="AD45" s="776">
        <v>0</v>
      </c>
      <c r="AE45" s="777">
        <v>0</v>
      </c>
      <c r="AF45" s="777">
        <v>180</v>
      </c>
      <c r="AG45" s="778">
        <v>181.22142187843434</v>
      </c>
    </row>
    <row r="46" spans="1:33" x14ac:dyDescent="0.2">
      <c r="A46" s="15">
        <f t="shared" si="0"/>
        <v>2011</v>
      </c>
      <c r="B46" s="14">
        <f t="shared" si="1"/>
        <v>2</v>
      </c>
      <c r="C46" s="13" t="str">
        <f t="shared" si="2"/>
        <v>Q1</v>
      </c>
      <c r="D46" s="13" t="str">
        <f t="shared" si="3"/>
        <v>2011Q1</v>
      </c>
      <c r="E46" s="13" t="str">
        <f t="shared" si="4"/>
        <v>Brazil</v>
      </c>
      <c r="F46" s="13" t="str">
        <f t="shared" si="6"/>
        <v>Biofuels</v>
      </c>
      <c r="G46" s="13" t="str">
        <f t="shared" si="7"/>
        <v>Corporate finance investments</v>
      </c>
      <c r="H46" s="638">
        <f t="shared" si="5"/>
        <v>174.67731497726868</v>
      </c>
      <c r="I46" s="24" t="s">
        <v>87</v>
      </c>
      <c r="J46" s="25" t="s">
        <v>86</v>
      </c>
      <c r="K46" s="25" t="s">
        <v>201</v>
      </c>
      <c r="L46" s="25" t="s">
        <v>200</v>
      </c>
      <c r="M46" s="25" t="s">
        <v>31</v>
      </c>
      <c r="N46" s="25" t="s">
        <v>31</v>
      </c>
      <c r="O46" s="25" t="s">
        <v>92</v>
      </c>
      <c r="P46" s="25" t="s">
        <v>83</v>
      </c>
      <c r="Q46" s="25" t="s">
        <v>82</v>
      </c>
      <c r="R46" s="25" t="s">
        <v>91</v>
      </c>
      <c r="S46" s="25" t="s">
        <v>96</v>
      </c>
      <c r="T46" s="25" t="s">
        <v>96</v>
      </c>
      <c r="U46" s="25">
        <v>0</v>
      </c>
      <c r="V46" s="25">
        <v>0</v>
      </c>
      <c r="W46" s="25" t="s">
        <v>97</v>
      </c>
      <c r="X46" s="25" t="s">
        <v>1747</v>
      </c>
      <c r="Y46" s="25" t="e">
        <v>#N/A</v>
      </c>
      <c r="Z46" s="26">
        <v>40575</v>
      </c>
      <c r="AA46" s="776" t="s">
        <v>1748</v>
      </c>
      <c r="AB46" s="776" t="s">
        <v>1748</v>
      </c>
      <c r="AC46" s="776" t="s">
        <v>1748</v>
      </c>
      <c r="AD46" s="776" t="s">
        <v>1748</v>
      </c>
      <c r="AE46" s="777">
        <v>173.5</v>
      </c>
      <c r="AF46" s="777">
        <v>173.5</v>
      </c>
      <c r="AG46" s="778">
        <v>174.67731497726868</v>
      </c>
    </row>
    <row r="47" spans="1:33" x14ac:dyDescent="0.2">
      <c r="A47" s="15">
        <f t="shared" si="0"/>
        <v>2012</v>
      </c>
      <c r="B47" s="14">
        <f t="shared" si="1"/>
        <v>6</v>
      </c>
      <c r="C47" s="13" t="str">
        <f t="shared" si="2"/>
        <v>Q2</v>
      </c>
      <c r="D47" s="13" t="str">
        <f t="shared" si="3"/>
        <v>2012Q2</v>
      </c>
      <c r="E47" s="13" t="str">
        <f t="shared" si="4"/>
        <v>Mexico</v>
      </c>
      <c r="F47" s="13" t="str">
        <f t="shared" si="6"/>
        <v>Wind</v>
      </c>
      <c r="G47" s="13" t="str">
        <f t="shared" si="7"/>
        <v>Asset finance investments</v>
      </c>
      <c r="H47" s="638">
        <f t="shared" si="5"/>
        <v>168.15931480924354</v>
      </c>
      <c r="I47" s="24" t="s">
        <v>87</v>
      </c>
      <c r="J47" s="25" t="s">
        <v>246</v>
      </c>
      <c r="K47" s="25" t="s">
        <v>1796</v>
      </c>
      <c r="L47" s="25" t="s">
        <v>1797</v>
      </c>
      <c r="M47" s="25" t="s">
        <v>18</v>
      </c>
      <c r="N47" s="25" t="s">
        <v>85</v>
      </c>
      <c r="O47" s="25" t="s">
        <v>92</v>
      </c>
      <c r="P47" s="25" t="s">
        <v>83</v>
      </c>
      <c r="Q47" s="25" t="s">
        <v>129</v>
      </c>
      <c r="R47" s="25"/>
      <c r="S47" s="25" t="s">
        <v>101</v>
      </c>
      <c r="T47" s="25" t="s">
        <v>101</v>
      </c>
      <c r="U47" s="25" t="s">
        <v>112</v>
      </c>
      <c r="V47" s="25">
        <v>0</v>
      </c>
      <c r="W47" s="25" t="s">
        <v>249</v>
      </c>
      <c r="X47" s="25" t="s">
        <v>1749</v>
      </c>
      <c r="Y47" s="25" t="s">
        <v>1750</v>
      </c>
      <c r="Z47" s="26">
        <v>41081</v>
      </c>
      <c r="AA47" s="776">
        <v>102</v>
      </c>
      <c r="AB47" s="776">
        <v>0</v>
      </c>
      <c r="AC47" s="776">
        <v>0</v>
      </c>
      <c r="AD47" s="776">
        <v>0</v>
      </c>
      <c r="AE47" s="777">
        <v>165</v>
      </c>
      <c r="AF47" s="777">
        <v>165</v>
      </c>
      <c r="AG47" s="778">
        <v>168.15931480924354</v>
      </c>
    </row>
    <row r="48" spans="1:33" x14ac:dyDescent="0.2">
      <c r="A48" s="15">
        <f t="shared" si="0"/>
        <v>2007</v>
      </c>
      <c r="B48" s="14">
        <f t="shared" si="1"/>
        <v>12</v>
      </c>
      <c r="C48" s="13" t="str">
        <f t="shared" si="2"/>
        <v>Q4</v>
      </c>
      <c r="D48" s="13" t="str">
        <f t="shared" si="3"/>
        <v>2007Q4</v>
      </c>
      <c r="E48" s="13" t="str">
        <f t="shared" si="4"/>
        <v>Mexico</v>
      </c>
      <c r="F48" s="13" t="str">
        <f t="shared" si="6"/>
        <v>Small Hydro</v>
      </c>
      <c r="G48" s="13" t="str">
        <f t="shared" si="7"/>
        <v>Corporate finance investments</v>
      </c>
      <c r="H48" s="638">
        <f t="shared" si="5"/>
        <v>241.79767225416157</v>
      </c>
      <c r="I48" s="24" t="s">
        <v>87</v>
      </c>
      <c r="J48" s="25" t="s">
        <v>86</v>
      </c>
      <c r="K48" s="25" t="s">
        <v>130</v>
      </c>
      <c r="L48" s="25" t="s">
        <v>1798</v>
      </c>
      <c r="M48" s="25" t="s">
        <v>18</v>
      </c>
      <c r="N48" s="25" t="s">
        <v>85</v>
      </c>
      <c r="O48" s="25" t="s">
        <v>92</v>
      </c>
      <c r="P48" s="25" t="s">
        <v>83</v>
      </c>
      <c r="Q48" s="25" t="s">
        <v>129</v>
      </c>
      <c r="R48" s="25"/>
      <c r="S48" s="25" t="s">
        <v>126</v>
      </c>
      <c r="T48" s="25" t="s">
        <v>125</v>
      </c>
      <c r="U48" s="25">
        <v>0</v>
      </c>
      <c r="V48" s="25">
        <v>0</v>
      </c>
      <c r="W48" s="25" t="s">
        <v>94</v>
      </c>
      <c r="X48" s="25" t="s">
        <v>1747</v>
      </c>
      <c r="Y48" s="25" t="e">
        <v>#N/A</v>
      </c>
      <c r="Z48" s="26">
        <v>39423</v>
      </c>
      <c r="AA48" s="776" t="s">
        <v>1748</v>
      </c>
      <c r="AB48" s="776" t="s">
        <v>1748</v>
      </c>
      <c r="AC48" s="776" t="s">
        <v>1748</v>
      </c>
      <c r="AD48" s="776" t="s">
        <v>1748</v>
      </c>
      <c r="AE48" s="777">
        <v>156</v>
      </c>
      <c r="AF48" s="777">
        <v>156</v>
      </c>
      <c r="AG48" s="778">
        <v>241.79767225416157</v>
      </c>
    </row>
    <row r="49" spans="1:33" x14ac:dyDescent="0.2">
      <c r="A49" s="15">
        <f t="shared" si="0"/>
        <v>2007</v>
      </c>
      <c r="B49" s="14">
        <f t="shared" si="1"/>
        <v>7</v>
      </c>
      <c r="C49" s="13" t="str">
        <f t="shared" si="2"/>
        <v>Q3</v>
      </c>
      <c r="D49" s="13" t="str">
        <f t="shared" si="3"/>
        <v>2007Q3</v>
      </c>
      <c r="E49" s="13" t="str">
        <f t="shared" si="4"/>
        <v>Mexico</v>
      </c>
      <c r="F49" s="13" t="str">
        <f t="shared" si="6"/>
        <v>Small Hydro</v>
      </c>
      <c r="G49" s="13" t="str">
        <f t="shared" si="7"/>
        <v>Asset finance investments</v>
      </c>
      <c r="H49" s="638">
        <f t="shared" si="5"/>
        <v>158.96802477718441</v>
      </c>
      <c r="I49" s="24" t="s">
        <v>87</v>
      </c>
      <c r="J49" s="25" t="s">
        <v>246</v>
      </c>
      <c r="K49" s="25" t="s">
        <v>312</v>
      </c>
      <c r="L49" s="25" t="s">
        <v>311</v>
      </c>
      <c r="M49" s="25" t="s">
        <v>18</v>
      </c>
      <c r="N49" s="25" t="s">
        <v>85</v>
      </c>
      <c r="O49" s="25" t="s">
        <v>92</v>
      </c>
      <c r="P49" s="25" t="s">
        <v>83</v>
      </c>
      <c r="Q49" s="25" t="s">
        <v>129</v>
      </c>
      <c r="R49" s="25"/>
      <c r="S49" s="25" t="s">
        <v>126</v>
      </c>
      <c r="T49" s="25" t="s">
        <v>125</v>
      </c>
      <c r="U49" s="25" t="s">
        <v>189</v>
      </c>
      <c r="V49" s="25">
        <v>0</v>
      </c>
      <c r="W49" s="25" t="s">
        <v>245</v>
      </c>
      <c r="X49" s="25" t="s">
        <v>1752</v>
      </c>
      <c r="Y49" s="25" t="s">
        <v>1753</v>
      </c>
      <c r="Z49" s="26">
        <v>39275</v>
      </c>
      <c r="AA49" s="776">
        <v>52</v>
      </c>
      <c r="AB49" s="776">
        <v>0</v>
      </c>
      <c r="AC49" s="776">
        <v>0</v>
      </c>
      <c r="AD49" s="776">
        <v>0</v>
      </c>
      <c r="AE49" s="777">
        <v>156</v>
      </c>
      <c r="AF49" s="777">
        <v>156</v>
      </c>
      <c r="AG49" s="778">
        <v>158.96802477718441</v>
      </c>
    </row>
    <row r="50" spans="1:33" x14ac:dyDescent="0.2">
      <c r="A50" s="15">
        <f t="shared" si="0"/>
        <v>2007</v>
      </c>
      <c r="B50" s="14">
        <f t="shared" si="1"/>
        <v>7</v>
      </c>
      <c r="C50" s="13" t="str">
        <f t="shared" si="2"/>
        <v>Q3</v>
      </c>
      <c r="D50" s="13" t="str">
        <f t="shared" si="3"/>
        <v>2007Q3</v>
      </c>
      <c r="E50" s="13" t="str">
        <f t="shared" si="4"/>
        <v>Brazil</v>
      </c>
      <c r="F50" s="13" t="str">
        <f t="shared" si="6"/>
        <v>Small Hydro</v>
      </c>
      <c r="G50" s="13" t="str">
        <f t="shared" si="7"/>
        <v>Asset finance investments</v>
      </c>
      <c r="H50" s="638">
        <f t="shared" si="5"/>
        <v>159.97967730515808</v>
      </c>
      <c r="I50" s="24" t="s">
        <v>87</v>
      </c>
      <c r="J50" s="25" t="s">
        <v>246</v>
      </c>
      <c r="K50" s="25" t="s">
        <v>310</v>
      </c>
      <c r="L50" s="25" t="s">
        <v>309</v>
      </c>
      <c r="M50" s="25" t="s">
        <v>31</v>
      </c>
      <c r="N50" s="25" t="s">
        <v>31</v>
      </c>
      <c r="O50" s="25" t="s">
        <v>92</v>
      </c>
      <c r="P50" s="25" t="s">
        <v>83</v>
      </c>
      <c r="Q50" s="25" t="s">
        <v>82</v>
      </c>
      <c r="R50" s="25" t="s">
        <v>91</v>
      </c>
      <c r="S50" s="25" t="s">
        <v>126</v>
      </c>
      <c r="T50" s="25" t="s">
        <v>125</v>
      </c>
      <c r="U50" s="25" t="s">
        <v>247</v>
      </c>
      <c r="V50" s="25">
        <v>0</v>
      </c>
      <c r="W50" s="25" t="s">
        <v>245</v>
      </c>
      <c r="X50" s="25" t="s">
        <v>1752</v>
      </c>
      <c r="Y50" s="25" t="s">
        <v>1753</v>
      </c>
      <c r="Z50" s="26">
        <v>39276</v>
      </c>
      <c r="AA50" s="776">
        <v>224.45</v>
      </c>
      <c r="AB50" s="776">
        <v>0</v>
      </c>
      <c r="AC50" s="776">
        <v>0</v>
      </c>
      <c r="AD50" s="776">
        <v>0</v>
      </c>
      <c r="AE50" s="777">
        <v>155.72999999999999</v>
      </c>
      <c r="AF50" s="777">
        <v>155.72999999999999</v>
      </c>
      <c r="AG50" s="778">
        <v>159.97967730515808</v>
      </c>
    </row>
    <row r="51" spans="1:33" x14ac:dyDescent="0.2">
      <c r="A51" s="15">
        <f t="shared" si="0"/>
        <v>2007</v>
      </c>
      <c r="B51" s="14">
        <f t="shared" si="1"/>
        <v>7</v>
      </c>
      <c r="C51" s="13" t="str">
        <f t="shared" si="2"/>
        <v>Q3</v>
      </c>
      <c r="D51" s="13" t="str">
        <f t="shared" si="3"/>
        <v>2007Q3</v>
      </c>
      <c r="E51" s="13" t="str">
        <f t="shared" si="4"/>
        <v>Brazil</v>
      </c>
      <c r="F51" s="13" t="str">
        <f t="shared" si="6"/>
        <v>Biofuels</v>
      </c>
      <c r="G51" s="13" t="str">
        <f t="shared" si="7"/>
        <v>Asset finance investments</v>
      </c>
      <c r="H51" s="638">
        <f t="shared" si="5"/>
        <v>172.23124065400935</v>
      </c>
      <c r="I51" s="24" t="s">
        <v>87</v>
      </c>
      <c r="J51" s="25" t="s">
        <v>246</v>
      </c>
      <c r="K51" s="25" t="s">
        <v>314</v>
      </c>
      <c r="L51" s="25" t="s">
        <v>1799</v>
      </c>
      <c r="M51" s="25" t="s">
        <v>31</v>
      </c>
      <c r="N51" s="25" t="s">
        <v>31</v>
      </c>
      <c r="O51" s="25" t="s">
        <v>92</v>
      </c>
      <c r="P51" s="25" t="s">
        <v>83</v>
      </c>
      <c r="Q51" s="25" t="s">
        <v>82</v>
      </c>
      <c r="R51" s="25" t="s">
        <v>91</v>
      </c>
      <c r="S51" s="25" t="s">
        <v>96</v>
      </c>
      <c r="T51" s="25" t="s">
        <v>96</v>
      </c>
      <c r="U51" s="25" t="s">
        <v>98</v>
      </c>
      <c r="V51" s="25" t="s">
        <v>230</v>
      </c>
      <c r="W51" s="25" t="s">
        <v>245</v>
      </c>
      <c r="X51" s="25" t="s">
        <v>1752</v>
      </c>
      <c r="Y51" s="25" t="s">
        <v>1753</v>
      </c>
      <c r="Z51" s="26">
        <v>39268.778472222199</v>
      </c>
      <c r="AA51" s="776">
        <v>0</v>
      </c>
      <c r="AB51" s="776">
        <v>130</v>
      </c>
      <c r="AC51" s="776">
        <v>0</v>
      </c>
      <c r="AD51" s="776">
        <v>0</v>
      </c>
      <c r="AE51" s="777">
        <v>152</v>
      </c>
      <c r="AF51" s="777">
        <v>152</v>
      </c>
      <c r="AG51" s="778">
        <v>172.23124065400935</v>
      </c>
    </row>
    <row r="52" spans="1:33" x14ac:dyDescent="0.2">
      <c r="A52" s="15">
        <f t="shared" si="0"/>
        <v>2010</v>
      </c>
      <c r="B52" s="14">
        <f t="shared" si="1"/>
        <v>5</v>
      </c>
      <c r="C52" s="13" t="str">
        <f t="shared" si="2"/>
        <v>Q2</v>
      </c>
      <c r="D52" s="13" t="str">
        <f t="shared" si="3"/>
        <v>2010Q2</v>
      </c>
      <c r="E52" s="13" t="str">
        <f t="shared" si="4"/>
        <v>Brazil</v>
      </c>
      <c r="F52" s="13" t="str">
        <f t="shared" si="6"/>
        <v>Biofuels</v>
      </c>
      <c r="G52" s="13" t="str">
        <f t="shared" si="7"/>
        <v>Corporate finance investments</v>
      </c>
      <c r="H52" s="638">
        <f t="shared" si="5"/>
        <v>150.11185361460863</v>
      </c>
      <c r="I52" s="24" t="s">
        <v>87</v>
      </c>
      <c r="J52" s="25" t="s">
        <v>86</v>
      </c>
      <c r="K52" s="25" t="s">
        <v>175</v>
      </c>
      <c r="L52" s="25" t="s">
        <v>148</v>
      </c>
      <c r="M52" s="25" t="s">
        <v>31</v>
      </c>
      <c r="N52" s="25" t="s">
        <v>31</v>
      </c>
      <c r="O52" s="25" t="s">
        <v>92</v>
      </c>
      <c r="P52" s="25" t="s">
        <v>83</v>
      </c>
      <c r="Q52" s="25" t="s">
        <v>82</v>
      </c>
      <c r="R52" s="25" t="s">
        <v>91</v>
      </c>
      <c r="S52" s="25" t="s">
        <v>96</v>
      </c>
      <c r="T52" s="25" t="s">
        <v>96</v>
      </c>
      <c r="U52" s="25" t="s">
        <v>98</v>
      </c>
      <c r="V52" s="25">
        <v>0</v>
      </c>
      <c r="W52" s="25" t="s">
        <v>97</v>
      </c>
      <c r="X52" s="25" t="s">
        <v>1747</v>
      </c>
      <c r="Y52" s="25" t="e">
        <v>#N/A</v>
      </c>
      <c r="Z52" s="26">
        <v>40322</v>
      </c>
      <c r="AA52" s="776" t="s">
        <v>1748</v>
      </c>
      <c r="AB52" s="776" t="s">
        <v>1748</v>
      </c>
      <c r="AC52" s="776" t="s">
        <v>1748</v>
      </c>
      <c r="AD52" s="776" t="s">
        <v>1748</v>
      </c>
      <c r="AE52" s="777">
        <v>0</v>
      </c>
      <c r="AF52" s="777">
        <v>150</v>
      </c>
      <c r="AG52" s="778">
        <v>150.11185361460863</v>
      </c>
    </row>
    <row r="53" spans="1:33" x14ac:dyDescent="0.2">
      <c r="A53" s="15">
        <f t="shared" si="0"/>
        <v>2010</v>
      </c>
      <c r="B53" s="14">
        <f t="shared" si="1"/>
        <v>5</v>
      </c>
      <c r="C53" s="13" t="str">
        <f t="shared" si="2"/>
        <v>Q2</v>
      </c>
      <c r="D53" s="13" t="str">
        <f t="shared" si="3"/>
        <v>2010Q2</v>
      </c>
      <c r="E53" s="13" t="str">
        <f t="shared" si="4"/>
        <v>Nicaragua</v>
      </c>
      <c r="F53" s="13" t="str">
        <f t="shared" si="6"/>
        <v>Wind</v>
      </c>
      <c r="G53" s="13" t="str">
        <f t="shared" si="7"/>
        <v>Asset finance investments</v>
      </c>
      <c r="H53" s="638">
        <f t="shared" si="5"/>
        <v>150.11185361460863</v>
      </c>
      <c r="I53" s="24" t="s">
        <v>87</v>
      </c>
      <c r="J53" s="25" t="s">
        <v>246</v>
      </c>
      <c r="K53" s="25" t="s">
        <v>440</v>
      </c>
      <c r="L53" s="25" t="s">
        <v>439</v>
      </c>
      <c r="M53" s="25" t="s">
        <v>2</v>
      </c>
      <c r="N53" s="25" t="s">
        <v>85</v>
      </c>
      <c r="O53" s="25" t="s">
        <v>92</v>
      </c>
      <c r="P53" s="25" t="s">
        <v>83</v>
      </c>
      <c r="Q53" s="25" t="s">
        <v>82</v>
      </c>
      <c r="R53" s="25"/>
      <c r="S53" s="25" t="s">
        <v>101</v>
      </c>
      <c r="T53" s="25" t="s">
        <v>101</v>
      </c>
      <c r="U53" s="25" t="s">
        <v>112</v>
      </c>
      <c r="V53" s="25">
        <v>0</v>
      </c>
      <c r="W53" s="25" t="s">
        <v>245</v>
      </c>
      <c r="X53" s="25" t="s">
        <v>1752</v>
      </c>
      <c r="Y53" s="25" t="s">
        <v>1753</v>
      </c>
      <c r="Z53" s="26">
        <v>40311</v>
      </c>
      <c r="AA53" s="776">
        <v>63</v>
      </c>
      <c r="AB53" s="776">
        <v>0</v>
      </c>
      <c r="AC53" s="776">
        <v>0</v>
      </c>
      <c r="AD53" s="776">
        <v>0</v>
      </c>
      <c r="AE53" s="777">
        <v>0</v>
      </c>
      <c r="AF53" s="777">
        <v>150</v>
      </c>
      <c r="AG53" s="778">
        <v>150.11185361460863</v>
      </c>
    </row>
    <row r="54" spans="1:33" x14ac:dyDescent="0.2">
      <c r="A54" s="15">
        <f t="shared" si="0"/>
        <v>2012</v>
      </c>
      <c r="B54" s="14">
        <f t="shared" si="1"/>
        <v>7</v>
      </c>
      <c r="C54" s="13" t="str">
        <f t="shared" si="2"/>
        <v>Q3</v>
      </c>
      <c r="D54" s="13" t="str">
        <f t="shared" si="3"/>
        <v>2012Q3</v>
      </c>
      <c r="E54" s="13" t="str">
        <f t="shared" si="4"/>
        <v>Mexico</v>
      </c>
      <c r="F54" s="13" t="str">
        <f t="shared" si="6"/>
        <v>Wind</v>
      </c>
      <c r="G54" s="13" t="str">
        <f t="shared" si="7"/>
        <v>Asset finance investments</v>
      </c>
      <c r="H54" s="638">
        <f t="shared" si="5"/>
        <v>152.36485531039801</v>
      </c>
      <c r="I54" s="24" t="s">
        <v>87</v>
      </c>
      <c r="J54" s="25" t="s">
        <v>246</v>
      </c>
      <c r="K54" s="25" t="s">
        <v>1800</v>
      </c>
      <c r="L54" s="25" t="s">
        <v>1801</v>
      </c>
      <c r="M54" s="25" t="s">
        <v>18</v>
      </c>
      <c r="N54" s="25" t="s">
        <v>85</v>
      </c>
      <c r="O54" s="25" t="s">
        <v>92</v>
      </c>
      <c r="P54" s="25" t="s">
        <v>83</v>
      </c>
      <c r="Q54" s="25" t="s">
        <v>129</v>
      </c>
      <c r="R54" s="25"/>
      <c r="S54" s="25" t="s">
        <v>101</v>
      </c>
      <c r="T54" s="25" t="s">
        <v>101</v>
      </c>
      <c r="U54" s="25" t="s">
        <v>112</v>
      </c>
      <c r="V54" s="25">
        <v>0</v>
      </c>
      <c r="W54" s="25" t="s">
        <v>245</v>
      </c>
      <c r="X54" s="25" t="s">
        <v>1752</v>
      </c>
      <c r="Y54" s="25" t="s">
        <v>1753</v>
      </c>
      <c r="Z54" s="26">
        <v>41099</v>
      </c>
      <c r="AA54" s="776">
        <v>74</v>
      </c>
      <c r="AB54" s="776">
        <v>0</v>
      </c>
      <c r="AC54" s="776">
        <v>0</v>
      </c>
      <c r="AD54" s="776">
        <v>0</v>
      </c>
      <c r="AE54" s="777">
        <v>0</v>
      </c>
      <c r="AF54" s="777">
        <v>149.47999999999999</v>
      </c>
      <c r="AG54" s="778">
        <v>152.36485531039801</v>
      </c>
    </row>
    <row r="55" spans="1:33" x14ac:dyDescent="0.2">
      <c r="A55" s="15">
        <f t="shared" si="0"/>
        <v>2012</v>
      </c>
      <c r="B55" s="14">
        <f t="shared" si="1"/>
        <v>4</v>
      </c>
      <c r="C55" s="13" t="str">
        <f t="shared" si="2"/>
        <v>Q2</v>
      </c>
      <c r="D55" s="13" t="str">
        <f t="shared" si="3"/>
        <v>2012Q2</v>
      </c>
      <c r="E55" s="13" t="str">
        <f t="shared" si="4"/>
        <v>Brazil</v>
      </c>
      <c r="F55" s="13" t="str">
        <f t="shared" si="6"/>
        <v>Wind</v>
      </c>
      <c r="G55" s="13" t="str">
        <f t="shared" si="7"/>
        <v>VC/PE investments</v>
      </c>
      <c r="H55" s="638">
        <f t="shared" si="5"/>
        <v>171.40090867190563</v>
      </c>
      <c r="I55" s="24" t="s">
        <v>87</v>
      </c>
      <c r="J55" s="25" t="s">
        <v>216</v>
      </c>
      <c r="K55" s="25" t="s">
        <v>1802</v>
      </c>
      <c r="L55" s="25" t="s">
        <v>1803</v>
      </c>
      <c r="M55" s="25" t="s">
        <v>31</v>
      </c>
      <c r="N55" s="25" t="s">
        <v>31</v>
      </c>
      <c r="O55" s="25" t="s">
        <v>92</v>
      </c>
      <c r="P55" s="25" t="s">
        <v>83</v>
      </c>
      <c r="Q55" s="25" t="s">
        <v>82</v>
      </c>
      <c r="R55" s="25" t="s">
        <v>91</v>
      </c>
      <c r="S55" s="25" t="s">
        <v>101</v>
      </c>
      <c r="T55" s="25" t="s">
        <v>101</v>
      </c>
      <c r="U55" s="25">
        <v>0</v>
      </c>
      <c r="V55" s="25">
        <v>0</v>
      </c>
      <c r="W55" s="25" t="s">
        <v>537</v>
      </c>
      <c r="X55" s="25" t="s">
        <v>213</v>
      </c>
      <c r="Y55" s="25" t="s">
        <v>212</v>
      </c>
      <c r="Z55" s="26">
        <v>41001</v>
      </c>
      <c r="AA55" s="776" t="s">
        <v>1748</v>
      </c>
      <c r="AB55" s="776" t="s">
        <v>1748</v>
      </c>
      <c r="AC55" s="776" t="s">
        <v>1748</v>
      </c>
      <c r="AD55" s="776" t="s">
        <v>1748</v>
      </c>
      <c r="AE55" s="777">
        <v>0</v>
      </c>
      <c r="AF55" s="777">
        <v>147.87100000000001</v>
      </c>
      <c r="AG55" s="778">
        <v>171.40090867190563</v>
      </c>
    </row>
    <row r="56" spans="1:33" x14ac:dyDescent="0.2">
      <c r="A56" s="15">
        <f t="shared" si="0"/>
        <v>2011</v>
      </c>
      <c r="B56" s="14">
        <f t="shared" si="1"/>
        <v>3</v>
      </c>
      <c r="C56" s="13" t="str">
        <f t="shared" si="2"/>
        <v>Q1</v>
      </c>
      <c r="D56" s="13" t="str">
        <f t="shared" si="3"/>
        <v>2011Q1</v>
      </c>
      <c r="E56" s="13" t="str">
        <f t="shared" si="4"/>
        <v>Brazil</v>
      </c>
      <c r="F56" s="13" t="str">
        <f t="shared" si="6"/>
        <v>Small Hydro</v>
      </c>
      <c r="G56" s="13" t="str">
        <f t="shared" si="7"/>
        <v>Asset finance investments</v>
      </c>
      <c r="H56" s="638">
        <f t="shared" si="5"/>
        <v>147.39342312779328</v>
      </c>
      <c r="I56" s="24" t="s">
        <v>87</v>
      </c>
      <c r="J56" s="25" t="s">
        <v>246</v>
      </c>
      <c r="K56" s="25" t="s">
        <v>498</v>
      </c>
      <c r="L56" s="25" t="s">
        <v>497</v>
      </c>
      <c r="M56" s="25" t="s">
        <v>31</v>
      </c>
      <c r="N56" s="25" t="s">
        <v>31</v>
      </c>
      <c r="O56" s="25" t="s">
        <v>92</v>
      </c>
      <c r="P56" s="25" t="s">
        <v>83</v>
      </c>
      <c r="Q56" s="25" t="s">
        <v>82</v>
      </c>
      <c r="R56" s="25" t="s">
        <v>91</v>
      </c>
      <c r="S56" s="25" t="s">
        <v>126</v>
      </c>
      <c r="T56" s="25" t="s">
        <v>125</v>
      </c>
      <c r="U56" s="25" t="s">
        <v>247</v>
      </c>
      <c r="V56" s="25">
        <v>0</v>
      </c>
      <c r="W56" s="25" t="s">
        <v>249</v>
      </c>
      <c r="X56" s="25" t="s">
        <v>1771</v>
      </c>
      <c r="Y56" s="25" t="s">
        <v>1750</v>
      </c>
      <c r="Z56" s="26">
        <v>40632</v>
      </c>
      <c r="AA56" s="776">
        <v>48</v>
      </c>
      <c r="AB56" s="776">
        <v>0</v>
      </c>
      <c r="AC56" s="776">
        <v>0</v>
      </c>
      <c r="AD56" s="776">
        <v>0</v>
      </c>
      <c r="AE56" s="777">
        <v>146.4</v>
      </c>
      <c r="AF56" s="777">
        <v>146.4</v>
      </c>
      <c r="AG56" s="778">
        <v>147.39342312779328</v>
      </c>
    </row>
    <row r="57" spans="1:33" x14ac:dyDescent="0.2">
      <c r="A57" s="15">
        <f t="shared" si="0"/>
        <v>2012</v>
      </c>
      <c r="B57" s="14">
        <f t="shared" si="1"/>
        <v>12</v>
      </c>
      <c r="C57" s="13" t="str">
        <f t="shared" si="2"/>
        <v>Q4</v>
      </c>
      <c r="D57" s="13" t="str">
        <f t="shared" si="3"/>
        <v>2012Q4</v>
      </c>
      <c r="E57" s="13" t="str">
        <f t="shared" si="4"/>
        <v>Brazil</v>
      </c>
      <c r="F57" s="13" t="str">
        <f t="shared" si="6"/>
        <v>Wind</v>
      </c>
      <c r="G57" s="13" t="str">
        <f t="shared" si="7"/>
        <v>Asset finance investments</v>
      </c>
      <c r="H57" s="638">
        <f t="shared" si="5"/>
        <v>200.30977455779271</v>
      </c>
      <c r="I57" s="24" t="s">
        <v>87</v>
      </c>
      <c r="J57" s="25" t="s">
        <v>246</v>
      </c>
      <c r="K57" s="25" t="s">
        <v>1804</v>
      </c>
      <c r="L57" s="25" t="s">
        <v>1805</v>
      </c>
      <c r="M57" s="25" t="s">
        <v>31</v>
      </c>
      <c r="N57" s="25" t="s">
        <v>31</v>
      </c>
      <c r="O57" s="25" t="s">
        <v>92</v>
      </c>
      <c r="P57" s="25" t="s">
        <v>83</v>
      </c>
      <c r="Q57" s="25" t="s">
        <v>82</v>
      </c>
      <c r="R57" s="25" t="s">
        <v>91</v>
      </c>
      <c r="S57" s="25" t="s">
        <v>101</v>
      </c>
      <c r="T57" s="25" t="s">
        <v>101</v>
      </c>
      <c r="U57" s="25" t="s">
        <v>112</v>
      </c>
      <c r="V57" s="25">
        <v>0</v>
      </c>
      <c r="W57" s="25" t="s">
        <v>249</v>
      </c>
      <c r="X57" s="25" t="s">
        <v>1806</v>
      </c>
      <c r="Y57" s="25" t="s">
        <v>1750</v>
      </c>
      <c r="Z57" s="26">
        <v>41261</v>
      </c>
      <c r="AA57" s="776">
        <v>386</v>
      </c>
      <c r="AB57" s="776">
        <v>0</v>
      </c>
      <c r="AC57" s="776">
        <v>0</v>
      </c>
      <c r="AD57" s="776">
        <v>0</v>
      </c>
      <c r="AE57" s="777">
        <v>145</v>
      </c>
      <c r="AF57" s="777">
        <v>145</v>
      </c>
      <c r="AG57" s="778">
        <v>200.30977455779271</v>
      </c>
    </row>
    <row r="58" spans="1:33" x14ac:dyDescent="0.2">
      <c r="A58" s="15">
        <f t="shared" si="0"/>
        <v>2008</v>
      </c>
      <c r="B58" s="14">
        <f t="shared" si="1"/>
        <v>7</v>
      </c>
      <c r="C58" s="13" t="str">
        <f t="shared" si="2"/>
        <v>Q3</v>
      </c>
      <c r="D58" s="13" t="str">
        <f t="shared" si="3"/>
        <v>2008Q3</v>
      </c>
      <c r="E58" s="13" t="str">
        <f t="shared" si="4"/>
        <v>Brazil</v>
      </c>
      <c r="F58" s="13" t="str">
        <f t="shared" si="6"/>
        <v>Biofuels</v>
      </c>
      <c r="G58" s="13" t="str">
        <f t="shared" si="7"/>
        <v>Asset finance investments</v>
      </c>
      <c r="H58" s="638">
        <f t="shared" si="5"/>
        <v>143.8215261910801</v>
      </c>
      <c r="I58" s="24" t="s">
        <v>87</v>
      </c>
      <c r="J58" s="25" t="s">
        <v>246</v>
      </c>
      <c r="K58" s="25" t="s">
        <v>363</v>
      </c>
      <c r="L58" s="25" t="s">
        <v>1807</v>
      </c>
      <c r="M58" s="25" t="s">
        <v>31</v>
      </c>
      <c r="N58" s="25" t="s">
        <v>31</v>
      </c>
      <c r="O58" s="25" t="s">
        <v>92</v>
      </c>
      <c r="P58" s="25" t="s">
        <v>83</v>
      </c>
      <c r="Q58" s="25" t="s">
        <v>82</v>
      </c>
      <c r="R58" s="25" t="s">
        <v>91</v>
      </c>
      <c r="S58" s="25" t="s">
        <v>96</v>
      </c>
      <c r="T58" s="25" t="s">
        <v>96</v>
      </c>
      <c r="U58" s="25" t="s">
        <v>98</v>
      </c>
      <c r="V58" s="25" t="s">
        <v>230</v>
      </c>
      <c r="W58" s="25" t="s">
        <v>249</v>
      </c>
      <c r="X58" s="25" t="s">
        <v>1749</v>
      </c>
      <c r="Y58" s="25" t="s">
        <v>1750</v>
      </c>
      <c r="Z58" s="26">
        <v>39632</v>
      </c>
      <c r="AA58" s="776">
        <v>40</v>
      </c>
      <c r="AB58" s="776">
        <v>212</v>
      </c>
      <c r="AC58" s="776">
        <v>0</v>
      </c>
      <c r="AD58" s="776">
        <v>0</v>
      </c>
      <c r="AE58" s="777">
        <v>143.4</v>
      </c>
      <c r="AF58" s="777">
        <v>143.4</v>
      </c>
      <c r="AG58" s="778">
        <v>143.8215261910801</v>
      </c>
    </row>
    <row r="59" spans="1:33" x14ac:dyDescent="0.2">
      <c r="A59" s="15">
        <f t="shared" si="0"/>
        <v>2012</v>
      </c>
      <c r="B59" s="14">
        <f t="shared" si="1"/>
        <v>12</v>
      </c>
      <c r="C59" s="13" t="str">
        <f t="shared" si="2"/>
        <v>Q4</v>
      </c>
      <c r="D59" s="13" t="str">
        <f t="shared" si="3"/>
        <v>2012Q4</v>
      </c>
      <c r="E59" s="13" t="str">
        <f t="shared" si="4"/>
        <v>Mexico</v>
      </c>
      <c r="F59" s="13" t="str">
        <f t="shared" si="6"/>
        <v>Wind</v>
      </c>
      <c r="G59" s="13" t="str">
        <f t="shared" si="7"/>
        <v>Asset finance investments</v>
      </c>
      <c r="H59" s="638">
        <f t="shared" si="5"/>
        <v>195.3365663618751</v>
      </c>
      <c r="I59" s="24" t="s">
        <v>87</v>
      </c>
      <c r="J59" s="25" t="s">
        <v>246</v>
      </c>
      <c r="K59" s="25" t="s">
        <v>1808</v>
      </c>
      <c r="L59" s="25" t="s">
        <v>1809</v>
      </c>
      <c r="M59" s="25" t="s">
        <v>18</v>
      </c>
      <c r="N59" s="25" t="s">
        <v>85</v>
      </c>
      <c r="O59" s="25" t="s">
        <v>92</v>
      </c>
      <c r="P59" s="25" t="s">
        <v>83</v>
      </c>
      <c r="Q59" s="25" t="s">
        <v>129</v>
      </c>
      <c r="R59" s="25"/>
      <c r="S59" s="25" t="s">
        <v>101</v>
      </c>
      <c r="T59" s="25" t="s">
        <v>101</v>
      </c>
      <c r="U59" s="25" t="s">
        <v>112</v>
      </c>
      <c r="V59" s="25">
        <v>0</v>
      </c>
      <c r="W59" s="25" t="s">
        <v>245</v>
      </c>
      <c r="X59" s="25" t="s">
        <v>1752</v>
      </c>
      <c r="Y59" s="25" t="s">
        <v>1753</v>
      </c>
      <c r="Z59" s="26">
        <v>41257</v>
      </c>
      <c r="AA59" s="776">
        <v>70</v>
      </c>
      <c r="AB59" s="776">
        <v>0</v>
      </c>
      <c r="AC59" s="776">
        <v>0</v>
      </c>
      <c r="AD59" s="776">
        <v>0</v>
      </c>
      <c r="AE59" s="777">
        <v>0</v>
      </c>
      <c r="AF59" s="777">
        <v>141.4</v>
      </c>
      <c r="AG59" s="778">
        <v>195.3365663618751</v>
      </c>
    </row>
    <row r="60" spans="1:33" x14ac:dyDescent="0.2">
      <c r="A60" s="15">
        <f t="shared" si="0"/>
        <v>2006</v>
      </c>
      <c r="B60" s="14">
        <f t="shared" si="1"/>
        <v>9</v>
      </c>
      <c r="C60" s="13" t="str">
        <f t="shared" si="2"/>
        <v>Q3</v>
      </c>
      <c r="D60" s="13" t="str">
        <f t="shared" si="3"/>
        <v>2006Q3</v>
      </c>
      <c r="E60" s="13" t="str">
        <f t="shared" si="4"/>
        <v>Brazil</v>
      </c>
      <c r="F60" s="13" t="str">
        <f t="shared" si="6"/>
        <v>Biofuels</v>
      </c>
      <c r="G60" s="13" t="str">
        <f t="shared" si="7"/>
        <v>Corporate finance investments</v>
      </c>
      <c r="H60" s="638">
        <f t="shared" si="5"/>
        <v>141.46081599999997</v>
      </c>
      <c r="I60" s="24" t="s">
        <v>87</v>
      </c>
      <c r="J60" s="25" t="s">
        <v>86</v>
      </c>
      <c r="K60" s="25" t="s">
        <v>106</v>
      </c>
      <c r="L60" s="25" t="s">
        <v>105</v>
      </c>
      <c r="M60" s="25" t="s">
        <v>31</v>
      </c>
      <c r="N60" s="25" t="s">
        <v>31</v>
      </c>
      <c r="O60" s="25" t="s">
        <v>92</v>
      </c>
      <c r="P60" s="25" t="s">
        <v>83</v>
      </c>
      <c r="Q60" s="25" t="s">
        <v>82</v>
      </c>
      <c r="R60" s="25" t="s">
        <v>91</v>
      </c>
      <c r="S60" s="25" t="s">
        <v>96</v>
      </c>
      <c r="T60" s="25" t="s">
        <v>96</v>
      </c>
      <c r="U60" s="25" t="s">
        <v>98</v>
      </c>
      <c r="V60" s="25">
        <v>0</v>
      </c>
      <c r="W60" s="25" t="s">
        <v>97</v>
      </c>
      <c r="X60" s="25" t="s">
        <v>1747</v>
      </c>
      <c r="Y60" s="25" t="e">
        <v>#N/A</v>
      </c>
      <c r="Z60" s="26">
        <v>38990</v>
      </c>
      <c r="AA60" s="776" t="s">
        <v>1748</v>
      </c>
      <c r="AB60" s="776" t="s">
        <v>1748</v>
      </c>
      <c r="AC60" s="776" t="s">
        <v>1748</v>
      </c>
      <c r="AD60" s="776" t="s">
        <v>1748</v>
      </c>
      <c r="AE60" s="777">
        <v>141</v>
      </c>
      <c r="AF60" s="777">
        <v>141</v>
      </c>
      <c r="AG60" s="778">
        <v>141.46081599999997</v>
      </c>
    </row>
    <row r="61" spans="1:33" x14ac:dyDescent="0.2">
      <c r="A61" s="15">
        <f t="shared" si="0"/>
        <v>2012</v>
      </c>
      <c r="B61" s="14">
        <f t="shared" si="1"/>
        <v>11</v>
      </c>
      <c r="C61" s="13" t="str">
        <f t="shared" si="2"/>
        <v>Q4</v>
      </c>
      <c r="D61" s="13" t="str">
        <f t="shared" si="3"/>
        <v>2012Q4</v>
      </c>
      <c r="E61" s="13" t="str">
        <f t="shared" si="4"/>
        <v>Chile</v>
      </c>
      <c r="F61" s="13" t="str">
        <f t="shared" si="6"/>
        <v>Wind</v>
      </c>
      <c r="G61" s="13" t="str">
        <f t="shared" si="7"/>
        <v>Asset finance investments</v>
      </c>
      <c r="H61" s="638">
        <f t="shared" si="5"/>
        <v>194.78398767343981</v>
      </c>
      <c r="I61" s="24" t="s">
        <v>87</v>
      </c>
      <c r="J61" s="25" t="s">
        <v>246</v>
      </c>
      <c r="K61" s="25" t="s">
        <v>1810</v>
      </c>
      <c r="L61" s="25" t="s">
        <v>1811</v>
      </c>
      <c r="M61" s="25" t="s">
        <v>8</v>
      </c>
      <c r="N61" s="25" t="s">
        <v>85</v>
      </c>
      <c r="O61" s="25" t="s">
        <v>92</v>
      </c>
      <c r="P61" s="25" t="s">
        <v>83</v>
      </c>
      <c r="Q61" s="25" t="s">
        <v>129</v>
      </c>
      <c r="R61" s="25"/>
      <c r="S61" s="25" t="s">
        <v>101</v>
      </c>
      <c r="T61" s="25" t="s">
        <v>101</v>
      </c>
      <c r="U61" s="25" t="s">
        <v>112</v>
      </c>
      <c r="V61" s="25">
        <v>0</v>
      </c>
      <c r="W61" s="25" t="s">
        <v>249</v>
      </c>
      <c r="X61" s="25" t="s">
        <v>1749</v>
      </c>
      <c r="Y61" s="25" t="s">
        <v>1750</v>
      </c>
      <c r="Z61" s="26">
        <v>41233</v>
      </c>
      <c r="AA61" s="776">
        <v>100</v>
      </c>
      <c r="AB61" s="776">
        <v>0</v>
      </c>
      <c r="AC61" s="776">
        <v>0</v>
      </c>
      <c r="AD61" s="776">
        <v>0</v>
      </c>
      <c r="AE61" s="777">
        <v>141</v>
      </c>
      <c r="AF61" s="777">
        <v>141</v>
      </c>
      <c r="AG61" s="778">
        <v>194.78398767343981</v>
      </c>
    </row>
    <row r="62" spans="1:33" x14ac:dyDescent="0.2">
      <c r="A62" s="15">
        <f t="shared" si="0"/>
        <v>2012</v>
      </c>
      <c r="B62" s="14">
        <f t="shared" si="1"/>
        <v>11</v>
      </c>
      <c r="C62" s="13" t="str">
        <f t="shared" si="2"/>
        <v>Q4</v>
      </c>
      <c r="D62" s="13" t="str">
        <f t="shared" si="3"/>
        <v>2012Q4</v>
      </c>
      <c r="E62" s="13" t="str">
        <f t="shared" si="4"/>
        <v>Brazil</v>
      </c>
      <c r="F62" s="13" t="str">
        <f t="shared" si="6"/>
        <v>Wind</v>
      </c>
      <c r="G62" s="13" t="str">
        <f t="shared" si="7"/>
        <v>Asset finance investments</v>
      </c>
      <c r="H62" s="638">
        <f t="shared" si="5"/>
        <v>192.71181759180746</v>
      </c>
      <c r="I62" s="24" t="s">
        <v>87</v>
      </c>
      <c r="J62" s="25" t="s">
        <v>246</v>
      </c>
      <c r="K62" s="25" t="s">
        <v>1812</v>
      </c>
      <c r="L62" s="25" t="s">
        <v>1813</v>
      </c>
      <c r="M62" s="25" t="s">
        <v>31</v>
      </c>
      <c r="N62" s="25" t="s">
        <v>31</v>
      </c>
      <c r="O62" s="25" t="s">
        <v>92</v>
      </c>
      <c r="P62" s="25" t="s">
        <v>83</v>
      </c>
      <c r="Q62" s="25" t="s">
        <v>82</v>
      </c>
      <c r="R62" s="25" t="s">
        <v>91</v>
      </c>
      <c r="S62" s="25" t="s">
        <v>101</v>
      </c>
      <c r="T62" s="25" t="s">
        <v>101</v>
      </c>
      <c r="U62" s="25" t="s">
        <v>112</v>
      </c>
      <c r="V62" s="25">
        <v>0</v>
      </c>
      <c r="W62" s="25" t="s">
        <v>249</v>
      </c>
      <c r="X62" s="25" t="s">
        <v>1814</v>
      </c>
      <c r="Y62" s="25" t="s">
        <v>1750</v>
      </c>
      <c r="Z62" s="26">
        <v>41219</v>
      </c>
      <c r="AA62" s="776">
        <v>150</v>
      </c>
      <c r="AB62" s="776">
        <v>0</v>
      </c>
      <c r="AC62" s="776">
        <v>0</v>
      </c>
      <c r="AD62" s="776">
        <v>0</v>
      </c>
      <c r="AE62" s="777">
        <v>139.5</v>
      </c>
      <c r="AF62" s="777">
        <v>139.5</v>
      </c>
      <c r="AG62" s="778">
        <v>192.71181759180746</v>
      </c>
    </row>
    <row r="63" spans="1:33" x14ac:dyDescent="0.2">
      <c r="A63" s="15">
        <f t="shared" si="0"/>
        <v>2012</v>
      </c>
      <c r="B63" s="14">
        <f t="shared" si="1"/>
        <v>11</v>
      </c>
      <c r="C63" s="13" t="str">
        <f t="shared" si="2"/>
        <v>Q4</v>
      </c>
      <c r="D63" s="13" t="str">
        <f t="shared" si="3"/>
        <v>2012Q4</v>
      </c>
      <c r="E63" s="13" t="str">
        <f t="shared" si="4"/>
        <v>Peru</v>
      </c>
      <c r="F63" s="13" t="str">
        <f t="shared" si="6"/>
        <v>Solar</v>
      </c>
      <c r="G63" s="13" t="str">
        <f t="shared" si="7"/>
        <v>Asset finance investments</v>
      </c>
      <c r="H63" s="638">
        <f t="shared" si="5"/>
        <v>195.89259730761088</v>
      </c>
      <c r="I63" s="24" t="s">
        <v>87</v>
      </c>
      <c r="J63" s="25" t="s">
        <v>246</v>
      </c>
      <c r="K63" s="25" t="s">
        <v>1815</v>
      </c>
      <c r="L63" s="25" t="s">
        <v>1816</v>
      </c>
      <c r="M63" s="25" t="s">
        <v>20</v>
      </c>
      <c r="N63" s="25" t="s">
        <v>85</v>
      </c>
      <c r="O63" s="25" t="s">
        <v>92</v>
      </c>
      <c r="P63" s="25" t="s">
        <v>83</v>
      </c>
      <c r="Q63" s="25" t="s">
        <v>82</v>
      </c>
      <c r="R63" s="25"/>
      <c r="S63" s="25" t="s">
        <v>80</v>
      </c>
      <c r="T63" s="25" t="s">
        <v>80</v>
      </c>
      <c r="U63" s="25" t="s">
        <v>181</v>
      </c>
      <c r="V63" s="25" t="s">
        <v>232</v>
      </c>
      <c r="W63" s="25" t="s">
        <v>245</v>
      </c>
      <c r="X63" s="25" t="s">
        <v>1752</v>
      </c>
      <c r="Y63" s="25" t="s">
        <v>1753</v>
      </c>
      <c r="Z63" s="26">
        <v>41225</v>
      </c>
      <c r="AA63" s="776">
        <v>40</v>
      </c>
      <c r="AB63" s="776">
        <v>0</v>
      </c>
      <c r="AC63" s="776">
        <v>0</v>
      </c>
      <c r="AD63" s="776">
        <v>0</v>
      </c>
      <c r="AE63" s="777">
        <v>0</v>
      </c>
      <c r="AF63" s="777">
        <v>139.32</v>
      </c>
      <c r="AG63" s="778">
        <v>195.89259730761088</v>
      </c>
    </row>
    <row r="64" spans="1:33" x14ac:dyDescent="0.2">
      <c r="A64" s="15">
        <f t="shared" si="0"/>
        <v>2009</v>
      </c>
      <c r="B64" s="14">
        <f t="shared" si="1"/>
        <v>8</v>
      </c>
      <c r="C64" s="13" t="str">
        <f t="shared" si="2"/>
        <v>Q3</v>
      </c>
      <c r="D64" s="13" t="str">
        <f t="shared" si="3"/>
        <v>2009Q3</v>
      </c>
      <c r="E64" s="13" t="str">
        <f t="shared" si="4"/>
        <v>Brazil</v>
      </c>
      <c r="F64" s="13" t="str">
        <f t="shared" si="6"/>
        <v>Biofuels</v>
      </c>
      <c r="G64" s="13" t="str">
        <f t="shared" si="7"/>
        <v>Asset finance investments</v>
      </c>
      <c r="H64" s="638">
        <f t="shared" si="5"/>
        <v>134.00007219614707</v>
      </c>
      <c r="I64" s="24" t="s">
        <v>87</v>
      </c>
      <c r="J64" s="25" t="s">
        <v>246</v>
      </c>
      <c r="K64" s="25" t="s">
        <v>411</v>
      </c>
      <c r="L64" s="25" t="s">
        <v>410</v>
      </c>
      <c r="M64" s="25" t="s">
        <v>31</v>
      </c>
      <c r="N64" s="25" t="s">
        <v>31</v>
      </c>
      <c r="O64" s="25" t="s">
        <v>92</v>
      </c>
      <c r="P64" s="25" t="s">
        <v>83</v>
      </c>
      <c r="Q64" s="25" t="s">
        <v>82</v>
      </c>
      <c r="R64" s="25" t="s">
        <v>91</v>
      </c>
      <c r="S64" s="25" t="s">
        <v>96</v>
      </c>
      <c r="T64" s="25" t="s">
        <v>96</v>
      </c>
      <c r="U64" s="25" t="s">
        <v>98</v>
      </c>
      <c r="V64" s="25" t="s">
        <v>230</v>
      </c>
      <c r="W64" s="25" t="s">
        <v>245</v>
      </c>
      <c r="X64" s="25" t="s">
        <v>1752</v>
      </c>
      <c r="Y64" s="25" t="s">
        <v>1753</v>
      </c>
      <c r="Z64" s="26">
        <v>40056</v>
      </c>
      <c r="AA64" s="776">
        <v>9</v>
      </c>
      <c r="AB64" s="776">
        <v>115</v>
      </c>
      <c r="AC64" s="776">
        <v>0</v>
      </c>
      <c r="AD64" s="776">
        <v>0</v>
      </c>
      <c r="AE64" s="777">
        <v>0</v>
      </c>
      <c r="AF64" s="777">
        <v>134</v>
      </c>
      <c r="AG64" s="778">
        <v>134.00007219614707</v>
      </c>
    </row>
    <row r="65" spans="1:33" x14ac:dyDescent="0.2">
      <c r="A65" s="15">
        <f t="shared" si="0"/>
        <v>2011</v>
      </c>
      <c r="B65" s="14">
        <f t="shared" si="1"/>
        <v>7</v>
      </c>
      <c r="C65" s="13" t="str">
        <f t="shared" si="2"/>
        <v>Q3</v>
      </c>
      <c r="D65" s="13" t="str">
        <f t="shared" si="3"/>
        <v>2011Q3</v>
      </c>
      <c r="E65" s="13" t="str">
        <f t="shared" si="4"/>
        <v>Brazil</v>
      </c>
      <c r="F65" s="13" t="str">
        <f t="shared" si="6"/>
        <v>Biofuels</v>
      </c>
      <c r="G65" s="13" t="str">
        <f t="shared" si="7"/>
        <v>Corporate finance investments</v>
      </c>
      <c r="H65" s="638">
        <f t="shared" si="5"/>
        <v>128.76788810139865</v>
      </c>
      <c r="I65" s="24" t="s">
        <v>87</v>
      </c>
      <c r="J65" s="25" t="s">
        <v>86</v>
      </c>
      <c r="K65" s="25" t="s">
        <v>199</v>
      </c>
      <c r="L65" s="25" t="s">
        <v>198</v>
      </c>
      <c r="M65" s="25" t="s">
        <v>31</v>
      </c>
      <c r="N65" s="25" t="s">
        <v>31</v>
      </c>
      <c r="O65" s="25" t="s">
        <v>92</v>
      </c>
      <c r="P65" s="25" t="s">
        <v>83</v>
      </c>
      <c r="Q65" s="25" t="s">
        <v>82</v>
      </c>
      <c r="R65" s="25" t="s">
        <v>91</v>
      </c>
      <c r="S65" s="25" t="s">
        <v>96</v>
      </c>
      <c r="T65" s="25" t="s">
        <v>96</v>
      </c>
      <c r="U65" s="25" t="s">
        <v>95</v>
      </c>
      <c r="V65" s="25">
        <v>0</v>
      </c>
      <c r="W65" s="25" t="s">
        <v>97</v>
      </c>
      <c r="X65" s="25" t="s">
        <v>1747</v>
      </c>
      <c r="Y65" s="25" t="e">
        <v>#N/A</v>
      </c>
      <c r="Z65" s="26">
        <v>40725</v>
      </c>
      <c r="AA65" s="776" t="s">
        <v>1748</v>
      </c>
      <c r="AB65" s="776" t="s">
        <v>1748</v>
      </c>
      <c r="AC65" s="776" t="s">
        <v>1748</v>
      </c>
      <c r="AD65" s="776" t="s">
        <v>1748</v>
      </c>
      <c r="AE65" s="777">
        <v>127.9</v>
      </c>
      <c r="AF65" s="777">
        <v>127.9</v>
      </c>
      <c r="AG65" s="778">
        <v>128.76788810139865</v>
      </c>
    </row>
    <row r="66" spans="1:33" x14ac:dyDescent="0.2">
      <c r="A66" s="15">
        <f t="shared" si="0"/>
        <v>2008</v>
      </c>
      <c r="B66" s="14">
        <f t="shared" si="1"/>
        <v>11</v>
      </c>
      <c r="C66" s="13" t="str">
        <f t="shared" si="2"/>
        <v>Q4</v>
      </c>
      <c r="D66" s="13" t="str">
        <f t="shared" si="3"/>
        <v>2008Q4</v>
      </c>
      <c r="E66" s="13" t="str">
        <f t="shared" si="4"/>
        <v>Brazil</v>
      </c>
      <c r="F66" s="13" t="str">
        <f t="shared" si="6"/>
        <v>Biofuels</v>
      </c>
      <c r="G66" s="13" t="str">
        <f t="shared" si="7"/>
        <v>Asset finance investments</v>
      </c>
      <c r="H66" s="638">
        <f t="shared" si="5"/>
        <v>127.97508188271837</v>
      </c>
      <c r="I66" s="24" t="s">
        <v>87</v>
      </c>
      <c r="J66" s="25" t="s">
        <v>246</v>
      </c>
      <c r="K66" s="25" t="s">
        <v>1817</v>
      </c>
      <c r="L66" s="25" t="s">
        <v>1818</v>
      </c>
      <c r="M66" s="25" t="s">
        <v>31</v>
      </c>
      <c r="N66" s="25" t="s">
        <v>31</v>
      </c>
      <c r="O66" s="25" t="s">
        <v>92</v>
      </c>
      <c r="P66" s="25" t="s">
        <v>83</v>
      </c>
      <c r="Q66" s="25" t="s">
        <v>82</v>
      </c>
      <c r="R66" s="25" t="s">
        <v>91</v>
      </c>
      <c r="S66" s="25" t="s">
        <v>96</v>
      </c>
      <c r="T66" s="25" t="s">
        <v>96</v>
      </c>
      <c r="U66" s="25" t="s">
        <v>98</v>
      </c>
      <c r="V66" s="25" t="s">
        <v>230</v>
      </c>
      <c r="W66" s="25" t="s">
        <v>249</v>
      </c>
      <c r="X66" s="25" t="s">
        <v>1749</v>
      </c>
      <c r="Y66" s="25" t="s">
        <v>1750</v>
      </c>
      <c r="Z66" s="26">
        <v>39777</v>
      </c>
      <c r="AA66" s="776">
        <v>0</v>
      </c>
      <c r="AB66" s="776">
        <v>189</v>
      </c>
      <c r="AC66" s="776">
        <v>0</v>
      </c>
      <c r="AD66" s="776">
        <v>0</v>
      </c>
      <c r="AE66" s="777">
        <v>127.6</v>
      </c>
      <c r="AF66" s="777">
        <v>127.6</v>
      </c>
      <c r="AG66" s="778">
        <v>127.97508188271837</v>
      </c>
    </row>
    <row r="67" spans="1:33" x14ac:dyDescent="0.2">
      <c r="A67" s="15">
        <f t="shared" si="0"/>
        <v>2010</v>
      </c>
      <c r="B67" s="14">
        <f t="shared" si="1"/>
        <v>5</v>
      </c>
      <c r="C67" s="13" t="str">
        <f t="shared" si="2"/>
        <v>Q2</v>
      </c>
      <c r="D67" s="13" t="str">
        <f t="shared" si="3"/>
        <v>2010Q2</v>
      </c>
      <c r="E67" s="13" t="str">
        <f t="shared" si="4"/>
        <v>Brazil</v>
      </c>
      <c r="F67" s="13" t="str">
        <f t="shared" si="6"/>
        <v>Biofuels</v>
      </c>
      <c r="G67" s="13" t="str">
        <f t="shared" si="7"/>
        <v>Corporate finance investments</v>
      </c>
      <c r="H67" s="638">
        <f t="shared" si="5"/>
        <v>122.64738887727982</v>
      </c>
      <c r="I67" s="24" t="s">
        <v>87</v>
      </c>
      <c r="J67" s="25" t="s">
        <v>86</v>
      </c>
      <c r="K67" s="25" t="s">
        <v>172</v>
      </c>
      <c r="L67" s="25" t="s">
        <v>168</v>
      </c>
      <c r="M67" s="25" t="s">
        <v>31</v>
      </c>
      <c r="N67" s="25" t="s">
        <v>31</v>
      </c>
      <c r="O67" s="25" t="s">
        <v>92</v>
      </c>
      <c r="P67" s="25" t="s">
        <v>83</v>
      </c>
      <c r="Q67" s="25" t="s">
        <v>82</v>
      </c>
      <c r="R67" s="25" t="s">
        <v>91</v>
      </c>
      <c r="S67" s="25" t="s">
        <v>96</v>
      </c>
      <c r="T67" s="25" t="s">
        <v>96</v>
      </c>
      <c r="U67" s="25" t="s">
        <v>98</v>
      </c>
      <c r="V67" s="25">
        <v>0</v>
      </c>
      <c r="W67" s="25" t="s">
        <v>97</v>
      </c>
      <c r="X67" s="25" t="s">
        <v>1747</v>
      </c>
      <c r="Y67" s="25" t="e">
        <v>#N/A</v>
      </c>
      <c r="Z67" s="26">
        <v>40303</v>
      </c>
      <c r="AA67" s="776" t="s">
        <v>1748</v>
      </c>
      <c r="AB67" s="776" t="s">
        <v>1748</v>
      </c>
      <c r="AC67" s="776" t="s">
        <v>1748</v>
      </c>
      <c r="AD67" s="776" t="s">
        <v>1748</v>
      </c>
      <c r="AE67" s="777">
        <v>0</v>
      </c>
      <c r="AF67" s="777">
        <v>122.556</v>
      </c>
      <c r="AG67" s="778">
        <v>122.64738887727982</v>
      </c>
    </row>
    <row r="68" spans="1:33" x14ac:dyDescent="0.2">
      <c r="A68" s="15">
        <f t="shared" si="0"/>
        <v>2010</v>
      </c>
      <c r="B68" s="14">
        <f t="shared" si="1"/>
        <v>11</v>
      </c>
      <c r="C68" s="13" t="str">
        <f t="shared" si="2"/>
        <v>Q4</v>
      </c>
      <c r="D68" s="13" t="str">
        <f t="shared" si="3"/>
        <v>2010Q4</v>
      </c>
      <c r="E68" s="13" t="str">
        <f t="shared" si="4"/>
        <v>Brazil</v>
      </c>
      <c r="F68" s="13" t="str">
        <f t="shared" si="6"/>
        <v>Biofuels</v>
      </c>
      <c r="G68" s="13" t="str">
        <f t="shared" si="7"/>
        <v>Corporate finance investments</v>
      </c>
      <c r="H68" s="638">
        <f t="shared" si="5"/>
        <v>122.64738887727982</v>
      </c>
      <c r="I68" s="24" t="s">
        <v>87</v>
      </c>
      <c r="J68" s="25" t="s">
        <v>86</v>
      </c>
      <c r="K68" s="25" t="s">
        <v>169</v>
      </c>
      <c r="L68" s="25" t="s">
        <v>168</v>
      </c>
      <c r="M68" s="25" t="s">
        <v>31</v>
      </c>
      <c r="N68" s="25" t="s">
        <v>31</v>
      </c>
      <c r="O68" s="25" t="s">
        <v>92</v>
      </c>
      <c r="P68" s="25" t="s">
        <v>83</v>
      </c>
      <c r="Q68" s="25" t="s">
        <v>82</v>
      </c>
      <c r="R68" s="25" t="s">
        <v>91</v>
      </c>
      <c r="S68" s="25" t="s">
        <v>96</v>
      </c>
      <c r="T68" s="25" t="s">
        <v>96</v>
      </c>
      <c r="U68" s="25" t="s">
        <v>98</v>
      </c>
      <c r="V68" s="25">
        <v>0</v>
      </c>
      <c r="W68" s="25" t="s">
        <v>97</v>
      </c>
      <c r="X68" s="25" t="s">
        <v>1747</v>
      </c>
      <c r="Y68" s="25" t="e">
        <v>#N/A</v>
      </c>
      <c r="Z68" s="26">
        <v>40507</v>
      </c>
      <c r="AA68" s="776" t="s">
        <v>1748</v>
      </c>
      <c r="AB68" s="776" t="s">
        <v>1748</v>
      </c>
      <c r="AC68" s="776" t="s">
        <v>1748</v>
      </c>
      <c r="AD68" s="776" t="s">
        <v>1748</v>
      </c>
      <c r="AE68" s="777">
        <v>0</v>
      </c>
      <c r="AF68" s="777">
        <v>122.556</v>
      </c>
      <c r="AG68" s="778">
        <v>122.64738887727982</v>
      </c>
    </row>
    <row r="69" spans="1:33" x14ac:dyDescent="0.2">
      <c r="A69" s="15">
        <f t="shared" si="0"/>
        <v>2010</v>
      </c>
      <c r="B69" s="14">
        <f t="shared" si="1"/>
        <v>12</v>
      </c>
      <c r="C69" s="13" t="str">
        <f t="shared" si="2"/>
        <v>Q4</v>
      </c>
      <c r="D69" s="13" t="str">
        <f t="shared" si="3"/>
        <v>2010Q4</v>
      </c>
      <c r="E69" s="13" t="str">
        <f t="shared" si="4"/>
        <v>Brazil</v>
      </c>
      <c r="F69" s="13" t="str">
        <f t="shared" si="6"/>
        <v>Wind</v>
      </c>
      <c r="G69" s="13" t="str">
        <f t="shared" si="7"/>
        <v>Asset finance investments</v>
      </c>
      <c r="H69" s="638">
        <f t="shared" si="5"/>
        <v>121.29037772060377</v>
      </c>
      <c r="I69" s="24" t="s">
        <v>87</v>
      </c>
      <c r="J69" s="25" t="s">
        <v>246</v>
      </c>
      <c r="K69" s="25" t="s">
        <v>1819</v>
      </c>
      <c r="L69" s="25" t="s">
        <v>1820</v>
      </c>
      <c r="M69" s="25" t="s">
        <v>31</v>
      </c>
      <c r="N69" s="25" t="s">
        <v>31</v>
      </c>
      <c r="O69" s="25" t="s">
        <v>92</v>
      </c>
      <c r="P69" s="25" t="s">
        <v>83</v>
      </c>
      <c r="Q69" s="25" t="s">
        <v>82</v>
      </c>
      <c r="R69" s="25" t="s">
        <v>91</v>
      </c>
      <c r="S69" s="25" t="s">
        <v>101</v>
      </c>
      <c r="T69" s="25" t="s">
        <v>101</v>
      </c>
      <c r="U69" s="25" t="s">
        <v>112</v>
      </c>
      <c r="V69" s="25">
        <v>0</v>
      </c>
      <c r="W69" s="25" t="s">
        <v>245</v>
      </c>
      <c r="X69" s="25" t="s">
        <v>1752</v>
      </c>
      <c r="Y69" s="25" t="s">
        <v>1753</v>
      </c>
      <c r="Z69" s="26">
        <v>40543</v>
      </c>
      <c r="AA69" s="776">
        <v>60</v>
      </c>
      <c r="AB69" s="776">
        <v>0</v>
      </c>
      <c r="AC69" s="776">
        <v>0</v>
      </c>
      <c r="AD69" s="776">
        <v>0</v>
      </c>
      <c r="AE69" s="777">
        <v>0</v>
      </c>
      <c r="AF69" s="777">
        <v>121.2</v>
      </c>
      <c r="AG69" s="778">
        <v>121.29037772060377</v>
      </c>
    </row>
    <row r="70" spans="1:33" x14ac:dyDescent="0.2">
      <c r="A70" s="15">
        <f t="shared" ref="A70:A133" si="8">IF(K70="","",IF(AND(YEAR(Z70)&lt;2004,YEAR(Z70)&gt;1910),2004,YEAR(Z70)))</f>
        <v>2008</v>
      </c>
      <c r="B70" s="14">
        <f t="shared" ref="B70:B133" si="9">IF(K70="","",IF(ISNUMBER(Z70),MONTH(Z70),0))</f>
        <v>3</v>
      </c>
      <c r="C70" s="13" t="str">
        <f t="shared" ref="C70:C133" si="10">IF(K70="","",IF(AND(B70&gt;=1,B70&lt;=3),"Q1",IF(AND(B70&gt;3,B70&lt;=6),"Q2",IF(AND(B70&gt;6,B70&lt;=9),"Q3",IF(AND(B70&gt;9,B70&lt;=12),"Q4",0)))))</f>
        <v>Q1</v>
      </c>
      <c r="D70" s="13" t="str">
        <f t="shared" ref="D70:D133" si="11">IF(A70&lt;2006, "&lt; 2006", A70&amp;C70)</f>
        <v>2008Q1</v>
      </c>
      <c r="E70" s="13" t="str">
        <f t="shared" ref="E70:E133" si="12">IF(K70="","", M70)</f>
        <v>Brazil</v>
      </c>
      <c r="F70" s="13" t="str">
        <f t="shared" si="6"/>
        <v>Small Hydro</v>
      </c>
      <c r="G70" s="13" t="str">
        <f t="shared" si="7"/>
        <v>Asset finance investments</v>
      </c>
      <c r="H70" s="638">
        <f t="shared" ref="H70:H133" si="13">IF(K70="","",AG70)</f>
        <v>125.22856111110046</v>
      </c>
      <c r="I70" s="24" t="s">
        <v>87</v>
      </c>
      <c r="J70" s="25" t="s">
        <v>246</v>
      </c>
      <c r="K70" s="25" t="s">
        <v>360</v>
      </c>
      <c r="L70" s="25" t="s">
        <v>359</v>
      </c>
      <c r="M70" s="25" t="s">
        <v>31</v>
      </c>
      <c r="N70" s="25" t="s">
        <v>31</v>
      </c>
      <c r="O70" s="25" t="s">
        <v>92</v>
      </c>
      <c r="P70" s="25" t="s">
        <v>83</v>
      </c>
      <c r="Q70" s="25" t="s">
        <v>82</v>
      </c>
      <c r="R70" s="25" t="s">
        <v>91</v>
      </c>
      <c r="S70" s="25" t="s">
        <v>126</v>
      </c>
      <c r="T70" s="25" t="s">
        <v>125</v>
      </c>
      <c r="U70" s="25" t="s">
        <v>247</v>
      </c>
      <c r="V70" s="25">
        <v>0</v>
      </c>
      <c r="W70" s="25" t="s">
        <v>245</v>
      </c>
      <c r="X70" s="25" t="s">
        <v>1752</v>
      </c>
      <c r="Y70" s="25" t="s">
        <v>1753</v>
      </c>
      <c r="Z70" s="26">
        <v>39521.449305555601</v>
      </c>
      <c r="AA70" s="776">
        <v>16</v>
      </c>
      <c r="AB70" s="776">
        <v>0</v>
      </c>
      <c r="AC70" s="776">
        <v>0</v>
      </c>
      <c r="AD70" s="776">
        <v>0</v>
      </c>
      <c r="AE70" s="777">
        <v>0</v>
      </c>
      <c r="AF70" s="777">
        <v>118</v>
      </c>
      <c r="AG70" s="778">
        <v>125.22856111110046</v>
      </c>
    </row>
    <row r="71" spans="1:33" x14ac:dyDescent="0.2">
      <c r="A71" s="15">
        <f t="shared" si="8"/>
        <v>2010</v>
      </c>
      <c r="B71" s="14">
        <f t="shared" si="9"/>
        <v>11</v>
      </c>
      <c r="C71" s="13" t="str">
        <f t="shared" si="10"/>
        <v>Q4</v>
      </c>
      <c r="D71" s="13" t="str">
        <f t="shared" si="11"/>
        <v>2010Q4</v>
      </c>
      <c r="E71" s="13" t="str">
        <f t="shared" si="12"/>
        <v>Brazil</v>
      </c>
      <c r="F71" s="13" t="str">
        <f t="shared" ref="F71:F134" si="14">IF(K71="","",IF(OR(T71="Wind",T71="Solar",T71="Geothermal",T71="Small Hydro",T71="Biofuels",T71="Biomass &amp; Waste"),T71,"Other Clean Energy"))</f>
        <v>Small Hydro</v>
      </c>
      <c r="G71" s="13" t="str">
        <f t="shared" ref="G71:G134" si="15">IF(K71="","",IF(OR(J71="PM",J71="MA"), "Corporate finance investments", IF(J71="VCPE", "VC/PE investments", IF(J71="AF", "Asset finance investments"))))</f>
        <v>Asset finance investments</v>
      </c>
      <c r="H71" s="638">
        <f t="shared" si="13"/>
        <v>114.92563512734436</v>
      </c>
      <c r="I71" s="24" t="s">
        <v>87</v>
      </c>
      <c r="J71" s="25" t="s">
        <v>246</v>
      </c>
      <c r="K71" s="25" t="s">
        <v>445</v>
      </c>
      <c r="L71" s="25" t="s">
        <v>444</v>
      </c>
      <c r="M71" s="25" t="s">
        <v>31</v>
      </c>
      <c r="N71" s="25" t="s">
        <v>31</v>
      </c>
      <c r="O71" s="25" t="s">
        <v>92</v>
      </c>
      <c r="P71" s="25" t="s">
        <v>83</v>
      </c>
      <c r="Q71" s="25" t="s">
        <v>82</v>
      </c>
      <c r="R71" s="25" t="s">
        <v>91</v>
      </c>
      <c r="S71" s="25" t="s">
        <v>126</v>
      </c>
      <c r="T71" s="25" t="s">
        <v>125</v>
      </c>
      <c r="U71" s="25" t="s">
        <v>247</v>
      </c>
      <c r="V71" s="25">
        <v>0</v>
      </c>
      <c r="W71" s="25" t="s">
        <v>245</v>
      </c>
      <c r="X71" s="25" t="s">
        <v>1752</v>
      </c>
      <c r="Y71" s="25" t="s">
        <v>1753</v>
      </c>
      <c r="Z71" s="26">
        <v>40487</v>
      </c>
      <c r="AA71" s="776">
        <v>49.5</v>
      </c>
      <c r="AB71" s="776">
        <v>0</v>
      </c>
      <c r="AC71" s="776">
        <v>0</v>
      </c>
      <c r="AD71" s="776">
        <v>0</v>
      </c>
      <c r="AE71" s="777">
        <v>0</v>
      </c>
      <c r="AF71" s="777">
        <v>114.84</v>
      </c>
      <c r="AG71" s="778">
        <v>114.92563512734436</v>
      </c>
    </row>
    <row r="72" spans="1:33" x14ac:dyDescent="0.2">
      <c r="A72" s="15">
        <f t="shared" si="8"/>
        <v>2010</v>
      </c>
      <c r="B72" s="14">
        <f t="shared" si="9"/>
        <v>1</v>
      </c>
      <c r="C72" s="13" t="str">
        <f t="shared" si="10"/>
        <v>Q1</v>
      </c>
      <c r="D72" s="13" t="str">
        <f t="shared" si="11"/>
        <v>2010Q1</v>
      </c>
      <c r="E72" s="13" t="str">
        <f t="shared" si="12"/>
        <v>Chile</v>
      </c>
      <c r="F72" s="13" t="str">
        <f t="shared" si="14"/>
        <v>Wind</v>
      </c>
      <c r="G72" s="13" t="str">
        <f t="shared" si="15"/>
        <v>Asset finance investments</v>
      </c>
      <c r="H72" s="638">
        <f t="shared" si="13"/>
        <v>112.29467470632565</v>
      </c>
      <c r="I72" s="24" t="s">
        <v>87</v>
      </c>
      <c r="J72" s="25" t="s">
        <v>246</v>
      </c>
      <c r="K72" s="25" t="s">
        <v>1821</v>
      </c>
      <c r="L72" s="25" t="s">
        <v>1822</v>
      </c>
      <c r="M72" s="25" t="s">
        <v>8</v>
      </c>
      <c r="N72" s="25" t="s">
        <v>85</v>
      </c>
      <c r="O72" s="25" t="s">
        <v>92</v>
      </c>
      <c r="P72" s="25" t="s">
        <v>83</v>
      </c>
      <c r="Q72" s="25" t="s">
        <v>129</v>
      </c>
      <c r="R72" s="25"/>
      <c r="S72" s="25" t="s">
        <v>101</v>
      </c>
      <c r="T72" s="25" t="s">
        <v>101</v>
      </c>
      <c r="U72" s="25" t="s">
        <v>112</v>
      </c>
      <c r="V72" s="25">
        <v>0</v>
      </c>
      <c r="W72" s="25" t="s">
        <v>245</v>
      </c>
      <c r="X72" s="25" t="s">
        <v>1752</v>
      </c>
      <c r="Y72" s="25" t="s">
        <v>1753</v>
      </c>
      <c r="Z72" s="26">
        <v>40209</v>
      </c>
      <c r="AA72" s="776">
        <v>101</v>
      </c>
      <c r="AB72" s="776">
        <v>0</v>
      </c>
      <c r="AC72" s="776">
        <v>0</v>
      </c>
      <c r="AD72" s="776">
        <v>0</v>
      </c>
      <c r="AE72" s="777">
        <v>0</v>
      </c>
      <c r="AF72" s="777">
        <v>112.211</v>
      </c>
      <c r="AG72" s="778">
        <v>112.29467470632565</v>
      </c>
    </row>
    <row r="73" spans="1:33" x14ac:dyDescent="0.2">
      <c r="A73" s="15">
        <f t="shared" si="8"/>
        <v>2011</v>
      </c>
      <c r="B73" s="14">
        <f t="shared" si="9"/>
        <v>4</v>
      </c>
      <c r="C73" s="13" t="str">
        <f t="shared" si="10"/>
        <v>Q2</v>
      </c>
      <c r="D73" s="13" t="str">
        <f t="shared" si="11"/>
        <v>2011Q2</v>
      </c>
      <c r="E73" s="13" t="str">
        <f t="shared" si="12"/>
        <v>Guatemala</v>
      </c>
      <c r="F73" s="13" t="str">
        <f t="shared" si="14"/>
        <v>Small Hydro</v>
      </c>
      <c r="G73" s="13" t="str">
        <f t="shared" si="15"/>
        <v>Asset finance investments</v>
      </c>
      <c r="H73" s="638">
        <f t="shared" si="13"/>
        <v>108.73285312706061</v>
      </c>
      <c r="I73" s="24" t="s">
        <v>87</v>
      </c>
      <c r="J73" s="25" t="s">
        <v>246</v>
      </c>
      <c r="K73" s="25" t="s">
        <v>496</v>
      </c>
      <c r="L73" s="25" t="s">
        <v>495</v>
      </c>
      <c r="M73" s="25" t="s">
        <v>13</v>
      </c>
      <c r="N73" s="25" t="s">
        <v>85</v>
      </c>
      <c r="O73" s="25" t="s">
        <v>92</v>
      </c>
      <c r="P73" s="25" t="s">
        <v>83</v>
      </c>
      <c r="Q73" s="25" t="s">
        <v>82</v>
      </c>
      <c r="R73" s="25"/>
      <c r="S73" s="25" t="s">
        <v>126</v>
      </c>
      <c r="T73" s="25" t="s">
        <v>125</v>
      </c>
      <c r="U73" s="25" t="s">
        <v>247</v>
      </c>
      <c r="V73" s="25">
        <v>0</v>
      </c>
      <c r="W73" s="25" t="s">
        <v>245</v>
      </c>
      <c r="X73" s="25" t="s">
        <v>1752</v>
      </c>
      <c r="Y73" s="25" t="s">
        <v>1753</v>
      </c>
      <c r="Z73" s="26">
        <v>40653</v>
      </c>
      <c r="AA73" s="776">
        <v>45</v>
      </c>
      <c r="AB73" s="776">
        <v>0</v>
      </c>
      <c r="AC73" s="776">
        <v>0</v>
      </c>
      <c r="AD73" s="776">
        <v>0</v>
      </c>
      <c r="AE73" s="777">
        <v>0</v>
      </c>
      <c r="AF73" s="777">
        <v>108</v>
      </c>
      <c r="AG73" s="778">
        <v>108.73285312706061</v>
      </c>
    </row>
    <row r="74" spans="1:33" x14ac:dyDescent="0.2">
      <c r="A74" s="15">
        <f t="shared" si="8"/>
        <v>2007</v>
      </c>
      <c r="B74" s="14">
        <f t="shared" si="9"/>
        <v>4</v>
      </c>
      <c r="C74" s="13" t="str">
        <f t="shared" si="10"/>
        <v>Q2</v>
      </c>
      <c r="D74" s="13" t="str">
        <f t="shared" si="11"/>
        <v>2007Q2</v>
      </c>
      <c r="E74" s="13" t="str">
        <f t="shared" si="12"/>
        <v>Brazil</v>
      </c>
      <c r="F74" s="13" t="str">
        <f t="shared" si="14"/>
        <v>Biofuels</v>
      </c>
      <c r="G74" s="13" t="str">
        <f t="shared" si="15"/>
        <v>Asset finance investments</v>
      </c>
      <c r="H74" s="638">
        <f t="shared" si="13"/>
        <v>109.252585340284</v>
      </c>
      <c r="I74" s="24" t="s">
        <v>87</v>
      </c>
      <c r="J74" s="25" t="s">
        <v>246</v>
      </c>
      <c r="K74" s="25" t="s">
        <v>308</v>
      </c>
      <c r="L74" s="25" t="s">
        <v>307</v>
      </c>
      <c r="M74" s="25" t="s">
        <v>31</v>
      </c>
      <c r="N74" s="25" t="s">
        <v>31</v>
      </c>
      <c r="O74" s="25" t="s">
        <v>92</v>
      </c>
      <c r="P74" s="25" t="s">
        <v>83</v>
      </c>
      <c r="Q74" s="25" t="s">
        <v>82</v>
      </c>
      <c r="R74" s="25" t="s">
        <v>91</v>
      </c>
      <c r="S74" s="25" t="s">
        <v>96</v>
      </c>
      <c r="T74" s="25" t="s">
        <v>96</v>
      </c>
      <c r="U74" s="25" t="s">
        <v>98</v>
      </c>
      <c r="V74" s="25" t="s">
        <v>230</v>
      </c>
      <c r="W74" s="25" t="s">
        <v>245</v>
      </c>
      <c r="X74" s="25" t="s">
        <v>1749</v>
      </c>
      <c r="Y74" s="25" t="s">
        <v>1750</v>
      </c>
      <c r="Z74" s="26">
        <v>39184.78125</v>
      </c>
      <c r="AA74" s="776">
        <v>0</v>
      </c>
      <c r="AB74" s="776">
        <v>154.80000000000001</v>
      </c>
      <c r="AC74" s="776">
        <v>0</v>
      </c>
      <c r="AD74" s="776">
        <v>0</v>
      </c>
      <c r="AE74" s="777">
        <v>107.9</v>
      </c>
      <c r="AF74" s="777">
        <v>107.9</v>
      </c>
      <c r="AG74" s="778">
        <v>109.252585340284</v>
      </c>
    </row>
    <row r="75" spans="1:33" x14ac:dyDescent="0.2">
      <c r="A75" s="15">
        <f t="shared" si="8"/>
        <v>2007</v>
      </c>
      <c r="B75" s="14">
        <f t="shared" si="9"/>
        <v>2</v>
      </c>
      <c r="C75" s="13" t="str">
        <f t="shared" si="10"/>
        <v>Q1</v>
      </c>
      <c r="D75" s="13" t="str">
        <f t="shared" si="11"/>
        <v>2007Q1</v>
      </c>
      <c r="E75" s="13" t="str">
        <f t="shared" si="12"/>
        <v>Brazil</v>
      </c>
      <c r="F75" s="13" t="str">
        <f t="shared" si="14"/>
        <v>Biofuels</v>
      </c>
      <c r="G75" s="13" t="str">
        <f t="shared" si="15"/>
        <v>Corporate finance investments</v>
      </c>
      <c r="H75" s="638">
        <f t="shared" si="13"/>
        <v>108.49527569688172</v>
      </c>
      <c r="I75" s="24" t="s">
        <v>87</v>
      </c>
      <c r="J75" s="25" t="s">
        <v>211</v>
      </c>
      <c r="K75" s="25" t="s">
        <v>210</v>
      </c>
      <c r="L75" s="25" t="s">
        <v>209</v>
      </c>
      <c r="M75" s="25" t="s">
        <v>31</v>
      </c>
      <c r="N75" s="25" t="s">
        <v>31</v>
      </c>
      <c r="O75" s="25" t="s">
        <v>92</v>
      </c>
      <c r="P75" s="25" t="s">
        <v>83</v>
      </c>
      <c r="Q75" s="25" t="s">
        <v>82</v>
      </c>
      <c r="R75" s="25" t="s">
        <v>91</v>
      </c>
      <c r="S75" s="25" t="s">
        <v>96</v>
      </c>
      <c r="T75" s="25" t="s">
        <v>96</v>
      </c>
      <c r="U75" s="25">
        <v>0</v>
      </c>
      <c r="V75" s="25">
        <v>0</v>
      </c>
      <c r="W75" s="25" t="s">
        <v>31</v>
      </c>
      <c r="X75" s="25" t="s">
        <v>208</v>
      </c>
      <c r="Y75" s="25" t="s">
        <v>208</v>
      </c>
      <c r="Z75" s="26">
        <v>39125</v>
      </c>
      <c r="AA75" s="776" t="s">
        <v>1823</v>
      </c>
      <c r="AB75" s="776">
        <v>97.1</v>
      </c>
      <c r="AC75" s="776">
        <v>200.9</v>
      </c>
      <c r="AD75" s="776">
        <v>0</v>
      </c>
      <c r="AE75" s="777">
        <v>103.8</v>
      </c>
      <c r="AF75" s="777">
        <v>103.8</v>
      </c>
      <c r="AG75" s="778">
        <v>108.49527569688172</v>
      </c>
    </row>
    <row r="76" spans="1:33" x14ac:dyDescent="0.2">
      <c r="A76" s="15">
        <f t="shared" si="8"/>
        <v>2010</v>
      </c>
      <c r="B76" s="14">
        <f t="shared" si="9"/>
        <v>4</v>
      </c>
      <c r="C76" s="13" t="str">
        <f t="shared" si="10"/>
        <v>Q2</v>
      </c>
      <c r="D76" s="13" t="str">
        <f t="shared" si="11"/>
        <v>2010Q2</v>
      </c>
      <c r="E76" s="13" t="str">
        <f t="shared" si="12"/>
        <v>Brazil</v>
      </c>
      <c r="F76" s="13" t="str">
        <f t="shared" si="14"/>
        <v>Biofuels</v>
      </c>
      <c r="G76" s="13" t="str">
        <f t="shared" si="15"/>
        <v>Asset finance investments</v>
      </c>
      <c r="H76" s="638">
        <f t="shared" si="13"/>
        <v>101.37553847439902</v>
      </c>
      <c r="I76" s="24" t="s">
        <v>87</v>
      </c>
      <c r="J76" s="25" t="s">
        <v>246</v>
      </c>
      <c r="K76" s="25" t="s">
        <v>437</v>
      </c>
      <c r="L76" s="25" t="s">
        <v>436</v>
      </c>
      <c r="M76" s="25" t="s">
        <v>31</v>
      </c>
      <c r="N76" s="25" t="s">
        <v>31</v>
      </c>
      <c r="O76" s="25" t="s">
        <v>92</v>
      </c>
      <c r="P76" s="25" t="s">
        <v>83</v>
      </c>
      <c r="Q76" s="25" t="s">
        <v>82</v>
      </c>
      <c r="R76" s="25" t="s">
        <v>91</v>
      </c>
      <c r="S76" s="25" t="s">
        <v>96</v>
      </c>
      <c r="T76" s="25" t="s">
        <v>96</v>
      </c>
      <c r="U76" s="25" t="s">
        <v>98</v>
      </c>
      <c r="V76" s="25" t="s">
        <v>230</v>
      </c>
      <c r="W76" s="25" t="s">
        <v>245</v>
      </c>
      <c r="X76" s="25" t="s">
        <v>1752</v>
      </c>
      <c r="Y76" s="25" t="s">
        <v>1753</v>
      </c>
      <c r="Z76" s="26">
        <v>40274</v>
      </c>
      <c r="AA76" s="776">
        <v>0</v>
      </c>
      <c r="AB76" s="776">
        <v>67</v>
      </c>
      <c r="AC76" s="776">
        <v>0</v>
      </c>
      <c r="AD76" s="776">
        <v>0</v>
      </c>
      <c r="AE76" s="777">
        <v>101.3</v>
      </c>
      <c r="AF76" s="777">
        <v>101.3</v>
      </c>
      <c r="AG76" s="778">
        <v>101.37553847439902</v>
      </c>
    </row>
    <row r="77" spans="1:33" x14ac:dyDescent="0.2">
      <c r="A77" s="15">
        <f t="shared" si="8"/>
        <v>2006</v>
      </c>
      <c r="B77" s="14">
        <f t="shared" si="9"/>
        <v>7</v>
      </c>
      <c r="C77" s="13" t="str">
        <f t="shared" si="10"/>
        <v>Q3</v>
      </c>
      <c r="D77" s="13" t="str">
        <f t="shared" si="11"/>
        <v>2006Q3</v>
      </c>
      <c r="E77" s="13" t="str">
        <f t="shared" si="12"/>
        <v>Mexico</v>
      </c>
      <c r="F77" s="13" t="str">
        <f t="shared" si="14"/>
        <v>Geothermal</v>
      </c>
      <c r="G77" s="13" t="str">
        <f t="shared" si="15"/>
        <v>Asset finance investments</v>
      </c>
      <c r="H77" s="638">
        <f t="shared" si="13"/>
        <v>103.934</v>
      </c>
      <c r="I77" s="24" t="s">
        <v>87</v>
      </c>
      <c r="J77" s="25" t="s">
        <v>246</v>
      </c>
      <c r="K77" s="25" t="s">
        <v>270</v>
      </c>
      <c r="L77" s="25" t="s">
        <v>269</v>
      </c>
      <c r="M77" s="25" t="s">
        <v>18</v>
      </c>
      <c r="N77" s="25" t="s">
        <v>85</v>
      </c>
      <c r="O77" s="25" t="s">
        <v>92</v>
      </c>
      <c r="P77" s="25" t="s">
        <v>83</v>
      </c>
      <c r="Q77" s="25" t="s">
        <v>129</v>
      </c>
      <c r="R77" s="25"/>
      <c r="S77" s="25" t="s">
        <v>157</v>
      </c>
      <c r="T77" s="25" t="s">
        <v>157</v>
      </c>
      <c r="U77" s="25" t="s">
        <v>156</v>
      </c>
      <c r="V77" s="25" t="s">
        <v>248</v>
      </c>
      <c r="W77" s="25" t="s">
        <v>249</v>
      </c>
      <c r="X77" s="25" t="s">
        <v>268</v>
      </c>
      <c r="Y77" s="25" t="s">
        <v>1750</v>
      </c>
      <c r="Z77" s="26">
        <v>38924</v>
      </c>
      <c r="AA77" s="776">
        <v>100</v>
      </c>
      <c r="AB77" s="776">
        <v>0</v>
      </c>
      <c r="AC77" s="776">
        <v>0</v>
      </c>
      <c r="AD77" s="776">
        <v>0</v>
      </c>
      <c r="AE77" s="777">
        <v>101</v>
      </c>
      <c r="AF77" s="777">
        <v>101</v>
      </c>
      <c r="AG77" s="778">
        <v>103.934</v>
      </c>
    </row>
    <row r="78" spans="1:33" x14ac:dyDescent="0.2">
      <c r="A78" s="15">
        <f t="shared" si="8"/>
        <v>2008</v>
      </c>
      <c r="B78" s="14">
        <f t="shared" si="9"/>
        <v>2</v>
      </c>
      <c r="C78" s="13" t="str">
        <f t="shared" si="10"/>
        <v>Q1</v>
      </c>
      <c r="D78" s="13" t="str">
        <f t="shared" si="11"/>
        <v>2008Q1</v>
      </c>
      <c r="E78" s="13" t="str">
        <f t="shared" si="12"/>
        <v>Brazil</v>
      </c>
      <c r="F78" s="13" t="str">
        <f t="shared" si="14"/>
        <v>Biofuels</v>
      </c>
      <c r="G78" s="13" t="str">
        <f t="shared" si="15"/>
        <v>Asset finance investments</v>
      </c>
      <c r="H78" s="638">
        <f t="shared" si="13"/>
        <v>100.2397925850327</v>
      </c>
      <c r="I78" s="24" t="s">
        <v>87</v>
      </c>
      <c r="J78" s="25" t="s">
        <v>246</v>
      </c>
      <c r="K78" s="25" t="s">
        <v>354</v>
      </c>
      <c r="L78" s="25" t="s">
        <v>353</v>
      </c>
      <c r="M78" s="25" t="s">
        <v>31</v>
      </c>
      <c r="N78" s="25" t="s">
        <v>31</v>
      </c>
      <c r="O78" s="25" t="s">
        <v>92</v>
      </c>
      <c r="P78" s="25" t="s">
        <v>83</v>
      </c>
      <c r="Q78" s="25" t="s">
        <v>82</v>
      </c>
      <c r="R78" s="25" t="s">
        <v>91</v>
      </c>
      <c r="S78" s="25" t="s">
        <v>96</v>
      </c>
      <c r="T78" s="25" t="s">
        <v>96</v>
      </c>
      <c r="U78" s="25" t="s">
        <v>98</v>
      </c>
      <c r="V78" s="25" t="s">
        <v>230</v>
      </c>
      <c r="W78" s="25" t="s">
        <v>245</v>
      </c>
      <c r="X78" s="25" t="s">
        <v>1752</v>
      </c>
      <c r="Y78" s="25" t="s">
        <v>1753</v>
      </c>
      <c r="Z78" s="26">
        <v>39506</v>
      </c>
      <c r="AA78" s="776">
        <v>7.2</v>
      </c>
      <c r="AB78" s="776">
        <v>260</v>
      </c>
      <c r="AC78" s="776">
        <v>0</v>
      </c>
      <c r="AD78" s="776">
        <v>0</v>
      </c>
      <c r="AE78" s="777">
        <v>0</v>
      </c>
      <c r="AF78" s="777">
        <v>99.945999999999998</v>
      </c>
      <c r="AG78" s="778">
        <v>100.2397925850327</v>
      </c>
    </row>
    <row r="79" spans="1:33" x14ac:dyDescent="0.2">
      <c r="A79" s="15">
        <f t="shared" si="8"/>
        <v>2011</v>
      </c>
      <c r="B79" s="14">
        <f t="shared" si="9"/>
        <v>6</v>
      </c>
      <c r="C79" s="13" t="str">
        <f t="shared" si="10"/>
        <v>Q2</v>
      </c>
      <c r="D79" s="13" t="str">
        <f t="shared" si="11"/>
        <v>2011Q2</v>
      </c>
      <c r="E79" s="13" t="str">
        <f t="shared" si="12"/>
        <v>Chile</v>
      </c>
      <c r="F79" s="13" t="str">
        <f t="shared" si="14"/>
        <v>Small Hydro</v>
      </c>
      <c r="G79" s="13" t="str">
        <f t="shared" si="15"/>
        <v>Asset finance investments</v>
      </c>
      <c r="H79" s="638">
        <f t="shared" si="13"/>
        <v>97.859567814354548</v>
      </c>
      <c r="I79" s="24" t="s">
        <v>87</v>
      </c>
      <c r="J79" s="25" t="s">
        <v>246</v>
      </c>
      <c r="K79" s="25" t="s">
        <v>492</v>
      </c>
      <c r="L79" s="25" t="s">
        <v>491</v>
      </c>
      <c r="M79" s="25" t="s">
        <v>8</v>
      </c>
      <c r="N79" s="25" t="s">
        <v>85</v>
      </c>
      <c r="O79" s="25" t="s">
        <v>92</v>
      </c>
      <c r="P79" s="25" t="s">
        <v>83</v>
      </c>
      <c r="Q79" s="25" t="s">
        <v>129</v>
      </c>
      <c r="R79" s="25"/>
      <c r="S79" s="25" t="s">
        <v>126</v>
      </c>
      <c r="T79" s="25" t="s">
        <v>125</v>
      </c>
      <c r="U79" s="25" t="s">
        <v>247</v>
      </c>
      <c r="V79" s="25">
        <v>0</v>
      </c>
      <c r="W79" s="25" t="s">
        <v>249</v>
      </c>
      <c r="X79" s="25" t="s">
        <v>1771</v>
      </c>
      <c r="Y79" s="25" t="s">
        <v>1750</v>
      </c>
      <c r="Z79" s="26">
        <v>40709</v>
      </c>
      <c r="AA79" s="776">
        <v>36</v>
      </c>
      <c r="AB79" s="776">
        <v>0</v>
      </c>
      <c r="AC79" s="776">
        <v>0</v>
      </c>
      <c r="AD79" s="776">
        <v>0</v>
      </c>
      <c r="AE79" s="777">
        <v>0</v>
      </c>
      <c r="AF79" s="777">
        <v>97.2</v>
      </c>
      <c r="AG79" s="778">
        <v>97.859567814354548</v>
      </c>
    </row>
    <row r="80" spans="1:33" x14ac:dyDescent="0.2">
      <c r="A80" s="15">
        <f t="shared" si="8"/>
        <v>2012</v>
      </c>
      <c r="B80" s="14">
        <f t="shared" si="9"/>
        <v>10</v>
      </c>
      <c r="C80" s="13" t="str">
        <f t="shared" si="10"/>
        <v>Q4</v>
      </c>
      <c r="D80" s="13" t="str">
        <f t="shared" si="11"/>
        <v>2012Q4</v>
      </c>
      <c r="E80" s="13" t="str">
        <f t="shared" si="12"/>
        <v>Brazil</v>
      </c>
      <c r="F80" s="13" t="str">
        <f t="shared" si="14"/>
        <v>Wind</v>
      </c>
      <c r="G80" s="13" t="str">
        <f t="shared" si="15"/>
        <v>Asset finance investments</v>
      </c>
      <c r="H80" s="638">
        <f t="shared" si="13"/>
        <v>131.79001719181673</v>
      </c>
      <c r="I80" s="24" t="s">
        <v>87</v>
      </c>
      <c r="J80" s="25" t="s">
        <v>246</v>
      </c>
      <c r="K80" s="25" t="s">
        <v>1824</v>
      </c>
      <c r="L80" s="25" t="s">
        <v>1825</v>
      </c>
      <c r="M80" s="25" t="s">
        <v>31</v>
      </c>
      <c r="N80" s="25" t="s">
        <v>31</v>
      </c>
      <c r="O80" s="25" t="s">
        <v>92</v>
      </c>
      <c r="P80" s="25" t="s">
        <v>83</v>
      </c>
      <c r="Q80" s="25" t="s">
        <v>82</v>
      </c>
      <c r="R80" s="25" t="s">
        <v>91</v>
      </c>
      <c r="S80" s="25" t="s">
        <v>101</v>
      </c>
      <c r="T80" s="25" t="s">
        <v>101</v>
      </c>
      <c r="U80" s="25" t="s">
        <v>112</v>
      </c>
      <c r="V80" s="25">
        <v>0</v>
      </c>
      <c r="W80" s="25" t="s">
        <v>245</v>
      </c>
      <c r="X80" s="25" t="s">
        <v>1752</v>
      </c>
      <c r="Y80" s="25" t="s">
        <v>1753</v>
      </c>
      <c r="Z80" s="26">
        <v>41186</v>
      </c>
      <c r="AA80" s="776">
        <v>28.05</v>
      </c>
      <c r="AB80" s="776">
        <v>0</v>
      </c>
      <c r="AC80" s="776">
        <v>0</v>
      </c>
      <c r="AD80" s="776">
        <v>0</v>
      </c>
      <c r="AE80" s="777">
        <v>95.4</v>
      </c>
      <c r="AF80" s="777">
        <v>95.4</v>
      </c>
      <c r="AG80" s="778">
        <v>131.79001719181673</v>
      </c>
    </row>
    <row r="81" spans="1:33" x14ac:dyDescent="0.2">
      <c r="A81" s="15">
        <f t="shared" si="8"/>
        <v>2007</v>
      </c>
      <c r="B81" s="14">
        <f t="shared" si="9"/>
        <v>10</v>
      </c>
      <c r="C81" s="13" t="str">
        <f t="shared" si="10"/>
        <v>Q4</v>
      </c>
      <c r="D81" s="13" t="str">
        <f t="shared" si="11"/>
        <v>2007Q4</v>
      </c>
      <c r="E81" s="13" t="str">
        <f t="shared" si="12"/>
        <v>Paraguay</v>
      </c>
      <c r="F81" s="13" t="str">
        <f t="shared" si="14"/>
        <v>Biofuels</v>
      </c>
      <c r="G81" s="13" t="str">
        <f t="shared" si="15"/>
        <v>Asset finance investments</v>
      </c>
      <c r="H81" s="638">
        <f t="shared" si="13"/>
        <v>96.535782157364551</v>
      </c>
      <c r="I81" s="24" t="s">
        <v>87</v>
      </c>
      <c r="J81" s="25" t="s">
        <v>246</v>
      </c>
      <c r="K81" s="25" t="s">
        <v>300</v>
      </c>
      <c r="L81" s="25" t="s">
        <v>299</v>
      </c>
      <c r="M81" s="25" t="s">
        <v>3</v>
      </c>
      <c r="N81" s="25" t="s">
        <v>85</v>
      </c>
      <c r="O81" s="25" t="s">
        <v>92</v>
      </c>
      <c r="P81" s="25" t="s">
        <v>83</v>
      </c>
      <c r="Q81" s="25" t="s">
        <v>82</v>
      </c>
      <c r="R81" s="25"/>
      <c r="S81" s="25" t="s">
        <v>96</v>
      </c>
      <c r="T81" s="25" t="s">
        <v>96</v>
      </c>
      <c r="U81" s="25" t="s">
        <v>95</v>
      </c>
      <c r="V81" s="25">
        <v>0</v>
      </c>
      <c r="W81" s="25" t="s">
        <v>245</v>
      </c>
      <c r="X81" s="25" t="s">
        <v>1752</v>
      </c>
      <c r="Y81" s="25" t="s">
        <v>1753</v>
      </c>
      <c r="Z81" s="26">
        <v>39373</v>
      </c>
      <c r="AA81" s="776">
        <v>0</v>
      </c>
      <c r="AB81" s="776">
        <v>227</v>
      </c>
      <c r="AC81" s="776">
        <v>0</v>
      </c>
      <c r="AD81" s="776">
        <v>0</v>
      </c>
      <c r="AE81" s="777">
        <v>0</v>
      </c>
      <c r="AF81" s="777">
        <v>95.34</v>
      </c>
      <c r="AG81" s="778">
        <v>96.535782157364551</v>
      </c>
    </row>
    <row r="82" spans="1:33" x14ac:dyDescent="0.2">
      <c r="A82" s="15">
        <f t="shared" si="8"/>
        <v>2008</v>
      </c>
      <c r="B82" s="14">
        <f t="shared" si="9"/>
        <v>11</v>
      </c>
      <c r="C82" s="13" t="str">
        <f t="shared" si="10"/>
        <v>Q4</v>
      </c>
      <c r="D82" s="13" t="str">
        <f t="shared" si="11"/>
        <v>2008Q4</v>
      </c>
      <c r="E82" s="13" t="str">
        <f t="shared" si="12"/>
        <v>Brazil</v>
      </c>
      <c r="F82" s="13" t="str">
        <f t="shared" si="14"/>
        <v>Wind</v>
      </c>
      <c r="G82" s="13" t="str">
        <f t="shared" si="15"/>
        <v>Asset finance investments</v>
      </c>
      <c r="H82" s="638">
        <f t="shared" si="13"/>
        <v>94.950578810906848</v>
      </c>
      <c r="I82" s="24" t="s">
        <v>87</v>
      </c>
      <c r="J82" s="25" t="s">
        <v>246</v>
      </c>
      <c r="K82" s="25" t="s">
        <v>358</v>
      </c>
      <c r="L82" s="25" t="s">
        <v>357</v>
      </c>
      <c r="M82" s="25" t="s">
        <v>31</v>
      </c>
      <c r="N82" s="25" t="s">
        <v>31</v>
      </c>
      <c r="O82" s="25" t="s">
        <v>92</v>
      </c>
      <c r="P82" s="25" t="s">
        <v>83</v>
      </c>
      <c r="Q82" s="25" t="s">
        <v>82</v>
      </c>
      <c r="R82" s="25" t="s">
        <v>91</v>
      </c>
      <c r="S82" s="25" t="s">
        <v>101</v>
      </c>
      <c r="T82" s="25" t="s">
        <v>101</v>
      </c>
      <c r="U82" s="25" t="s">
        <v>112</v>
      </c>
      <c r="V82" s="25">
        <v>0</v>
      </c>
      <c r="W82" s="25" t="s">
        <v>245</v>
      </c>
      <c r="X82" s="25" t="s">
        <v>1752</v>
      </c>
      <c r="Y82" s="25" t="s">
        <v>1753</v>
      </c>
      <c r="Z82" s="26">
        <v>39759</v>
      </c>
      <c r="AA82" s="776">
        <v>63.4</v>
      </c>
      <c r="AB82" s="776">
        <v>0</v>
      </c>
      <c r="AC82" s="776">
        <v>0</v>
      </c>
      <c r="AD82" s="776">
        <v>0</v>
      </c>
      <c r="AE82" s="777">
        <v>94.4</v>
      </c>
      <c r="AF82" s="777">
        <v>94.4</v>
      </c>
      <c r="AG82" s="778">
        <v>94.950578810906848</v>
      </c>
    </row>
    <row r="83" spans="1:33" x14ac:dyDescent="0.2">
      <c r="A83" s="15">
        <f t="shared" si="8"/>
        <v>2012</v>
      </c>
      <c r="B83" s="14">
        <f t="shared" si="9"/>
        <v>3</v>
      </c>
      <c r="C83" s="13" t="str">
        <f t="shared" si="10"/>
        <v>Q1</v>
      </c>
      <c r="D83" s="13" t="str">
        <f t="shared" si="11"/>
        <v>2012Q1</v>
      </c>
      <c r="E83" s="13" t="str">
        <f t="shared" si="12"/>
        <v>Brazil</v>
      </c>
      <c r="F83" s="13" t="str">
        <f t="shared" si="14"/>
        <v>Wind</v>
      </c>
      <c r="G83" s="13" t="str">
        <f t="shared" si="15"/>
        <v>Asset finance investments</v>
      </c>
      <c r="H83" s="638">
        <f t="shared" si="13"/>
        <v>98.81567103762174</v>
      </c>
      <c r="I83" s="24" t="s">
        <v>87</v>
      </c>
      <c r="J83" s="25" t="s">
        <v>246</v>
      </c>
      <c r="K83" s="25" t="s">
        <v>1826</v>
      </c>
      <c r="L83" s="25" t="s">
        <v>1827</v>
      </c>
      <c r="M83" s="25" t="s">
        <v>31</v>
      </c>
      <c r="N83" s="25" t="s">
        <v>31</v>
      </c>
      <c r="O83" s="25" t="s">
        <v>92</v>
      </c>
      <c r="P83" s="25" t="s">
        <v>83</v>
      </c>
      <c r="Q83" s="25" t="s">
        <v>82</v>
      </c>
      <c r="R83" s="25" t="s">
        <v>91</v>
      </c>
      <c r="S83" s="25" t="s">
        <v>101</v>
      </c>
      <c r="T83" s="25" t="s">
        <v>101</v>
      </c>
      <c r="U83" s="25" t="s">
        <v>112</v>
      </c>
      <c r="V83" s="25">
        <v>0</v>
      </c>
      <c r="W83" s="25" t="s">
        <v>249</v>
      </c>
      <c r="X83" s="25" t="s">
        <v>1749</v>
      </c>
      <c r="Y83" s="25" t="s">
        <v>1750</v>
      </c>
      <c r="Z83" s="26">
        <v>40983</v>
      </c>
      <c r="AA83" s="776">
        <v>121.8</v>
      </c>
      <c r="AB83" s="776">
        <v>0</v>
      </c>
      <c r="AC83" s="776">
        <v>0</v>
      </c>
      <c r="AD83" s="776">
        <v>0</v>
      </c>
      <c r="AE83" s="777">
        <v>94.3</v>
      </c>
      <c r="AF83" s="777">
        <v>94.3</v>
      </c>
      <c r="AG83" s="778">
        <v>98.81567103762174</v>
      </c>
    </row>
    <row r="84" spans="1:33" x14ac:dyDescent="0.2">
      <c r="A84" s="15">
        <f t="shared" si="8"/>
        <v>2010</v>
      </c>
      <c r="B84" s="14">
        <f t="shared" si="9"/>
        <v>8</v>
      </c>
      <c r="C84" s="13" t="str">
        <f t="shared" si="10"/>
        <v>Q3</v>
      </c>
      <c r="D84" s="13" t="str">
        <f t="shared" si="11"/>
        <v>2010Q3</v>
      </c>
      <c r="E84" s="13" t="str">
        <f t="shared" si="12"/>
        <v>Brazil</v>
      </c>
      <c r="F84" s="13" t="str">
        <f t="shared" si="14"/>
        <v>Biofuels</v>
      </c>
      <c r="G84" s="13" t="str">
        <f t="shared" si="15"/>
        <v>Corporate finance investments</v>
      </c>
      <c r="H84" s="638">
        <f t="shared" si="13"/>
        <v>93.817907017748865</v>
      </c>
      <c r="I84" s="24" t="s">
        <v>87</v>
      </c>
      <c r="J84" s="25" t="s">
        <v>86</v>
      </c>
      <c r="K84" s="25" t="s">
        <v>167</v>
      </c>
      <c r="L84" s="25" t="s">
        <v>166</v>
      </c>
      <c r="M84" s="25" t="s">
        <v>31</v>
      </c>
      <c r="N84" s="25" t="s">
        <v>31</v>
      </c>
      <c r="O84" s="25" t="s">
        <v>92</v>
      </c>
      <c r="P84" s="25" t="s">
        <v>83</v>
      </c>
      <c r="Q84" s="25" t="s">
        <v>82</v>
      </c>
      <c r="R84" s="25" t="s">
        <v>91</v>
      </c>
      <c r="S84" s="25" t="s">
        <v>96</v>
      </c>
      <c r="T84" s="25" t="s">
        <v>96</v>
      </c>
      <c r="U84" s="25" t="s">
        <v>95</v>
      </c>
      <c r="V84" s="25">
        <v>0</v>
      </c>
      <c r="W84" s="25" t="s">
        <v>94</v>
      </c>
      <c r="X84" s="25" t="s">
        <v>1747</v>
      </c>
      <c r="Y84" s="25" t="e">
        <v>#N/A</v>
      </c>
      <c r="Z84" s="26">
        <v>40406</v>
      </c>
      <c r="AA84" s="776" t="s">
        <v>1748</v>
      </c>
      <c r="AB84" s="776" t="s">
        <v>1748</v>
      </c>
      <c r="AC84" s="776" t="s">
        <v>1748</v>
      </c>
      <c r="AD84" s="776" t="s">
        <v>1748</v>
      </c>
      <c r="AE84" s="777">
        <v>0</v>
      </c>
      <c r="AF84" s="777">
        <v>93.748000000000005</v>
      </c>
      <c r="AG84" s="778">
        <v>93.817907017748865</v>
      </c>
    </row>
    <row r="85" spans="1:33" x14ac:dyDescent="0.2">
      <c r="A85" s="15">
        <f t="shared" si="8"/>
        <v>2012</v>
      </c>
      <c r="B85" s="14">
        <f t="shared" si="9"/>
        <v>9</v>
      </c>
      <c r="C85" s="13" t="str">
        <f t="shared" si="10"/>
        <v>Q3</v>
      </c>
      <c r="D85" s="13" t="str">
        <f t="shared" si="11"/>
        <v>2012Q3</v>
      </c>
      <c r="E85" s="13" t="str">
        <f t="shared" si="12"/>
        <v>Brazil</v>
      </c>
      <c r="F85" s="13" t="str">
        <f t="shared" si="14"/>
        <v>Wind</v>
      </c>
      <c r="G85" s="13" t="str">
        <f t="shared" si="15"/>
        <v>Asset finance investments</v>
      </c>
      <c r="H85" s="638">
        <f t="shared" si="13"/>
        <v>94.794832378023926</v>
      </c>
      <c r="I85" s="24" t="s">
        <v>87</v>
      </c>
      <c r="J85" s="25" t="s">
        <v>246</v>
      </c>
      <c r="K85" s="25" t="s">
        <v>1828</v>
      </c>
      <c r="L85" s="25" t="s">
        <v>1829</v>
      </c>
      <c r="M85" s="25" t="s">
        <v>31</v>
      </c>
      <c r="N85" s="25" t="s">
        <v>31</v>
      </c>
      <c r="O85" s="25" t="s">
        <v>92</v>
      </c>
      <c r="P85" s="25" t="s">
        <v>83</v>
      </c>
      <c r="Q85" s="25" t="s">
        <v>82</v>
      </c>
      <c r="R85" s="25" t="s">
        <v>91</v>
      </c>
      <c r="S85" s="25" t="s">
        <v>101</v>
      </c>
      <c r="T85" s="25" t="s">
        <v>101</v>
      </c>
      <c r="U85" s="25" t="s">
        <v>112</v>
      </c>
      <c r="V85" s="25">
        <v>0</v>
      </c>
      <c r="W85" s="25" t="s">
        <v>249</v>
      </c>
      <c r="X85" s="25" t="s">
        <v>1749</v>
      </c>
      <c r="Y85" s="25" t="s">
        <v>1750</v>
      </c>
      <c r="Z85" s="26">
        <v>41163</v>
      </c>
      <c r="AA85" s="776">
        <v>90</v>
      </c>
      <c r="AB85" s="776">
        <v>0</v>
      </c>
      <c r="AC85" s="776">
        <v>0</v>
      </c>
      <c r="AD85" s="776">
        <v>0</v>
      </c>
      <c r="AE85" s="777">
        <v>93</v>
      </c>
      <c r="AF85" s="777">
        <v>93</v>
      </c>
      <c r="AG85" s="778">
        <v>94.794832378023926</v>
      </c>
    </row>
    <row r="86" spans="1:33" x14ac:dyDescent="0.2">
      <c r="A86" s="15">
        <f t="shared" si="8"/>
        <v>2009</v>
      </c>
      <c r="B86" s="14">
        <f t="shared" si="9"/>
        <v>2</v>
      </c>
      <c r="C86" s="13" t="str">
        <f t="shared" si="10"/>
        <v>Q1</v>
      </c>
      <c r="D86" s="13" t="str">
        <f t="shared" si="11"/>
        <v>2009Q1</v>
      </c>
      <c r="E86" s="13" t="str">
        <f t="shared" si="12"/>
        <v>Brazil</v>
      </c>
      <c r="F86" s="13" t="str">
        <f t="shared" si="14"/>
        <v>Wind</v>
      </c>
      <c r="G86" s="13" t="str">
        <f t="shared" si="15"/>
        <v>Asset finance investments</v>
      </c>
      <c r="H86" s="638">
        <f t="shared" si="13"/>
        <v>92.800049998525722</v>
      </c>
      <c r="I86" s="24" t="s">
        <v>87</v>
      </c>
      <c r="J86" s="25" t="s">
        <v>246</v>
      </c>
      <c r="K86" s="25" t="s">
        <v>409</v>
      </c>
      <c r="L86" s="25" t="s">
        <v>408</v>
      </c>
      <c r="M86" s="25" t="s">
        <v>31</v>
      </c>
      <c r="N86" s="25" t="s">
        <v>31</v>
      </c>
      <c r="O86" s="25" t="s">
        <v>92</v>
      </c>
      <c r="P86" s="25" t="s">
        <v>83</v>
      </c>
      <c r="Q86" s="25" t="s">
        <v>82</v>
      </c>
      <c r="R86" s="25" t="s">
        <v>91</v>
      </c>
      <c r="S86" s="25" t="s">
        <v>101</v>
      </c>
      <c r="T86" s="25" t="s">
        <v>101</v>
      </c>
      <c r="U86" s="25" t="s">
        <v>112</v>
      </c>
      <c r="V86" s="25">
        <v>0</v>
      </c>
      <c r="W86" s="25" t="s">
        <v>245</v>
      </c>
      <c r="X86" s="25" t="s">
        <v>1752</v>
      </c>
      <c r="Y86" s="25" t="s">
        <v>1753</v>
      </c>
      <c r="Z86" s="26">
        <v>39848</v>
      </c>
      <c r="AA86" s="776">
        <v>99.6</v>
      </c>
      <c r="AB86" s="776">
        <v>0</v>
      </c>
      <c r="AC86" s="776">
        <v>0</v>
      </c>
      <c r="AD86" s="776">
        <v>0</v>
      </c>
      <c r="AE86" s="777">
        <v>92.8</v>
      </c>
      <c r="AF86" s="777">
        <v>92.8</v>
      </c>
      <c r="AG86" s="778">
        <v>92.800049998525722</v>
      </c>
    </row>
    <row r="87" spans="1:33" x14ac:dyDescent="0.2">
      <c r="A87" s="15">
        <f t="shared" si="8"/>
        <v>2007</v>
      </c>
      <c r="B87" s="14">
        <f t="shared" si="9"/>
        <v>9</v>
      </c>
      <c r="C87" s="13" t="str">
        <f t="shared" si="10"/>
        <v>Q3</v>
      </c>
      <c r="D87" s="13" t="str">
        <f t="shared" si="11"/>
        <v>2007Q3</v>
      </c>
      <c r="E87" s="13" t="str">
        <f t="shared" si="12"/>
        <v>Brazil</v>
      </c>
      <c r="F87" s="13" t="str">
        <f t="shared" si="14"/>
        <v>Biofuels</v>
      </c>
      <c r="G87" s="13" t="str">
        <f t="shared" si="15"/>
        <v>Asset finance investments</v>
      </c>
      <c r="H87" s="638">
        <f t="shared" si="13"/>
        <v>102.29629214634187</v>
      </c>
      <c r="I87" s="24" t="s">
        <v>87</v>
      </c>
      <c r="J87" s="25" t="s">
        <v>246</v>
      </c>
      <c r="K87" s="25" t="s">
        <v>306</v>
      </c>
      <c r="L87" s="25" t="s">
        <v>1830</v>
      </c>
      <c r="M87" s="25" t="s">
        <v>31</v>
      </c>
      <c r="N87" s="25" t="s">
        <v>31</v>
      </c>
      <c r="O87" s="25" t="s">
        <v>92</v>
      </c>
      <c r="P87" s="25" t="s">
        <v>83</v>
      </c>
      <c r="Q87" s="25" t="s">
        <v>82</v>
      </c>
      <c r="R87" s="25" t="s">
        <v>91</v>
      </c>
      <c r="S87" s="25" t="s">
        <v>96</v>
      </c>
      <c r="T87" s="25" t="s">
        <v>96</v>
      </c>
      <c r="U87" s="25" t="s">
        <v>98</v>
      </c>
      <c r="V87" s="25" t="s">
        <v>230</v>
      </c>
      <c r="W87" s="25" t="s">
        <v>245</v>
      </c>
      <c r="X87" s="25" t="s">
        <v>1752</v>
      </c>
      <c r="Y87" s="25" t="s">
        <v>1753</v>
      </c>
      <c r="Z87" s="26">
        <v>39342</v>
      </c>
      <c r="AA87" s="776">
        <v>6</v>
      </c>
      <c r="AB87" s="776">
        <v>132</v>
      </c>
      <c r="AC87" s="776">
        <v>0</v>
      </c>
      <c r="AD87" s="776">
        <v>0</v>
      </c>
      <c r="AE87" s="777">
        <v>0</v>
      </c>
      <c r="AF87" s="777">
        <v>90.28</v>
      </c>
      <c r="AG87" s="778">
        <v>102.29629214634187</v>
      </c>
    </row>
    <row r="88" spans="1:33" x14ac:dyDescent="0.2">
      <c r="A88" s="15">
        <f t="shared" si="8"/>
        <v>2011</v>
      </c>
      <c r="B88" s="14">
        <f t="shared" si="9"/>
        <v>3</v>
      </c>
      <c r="C88" s="13" t="str">
        <f t="shared" si="10"/>
        <v>Q1</v>
      </c>
      <c r="D88" s="13" t="str">
        <f t="shared" si="11"/>
        <v>2011Q1</v>
      </c>
      <c r="E88" s="13" t="str">
        <f t="shared" si="12"/>
        <v>Mexico</v>
      </c>
      <c r="F88" s="13" t="str">
        <f t="shared" si="14"/>
        <v>Wind</v>
      </c>
      <c r="G88" s="13" t="str">
        <f t="shared" si="15"/>
        <v>Asset finance investments</v>
      </c>
      <c r="H88" s="638">
        <f t="shared" si="13"/>
        <v>89.736129054765385</v>
      </c>
      <c r="I88" s="24" t="s">
        <v>87</v>
      </c>
      <c r="J88" s="25" t="s">
        <v>246</v>
      </c>
      <c r="K88" s="25" t="s">
        <v>494</v>
      </c>
      <c r="L88" s="25" t="s">
        <v>493</v>
      </c>
      <c r="M88" s="25" t="s">
        <v>18</v>
      </c>
      <c r="N88" s="25" t="s">
        <v>85</v>
      </c>
      <c r="O88" s="25" t="s">
        <v>92</v>
      </c>
      <c r="P88" s="25" t="s">
        <v>83</v>
      </c>
      <c r="Q88" s="25" t="s">
        <v>129</v>
      </c>
      <c r="R88" s="25"/>
      <c r="S88" s="25" t="s">
        <v>101</v>
      </c>
      <c r="T88" s="25" t="s">
        <v>101</v>
      </c>
      <c r="U88" s="25" t="s">
        <v>112</v>
      </c>
      <c r="V88" s="25">
        <v>0</v>
      </c>
      <c r="W88" s="25" t="s">
        <v>245</v>
      </c>
      <c r="X88" s="25" t="s">
        <v>1752</v>
      </c>
      <c r="Y88" s="25" t="s">
        <v>1753</v>
      </c>
      <c r="Z88" s="26">
        <v>40620</v>
      </c>
      <c r="AA88" s="776">
        <v>396</v>
      </c>
      <c r="AB88" s="776">
        <v>0</v>
      </c>
      <c r="AC88" s="776">
        <v>0</v>
      </c>
      <c r="AD88" s="776">
        <v>0</v>
      </c>
      <c r="AE88" s="777">
        <v>89</v>
      </c>
      <c r="AF88" s="777">
        <v>89</v>
      </c>
      <c r="AG88" s="778">
        <v>89.736129054765385</v>
      </c>
    </row>
    <row r="89" spans="1:33" x14ac:dyDescent="0.2">
      <c r="A89" s="15">
        <f t="shared" si="8"/>
        <v>2012</v>
      </c>
      <c r="B89" s="14">
        <f t="shared" si="9"/>
        <v>4</v>
      </c>
      <c r="C89" s="13" t="str">
        <f t="shared" si="10"/>
        <v>Q2</v>
      </c>
      <c r="D89" s="13" t="str">
        <f t="shared" si="11"/>
        <v>2012Q2</v>
      </c>
      <c r="E89" s="13" t="str">
        <f t="shared" si="12"/>
        <v>Nicaragua</v>
      </c>
      <c r="F89" s="13" t="str">
        <f t="shared" si="14"/>
        <v>Wind</v>
      </c>
      <c r="G89" s="13" t="str">
        <f t="shared" si="15"/>
        <v>Asset finance investments</v>
      </c>
      <c r="H89" s="638">
        <f t="shared" si="13"/>
        <v>90.581817577245843</v>
      </c>
      <c r="I89" s="24" t="s">
        <v>87</v>
      </c>
      <c r="J89" s="25" t="s">
        <v>246</v>
      </c>
      <c r="K89" s="25" t="s">
        <v>1831</v>
      </c>
      <c r="L89" s="25" t="s">
        <v>1832</v>
      </c>
      <c r="M89" s="25" t="s">
        <v>2</v>
      </c>
      <c r="N89" s="25" t="s">
        <v>85</v>
      </c>
      <c r="O89" s="25" t="s">
        <v>92</v>
      </c>
      <c r="P89" s="25" t="s">
        <v>83</v>
      </c>
      <c r="Q89" s="25" t="s">
        <v>82</v>
      </c>
      <c r="R89" s="25"/>
      <c r="S89" s="25" t="s">
        <v>101</v>
      </c>
      <c r="T89" s="25" t="s">
        <v>101</v>
      </c>
      <c r="U89" s="25" t="s">
        <v>112</v>
      </c>
      <c r="V89" s="25">
        <v>0</v>
      </c>
      <c r="W89" s="25" t="s">
        <v>245</v>
      </c>
      <c r="X89" s="25" t="s">
        <v>1752</v>
      </c>
      <c r="Y89" s="25" t="s">
        <v>1753</v>
      </c>
      <c r="Z89" s="26">
        <v>41024</v>
      </c>
      <c r="AA89" s="776">
        <v>44</v>
      </c>
      <c r="AB89" s="776">
        <v>0</v>
      </c>
      <c r="AC89" s="776">
        <v>0</v>
      </c>
      <c r="AD89" s="776">
        <v>0</v>
      </c>
      <c r="AE89" s="777">
        <v>0</v>
      </c>
      <c r="AF89" s="777">
        <v>88.88</v>
      </c>
      <c r="AG89" s="778">
        <v>90.581817577245843</v>
      </c>
    </row>
    <row r="90" spans="1:33" x14ac:dyDescent="0.2">
      <c r="A90" s="15">
        <f t="shared" si="8"/>
        <v>2006</v>
      </c>
      <c r="B90" s="14">
        <f t="shared" si="9"/>
        <v>10</v>
      </c>
      <c r="C90" s="13" t="str">
        <f t="shared" si="10"/>
        <v>Q4</v>
      </c>
      <c r="D90" s="13" t="str">
        <f t="shared" si="11"/>
        <v>2006Q4</v>
      </c>
      <c r="E90" s="13" t="str">
        <f t="shared" si="12"/>
        <v>Brazil</v>
      </c>
      <c r="F90" s="13" t="str">
        <f t="shared" si="14"/>
        <v>Biofuels</v>
      </c>
      <c r="G90" s="13" t="str">
        <f t="shared" si="15"/>
        <v>Corporate finance investments</v>
      </c>
      <c r="H90" s="638">
        <f t="shared" si="13"/>
        <v>90.202297999999999</v>
      </c>
      <c r="I90" s="24" t="s">
        <v>87</v>
      </c>
      <c r="J90" s="25" t="s">
        <v>86</v>
      </c>
      <c r="K90" s="25" t="s">
        <v>104</v>
      </c>
      <c r="L90" s="25" t="s">
        <v>103</v>
      </c>
      <c r="M90" s="25" t="s">
        <v>31</v>
      </c>
      <c r="N90" s="25" t="s">
        <v>31</v>
      </c>
      <c r="O90" s="25" t="s">
        <v>92</v>
      </c>
      <c r="P90" s="25" t="s">
        <v>83</v>
      </c>
      <c r="Q90" s="25" t="s">
        <v>82</v>
      </c>
      <c r="R90" s="25" t="s">
        <v>91</v>
      </c>
      <c r="S90" s="25" t="s">
        <v>96</v>
      </c>
      <c r="T90" s="25" t="s">
        <v>96</v>
      </c>
      <c r="U90" s="25" t="s">
        <v>98</v>
      </c>
      <c r="V90" s="25">
        <v>0</v>
      </c>
      <c r="W90" s="25" t="s">
        <v>97</v>
      </c>
      <c r="X90" s="25" t="s">
        <v>1747</v>
      </c>
      <c r="Y90" s="25" t="e">
        <v>#N/A</v>
      </c>
      <c r="Z90" s="26">
        <v>38999</v>
      </c>
      <c r="AA90" s="776" t="s">
        <v>1748</v>
      </c>
      <c r="AB90" s="776" t="s">
        <v>1748</v>
      </c>
      <c r="AC90" s="776" t="s">
        <v>1748</v>
      </c>
      <c r="AD90" s="776" t="s">
        <v>1748</v>
      </c>
      <c r="AE90" s="777">
        <v>87.5</v>
      </c>
      <c r="AF90" s="777">
        <v>87.5</v>
      </c>
      <c r="AG90" s="778">
        <v>90.202297999999999</v>
      </c>
    </row>
    <row r="91" spans="1:33" x14ac:dyDescent="0.2">
      <c r="A91" s="15">
        <f t="shared" si="8"/>
        <v>2008</v>
      </c>
      <c r="B91" s="14">
        <f t="shared" si="9"/>
        <v>2</v>
      </c>
      <c r="C91" s="13" t="str">
        <f t="shared" si="10"/>
        <v>Q1</v>
      </c>
      <c r="D91" s="13" t="str">
        <f t="shared" si="11"/>
        <v>2008Q1</v>
      </c>
      <c r="E91" s="13" t="str">
        <f t="shared" si="12"/>
        <v>Brazil</v>
      </c>
      <c r="F91" s="13" t="str">
        <f t="shared" si="14"/>
        <v>Biofuels</v>
      </c>
      <c r="G91" s="13" t="str">
        <f t="shared" si="15"/>
        <v>Asset finance investments</v>
      </c>
      <c r="H91" s="638">
        <f t="shared" si="13"/>
        <v>86.653973939395541</v>
      </c>
      <c r="I91" s="24" t="s">
        <v>87</v>
      </c>
      <c r="J91" s="25" t="s">
        <v>246</v>
      </c>
      <c r="K91" s="25" t="s">
        <v>352</v>
      </c>
      <c r="L91" s="25" t="s">
        <v>351</v>
      </c>
      <c r="M91" s="25" t="s">
        <v>31</v>
      </c>
      <c r="N91" s="25" t="s">
        <v>31</v>
      </c>
      <c r="O91" s="25" t="s">
        <v>92</v>
      </c>
      <c r="P91" s="25" t="s">
        <v>83</v>
      </c>
      <c r="Q91" s="25" t="s">
        <v>82</v>
      </c>
      <c r="R91" s="25" t="s">
        <v>91</v>
      </c>
      <c r="S91" s="25" t="s">
        <v>96</v>
      </c>
      <c r="T91" s="25" t="s">
        <v>96</v>
      </c>
      <c r="U91" s="25" t="s">
        <v>98</v>
      </c>
      <c r="V91" s="25">
        <v>0</v>
      </c>
      <c r="W91" s="25" t="s">
        <v>245</v>
      </c>
      <c r="X91" s="25" t="s">
        <v>1752</v>
      </c>
      <c r="Y91" s="25" t="s">
        <v>1753</v>
      </c>
      <c r="Z91" s="26">
        <v>39496.738888888904</v>
      </c>
      <c r="AA91" s="776">
        <v>0</v>
      </c>
      <c r="AB91" s="776">
        <v>20</v>
      </c>
      <c r="AC91" s="776">
        <v>0</v>
      </c>
      <c r="AD91" s="776">
        <v>0</v>
      </c>
      <c r="AE91" s="777">
        <v>86.4</v>
      </c>
      <c r="AF91" s="777">
        <v>86.4</v>
      </c>
      <c r="AG91" s="778">
        <v>86.653973939395541</v>
      </c>
    </row>
    <row r="92" spans="1:33" x14ac:dyDescent="0.2">
      <c r="A92" s="15">
        <f t="shared" si="8"/>
        <v>2009</v>
      </c>
      <c r="B92" s="14">
        <f t="shared" si="9"/>
        <v>12</v>
      </c>
      <c r="C92" s="13" t="str">
        <f t="shared" si="10"/>
        <v>Q4</v>
      </c>
      <c r="D92" s="13" t="str">
        <f t="shared" si="11"/>
        <v>2009Q4</v>
      </c>
      <c r="E92" s="13" t="str">
        <f t="shared" si="12"/>
        <v>Brazil</v>
      </c>
      <c r="F92" s="13" t="str">
        <f t="shared" si="14"/>
        <v>Biofuels</v>
      </c>
      <c r="G92" s="13" t="str">
        <f t="shared" si="15"/>
        <v>Asset finance investments</v>
      </c>
      <c r="H92" s="638">
        <f t="shared" si="13"/>
        <v>84.300045418919382</v>
      </c>
      <c r="I92" s="24" t="s">
        <v>87</v>
      </c>
      <c r="J92" s="25" t="s">
        <v>246</v>
      </c>
      <c r="K92" s="25" t="s">
        <v>412</v>
      </c>
      <c r="L92" s="25" t="s">
        <v>1833</v>
      </c>
      <c r="M92" s="25" t="s">
        <v>31</v>
      </c>
      <c r="N92" s="25" t="s">
        <v>31</v>
      </c>
      <c r="O92" s="25" t="s">
        <v>92</v>
      </c>
      <c r="P92" s="25" t="s">
        <v>83</v>
      </c>
      <c r="Q92" s="25" t="s">
        <v>82</v>
      </c>
      <c r="R92" s="25" t="s">
        <v>91</v>
      </c>
      <c r="S92" s="25" t="s">
        <v>96</v>
      </c>
      <c r="T92" s="25" t="s">
        <v>96</v>
      </c>
      <c r="U92" s="25" t="s">
        <v>98</v>
      </c>
      <c r="V92" s="25" t="s">
        <v>230</v>
      </c>
      <c r="W92" s="25" t="s">
        <v>245</v>
      </c>
      <c r="X92" s="25" t="s">
        <v>1752</v>
      </c>
      <c r="Y92" s="25" t="s">
        <v>1753</v>
      </c>
      <c r="Z92" s="26">
        <v>40169</v>
      </c>
      <c r="AA92" s="776">
        <v>25</v>
      </c>
      <c r="AB92" s="776">
        <v>100</v>
      </c>
      <c r="AC92" s="776">
        <v>0</v>
      </c>
      <c r="AD92" s="776">
        <v>0</v>
      </c>
      <c r="AE92" s="777">
        <v>84.3</v>
      </c>
      <c r="AF92" s="777">
        <v>84.3</v>
      </c>
      <c r="AG92" s="778">
        <v>84.300045418919382</v>
      </c>
    </row>
    <row r="93" spans="1:33" x14ac:dyDescent="0.2">
      <c r="A93" s="15">
        <f t="shared" si="8"/>
        <v>2012</v>
      </c>
      <c r="B93" s="14">
        <f t="shared" si="9"/>
        <v>12</v>
      </c>
      <c r="C93" s="13" t="str">
        <f t="shared" si="10"/>
        <v>Q4</v>
      </c>
      <c r="D93" s="13" t="str">
        <f t="shared" si="11"/>
        <v>2012Q4</v>
      </c>
      <c r="E93" s="13" t="str">
        <f t="shared" si="12"/>
        <v>Brazil</v>
      </c>
      <c r="F93" s="13" t="str">
        <f t="shared" si="14"/>
        <v>Wind</v>
      </c>
      <c r="G93" s="13" t="str">
        <f t="shared" si="15"/>
        <v>Asset finance investments</v>
      </c>
      <c r="H93" s="638">
        <f t="shared" si="13"/>
        <v>114.38378850610506</v>
      </c>
      <c r="I93" s="24" t="s">
        <v>87</v>
      </c>
      <c r="J93" s="25" t="s">
        <v>246</v>
      </c>
      <c r="K93" s="25" t="s">
        <v>1834</v>
      </c>
      <c r="L93" s="25" t="s">
        <v>1835</v>
      </c>
      <c r="M93" s="25" t="s">
        <v>31</v>
      </c>
      <c r="N93" s="25" t="s">
        <v>31</v>
      </c>
      <c r="O93" s="25" t="s">
        <v>92</v>
      </c>
      <c r="P93" s="25" t="s">
        <v>83</v>
      </c>
      <c r="Q93" s="25" t="s">
        <v>82</v>
      </c>
      <c r="R93" s="25" t="s">
        <v>91</v>
      </c>
      <c r="S93" s="25" t="s">
        <v>101</v>
      </c>
      <c r="T93" s="25" t="s">
        <v>101</v>
      </c>
      <c r="U93" s="25" t="s">
        <v>112</v>
      </c>
      <c r="V93" s="25">
        <v>0</v>
      </c>
      <c r="W93" s="25" t="s">
        <v>249</v>
      </c>
      <c r="X93" s="25" t="s">
        <v>1814</v>
      </c>
      <c r="Y93" s="25" t="s">
        <v>1750</v>
      </c>
      <c r="Z93" s="26">
        <v>41247</v>
      </c>
      <c r="AA93" s="776">
        <v>78.2</v>
      </c>
      <c r="AB93" s="776">
        <v>0</v>
      </c>
      <c r="AC93" s="776">
        <v>0</v>
      </c>
      <c r="AD93" s="776">
        <v>0</v>
      </c>
      <c r="AE93" s="777">
        <v>82.8</v>
      </c>
      <c r="AF93" s="777">
        <v>82.8</v>
      </c>
      <c r="AG93" s="778">
        <v>114.38378850610506</v>
      </c>
    </row>
    <row r="94" spans="1:33" x14ac:dyDescent="0.2">
      <c r="A94" s="15">
        <f t="shared" si="8"/>
        <v>2010</v>
      </c>
      <c r="B94" s="14">
        <f t="shared" si="9"/>
        <v>3</v>
      </c>
      <c r="C94" s="13" t="str">
        <f t="shared" si="10"/>
        <v>Q1</v>
      </c>
      <c r="D94" s="13" t="str">
        <f t="shared" si="11"/>
        <v>2010Q1</v>
      </c>
      <c r="E94" s="13" t="str">
        <f t="shared" si="12"/>
        <v>Brazil</v>
      </c>
      <c r="F94" s="13" t="str">
        <f t="shared" si="14"/>
        <v>Biofuels</v>
      </c>
      <c r="G94" s="13" t="str">
        <f t="shared" si="15"/>
        <v>Corporate finance investments</v>
      </c>
      <c r="H94" s="638">
        <f t="shared" si="13"/>
        <v>82.061146642652716</v>
      </c>
      <c r="I94" s="24" t="s">
        <v>87</v>
      </c>
      <c r="J94" s="25" t="s">
        <v>86</v>
      </c>
      <c r="K94" s="25" t="s">
        <v>165</v>
      </c>
      <c r="L94" s="25" t="s">
        <v>164</v>
      </c>
      <c r="M94" s="25" t="s">
        <v>31</v>
      </c>
      <c r="N94" s="25" t="s">
        <v>31</v>
      </c>
      <c r="O94" s="25" t="s">
        <v>92</v>
      </c>
      <c r="P94" s="25" t="s">
        <v>83</v>
      </c>
      <c r="Q94" s="25" t="s">
        <v>82</v>
      </c>
      <c r="R94" s="25" t="s">
        <v>91</v>
      </c>
      <c r="S94" s="25" t="s">
        <v>96</v>
      </c>
      <c r="T94" s="25" t="s">
        <v>96</v>
      </c>
      <c r="U94" s="25" t="s">
        <v>98</v>
      </c>
      <c r="V94" s="25">
        <v>0</v>
      </c>
      <c r="W94" s="25" t="s">
        <v>97</v>
      </c>
      <c r="X94" s="25" t="s">
        <v>1747</v>
      </c>
      <c r="Y94" s="25" t="e">
        <v>#N/A</v>
      </c>
      <c r="Z94" s="26">
        <v>40259</v>
      </c>
      <c r="AA94" s="776" t="s">
        <v>1748</v>
      </c>
      <c r="AB94" s="776" t="s">
        <v>1748</v>
      </c>
      <c r="AC94" s="776" t="s">
        <v>1748</v>
      </c>
      <c r="AD94" s="776" t="s">
        <v>1748</v>
      </c>
      <c r="AE94" s="777">
        <v>82</v>
      </c>
      <c r="AF94" s="777">
        <v>82</v>
      </c>
      <c r="AG94" s="778">
        <v>82.061146642652716</v>
      </c>
    </row>
    <row r="95" spans="1:33" x14ac:dyDescent="0.2">
      <c r="A95" s="15">
        <f t="shared" si="8"/>
        <v>2007</v>
      </c>
      <c r="B95" s="14">
        <f t="shared" si="9"/>
        <v>12</v>
      </c>
      <c r="C95" s="13" t="str">
        <f t="shared" si="10"/>
        <v>Q4</v>
      </c>
      <c r="D95" s="13" t="str">
        <f t="shared" si="11"/>
        <v>2007Q4</v>
      </c>
      <c r="E95" s="13" t="str">
        <f t="shared" si="12"/>
        <v>Brazil</v>
      </c>
      <c r="F95" s="13" t="str">
        <f t="shared" si="14"/>
        <v>Biofuels</v>
      </c>
      <c r="G95" s="13" t="str">
        <f t="shared" si="15"/>
        <v>Corporate finance investments</v>
      </c>
      <c r="H95" s="638">
        <f t="shared" si="13"/>
        <v>86.707268119524329</v>
      </c>
      <c r="I95" s="24" t="s">
        <v>87</v>
      </c>
      <c r="J95" s="25" t="s">
        <v>86</v>
      </c>
      <c r="K95" s="25" t="s">
        <v>124</v>
      </c>
      <c r="L95" s="25" t="s">
        <v>123</v>
      </c>
      <c r="M95" s="25" t="s">
        <v>31</v>
      </c>
      <c r="N95" s="25" t="s">
        <v>31</v>
      </c>
      <c r="O95" s="25" t="s">
        <v>92</v>
      </c>
      <c r="P95" s="25" t="s">
        <v>83</v>
      </c>
      <c r="Q95" s="25" t="s">
        <v>82</v>
      </c>
      <c r="R95" s="25" t="s">
        <v>91</v>
      </c>
      <c r="S95" s="25" t="s">
        <v>96</v>
      </c>
      <c r="T95" s="25" t="s">
        <v>96</v>
      </c>
      <c r="U95" s="25" t="s">
        <v>98</v>
      </c>
      <c r="V95" s="25">
        <v>0</v>
      </c>
      <c r="W95" s="25" t="s">
        <v>97</v>
      </c>
      <c r="X95" s="25" t="s">
        <v>1747</v>
      </c>
      <c r="Y95" s="25" t="e">
        <v>#N/A</v>
      </c>
      <c r="Z95" s="26">
        <v>39440</v>
      </c>
      <c r="AA95" s="776" t="s">
        <v>1748</v>
      </c>
      <c r="AB95" s="776" t="s">
        <v>1748</v>
      </c>
      <c r="AC95" s="776" t="s">
        <v>1748</v>
      </c>
      <c r="AD95" s="776" t="s">
        <v>1748</v>
      </c>
      <c r="AE95" s="777">
        <v>80.7</v>
      </c>
      <c r="AF95" s="777">
        <v>80.7</v>
      </c>
      <c r="AG95" s="778">
        <v>86.707268119524329</v>
      </c>
    </row>
    <row r="96" spans="1:33" x14ac:dyDescent="0.2">
      <c r="A96" s="15">
        <f t="shared" si="8"/>
        <v>2010</v>
      </c>
      <c r="B96" s="14">
        <f t="shared" si="9"/>
        <v>12</v>
      </c>
      <c r="C96" s="13" t="str">
        <f t="shared" si="10"/>
        <v>Q4</v>
      </c>
      <c r="D96" s="13" t="str">
        <f t="shared" si="11"/>
        <v>2010Q4</v>
      </c>
      <c r="E96" s="13" t="str">
        <f t="shared" si="12"/>
        <v>Brazil</v>
      </c>
      <c r="F96" s="13" t="str">
        <f t="shared" si="14"/>
        <v>Biofuels</v>
      </c>
      <c r="G96" s="13" t="str">
        <f t="shared" si="15"/>
        <v>Asset finance investments</v>
      </c>
      <c r="H96" s="638">
        <f t="shared" si="13"/>
        <v>80.059655261124604</v>
      </c>
      <c r="I96" s="24" t="s">
        <v>87</v>
      </c>
      <c r="J96" s="25" t="s">
        <v>246</v>
      </c>
      <c r="K96" s="25" t="s">
        <v>438</v>
      </c>
      <c r="L96" s="25" t="s">
        <v>1836</v>
      </c>
      <c r="M96" s="25" t="s">
        <v>31</v>
      </c>
      <c r="N96" s="25" t="s">
        <v>31</v>
      </c>
      <c r="O96" s="25" t="s">
        <v>92</v>
      </c>
      <c r="P96" s="25" t="s">
        <v>83</v>
      </c>
      <c r="Q96" s="25" t="s">
        <v>82</v>
      </c>
      <c r="R96" s="25" t="s">
        <v>91</v>
      </c>
      <c r="S96" s="25" t="s">
        <v>96</v>
      </c>
      <c r="T96" s="25" t="s">
        <v>96</v>
      </c>
      <c r="U96" s="25" t="s">
        <v>98</v>
      </c>
      <c r="V96" s="25" t="s">
        <v>230</v>
      </c>
      <c r="W96" s="25" t="s">
        <v>245</v>
      </c>
      <c r="X96" s="25" t="s">
        <v>1752</v>
      </c>
      <c r="Y96" s="25" t="s">
        <v>1753</v>
      </c>
      <c r="Z96" s="26">
        <v>40515</v>
      </c>
      <c r="AA96" s="776">
        <v>0</v>
      </c>
      <c r="AB96" s="776">
        <v>66.599999999999994</v>
      </c>
      <c r="AC96" s="776">
        <v>0</v>
      </c>
      <c r="AD96" s="776">
        <v>0</v>
      </c>
      <c r="AE96" s="777">
        <v>0</v>
      </c>
      <c r="AF96" s="777">
        <v>80</v>
      </c>
      <c r="AG96" s="778">
        <v>80.059655261124604</v>
      </c>
    </row>
    <row r="97" spans="1:33" x14ac:dyDescent="0.2">
      <c r="A97" s="15">
        <f t="shared" si="8"/>
        <v>2011</v>
      </c>
      <c r="B97" s="14">
        <f t="shared" si="9"/>
        <v>11</v>
      </c>
      <c r="C97" s="13" t="str">
        <f t="shared" si="10"/>
        <v>Q4</v>
      </c>
      <c r="D97" s="13" t="str">
        <f t="shared" si="11"/>
        <v>2011Q4</v>
      </c>
      <c r="E97" s="13" t="str">
        <f t="shared" si="12"/>
        <v>Brazil</v>
      </c>
      <c r="F97" s="13" t="str">
        <f t="shared" si="14"/>
        <v>Small Hydro</v>
      </c>
      <c r="G97" s="13" t="str">
        <f t="shared" si="15"/>
        <v>Asset finance investments</v>
      </c>
      <c r="H97" s="638">
        <f t="shared" si="13"/>
        <v>80.240818465062318</v>
      </c>
      <c r="I97" s="24" t="s">
        <v>87</v>
      </c>
      <c r="J97" s="25" t="s">
        <v>246</v>
      </c>
      <c r="K97" s="25" t="s">
        <v>456</v>
      </c>
      <c r="L97" s="25" t="s">
        <v>455</v>
      </c>
      <c r="M97" s="25" t="s">
        <v>31</v>
      </c>
      <c r="N97" s="25" t="s">
        <v>31</v>
      </c>
      <c r="O97" s="25" t="s">
        <v>92</v>
      </c>
      <c r="P97" s="25" t="s">
        <v>83</v>
      </c>
      <c r="Q97" s="25" t="s">
        <v>82</v>
      </c>
      <c r="R97" s="25" t="s">
        <v>91</v>
      </c>
      <c r="S97" s="25" t="s">
        <v>126</v>
      </c>
      <c r="T97" s="25" t="s">
        <v>125</v>
      </c>
      <c r="U97" s="25" t="s">
        <v>247</v>
      </c>
      <c r="V97" s="25">
        <v>0</v>
      </c>
      <c r="W97" s="25" t="s">
        <v>249</v>
      </c>
      <c r="X97" s="25" t="s">
        <v>1749</v>
      </c>
      <c r="Y97" s="25" t="s">
        <v>1750</v>
      </c>
      <c r="Z97" s="26">
        <v>40877</v>
      </c>
      <c r="AA97" s="776">
        <v>21</v>
      </c>
      <c r="AB97" s="776">
        <v>0</v>
      </c>
      <c r="AC97" s="776">
        <v>0</v>
      </c>
      <c r="AD97" s="776">
        <v>0</v>
      </c>
      <c r="AE97" s="777">
        <v>79.7</v>
      </c>
      <c r="AF97" s="777">
        <v>79.7</v>
      </c>
      <c r="AG97" s="778">
        <v>80.240818465062318</v>
      </c>
    </row>
    <row r="98" spans="1:33" x14ac:dyDescent="0.2">
      <c r="A98" s="15">
        <f t="shared" si="8"/>
        <v>2010</v>
      </c>
      <c r="B98" s="14">
        <f t="shared" si="9"/>
        <v>4</v>
      </c>
      <c r="C98" s="13" t="str">
        <f t="shared" si="10"/>
        <v>Q2</v>
      </c>
      <c r="D98" s="13" t="str">
        <f t="shared" si="11"/>
        <v>2010Q2</v>
      </c>
      <c r="E98" s="13" t="str">
        <f t="shared" si="12"/>
        <v>Brazil</v>
      </c>
      <c r="F98" s="13" t="str">
        <f t="shared" si="14"/>
        <v>Biofuels</v>
      </c>
      <c r="G98" s="13" t="str">
        <f t="shared" si="15"/>
        <v>Corporate finance investments</v>
      </c>
      <c r="H98" s="638">
        <f t="shared" si="13"/>
        <v>79.72040247195558</v>
      </c>
      <c r="I98" s="24" t="s">
        <v>87</v>
      </c>
      <c r="J98" s="25" t="s">
        <v>86</v>
      </c>
      <c r="K98" s="25" t="s">
        <v>171</v>
      </c>
      <c r="L98" s="25" t="s">
        <v>170</v>
      </c>
      <c r="M98" s="25" t="s">
        <v>31</v>
      </c>
      <c r="N98" s="25" t="s">
        <v>31</v>
      </c>
      <c r="O98" s="25" t="s">
        <v>92</v>
      </c>
      <c r="P98" s="25" t="s">
        <v>83</v>
      </c>
      <c r="Q98" s="25" t="s">
        <v>82</v>
      </c>
      <c r="R98" s="25" t="s">
        <v>91</v>
      </c>
      <c r="S98" s="25" t="s">
        <v>96</v>
      </c>
      <c r="T98" s="25" t="s">
        <v>96</v>
      </c>
      <c r="U98" s="25" t="s">
        <v>98</v>
      </c>
      <c r="V98" s="25">
        <v>0</v>
      </c>
      <c r="W98" s="25" t="s">
        <v>97</v>
      </c>
      <c r="X98" s="25" t="s">
        <v>1747</v>
      </c>
      <c r="Y98" s="25" t="e">
        <v>#N/A</v>
      </c>
      <c r="Z98" s="26">
        <v>40284</v>
      </c>
      <c r="AA98" s="776" t="s">
        <v>1748</v>
      </c>
      <c r="AB98" s="776" t="s">
        <v>1748</v>
      </c>
      <c r="AC98" s="776" t="s">
        <v>1748</v>
      </c>
      <c r="AD98" s="776" t="s">
        <v>1748</v>
      </c>
      <c r="AE98" s="777">
        <v>0</v>
      </c>
      <c r="AF98" s="777">
        <v>79.661000000000001</v>
      </c>
      <c r="AG98" s="778">
        <v>79.72040247195558</v>
      </c>
    </row>
    <row r="99" spans="1:33" x14ac:dyDescent="0.2">
      <c r="A99" s="15">
        <f t="shared" si="8"/>
        <v>2008</v>
      </c>
      <c r="B99" s="14">
        <f t="shared" si="9"/>
        <v>6</v>
      </c>
      <c r="C99" s="13" t="str">
        <f t="shared" si="10"/>
        <v>Q2</v>
      </c>
      <c r="D99" s="13" t="str">
        <f t="shared" si="11"/>
        <v>2008Q2</v>
      </c>
      <c r="E99" s="13" t="str">
        <f t="shared" si="12"/>
        <v>Brazil</v>
      </c>
      <c r="F99" s="13" t="str">
        <f t="shared" si="14"/>
        <v>Wind</v>
      </c>
      <c r="G99" s="13" t="str">
        <f t="shared" si="15"/>
        <v>Asset finance investments</v>
      </c>
      <c r="H99" s="638">
        <f t="shared" si="13"/>
        <v>79.34000745129066</v>
      </c>
      <c r="I99" s="24" t="s">
        <v>87</v>
      </c>
      <c r="J99" s="25" t="s">
        <v>246</v>
      </c>
      <c r="K99" s="25" t="s">
        <v>356</v>
      </c>
      <c r="L99" s="25" t="s">
        <v>355</v>
      </c>
      <c r="M99" s="25" t="s">
        <v>31</v>
      </c>
      <c r="N99" s="25" t="s">
        <v>31</v>
      </c>
      <c r="O99" s="25" t="s">
        <v>92</v>
      </c>
      <c r="P99" s="25" t="s">
        <v>83</v>
      </c>
      <c r="Q99" s="25" t="s">
        <v>82</v>
      </c>
      <c r="R99" s="25" t="s">
        <v>91</v>
      </c>
      <c r="S99" s="25" t="s">
        <v>101</v>
      </c>
      <c r="T99" s="25" t="s">
        <v>101</v>
      </c>
      <c r="U99" s="25" t="s">
        <v>112</v>
      </c>
      <c r="V99" s="25">
        <v>0</v>
      </c>
      <c r="W99" s="25" t="s">
        <v>245</v>
      </c>
      <c r="X99" s="25" t="s">
        <v>1752</v>
      </c>
      <c r="Y99" s="25" t="s">
        <v>1753</v>
      </c>
      <c r="Z99" s="26">
        <v>39612</v>
      </c>
      <c r="AA99" s="776">
        <v>49.3</v>
      </c>
      <c r="AB99" s="776">
        <v>0</v>
      </c>
      <c r="AC99" s="776">
        <v>0</v>
      </c>
      <c r="AD99" s="776">
        <v>0</v>
      </c>
      <c r="AE99" s="777">
        <v>0</v>
      </c>
      <c r="AF99" s="777">
        <v>78.88</v>
      </c>
      <c r="AG99" s="778">
        <v>79.34000745129066</v>
      </c>
    </row>
    <row r="100" spans="1:33" x14ac:dyDescent="0.2">
      <c r="A100" s="15">
        <f t="shared" si="8"/>
        <v>2011</v>
      </c>
      <c r="B100" s="14">
        <f t="shared" si="9"/>
        <v>4</v>
      </c>
      <c r="C100" s="13" t="str">
        <f t="shared" si="10"/>
        <v>Q2</v>
      </c>
      <c r="D100" s="13" t="str">
        <f t="shared" si="11"/>
        <v>2011Q2</v>
      </c>
      <c r="E100" s="13" t="str">
        <f t="shared" si="12"/>
        <v>Brazil</v>
      </c>
      <c r="F100" s="13" t="str">
        <f t="shared" si="14"/>
        <v>Small Hydro</v>
      </c>
      <c r="G100" s="13" t="str">
        <f t="shared" si="15"/>
        <v>Asset finance investments</v>
      </c>
      <c r="H100" s="638">
        <f t="shared" si="13"/>
        <v>78.428604246277985</v>
      </c>
      <c r="I100" s="24" t="s">
        <v>87</v>
      </c>
      <c r="J100" s="25" t="s">
        <v>246</v>
      </c>
      <c r="K100" s="25" t="s">
        <v>490</v>
      </c>
      <c r="L100" s="25" t="s">
        <v>489</v>
      </c>
      <c r="M100" s="25" t="s">
        <v>31</v>
      </c>
      <c r="N100" s="25" t="s">
        <v>31</v>
      </c>
      <c r="O100" s="25" t="s">
        <v>92</v>
      </c>
      <c r="P100" s="25" t="s">
        <v>83</v>
      </c>
      <c r="Q100" s="25" t="s">
        <v>82</v>
      </c>
      <c r="R100" s="25" t="s">
        <v>91</v>
      </c>
      <c r="S100" s="25" t="s">
        <v>126</v>
      </c>
      <c r="T100" s="25" t="s">
        <v>125</v>
      </c>
      <c r="U100" s="25" t="s">
        <v>247</v>
      </c>
      <c r="V100" s="25">
        <v>0</v>
      </c>
      <c r="W100" s="25" t="s">
        <v>249</v>
      </c>
      <c r="X100" s="25" t="s">
        <v>1749</v>
      </c>
      <c r="Y100" s="25" t="s">
        <v>1750</v>
      </c>
      <c r="Z100" s="26">
        <v>40645</v>
      </c>
      <c r="AA100" s="776">
        <v>22.2</v>
      </c>
      <c r="AB100" s="776">
        <v>0</v>
      </c>
      <c r="AC100" s="776">
        <v>0</v>
      </c>
      <c r="AD100" s="776">
        <v>0</v>
      </c>
      <c r="AE100" s="777">
        <v>77.900000000000006</v>
      </c>
      <c r="AF100" s="777">
        <v>77.900000000000006</v>
      </c>
      <c r="AG100" s="778">
        <v>78.428604246277985</v>
      </c>
    </row>
    <row r="101" spans="1:33" x14ac:dyDescent="0.2">
      <c r="A101" s="15">
        <f t="shared" si="8"/>
        <v>2011</v>
      </c>
      <c r="B101" s="14">
        <f t="shared" si="9"/>
        <v>7</v>
      </c>
      <c r="C101" s="13" t="str">
        <f t="shared" si="10"/>
        <v>Q3</v>
      </c>
      <c r="D101" s="13" t="str">
        <f t="shared" si="11"/>
        <v>2011Q3</v>
      </c>
      <c r="E101" s="13" t="str">
        <f t="shared" si="12"/>
        <v>Brazil</v>
      </c>
      <c r="F101" s="13" t="str">
        <f t="shared" si="14"/>
        <v>Wind</v>
      </c>
      <c r="G101" s="13" t="str">
        <f t="shared" si="15"/>
        <v>Asset finance investments</v>
      </c>
      <c r="H101" s="638">
        <f t="shared" si="13"/>
        <v>77.119782866044829</v>
      </c>
      <c r="I101" s="24" t="s">
        <v>87</v>
      </c>
      <c r="J101" s="25" t="s">
        <v>246</v>
      </c>
      <c r="K101" s="25" t="s">
        <v>488</v>
      </c>
      <c r="L101" s="25" t="s">
        <v>487</v>
      </c>
      <c r="M101" s="25" t="s">
        <v>31</v>
      </c>
      <c r="N101" s="25" t="s">
        <v>31</v>
      </c>
      <c r="O101" s="25" t="s">
        <v>92</v>
      </c>
      <c r="P101" s="25" t="s">
        <v>83</v>
      </c>
      <c r="Q101" s="25" t="s">
        <v>82</v>
      </c>
      <c r="R101" s="25" t="s">
        <v>91</v>
      </c>
      <c r="S101" s="25" t="s">
        <v>101</v>
      </c>
      <c r="T101" s="25" t="s">
        <v>101</v>
      </c>
      <c r="U101" s="25" t="s">
        <v>112</v>
      </c>
      <c r="V101" s="25">
        <v>0</v>
      </c>
      <c r="W101" s="25" t="s">
        <v>249</v>
      </c>
      <c r="X101" s="25" t="s">
        <v>1749</v>
      </c>
      <c r="Y101" s="25" t="s">
        <v>1750</v>
      </c>
      <c r="Z101" s="26">
        <v>40750</v>
      </c>
      <c r="AA101" s="776">
        <v>70</v>
      </c>
      <c r="AB101" s="776">
        <v>0</v>
      </c>
      <c r="AC101" s="776">
        <v>0</v>
      </c>
      <c r="AD101" s="776">
        <v>0</v>
      </c>
      <c r="AE101" s="777">
        <v>76.599999999999994</v>
      </c>
      <c r="AF101" s="777">
        <v>76.599999999999994</v>
      </c>
      <c r="AG101" s="778">
        <v>77.119782866044829</v>
      </c>
    </row>
    <row r="102" spans="1:33" x14ac:dyDescent="0.2">
      <c r="A102" s="15">
        <f t="shared" si="8"/>
        <v>2012</v>
      </c>
      <c r="B102" s="14">
        <f t="shared" si="9"/>
        <v>11</v>
      </c>
      <c r="C102" s="13" t="str">
        <f t="shared" si="10"/>
        <v>Q4</v>
      </c>
      <c r="D102" s="13" t="str">
        <f t="shared" si="11"/>
        <v>2012Q4</v>
      </c>
      <c r="E102" s="13" t="str">
        <f t="shared" si="12"/>
        <v>Brazil</v>
      </c>
      <c r="F102" s="13" t="str">
        <f t="shared" si="14"/>
        <v>Wind</v>
      </c>
      <c r="G102" s="13" t="str">
        <f t="shared" si="15"/>
        <v>Asset finance investments</v>
      </c>
      <c r="H102" s="638">
        <f t="shared" si="13"/>
        <v>105.68067416324925</v>
      </c>
      <c r="I102" s="24" t="s">
        <v>87</v>
      </c>
      <c r="J102" s="25" t="s">
        <v>246</v>
      </c>
      <c r="K102" s="25" t="s">
        <v>1837</v>
      </c>
      <c r="L102" s="25" t="s">
        <v>1838</v>
      </c>
      <c r="M102" s="25" t="s">
        <v>31</v>
      </c>
      <c r="N102" s="25" t="s">
        <v>31</v>
      </c>
      <c r="O102" s="25" t="s">
        <v>92</v>
      </c>
      <c r="P102" s="25" t="s">
        <v>83</v>
      </c>
      <c r="Q102" s="25" t="s">
        <v>82</v>
      </c>
      <c r="R102" s="25" t="s">
        <v>91</v>
      </c>
      <c r="S102" s="25" t="s">
        <v>101</v>
      </c>
      <c r="T102" s="25" t="s">
        <v>101</v>
      </c>
      <c r="U102" s="25" t="s">
        <v>112</v>
      </c>
      <c r="V102" s="25">
        <v>0</v>
      </c>
      <c r="W102" s="25" t="s">
        <v>249</v>
      </c>
      <c r="X102" s="25" t="s">
        <v>1814</v>
      </c>
      <c r="Y102" s="25" t="s">
        <v>1750</v>
      </c>
      <c r="Z102" s="26">
        <v>41226</v>
      </c>
      <c r="AA102" s="776">
        <v>90</v>
      </c>
      <c r="AB102" s="776">
        <v>0</v>
      </c>
      <c r="AC102" s="776">
        <v>0</v>
      </c>
      <c r="AD102" s="776">
        <v>0</v>
      </c>
      <c r="AE102" s="777">
        <v>76.5</v>
      </c>
      <c r="AF102" s="777">
        <v>76.5</v>
      </c>
      <c r="AG102" s="778">
        <v>105.68067416324925</v>
      </c>
    </row>
    <row r="103" spans="1:33" x14ac:dyDescent="0.2">
      <c r="A103" s="15">
        <f t="shared" si="8"/>
        <v>2011</v>
      </c>
      <c r="B103" s="14">
        <f t="shared" si="9"/>
        <v>10</v>
      </c>
      <c r="C103" s="13" t="str">
        <f t="shared" si="10"/>
        <v>Q4</v>
      </c>
      <c r="D103" s="13" t="str">
        <f t="shared" si="11"/>
        <v>2011Q4</v>
      </c>
      <c r="E103" s="13" t="str">
        <f t="shared" si="12"/>
        <v>Brazil</v>
      </c>
      <c r="F103" s="13" t="str">
        <f t="shared" si="14"/>
        <v>Wind</v>
      </c>
      <c r="G103" s="13" t="str">
        <f t="shared" si="15"/>
        <v>Corporate finance investments</v>
      </c>
      <c r="H103" s="638">
        <f t="shared" si="13"/>
        <v>76.981853228281807</v>
      </c>
      <c r="I103" s="24" t="s">
        <v>87</v>
      </c>
      <c r="J103" s="25" t="s">
        <v>86</v>
      </c>
      <c r="K103" s="25" t="s">
        <v>180</v>
      </c>
      <c r="L103" s="25" t="s">
        <v>179</v>
      </c>
      <c r="M103" s="25" t="s">
        <v>31</v>
      </c>
      <c r="N103" s="25" t="s">
        <v>31</v>
      </c>
      <c r="O103" s="25" t="s">
        <v>92</v>
      </c>
      <c r="P103" s="25" t="s">
        <v>83</v>
      </c>
      <c r="Q103" s="25" t="s">
        <v>82</v>
      </c>
      <c r="R103" s="25" t="s">
        <v>91</v>
      </c>
      <c r="S103" s="25" t="s">
        <v>101</v>
      </c>
      <c r="T103" s="25" t="s">
        <v>101</v>
      </c>
      <c r="U103" s="25">
        <v>0</v>
      </c>
      <c r="V103" s="25">
        <v>0</v>
      </c>
      <c r="W103" s="25" t="s">
        <v>94</v>
      </c>
      <c r="X103" s="25" t="s">
        <v>1747</v>
      </c>
      <c r="Y103" s="25" t="e">
        <v>#N/A</v>
      </c>
      <c r="Z103" s="26">
        <v>40827</v>
      </c>
      <c r="AA103" s="776" t="s">
        <v>1748</v>
      </c>
      <c r="AB103" s="776" t="s">
        <v>1748</v>
      </c>
      <c r="AC103" s="776" t="s">
        <v>1748</v>
      </c>
      <c r="AD103" s="776" t="s">
        <v>1748</v>
      </c>
      <c r="AE103" s="777">
        <v>0</v>
      </c>
      <c r="AF103" s="777">
        <v>76.462999999999994</v>
      </c>
      <c r="AG103" s="778">
        <v>76.981853228281807</v>
      </c>
    </row>
    <row r="104" spans="1:33" x14ac:dyDescent="0.2">
      <c r="A104" s="15">
        <f t="shared" si="8"/>
        <v>2011</v>
      </c>
      <c r="B104" s="14">
        <f t="shared" si="9"/>
        <v>3</v>
      </c>
      <c r="C104" s="13" t="str">
        <f t="shared" si="10"/>
        <v>Q1</v>
      </c>
      <c r="D104" s="13" t="str">
        <f t="shared" si="11"/>
        <v>2011Q1</v>
      </c>
      <c r="E104" s="13" t="str">
        <f t="shared" si="12"/>
        <v>Brazil</v>
      </c>
      <c r="F104" s="13" t="str">
        <f t="shared" si="14"/>
        <v>Wind</v>
      </c>
      <c r="G104" s="13" t="str">
        <f t="shared" si="15"/>
        <v>Corporate finance investments</v>
      </c>
      <c r="H104" s="638">
        <f t="shared" si="13"/>
        <v>76.981853228281807</v>
      </c>
      <c r="I104" s="24" t="s">
        <v>87</v>
      </c>
      <c r="J104" s="25" t="s">
        <v>86</v>
      </c>
      <c r="K104" s="25" t="s">
        <v>196</v>
      </c>
      <c r="L104" s="25" t="s">
        <v>195</v>
      </c>
      <c r="M104" s="25" t="s">
        <v>31</v>
      </c>
      <c r="N104" s="25" t="s">
        <v>31</v>
      </c>
      <c r="O104" s="25" t="s">
        <v>92</v>
      </c>
      <c r="P104" s="25" t="s">
        <v>83</v>
      </c>
      <c r="Q104" s="25" t="s">
        <v>82</v>
      </c>
      <c r="R104" s="25" t="s">
        <v>91</v>
      </c>
      <c r="S104" s="25" t="s">
        <v>101</v>
      </c>
      <c r="T104" s="25" t="s">
        <v>101</v>
      </c>
      <c r="U104" s="25" t="s">
        <v>112</v>
      </c>
      <c r="V104" s="25">
        <v>0</v>
      </c>
      <c r="W104" s="25" t="s">
        <v>94</v>
      </c>
      <c r="X104" s="25" t="s">
        <v>1747</v>
      </c>
      <c r="Y104" s="25" t="e">
        <v>#N/A</v>
      </c>
      <c r="Z104" s="26">
        <v>40631</v>
      </c>
      <c r="AA104" s="776" t="s">
        <v>1748</v>
      </c>
      <c r="AB104" s="776" t="s">
        <v>1748</v>
      </c>
      <c r="AC104" s="776" t="s">
        <v>1748</v>
      </c>
      <c r="AD104" s="776" t="s">
        <v>1748</v>
      </c>
      <c r="AE104" s="777">
        <v>0</v>
      </c>
      <c r="AF104" s="777">
        <v>76.462999999999994</v>
      </c>
      <c r="AG104" s="778">
        <v>76.981853228281807</v>
      </c>
    </row>
    <row r="105" spans="1:33" x14ac:dyDescent="0.2">
      <c r="A105" s="15">
        <f t="shared" si="8"/>
        <v>2012</v>
      </c>
      <c r="B105" s="14">
        <f t="shared" si="9"/>
        <v>8</v>
      </c>
      <c r="C105" s="13" t="str">
        <f t="shared" si="10"/>
        <v>Q3</v>
      </c>
      <c r="D105" s="13" t="str">
        <f t="shared" si="11"/>
        <v>2012Q3</v>
      </c>
      <c r="E105" s="13" t="str">
        <f t="shared" si="12"/>
        <v>Mexico</v>
      </c>
      <c r="F105" s="13" t="str">
        <f t="shared" si="14"/>
        <v>Wind</v>
      </c>
      <c r="G105" s="13" t="str">
        <f t="shared" si="15"/>
        <v>Asset finance investments</v>
      </c>
      <c r="H105" s="638">
        <f t="shared" si="13"/>
        <v>77.466744739030318</v>
      </c>
      <c r="I105" s="24" t="s">
        <v>87</v>
      </c>
      <c r="J105" s="25" t="s">
        <v>246</v>
      </c>
      <c r="K105" s="25" t="s">
        <v>1839</v>
      </c>
      <c r="L105" s="25" t="s">
        <v>1840</v>
      </c>
      <c r="M105" s="25" t="s">
        <v>18</v>
      </c>
      <c r="N105" s="25" t="s">
        <v>85</v>
      </c>
      <c r="O105" s="25" t="s">
        <v>92</v>
      </c>
      <c r="P105" s="25" t="s">
        <v>83</v>
      </c>
      <c r="Q105" s="25" t="s">
        <v>129</v>
      </c>
      <c r="R105" s="25"/>
      <c r="S105" s="25" t="s">
        <v>101</v>
      </c>
      <c r="T105" s="25" t="s">
        <v>101</v>
      </c>
      <c r="U105" s="25" t="s">
        <v>112</v>
      </c>
      <c r="V105" s="25">
        <v>0</v>
      </c>
      <c r="W105" s="25" t="s">
        <v>249</v>
      </c>
      <c r="X105" s="25" t="s">
        <v>1749</v>
      </c>
      <c r="Y105" s="25" t="s">
        <v>1750</v>
      </c>
      <c r="Z105" s="26">
        <v>41150</v>
      </c>
      <c r="AA105" s="776">
        <v>74</v>
      </c>
      <c r="AB105" s="776">
        <v>0</v>
      </c>
      <c r="AC105" s="776">
        <v>0</v>
      </c>
      <c r="AD105" s="776">
        <v>0</v>
      </c>
      <c r="AE105" s="777">
        <v>76</v>
      </c>
      <c r="AF105" s="777">
        <v>76</v>
      </c>
      <c r="AG105" s="778">
        <v>77.466744739030318</v>
      </c>
    </row>
    <row r="106" spans="1:33" x14ac:dyDescent="0.2">
      <c r="A106" s="15">
        <f t="shared" si="8"/>
        <v>2012</v>
      </c>
      <c r="B106" s="14">
        <f t="shared" si="9"/>
        <v>8</v>
      </c>
      <c r="C106" s="13" t="str">
        <f t="shared" si="10"/>
        <v>Q3</v>
      </c>
      <c r="D106" s="13" t="str">
        <f t="shared" si="11"/>
        <v>2012Q3</v>
      </c>
      <c r="E106" s="13" t="str">
        <f t="shared" si="12"/>
        <v>Brazil</v>
      </c>
      <c r="F106" s="13" t="str">
        <f t="shared" si="14"/>
        <v>Biomass &amp; Waste</v>
      </c>
      <c r="G106" s="13" t="str">
        <f t="shared" si="15"/>
        <v>Asset finance investments</v>
      </c>
      <c r="H106" s="638">
        <f t="shared" si="13"/>
        <v>76.447445466148338</v>
      </c>
      <c r="I106" s="24" t="s">
        <v>87</v>
      </c>
      <c r="J106" s="25" t="s">
        <v>246</v>
      </c>
      <c r="K106" s="25" t="s">
        <v>1841</v>
      </c>
      <c r="L106" s="25" t="s">
        <v>1842</v>
      </c>
      <c r="M106" s="25" t="s">
        <v>31</v>
      </c>
      <c r="N106" s="25" t="s">
        <v>31</v>
      </c>
      <c r="O106" s="25" t="s">
        <v>92</v>
      </c>
      <c r="P106" s="25" t="s">
        <v>83</v>
      </c>
      <c r="Q106" s="25" t="s">
        <v>82</v>
      </c>
      <c r="R106" s="25" t="s">
        <v>91</v>
      </c>
      <c r="S106" s="25" t="s">
        <v>114</v>
      </c>
      <c r="T106" s="25" t="s">
        <v>114</v>
      </c>
      <c r="U106" s="25" t="s">
        <v>113</v>
      </c>
      <c r="V106" s="25" t="s">
        <v>347</v>
      </c>
      <c r="W106" s="25" t="s">
        <v>245</v>
      </c>
      <c r="X106" s="25" t="s">
        <v>1752</v>
      </c>
      <c r="Y106" s="25" t="s">
        <v>1753</v>
      </c>
      <c r="Z106" s="26">
        <v>41142</v>
      </c>
      <c r="AA106" s="776">
        <v>170</v>
      </c>
      <c r="AB106" s="776">
        <v>0</v>
      </c>
      <c r="AC106" s="776">
        <v>0</v>
      </c>
      <c r="AD106" s="776">
        <v>0</v>
      </c>
      <c r="AE106" s="777">
        <v>75</v>
      </c>
      <c r="AF106" s="777">
        <v>75</v>
      </c>
      <c r="AG106" s="778">
        <v>76.447445466148338</v>
      </c>
    </row>
    <row r="107" spans="1:33" x14ac:dyDescent="0.2">
      <c r="A107" s="15">
        <f t="shared" si="8"/>
        <v>2011</v>
      </c>
      <c r="B107" s="14">
        <f t="shared" si="9"/>
        <v>5</v>
      </c>
      <c r="C107" s="13" t="str">
        <f t="shared" si="10"/>
        <v>Q2</v>
      </c>
      <c r="D107" s="13" t="str">
        <f t="shared" si="11"/>
        <v>2011Q2</v>
      </c>
      <c r="E107" s="13" t="str">
        <f t="shared" si="12"/>
        <v>Brazil</v>
      </c>
      <c r="F107" s="13" t="str">
        <f t="shared" si="14"/>
        <v>Small Hydro</v>
      </c>
      <c r="G107" s="13" t="str">
        <f t="shared" si="15"/>
        <v>Asset finance investments</v>
      </c>
      <c r="H107" s="638">
        <f t="shared" si="13"/>
        <v>75.50892578268099</v>
      </c>
      <c r="I107" s="24" t="s">
        <v>87</v>
      </c>
      <c r="J107" s="25" t="s">
        <v>246</v>
      </c>
      <c r="K107" s="25" t="s">
        <v>486</v>
      </c>
      <c r="L107" s="25" t="s">
        <v>485</v>
      </c>
      <c r="M107" s="25" t="s">
        <v>31</v>
      </c>
      <c r="N107" s="25" t="s">
        <v>31</v>
      </c>
      <c r="O107" s="25" t="s">
        <v>92</v>
      </c>
      <c r="P107" s="25" t="s">
        <v>83</v>
      </c>
      <c r="Q107" s="25" t="s">
        <v>82</v>
      </c>
      <c r="R107" s="25" t="s">
        <v>91</v>
      </c>
      <c r="S107" s="25" t="s">
        <v>126</v>
      </c>
      <c r="T107" s="25" t="s">
        <v>125</v>
      </c>
      <c r="U107" s="25" t="s">
        <v>342</v>
      </c>
      <c r="V107" s="25">
        <v>0</v>
      </c>
      <c r="W107" s="25" t="s">
        <v>245</v>
      </c>
      <c r="X107" s="25" t="s">
        <v>1752</v>
      </c>
      <c r="Y107" s="25" t="s">
        <v>1753</v>
      </c>
      <c r="Z107" s="26">
        <v>40665</v>
      </c>
      <c r="AA107" s="776">
        <v>30</v>
      </c>
      <c r="AB107" s="776">
        <v>0</v>
      </c>
      <c r="AC107" s="776">
        <v>0</v>
      </c>
      <c r="AD107" s="776">
        <v>0</v>
      </c>
      <c r="AE107" s="777">
        <v>0</v>
      </c>
      <c r="AF107" s="777">
        <v>75</v>
      </c>
      <c r="AG107" s="778">
        <v>75.50892578268099</v>
      </c>
    </row>
    <row r="108" spans="1:33" x14ac:dyDescent="0.2">
      <c r="A108" s="15">
        <f t="shared" si="8"/>
        <v>2011</v>
      </c>
      <c r="B108" s="14">
        <f t="shared" si="9"/>
        <v>7</v>
      </c>
      <c r="C108" s="13" t="str">
        <f t="shared" si="10"/>
        <v>Q3</v>
      </c>
      <c r="D108" s="13" t="str">
        <f t="shared" si="11"/>
        <v>2011Q3</v>
      </c>
      <c r="E108" s="13" t="str">
        <f t="shared" si="12"/>
        <v>Mexico</v>
      </c>
      <c r="F108" s="13" t="str">
        <f t="shared" si="14"/>
        <v>Wind</v>
      </c>
      <c r="G108" s="13" t="str">
        <f t="shared" si="15"/>
        <v>Asset finance investments</v>
      </c>
      <c r="H108" s="638">
        <f t="shared" si="13"/>
        <v>75.62032480079715</v>
      </c>
      <c r="I108" s="24" t="s">
        <v>87</v>
      </c>
      <c r="J108" s="25" t="s">
        <v>246</v>
      </c>
      <c r="K108" s="25" t="s">
        <v>484</v>
      </c>
      <c r="L108" s="25" t="s">
        <v>1843</v>
      </c>
      <c r="M108" s="25" t="s">
        <v>18</v>
      </c>
      <c r="N108" s="25" t="s">
        <v>85</v>
      </c>
      <c r="O108" s="25" t="s">
        <v>92</v>
      </c>
      <c r="P108" s="25" t="s">
        <v>83</v>
      </c>
      <c r="Q108" s="25" t="s">
        <v>129</v>
      </c>
      <c r="R108" s="25"/>
      <c r="S108" s="25" t="s">
        <v>101</v>
      </c>
      <c r="T108" s="25" t="s">
        <v>101</v>
      </c>
      <c r="U108" s="25" t="s">
        <v>112</v>
      </c>
      <c r="V108" s="25">
        <v>0</v>
      </c>
      <c r="W108" s="25" t="s">
        <v>249</v>
      </c>
      <c r="X108" s="25" t="s">
        <v>1806</v>
      </c>
      <c r="Y108" s="25" t="s">
        <v>1750</v>
      </c>
      <c r="Z108" s="26">
        <v>40744</v>
      </c>
      <c r="AA108" s="776">
        <v>306</v>
      </c>
      <c r="AB108" s="776">
        <v>0</v>
      </c>
      <c r="AC108" s="776">
        <v>0</v>
      </c>
      <c r="AD108" s="776">
        <v>0</v>
      </c>
      <c r="AE108" s="777">
        <v>75</v>
      </c>
      <c r="AF108" s="777">
        <v>75</v>
      </c>
      <c r="AG108" s="778">
        <v>75.62032480079715</v>
      </c>
    </row>
    <row r="109" spans="1:33" x14ac:dyDescent="0.2">
      <c r="A109" s="15">
        <f t="shared" si="8"/>
        <v>2010</v>
      </c>
      <c r="B109" s="14">
        <f t="shared" si="9"/>
        <v>2</v>
      </c>
      <c r="C109" s="13" t="str">
        <f t="shared" si="10"/>
        <v>Q1</v>
      </c>
      <c r="D109" s="13" t="str">
        <f t="shared" si="11"/>
        <v>2010Q1</v>
      </c>
      <c r="E109" s="13" t="str">
        <f t="shared" si="12"/>
        <v>Brazil</v>
      </c>
      <c r="F109" s="13" t="str">
        <f t="shared" si="14"/>
        <v>Biofuels</v>
      </c>
      <c r="G109" s="13" t="str">
        <f t="shared" si="15"/>
        <v>Asset finance investments</v>
      </c>
      <c r="H109" s="638">
        <f t="shared" si="13"/>
        <v>74.955852238227919</v>
      </c>
      <c r="I109" s="24" t="s">
        <v>87</v>
      </c>
      <c r="J109" s="25" t="s">
        <v>246</v>
      </c>
      <c r="K109" s="25" t="s">
        <v>429</v>
      </c>
      <c r="L109" s="25" t="s">
        <v>1844</v>
      </c>
      <c r="M109" s="25" t="s">
        <v>31</v>
      </c>
      <c r="N109" s="25" t="s">
        <v>31</v>
      </c>
      <c r="O109" s="25" t="s">
        <v>92</v>
      </c>
      <c r="P109" s="25" t="s">
        <v>83</v>
      </c>
      <c r="Q109" s="25" t="s">
        <v>82</v>
      </c>
      <c r="R109" s="25" t="s">
        <v>91</v>
      </c>
      <c r="S109" s="25" t="s">
        <v>96</v>
      </c>
      <c r="T109" s="25" t="s">
        <v>96</v>
      </c>
      <c r="U109" s="25" t="s">
        <v>98</v>
      </c>
      <c r="V109" s="25" t="s">
        <v>230</v>
      </c>
      <c r="W109" s="25" t="s">
        <v>245</v>
      </c>
      <c r="X109" s="25" t="s">
        <v>1752</v>
      </c>
      <c r="Y109" s="25" t="s">
        <v>1753</v>
      </c>
      <c r="Z109" s="26">
        <v>40232</v>
      </c>
      <c r="AA109" s="776">
        <v>8</v>
      </c>
      <c r="AB109" s="776">
        <v>80</v>
      </c>
      <c r="AC109" s="776">
        <v>0</v>
      </c>
      <c r="AD109" s="776">
        <v>0</v>
      </c>
      <c r="AE109" s="777">
        <v>74.900000000000006</v>
      </c>
      <c r="AF109" s="777">
        <v>74.900000000000006</v>
      </c>
      <c r="AG109" s="778">
        <v>74.955852238227919</v>
      </c>
    </row>
    <row r="110" spans="1:33" x14ac:dyDescent="0.2">
      <c r="A110" s="15">
        <f t="shared" si="8"/>
        <v>2011</v>
      </c>
      <c r="B110" s="14">
        <f t="shared" si="9"/>
        <v>11</v>
      </c>
      <c r="C110" s="13" t="str">
        <f t="shared" si="10"/>
        <v>Q4</v>
      </c>
      <c r="D110" s="13" t="str">
        <f t="shared" si="11"/>
        <v>2011Q4</v>
      </c>
      <c r="E110" s="13" t="str">
        <f t="shared" si="12"/>
        <v>Brazil</v>
      </c>
      <c r="F110" s="13" t="str">
        <f t="shared" si="14"/>
        <v>Biofuels</v>
      </c>
      <c r="G110" s="13" t="str">
        <f t="shared" si="15"/>
        <v>Corporate finance investments</v>
      </c>
      <c r="H110" s="638">
        <f t="shared" si="13"/>
        <v>71.481783074271334</v>
      </c>
      <c r="I110" s="24" t="s">
        <v>87</v>
      </c>
      <c r="J110" s="25" t="s">
        <v>86</v>
      </c>
      <c r="K110" s="25" t="s">
        <v>186</v>
      </c>
      <c r="L110" s="25" t="s">
        <v>141</v>
      </c>
      <c r="M110" s="25" t="s">
        <v>31</v>
      </c>
      <c r="N110" s="25" t="s">
        <v>31</v>
      </c>
      <c r="O110" s="25" t="s">
        <v>92</v>
      </c>
      <c r="P110" s="25" t="s">
        <v>83</v>
      </c>
      <c r="Q110" s="25" t="s">
        <v>82</v>
      </c>
      <c r="R110" s="25" t="s">
        <v>91</v>
      </c>
      <c r="S110" s="25" t="s">
        <v>96</v>
      </c>
      <c r="T110" s="25" t="s">
        <v>96</v>
      </c>
      <c r="U110" s="25" t="s">
        <v>98</v>
      </c>
      <c r="V110" s="25">
        <v>0</v>
      </c>
      <c r="W110" s="25" t="s">
        <v>94</v>
      </c>
      <c r="X110" s="25" t="s">
        <v>1747</v>
      </c>
      <c r="Y110" s="25" t="e">
        <v>#N/A</v>
      </c>
      <c r="Z110" s="26">
        <v>40870</v>
      </c>
      <c r="AA110" s="776" t="s">
        <v>1748</v>
      </c>
      <c r="AB110" s="776" t="s">
        <v>1748</v>
      </c>
      <c r="AC110" s="776" t="s">
        <v>1748</v>
      </c>
      <c r="AD110" s="776" t="s">
        <v>1748</v>
      </c>
      <c r="AE110" s="777">
        <v>71</v>
      </c>
      <c r="AF110" s="777">
        <v>71</v>
      </c>
      <c r="AG110" s="778">
        <v>71.481783074271334</v>
      </c>
    </row>
    <row r="111" spans="1:33" x14ac:dyDescent="0.2">
      <c r="A111" s="15">
        <f t="shared" si="8"/>
        <v>2007</v>
      </c>
      <c r="B111" s="14">
        <f t="shared" si="9"/>
        <v>11</v>
      </c>
      <c r="C111" s="13" t="str">
        <f t="shared" si="10"/>
        <v>Q4</v>
      </c>
      <c r="D111" s="13" t="str">
        <f t="shared" si="11"/>
        <v>2007Q4</v>
      </c>
      <c r="E111" s="13" t="str">
        <f t="shared" si="12"/>
        <v>Brazil</v>
      </c>
      <c r="F111" s="13" t="str">
        <f t="shared" si="14"/>
        <v>Biofuels</v>
      </c>
      <c r="G111" s="13" t="str">
        <f t="shared" si="15"/>
        <v>Asset finance investments</v>
      </c>
      <c r="H111" s="638">
        <f t="shared" si="13"/>
        <v>72.048622193696303</v>
      </c>
      <c r="I111" s="24" t="s">
        <v>87</v>
      </c>
      <c r="J111" s="25" t="s">
        <v>246</v>
      </c>
      <c r="K111" s="25" t="s">
        <v>304</v>
      </c>
      <c r="L111" s="25" t="s">
        <v>1845</v>
      </c>
      <c r="M111" s="25" t="s">
        <v>31</v>
      </c>
      <c r="N111" s="25" t="s">
        <v>31</v>
      </c>
      <c r="O111" s="25" t="s">
        <v>92</v>
      </c>
      <c r="P111" s="25" t="s">
        <v>83</v>
      </c>
      <c r="Q111" s="25" t="s">
        <v>82</v>
      </c>
      <c r="R111" s="25" t="s">
        <v>91</v>
      </c>
      <c r="S111" s="25" t="s">
        <v>96</v>
      </c>
      <c r="T111" s="25" t="s">
        <v>96</v>
      </c>
      <c r="U111" s="25" t="s">
        <v>98</v>
      </c>
      <c r="V111" s="25" t="s">
        <v>230</v>
      </c>
      <c r="W111" s="25" t="s">
        <v>245</v>
      </c>
      <c r="X111" s="25" t="s">
        <v>1752</v>
      </c>
      <c r="Y111" s="25" t="s">
        <v>1753</v>
      </c>
      <c r="Z111" s="26">
        <v>39414</v>
      </c>
      <c r="AA111" s="776">
        <v>0</v>
      </c>
      <c r="AB111" s="776">
        <v>63</v>
      </c>
      <c r="AC111" s="776">
        <v>0</v>
      </c>
      <c r="AD111" s="776">
        <v>0</v>
      </c>
      <c r="AE111" s="777">
        <v>70.2</v>
      </c>
      <c r="AF111" s="777">
        <v>70.2</v>
      </c>
      <c r="AG111" s="778">
        <v>72.048622193696303</v>
      </c>
    </row>
    <row r="112" spans="1:33" x14ac:dyDescent="0.2">
      <c r="A112" s="15">
        <f t="shared" si="8"/>
        <v>2012</v>
      </c>
      <c r="B112" s="14">
        <f t="shared" si="9"/>
        <v>1</v>
      </c>
      <c r="C112" s="13" t="str">
        <f t="shared" si="10"/>
        <v>Q1</v>
      </c>
      <c r="D112" s="13" t="str">
        <f t="shared" si="11"/>
        <v>2012Q1</v>
      </c>
      <c r="E112" s="13" t="str">
        <f t="shared" si="12"/>
        <v>Brazil</v>
      </c>
      <c r="F112" s="13" t="str">
        <f t="shared" si="14"/>
        <v>Small Hydro</v>
      </c>
      <c r="G112" s="13" t="str">
        <f t="shared" si="15"/>
        <v>Asset finance investments</v>
      </c>
      <c r="H112" s="638">
        <f t="shared" si="13"/>
        <v>73.352035764936616</v>
      </c>
      <c r="I112" s="24" t="s">
        <v>87</v>
      </c>
      <c r="J112" s="25" t="s">
        <v>246</v>
      </c>
      <c r="K112" s="25" t="s">
        <v>1846</v>
      </c>
      <c r="L112" s="25" t="s">
        <v>1847</v>
      </c>
      <c r="M112" s="25" t="s">
        <v>31</v>
      </c>
      <c r="N112" s="25" t="s">
        <v>31</v>
      </c>
      <c r="O112" s="25" t="s">
        <v>92</v>
      </c>
      <c r="P112" s="25" t="s">
        <v>83</v>
      </c>
      <c r="Q112" s="25" t="s">
        <v>82</v>
      </c>
      <c r="R112" s="25" t="s">
        <v>91</v>
      </c>
      <c r="S112" s="25" t="s">
        <v>126</v>
      </c>
      <c r="T112" s="25" t="s">
        <v>125</v>
      </c>
      <c r="U112" s="25" t="s">
        <v>247</v>
      </c>
      <c r="V112" s="25">
        <v>0</v>
      </c>
      <c r="W112" s="25" t="s">
        <v>249</v>
      </c>
      <c r="X112" s="25" t="s">
        <v>1749</v>
      </c>
      <c r="Y112" s="25" t="s">
        <v>1750</v>
      </c>
      <c r="Z112" s="26">
        <v>40935</v>
      </c>
      <c r="AA112" s="776">
        <v>25</v>
      </c>
      <c r="AB112" s="776">
        <v>0</v>
      </c>
      <c r="AC112" s="776">
        <v>0</v>
      </c>
      <c r="AD112" s="776">
        <v>0</v>
      </c>
      <c r="AE112" s="777">
        <v>70</v>
      </c>
      <c r="AF112" s="777">
        <v>70</v>
      </c>
      <c r="AG112" s="778">
        <v>73.352035764936616</v>
      </c>
    </row>
    <row r="113" spans="1:33" x14ac:dyDescent="0.2">
      <c r="A113" s="15">
        <f t="shared" si="8"/>
        <v>2007</v>
      </c>
      <c r="B113" s="14">
        <f t="shared" si="9"/>
        <v>2</v>
      </c>
      <c r="C113" s="13" t="str">
        <f t="shared" si="10"/>
        <v>Q1</v>
      </c>
      <c r="D113" s="13" t="str">
        <f t="shared" si="11"/>
        <v>2007Q1</v>
      </c>
      <c r="E113" s="13" t="str">
        <f t="shared" si="12"/>
        <v>Brazil</v>
      </c>
      <c r="F113" s="13" t="str">
        <f t="shared" si="14"/>
        <v>Biofuels</v>
      </c>
      <c r="G113" s="13" t="str">
        <f t="shared" si="15"/>
        <v>Asset finance investments</v>
      </c>
      <c r="H113" s="638">
        <f t="shared" si="13"/>
        <v>94.565863399187506</v>
      </c>
      <c r="I113" s="24" t="s">
        <v>87</v>
      </c>
      <c r="J113" s="25" t="s">
        <v>246</v>
      </c>
      <c r="K113" s="25" t="s">
        <v>305</v>
      </c>
      <c r="L113" s="25" t="s">
        <v>1848</v>
      </c>
      <c r="M113" s="25" t="s">
        <v>31</v>
      </c>
      <c r="N113" s="25" t="s">
        <v>31</v>
      </c>
      <c r="O113" s="25" t="s">
        <v>92</v>
      </c>
      <c r="P113" s="25" t="s">
        <v>83</v>
      </c>
      <c r="Q113" s="25" t="s">
        <v>82</v>
      </c>
      <c r="R113" s="25" t="s">
        <v>91</v>
      </c>
      <c r="S113" s="25" t="s">
        <v>96</v>
      </c>
      <c r="T113" s="25" t="s">
        <v>96</v>
      </c>
      <c r="U113" s="25" t="s">
        <v>98</v>
      </c>
      <c r="V113" s="25" t="s">
        <v>230</v>
      </c>
      <c r="W113" s="25" t="s">
        <v>245</v>
      </c>
      <c r="X113" s="25" t="s">
        <v>1752</v>
      </c>
      <c r="Y113" s="25" t="s">
        <v>1753</v>
      </c>
      <c r="Z113" s="26">
        <v>39122</v>
      </c>
      <c r="AA113" s="776">
        <v>0</v>
      </c>
      <c r="AB113" s="776">
        <v>15</v>
      </c>
      <c r="AC113" s="776">
        <v>0</v>
      </c>
      <c r="AD113" s="776">
        <v>0</v>
      </c>
      <c r="AE113" s="777">
        <v>70</v>
      </c>
      <c r="AF113" s="777">
        <v>70</v>
      </c>
      <c r="AG113" s="778">
        <v>94.565863399187506</v>
      </c>
    </row>
    <row r="114" spans="1:33" x14ac:dyDescent="0.2">
      <c r="A114" s="15">
        <f t="shared" si="8"/>
        <v>2011</v>
      </c>
      <c r="B114" s="14">
        <f t="shared" si="9"/>
        <v>8</v>
      </c>
      <c r="C114" s="13" t="str">
        <f t="shared" si="10"/>
        <v>Q3</v>
      </c>
      <c r="D114" s="13" t="str">
        <f t="shared" si="11"/>
        <v>2011Q3</v>
      </c>
      <c r="E114" s="13" t="str">
        <f t="shared" si="12"/>
        <v>Brazil</v>
      </c>
      <c r="F114" s="13" t="str">
        <f t="shared" si="14"/>
        <v>Small Hydro</v>
      </c>
      <c r="G114" s="13" t="str">
        <f t="shared" si="15"/>
        <v>Asset finance investments</v>
      </c>
      <c r="H114" s="638">
        <f t="shared" si="13"/>
        <v>68.864140313805066</v>
      </c>
      <c r="I114" s="24" t="s">
        <v>87</v>
      </c>
      <c r="J114" s="25" t="s">
        <v>246</v>
      </c>
      <c r="K114" s="25" t="s">
        <v>483</v>
      </c>
      <c r="L114" s="25" t="s">
        <v>482</v>
      </c>
      <c r="M114" s="25" t="s">
        <v>31</v>
      </c>
      <c r="N114" s="25" t="s">
        <v>31</v>
      </c>
      <c r="O114" s="25" t="s">
        <v>92</v>
      </c>
      <c r="P114" s="25" t="s">
        <v>83</v>
      </c>
      <c r="Q114" s="25" t="s">
        <v>82</v>
      </c>
      <c r="R114" s="25" t="s">
        <v>91</v>
      </c>
      <c r="S114" s="25" t="s">
        <v>126</v>
      </c>
      <c r="T114" s="25" t="s">
        <v>125</v>
      </c>
      <c r="U114" s="25" t="s">
        <v>247</v>
      </c>
      <c r="V114" s="25">
        <v>0</v>
      </c>
      <c r="W114" s="25" t="s">
        <v>245</v>
      </c>
      <c r="X114" s="25" t="s">
        <v>1752</v>
      </c>
      <c r="Y114" s="25" t="s">
        <v>1753</v>
      </c>
      <c r="Z114" s="26">
        <v>40772</v>
      </c>
      <c r="AA114" s="776">
        <v>28.5</v>
      </c>
      <c r="AB114" s="776">
        <v>0</v>
      </c>
      <c r="AC114" s="776">
        <v>0</v>
      </c>
      <c r="AD114" s="776">
        <v>0</v>
      </c>
      <c r="AE114" s="777">
        <v>0</v>
      </c>
      <c r="AF114" s="777">
        <v>68.400000000000006</v>
      </c>
      <c r="AG114" s="778">
        <v>68.864140313805066</v>
      </c>
    </row>
    <row r="115" spans="1:33" x14ac:dyDescent="0.2">
      <c r="A115" s="15">
        <f t="shared" si="8"/>
        <v>2012</v>
      </c>
      <c r="B115" s="14">
        <f t="shared" si="9"/>
        <v>4</v>
      </c>
      <c r="C115" s="13" t="str">
        <f t="shared" si="10"/>
        <v>Q2</v>
      </c>
      <c r="D115" s="13" t="str">
        <f t="shared" si="11"/>
        <v>2012Q2</v>
      </c>
      <c r="E115" s="13" t="str">
        <f t="shared" si="12"/>
        <v>Brazil</v>
      </c>
      <c r="F115" s="13" t="str">
        <f t="shared" si="14"/>
        <v>Small Hydro</v>
      </c>
      <c r="G115" s="13" t="str">
        <f t="shared" si="15"/>
        <v>Asset finance investments</v>
      </c>
      <c r="H115" s="638">
        <f t="shared" si="13"/>
        <v>68.996276439913871</v>
      </c>
      <c r="I115" s="24" t="s">
        <v>87</v>
      </c>
      <c r="J115" s="25" t="s">
        <v>246</v>
      </c>
      <c r="K115" s="25" t="s">
        <v>1849</v>
      </c>
      <c r="L115" s="25" t="s">
        <v>1850</v>
      </c>
      <c r="M115" s="25" t="s">
        <v>31</v>
      </c>
      <c r="N115" s="25" t="s">
        <v>31</v>
      </c>
      <c r="O115" s="25" t="s">
        <v>92</v>
      </c>
      <c r="P115" s="25" t="s">
        <v>83</v>
      </c>
      <c r="Q115" s="25" t="s">
        <v>82</v>
      </c>
      <c r="R115" s="25" t="s">
        <v>91</v>
      </c>
      <c r="S115" s="25" t="s">
        <v>126</v>
      </c>
      <c r="T115" s="25" t="s">
        <v>125</v>
      </c>
      <c r="U115" s="25" t="s">
        <v>247</v>
      </c>
      <c r="V115" s="25">
        <v>0</v>
      </c>
      <c r="W115" s="25" t="s">
        <v>249</v>
      </c>
      <c r="X115" s="25" t="s">
        <v>1749</v>
      </c>
      <c r="Y115" s="25" t="s">
        <v>1750</v>
      </c>
      <c r="Z115" s="26">
        <v>41002</v>
      </c>
      <c r="AA115" s="776">
        <v>32.5</v>
      </c>
      <c r="AB115" s="776">
        <v>0</v>
      </c>
      <c r="AC115" s="776">
        <v>0</v>
      </c>
      <c r="AD115" s="776">
        <v>0</v>
      </c>
      <c r="AE115" s="777">
        <v>67.7</v>
      </c>
      <c r="AF115" s="777">
        <v>67.7</v>
      </c>
      <c r="AG115" s="778">
        <v>68.996276439913871</v>
      </c>
    </row>
    <row r="116" spans="1:33" x14ac:dyDescent="0.2">
      <c r="A116" s="15">
        <f t="shared" si="8"/>
        <v>2008</v>
      </c>
      <c r="B116" s="14">
        <f t="shared" si="9"/>
        <v>2</v>
      </c>
      <c r="C116" s="13" t="str">
        <f t="shared" si="10"/>
        <v>Q1</v>
      </c>
      <c r="D116" s="13" t="str">
        <f t="shared" si="11"/>
        <v>2008Q1</v>
      </c>
      <c r="E116" s="13" t="str">
        <f t="shared" si="12"/>
        <v>Brazil</v>
      </c>
      <c r="F116" s="13" t="str">
        <f t="shared" si="14"/>
        <v>Biofuels</v>
      </c>
      <c r="G116" s="13" t="str">
        <f t="shared" si="15"/>
        <v>VC/PE investments</v>
      </c>
      <c r="H116" s="638">
        <f t="shared" si="13"/>
        <v>77.085930983587261</v>
      </c>
      <c r="I116" s="24" t="s">
        <v>87</v>
      </c>
      <c r="J116" s="25" t="s">
        <v>216</v>
      </c>
      <c r="K116" s="25" t="s">
        <v>231</v>
      </c>
      <c r="L116" s="25" t="s">
        <v>1851</v>
      </c>
      <c r="M116" s="25" t="s">
        <v>31</v>
      </c>
      <c r="N116" s="25" t="s">
        <v>31</v>
      </c>
      <c r="O116" s="25" t="s">
        <v>92</v>
      </c>
      <c r="P116" s="25" t="s">
        <v>83</v>
      </c>
      <c r="Q116" s="25" t="s">
        <v>82</v>
      </c>
      <c r="R116" s="25" t="s">
        <v>91</v>
      </c>
      <c r="S116" s="25" t="s">
        <v>96</v>
      </c>
      <c r="T116" s="25" t="s">
        <v>96</v>
      </c>
      <c r="U116" s="25" t="s">
        <v>98</v>
      </c>
      <c r="V116" s="25" t="s">
        <v>230</v>
      </c>
      <c r="W116" s="25" t="s">
        <v>97</v>
      </c>
      <c r="X116" s="25" t="s">
        <v>213</v>
      </c>
      <c r="Y116" s="25" t="s">
        <v>212</v>
      </c>
      <c r="Z116" s="26">
        <v>39483.402777777803</v>
      </c>
      <c r="AA116" s="776" t="s">
        <v>1748</v>
      </c>
      <c r="AB116" s="776" t="s">
        <v>1748</v>
      </c>
      <c r="AC116" s="776" t="s">
        <v>1748</v>
      </c>
      <c r="AD116" s="776" t="s">
        <v>1748</v>
      </c>
      <c r="AE116" s="777">
        <v>64</v>
      </c>
      <c r="AF116" s="777">
        <v>64</v>
      </c>
      <c r="AG116" s="778">
        <v>77.085930983587261</v>
      </c>
    </row>
    <row r="117" spans="1:33" x14ac:dyDescent="0.2">
      <c r="A117" s="15">
        <f t="shared" si="8"/>
        <v>2010</v>
      </c>
      <c r="B117" s="14">
        <f t="shared" si="9"/>
        <v>5</v>
      </c>
      <c r="C117" s="13" t="str">
        <f t="shared" si="10"/>
        <v>Q2</v>
      </c>
      <c r="D117" s="13" t="str">
        <f t="shared" si="11"/>
        <v>2010Q2</v>
      </c>
      <c r="E117" s="13" t="str">
        <f t="shared" si="12"/>
        <v>Brazil</v>
      </c>
      <c r="F117" s="13" t="str">
        <f t="shared" si="14"/>
        <v>Biofuels</v>
      </c>
      <c r="G117" s="13" t="str">
        <f t="shared" si="15"/>
        <v>Asset finance investments</v>
      </c>
      <c r="H117" s="638">
        <f t="shared" si="13"/>
        <v>64.04772420889968</v>
      </c>
      <c r="I117" s="24" t="s">
        <v>87</v>
      </c>
      <c r="J117" s="25" t="s">
        <v>246</v>
      </c>
      <c r="K117" s="25" t="s">
        <v>431</v>
      </c>
      <c r="L117" s="25" t="s">
        <v>430</v>
      </c>
      <c r="M117" s="25" t="s">
        <v>31</v>
      </c>
      <c r="N117" s="25" t="s">
        <v>31</v>
      </c>
      <c r="O117" s="25" t="s">
        <v>92</v>
      </c>
      <c r="P117" s="25" t="s">
        <v>83</v>
      </c>
      <c r="Q117" s="25" t="s">
        <v>82</v>
      </c>
      <c r="R117" s="25" t="s">
        <v>91</v>
      </c>
      <c r="S117" s="25" t="s">
        <v>96</v>
      </c>
      <c r="T117" s="25" t="s">
        <v>96</v>
      </c>
      <c r="U117" s="25" t="s">
        <v>98</v>
      </c>
      <c r="V117" s="25" t="s">
        <v>230</v>
      </c>
      <c r="W117" s="25" t="s">
        <v>245</v>
      </c>
      <c r="X117" s="25" t="s">
        <v>1752</v>
      </c>
      <c r="Y117" s="25" t="s">
        <v>1753</v>
      </c>
      <c r="Z117" s="26">
        <v>40312</v>
      </c>
      <c r="AA117" s="776">
        <v>0</v>
      </c>
      <c r="AB117" s="776">
        <v>30</v>
      </c>
      <c r="AC117" s="776">
        <v>0</v>
      </c>
      <c r="AD117" s="776">
        <v>0</v>
      </c>
      <c r="AE117" s="777">
        <v>64</v>
      </c>
      <c r="AF117" s="777">
        <v>64</v>
      </c>
      <c r="AG117" s="778">
        <v>64.04772420889968</v>
      </c>
    </row>
    <row r="118" spans="1:33" x14ac:dyDescent="0.2">
      <c r="A118" s="15">
        <f t="shared" si="8"/>
        <v>2007</v>
      </c>
      <c r="B118" s="14">
        <f t="shared" si="9"/>
        <v>4</v>
      </c>
      <c r="C118" s="13" t="str">
        <f t="shared" si="10"/>
        <v>Q2</v>
      </c>
      <c r="D118" s="13" t="str">
        <f t="shared" si="11"/>
        <v>2007Q2</v>
      </c>
      <c r="E118" s="13" t="str">
        <f t="shared" si="12"/>
        <v>Brazil</v>
      </c>
      <c r="F118" s="13" t="str">
        <f t="shared" si="14"/>
        <v>Biofuels</v>
      </c>
      <c r="G118" s="13" t="str">
        <f t="shared" si="15"/>
        <v>Asset finance investments</v>
      </c>
      <c r="H118" s="638">
        <f t="shared" si="13"/>
        <v>64.397260682502903</v>
      </c>
      <c r="I118" s="24" t="s">
        <v>87</v>
      </c>
      <c r="J118" s="25" t="s">
        <v>246</v>
      </c>
      <c r="K118" s="25" t="s">
        <v>313</v>
      </c>
      <c r="L118" s="25" t="s">
        <v>1852</v>
      </c>
      <c r="M118" s="25" t="s">
        <v>31</v>
      </c>
      <c r="N118" s="25" t="s">
        <v>31</v>
      </c>
      <c r="O118" s="25" t="s">
        <v>92</v>
      </c>
      <c r="P118" s="25" t="s">
        <v>83</v>
      </c>
      <c r="Q118" s="25" t="s">
        <v>82</v>
      </c>
      <c r="R118" s="25" t="s">
        <v>91</v>
      </c>
      <c r="S118" s="25" t="s">
        <v>96</v>
      </c>
      <c r="T118" s="25" t="s">
        <v>96</v>
      </c>
      <c r="U118" s="25" t="s">
        <v>98</v>
      </c>
      <c r="V118" s="25">
        <v>0</v>
      </c>
      <c r="W118" s="25" t="s">
        <v>245</v>
      </c>
      <c r="X118" s="25" t="s">
        <v>1752</v>
      </c>
      <c r="Y118" s="25" t="s">
        <v>1753</v>
      </c>
      <c r="Z118" s="26">
        <v>39202</v>
      </c>
      <c r="AA118" s="776">
        <v>0</v>
      </c>
      <c r="AB118" s="776">
        <v>0</v>
      </c>
      <c r="AC118" s="776">
        <v>0</v>
      </c>
      <c r="AD118" s="776">
        <v>0</v>
      </c>
      <c r="AE118" s="777">
        <v>63.6</v>
      </c>
      <c r="AF118" s="777">
        <v>63.6</v>
      </c>
      <c r="AG118" s="778">
        <v>64.397260682502903</v>
      </c>
    </row>
    <row r="119" spans="1:33" x14ac:dyDescent="0.2">
      <c r="A119" s="15">
        <f t="shared" si="8"/>
        <v>2008</v>
      </c>
      <c r="B119" s="14">
        <f t="shared" si="9"/>
        <v>7</v>
      </c>
      <c r="C119" s="13" t="str">
        <f t="shared" si="10"/>
        <v>Q3</v>
      </c>
      <c r="D119" s="13" t="str">
        <f t="shared" si="11"/>
        <v>2008Q3</v>
      </c>
      <c r="E119" s="13" t="str">
        <f t="shared" si="12"/>
        <v>Brazil</v>
      </c>
      <c r="F119" s="13" t="str">
        <f t="shared" si="14"/>
        <v>Biomass &amp; Waste</v>
      </c>
      <c r="G119" s="13" t="str">
        <f t="shared" si="15"/>
        <v>Asset finance investments</v>
      </c>
      <c r="H119" s="638">
        <f t="shared" si="13"/>
        <v>78.066466833929127</v>
      </c>
      <c r="I119" s="24" t="s">
        <v>87</v>
      </c>
      <c r="J119" s="25" t="s">
        <v>246</v>
      </c>
      <c r="K119" s="25" t="s">
        <v>349</v>
      </c>
      <c r="L119" s="25" t="s">
        <v>348</v>
      </c>
      <c r="M119" s="25" t="s">
        <v>31</v>
      </c>
      <c r="N119" s="25" t="s">
        <v>31</v>
      </c>
      <c r="O119" s="25" t="s">
        <v>92</v>
      </c>
      <c r="P119" s="25" t="s">
        <v>83</v>
      </c>
      <c r="Q119" s="25" t="s">
        <v>82</v>
      </c>
      <c r="R119" s="25" t="s">
        <v>91</v>
      </c>
      <c r="S119" s="25" t="s">
        <v>114</v>
      </c>
      <c r="T119" s="25" t="s">
        <v>114</v>
      </c>
      <c r="U119" s="25" t="s">
        <v>113</v>
      </c>
      <c r="V119" s="25" t="s">
        <v>347</v>
      </c>
      <c r="W119" s="25" t="s">
        <v>249</v>
      </c>
      <c r="X119" s="25" t="s">
        <v>1749</v>
      </c>
      <c r="Y119" s="25" t="s">
        <v>1750</v>
      </c>
      <c r="Z119" s="26">
        <v>39639</v>
      </c>
      <c r="AA119" s="776">
        <v>50</v>
      </c>
      <c r="AB119" s="776">
        <v>0</v>
      </c>
      <c r="AC119" s="776">
        <v>0</v>
      </c>
      <c r="AD119" s="776">
        <v>0</v>
      </c>
      <c r="AE119" s="777">
        <v>63.18</v>
      </c>
      <c r="AF119" s="777">
        <v>63.18</v>
      </c>
      <c r="AG119" s="778">
        <v>78.066466833929127</v>
      </c>
    </row>
    <row r="120" spans="1:33" x14ac:dyDescent="0.2">
      <c r="A120" s="15">
        <f t="shared" si="8"/>
        <v>2008</v>
      </c>
      <c r="B120" s="14">
        <f t="shared" si="9"/>
        <v>6</v>
      </c>
      <c r="C120" s="13" t="str">
        <f t="shared" si="10"/>
        <v>Q2</v>
      </c>
      <c r="D120" s="13" t="str">
        <f t="shared" si="11"/>
        <v>2008Q2</v>
      </c>
      <c r="E120" s="13" t="str">
        <f t="shared" si="12"/>
        <v>Brazil</v>
      </c>
      <c r="F120" s="13" t="str">
        <f t="shared" si="14"/>
        <v>Biofuels</v>
      </c>
      <c r="G120" s="13" t="str">
        <f t="shared" si="15"/>
        <v>Corporate finance investments</v>
      </c>
      <c r="H120" s="638">
        <f t="shared" si="13"/>
        <v>65.993419967734084</v>
      </c>
      <c r="I120" s="24" t="s">
        <v>87</v>
      </c>
      <c r="J120" s="25" t="s">
        <v>86</v>
      </c>
      <c r="K120" s="25" t="s">
        <v>142</v>
      </c>
      <c r="L120" s="25" t="s">
        <v>141</v>
      </c>
      <c r="M120" s="25" t="s">
        <v>31</v>
      </c>
      <c r="N120" s="25" t="s">
        <v>31</v>
      </c>
      <c r="O120" s="25" t="s">
        <v>92</v>
      </c>
      <c r="P120" s="25" t="s">
        <v>83</v>
      </c>
      <c r="Q120" s="25" t="s">
        <v>82</v>
      </c>
      <c r="R120" s="25" t="s">
        <v>91</v>
      </c>
      <c r="S120" s="25" t="s">
        <v>96</v>
      </c>
      <c r="T120" s="25" t="s">
        <v>96</v>
      </c>
      <c r="U120" s="25" t="s">
        <v>98</v>
      </c>
      <c r="V120" s="25">
        <v>0</v>
      </c>
      <c r="W120" s="25" t="s">
        <v>94</v>
      </c>
      <c r="X120" s="25" t="s">
        <v>1747</v>
      </c>
      <c r="Y120" s="25" t="e">
        <v>#N/A</v>
      </c>
      <c r="Z120" s="26">
        <v>39601</v>
      </c>
      <c r="AA120" s="776" t="s">
        <v>1748</v>
      </c>
      <c r="AB120" s="776" t="s">
        <v>1748</v>
      </c>
      <c r="AC120" s="776" t="s">
        <v>1748</v>
      </c>
      <c r="AD120" s="776" t="s">
        <v>1748</v>
      </c>
      <c r="AE120" s="777">
        <v>62.4</v>
      </c>
      <c r="AF120" s="777">
        <v>62.4</v>
      </c>
      <c r="AG120" s="778">
        <v>65.993419967734084</v>
      </c>
    </row>
    <row r="121" spans="1:33" x14ac:dyDescent="0.2">
      <c r="A121" s="15">
        <f t="shared" si="8"/>
        <v>2008</v>
      </c>
      <c r="B121" s="14">
        <f t="shared" si="9"/>
        <v>2</v>
      </c>
      <c r="C121" s="13" t="str">
        <f t="shared" si="10"/>
        <v>Q1</v>
      </c>
      <c r="D121" s="13" t="str">
        <f t="shared" si="11"/>
        <v>2008Q1</v>
      </c>
      <c r="E121" s="13" t="str">
        <f t="shared" si="12"/>
        <v>Brazil</v>
      </c>
      <c r="F121" s="13" t="str">
        <f t="shared" si="14"/>
        <v>Biofuels</v>
      </c>
      <c r="G121" s="13" t="str">
        <f t="shared" si="15"/>
        <v>Asset finance investments</v>
      </c>
      <c r="H121" s="638">
        <f t="shared" si="13"/>
        <v>62.182249817621795</v>
      </c>
      <c r="I121" s="24" t="s">
        <v>87</v>
      </c>
      <c r="J121" s="25" t="s">
        <v>246</v>
      </c>
      <c r="K121" s="25" t="s">
        <v>350</v>
      </c>
      <c r="L121" s="25" t="s">
        <v>1853</v>
      </c>
      <c r="M121" s="25" t="s">
        <v>31</v>
      </c>
      <c r="N121" s="25" t="s">
        <v>31</v>
      </c>
      <c r="O121" s="25" t="s">
        <v>92</v>
      </c>
      <c r="P121" s="25" t="s">
        <v>83</v>
      </c>
      <c r="Q121" s="25" t="s">
        <v>82</v>
      </c>
      <c r="R121" s="25" t="s">
        <v>91</v>
      </c>
      <c r="S121" s="25" t="s">
        <v>96</v>
      </c>
      <c r="T121" s="25" t="s">
        <v>96</v>
      </c>
      <c r="U121" s="25" t="s">
        <v>98</v>
      </c>
      <c r="V121" s="25" t="s">
        <v>230</v>
      </c>
      <c r="W121" s="25" t="s">
        <v>245</v>
      </c>
      <c r="X121" s="25" t="s">
        <v>1752</v>
      </c>
      <c r="Y121" s="25" t="s">
        <v>1753</v>
      </c>
      <c r="Z121" s="26">
        <v>39492.613194444399</v>
      </c>
      <c r="AA121" s="776">
        <v>0</v>
      </c>
      <c r="AB121" s="776">
        <v>49.3</v>
      </c>
      <c r="AC121" s="776">
        <v>0</v>
      </c>
      <c r="AD121" s="776">
        <v>0</v>
      </c>
      <c r="AE121" s="777">
        <v>62</v>
      </c>
      <c r="AF121" s="777">
        <v>62</v>
      </c>
      <c r="AG121" s="778">
        <v>62.182249817621795</v>
      </c>
    </row>
    <row r="122" spans="1:33" x14ac:dyDescent="0.2">
      <c r="A122" s="15">
        <f t="shared" si="8"/>
        <v>2009</v>
      </c>
      <c r="B122" s="14">
        <f t="shared" si="9"/>
        <v>10</v>
      </c>
      <c r="C122" s="13" t="str">
        <f t="shared" si="10"/>
        <v>Q4</v>
      </c>
      <c r="D122" s="13" t="str">
        <f t="shared" si="11"/>
        <v>2009Q4</v>
      </c>
      <c r="E122" s="13" t="str">
        <f t="shared" si="12"/>
        <v>Chile</v>
      </c>
      <c r="F122" s="13" t="str">
        <f t="shared" si="14"/>
        <v>Wind</v>
      </c>
      <c r="G122" s="13" t="str">
        <f t="shared" si="15"/>
        <v>Asset finance investments</v>
      </c>
      <c r="H122" s="638">
        <f t="shared" si="13"/>
        <v>60.859292140535302</v>
      </c>
      <c r="I122" s="24" t="s">
        <v>87</v>
      </c>
      <c r="J122" s="25" t="s">
        <v>246</v>
      </c>
      <c r="K122" s="25" t="s">
        <v>1854</v>
      </c>
      <c r="L122" s="25" t="s">
        <v>1855</v>
      </c>
      <c r="M122" s="25" t="s">
        <v>8</v>
      </c>
      <c r="N122" s="25" t="s">
        <v>85</v>
      </c>
      <c r="O122" s="25" t="s">
        <v>92</v>
      </c>
      <c r="P122" s="25" t="s">
        <v>83</v>
      </c>
      <c r="Q122" s="25" t="s">
        <v>129</v>
      </c>
      <c r="R122" s="25"/>
      <c r="S122" s="25" t="s">
        <v>101</v>
      </c>
      <c r="T122" s="25" t="s">
        <v>101</v>
      </c>
      <c r="U122" s="25" t="s">
        <v>112</v>
      </c>
      <c r="V122" s="25">
        <v>0</v>
      </c>
      <c r="W122" s="25" t="s">
        <v>245</v>
      </c>
      <c r="X122" s="25" t="s">
        <v>1752</v>
      </c>
      <c r="Y122" s="25" t="s">
        <v>1753</v>
      </c>
      <c r="Z122" s="26">
        <v>40095</v>
      </c>
      <c r="AA122" s="776">
        <v>38</v>
      </c>
      <c r="AB122" s="776">
        <v>0</v>
      </c>
      <c r="AC122" s="776">
        <v>0</v>
      </c>
      <c r="AD122" s="776">
        <v>0</v>
      </c>
      <c r="AE122" s="777">
        <v>0</v>
      </c>
      <c r="AF122" s="777">
        <v>60.8</v>
      </c>
      <c r="AG122" s="778">
        <v>60.859292140535302</v>
      </c>
    </row>
    <row r="123" spans="1:33" x14ac:dyDescent="0.2">
      <c r="A123" s="15">
        <f t="shared" si="8"/>
        <v>2012</v>
      </c>
      <c r="B123" s="14">
        <f t="shared" si="9"/>
        <v>9</v>
      </c>
      <c r="C123" s="13" t="str">
        <f t="shared" si="10"/>
        <v>Q3</v>
      </c>
      <c r="D123" s="13" t="str">
        <f t="shared" si="11"/>
        <v>2012Q3</v>
      </c>
      <c r="E123" s="13" t="str">
        <f t="shared" si="12"/>
        <v>Brazil</v>
      </c>
      <c r="F123" s="13" t="str">
        <f t="shared" si="14"/>
        <v>Wind</v>
      </c>
      <c r="G123" s="13" t="str">
        <f t="shared" si="15"/>
        <v>Asset finance investments</v>
      </c>
      <c r="H123" s="638">
        <f t="shared" si="13"/>
        <v>61.769535936647863</v>
      </c>
      <c r="I123" s="24" t="s">
        <v>87</v>
      </c>
      <c r="J123" s="25" t="s">
        <v>246</v>
      </c>
      <c r="K123" s="25" t="s">
        <v>1856</v>
      </c>
      <c r="L123" s="25" t="s">
        <v>1857</v>
      </c>
      <c r="M123" s="25" t="s">
        <v>31</v>
      </c>
      <c r="N123" s="25" t="s">
        <v>31</v>
      </c>
      <c r="O123" s="25" t="s">
        <v>92</v>
      </c>
      <c r="P123" s="25" t="s">
        <v>83</v>
      </c>
      <c r="Q123" s="25" t="s">
        <v>82</v>
      </c>
      <c r="R123" s="25" t="s">
        <v>91</v>
      </c>
      <c r="S123" s="25" t="s">
        <v>101</v>
      </c>
      <c r="T123" s="25" t="s">
        <v>101</v>
      </c>
      <c r="U123" s="25" t="s">
        <v>112</v>
      </c>
      <c r="V123" s="25">
        <v>0</v>
      </c>
      <c r="W123" s="25" t="s">
        <v>249</v>
      </c>
      <c r="X123" s="25" t="s">
        <v>1749</v>
      </c>
      <c r="Y123" s="25" t="s">
        <v>1750</v>
      </c>
      <c r="Z123" s="26">
        <v>41178</v>
      </c>
      <c r="AA123" s="776">
        <v>34.5</v>
      </c>
      <c r="AB123" s="776">
        <v>0</v>
      </c>
      <c r="AC123" s="776">
        <v>0</v>
      </c>
      <c r="AD123" s="776">
        <v>0</v>
      </c>
      <c r="AE123" s="777">
        <v>60.6</v>
      </c>
      <c r="AF123" s="777">
        <v>60.6</v>
      </c>
      <c r="AG123" s="778">
        <v>61.769535936647863</v>
      </c>
    </row>
    <row r="124" spans="1:33" x14ac:dyDescent="0.2">
      <c r="A124" s="15">
        <f t="shared" si="8"/>
        <v>2010</v>
      </c>
      <c r="B124" s="14">
        <f t="shared" si="9"/>
        <v>12</v>
      </c>
      <c r="C124" s="13" t="str">
        <f t="shared" si="10"/>
        <v>Q4</v>
      </c>
      <c r="D124" s="13" t="str">
        <f t="shared" si="11"/>
        <v>2010Q4</v>
      </c>
      <c r="E124" s="13" t="str">
        <f t="shared" si="12"/>
        <v>Brazil</v>
      </c>
      <c r="F124" s="13" t="str">
        <f t="shared" si="14"/>
        <v>Wind</v>
      </c>
      <c r="G124" s="13" t="str">
        <f t="shared" si="15"/>
        <v>Asset finance investments</v>
      </c>
      <c r="H124" s="638">
        <f t="shared" si="13"/>
        <v>60.645188860301886</v>
      </c>
      <c r="I124" s="24" t="s">
        <v>87</v>
      </c>
      <c r="J124" s="25" t="s">
        <v>246</v>
      </c>
      <c r="K124" s="25" t="s">
        <v>1858</v>
      </c>
      <c r="L124" s="25" t="s">
        <v>1859</v>
      </c>
      <c r="M124" s="25" t="s">
        <v>31</v>
      </c>
      <c r="N124" s="25" t="s">
        <v>31</v>
      </c>
      <c r="O124" s="25" t="s">
        <v>92</v>
      </c>
      <c r="P124" s="25" t="s">
        <v>83</v>
      </c>
      <c r="Q124" s="25" t="s">
        <v>82</v>
      </c>
      <c r="R124" s="25" t="s">
        <v>91</v>
      </c>
      <c r="S124" s="25" t="s">
        <v>101</v>
      </c>
      <c r="T124" s="25" t="s">
        <v>101</v>
      </c>
      <c r="U124" s="25" t="s">
        <v>112</v>
      </c>
      <c r="V124" s="25">
        <v>0</v>
      </c>
      <c r="W124" s="25" t="s">
        <v>245</v>
      </c>
      <c r="X124" s="25" t="s">
        <v>1752</v>
      </c>
      <c r="Y124" s="25" t="s">
        <v>1753</v>
      </c>
      <c r="Z124" s="26">
        <v>40543</v>
      </c>
      <c r="AA124" s="776">
        <v>30</v>
      </c>
      <c r="AB124" s="776">
        <v>0</v>
      </c>
      <c r="AC124" s="776">
        <v>0</v>
      </c>
      <c r="AD124" s="776">
        <v>0</v>
      </c>
      <c r="AE124" s="777">
        <v>0</v>
      </c>
      <c r="AF124" s="777">
        <v>60.6</v>
      </c>
      <c r="AG124" s="778">
        <v>60.645188860301886</v>
      </c>
    </row>
    <row r="125" spans="1:33" x14ac:dyDescent="0.2">
      <c r="A125" s="15">
        <f t="shared" si="8"/>
        <v>2010</v>
      </c>
      <c r="B125" s="14">
        <f t="shared" si="9"/>
        <v>6</v>
      </c>
      <c r="C125" s="13" t="str">
        <f t="shared" si="10"/>
        <v>Q2</v>
      </c>
      <c r="D125" s="13" t="str">
        <f t="shared" si="11"/>
        <v>2010Q2</v>
      </c>
      <c r="E125" s="13" t="str">
        <f t="shared" si="12"/>
        <v>Brazil</v>
      </c>
      <c r="F125" s="13" t="str">
        <f t="shared" si="14"/>
        <v>Biofuels</v>
      </c>
      <c r="G125" s="13" t="str">
        <f t="shared" si="15"/>
        <v>Asset finance investments</v>
      </c>
      <c r="H125" s="638">
        <f t="shared" si="13"/>
        <v>60.044741445843449</v>
      </c>
      <c r="I125" s="24" t="s">
        <v>87</v>
      </c>
      <c r="J125" s="25" t="s">
        <v>246</v>
      </c>
      <c r="K125" s="25" t="s">
        <v>1860</v>
      </c>
      <c r="L125" s="25" t="s">
        <v>1861</v>
      </c>
      <c r="M125" s="25" t="s">
        <v>31</v>
      </c>
      <c r="N125" s="25" t="s">
        <v>31</v>
      </c>
      <c r="O125" s="25" t="s">
        <v>92</v>
      </c>
      <c r="P125" s="25" t="s">
        <v>83</v>
      </c>
      <c r="Q125" s="25" t="s">
        <v>82</v>
      </c>
      <c r="R125" s="25" t="s">
        <v>91</v>
      </c>
      <c r="S125" s="25" t="s">
        <v>96</v>
      </c>
      <c r="T125" s="25" t="s">
        <v>96</v>
      </c>
      <c r="U125" s="25" t="s">
        <v>98</v>
      </c>
      <c r="V125" s="25" t="s">
        <v>230</v>
      </c>
      <c r="W125" s="25" t="s">
        <v>249</v>
      </c>
      <c r="X125" s="25" t="s">
        <v>1749</v>
      </c>
      <c r="Y125" s="25" t="s">
        <v>1750</v>
      </c>
      <c r="Z125" s="26">
        <v>40358</v>
      </c>
      <c r="AA125" s="776">
        <v>45</v>
      </c>
      <c r="AB125" s="776">
        <v>120</v>
      </c>
      <c r="AC125" s="776">
        <v>0</v>
      </c>
      <c r="AD125" s="776">
        <v>0</v>
      </c>
      <c r="AE125" s="777">
        <v>60</v>
      </c>
      <c r="AF125" s="777">
        <v>60</v>
      </c>
      <c r="AG125" s="778">
        <v>60.044741445843449</v>
      </c>
    </row>
    <row r="126" spans="1:33" x14ac:dyDescent="0.2">
      <c r="A126" s="15">
        <f t="shared" si="8"/>
        <v>2010</v>
      </c>
      <c r="B126" s="14">
        <f t="shared" si="9"/>
        <v>12</v>
      </c>
      <c r="C126" s="13" t="str">
        <f t="shared" si="10"/>
        <v>Q4</v>
      </c>
      <c r="D126" s="13" t="str">
        <f t="shared" si="11"/>
        <v>2010Q4</v>
      </c>
      <c r="E126" s="13" t="str">
        <f t="shared" si="12"/>
        <v>Brazil</v>
      </c>
      <c r="F126" s="13" t="str">
        <f t="shared" si="14"/>
        <v>Biofuels</v>
      </c>
      <c r="G126" s="13" t="str">
        <f t="shared" si="15"/>
        <v>Asset finance investments</v>
      </c>
      <c r="H126" s="638">
        <f t="shared" si="13"/>
        <v>60.044741445843449</v>
      </c>
      <c r="I126" s="24" t="s">
        <v>87</v>
      </c>
      <c r="J126" s="25" t="s">
        <v>246</v>
      </c>
      <c r="K126" s="25" t="s">
        <v>435</v>
      </c>
      <c r="L126" s="25" t="s">
        <v>434</v>
      </c>
      <c r="M126" s="25" t="s">
        <v>31</v>
      </c>
      <c r="N126" s="25" t="s">
        <v>31</v>
      </c>
      <c r="O126" s="25" t="s">
        <v>92</v>
      </c>
      <c r="P126" s="25" t="s">
        <v>83</v>
      </c>
      <c r="Q126" s="25" t="s">
        <v>82</v>
      </c>
      <c r="R126" s="25" t="s">
        <v>91</v>
      </c>
      <c r="S126" s="25" t="s">
        <v>96</v>
      </c>
      <c r="T126" s="25" t="s">
        <v>96</v>
      </c>
      <c r="U126" s="25" t="s">
        <v>98</v>
      </c>
      <c r="V126" s="25" t="s">
        <v>230</v>
      </c>
      <c r="W126" s="25" t="s">
        <v>245</v>
      </c>
      <c r="X126" s="25" t="s">
        <v>1752</v>
      </c>
      <c r="Y126" s="25" t="s">
        <v>1753</v>
      </c>
      <c r="Z126" s="26">
        <v>40543</v>
      </c>
      <c r="AA126" s="776">
        <v>0</v>
      </c>
      <c r="AB126" s="776">
        <v>89</v>
      </c>
      <c r="AC126" s="776">
        <v>0</v>
      </c>
      <c r="AD126" s="776">
        <v>0</v>
      </c>
      <c r="AE126" s="777">
        <v>0</v>
      </c>
      <c r="AF126" s="777">
        <v>60</v>
      </c>
      <c r="AG126" s="778">
        <v>60.044741445843449</v>
      </c>
    </row>
    <row r="127" spans="1:33" x14ac:dyDescent="0.2">
      <c r="A127" s="15">
        <f t="shared" si="8"/>
        <v>2012</v>
      </c>
      <c r="B127" s="14">
        <f t="shared" si="9"/>
        <v>10</v>
      </c>
      <c r="C127" s="13" t="str">
        <f t="shared" si="10"/>
        <v>Q4</v>
      </c>
      <c r="D127" s="13" t="str">
        <f t="shared" si="11"/>
        <v>2012Q4</v>
      </c>
      <c r="E127" s="13" t="str">
        <f t="shared" si="12"/>
        <v>Brazil</v>
      </c>
      <c r="F127" s="13" t="str">
        <f t="shared" si="14"/>
        <v>Small Hydro</v>
      </c>
      <c r="G127" s="13" t="str">
        <f t="shared" si="15"/>
        <v>Asset finance investments</v>
      </c>
      <c r="H127" s="638">
        <f t="shared" si="13"/>
        <v>80.576350872867437</v>
      </c>
      <c r="I127" s="24" t="s">
        <v>87</v>
      </c>
      <c r="J127" s="25" t="s">
        <v>246</v>
      </c>
      <c r="K127" s="25" t="s">
        <v>1862</v>
      </c>
      <c r="L127" s="25" t="s">
        <v>1863</v>
      </c>
      <c r="M127" s="25" t="s">
        <v>31</v>
      </c>
      <c r="N127" s="25" t="s">
        <v>31</v>
      </c>
      <c r="O127" s="25" t="s">
        <v>92</v>
      </c>
      <c r="P127" s="25" t="s">
        <v>83</v>
      </c>
      <c r="Q127" s="25" t="s">
        <v>82</v>
      </c>
      <c r="R127" s="25" t="s">
        <v>91</v>
      </c>
      <c r="S127" s="25" t="s">
        <v>126</v>
      </c>
      <c r="T127" s="25" t="s">
        <v>125</v>
      </c>
      <c r="U127" s="25" t="s">
        <v>247</v>
      </c>
      <c r="V127" s="25">
        <v>0</v>
      </c>
      <c r="W127" s="25" t="s">
        <v>249</v>
      </c>
      <c r="X127" s="25" t="s">
        <v>1749</v>
      </c>
      <c r="Y127" s="25" t="s">
        <v>1750</v>
      </c>
      <c r="Z127" s="26">
        <v>41206</v>
      </c>
      <c r="AA127" s="776">
        <v>53</v>
      </c>
      <c r="AB127" s="776">
        <v>0</v>
      </c>
      <c r="AC127" s="776">
        <v>0</v>
      </c>
      <c r="AD127" s="776">
        <v>0</v>
      </c>
      <c r="AE127" s="777">
        <v>59.3</v>
      </c>
      <c r="AF127" s="777">
        <v>59.3</v>
      </c>
      <c r="AG127" s="778">
        <v>80.576350872867437</v>
      </c>
    </row>
    <row r="128" spans="1:33" x14ac:dyDescent="0.2">
      <c r="A128" s="15">
        <f t="shared" si="8"/>
        <v>2007</v>
      </c>
      <c r="B128" s="14">
        <f t="shared" si="9"/>
        <v>8</v>
      </c>
      <c r="C128" s="13" t="str">
        <f t="shared" si="10"/>
        <v>Q3</v>
      </c>
      <c r="D128" s="13" t="str">
        <f t="shared" si="11"/>
        <v>2007Q3</v>
      </c>
      <c r="E128" s="13" t="str">
        <f t="shared" si="12"/>
        <v>Brazil</v>
      </c>
      <c r="F128" s="13" t="str">
        <f t="shared" si="14"/>
        <v>Small Hydro</v>
      </c>
      <c r="G128" s="13" t="str">
        <f t="shared" si="15"/>
        <v>Corporate finance investments</v>
      </c>
      <c r="H128" s="638">
        <f t="shared" si="13"/>
        <v>99.564512170038157</v>
      </c>
      <c r="I128" s="24" t="s">
        <v>87</v>
      </c>
      <c r="J128" s="25" t="s">
        <v>86</v>
      </c>
      <c r="K128" s="25" t="s">
        <v>128</v>
      </c>
      <c r="L128" s="25" t="s">
        <v>127</v>
      </c>
      <c r="M128" s="25" t="s">
        <v>31</v>
      </c>
      <c r="N128" s="25" t="s">
        <v>31</v>
      </c>
      <c r="O128" s="25" t="s">
        <v>92</v>
      </c>
      <c r="P128" s="25" t="s">
        <v>83</v>
      </c>
      <c r="Q128" s="25" t="s">
        <v>82</v>
      </c>
      <c r="R128" s="25" t="s">
        <v>91</v>
      </c>
      <c r="S128" s="25" t="s">
        <v>126</v>
      </c>
      <c r="T128" s="25" t="s">
        <v>125</v>
      </c>
      <c r="U128" s="25">
        <v>0</v>
      </c>
      <c r="V128" s="25">
        <v>0</v>
      </c>
      <c r="W128" s="25" t="s">
        <v>79</v>
      </c>
      <c r="X128" s="25" t="s">
        <v>1747</v>
      </c>
      <c r="Y128" s="25" t="e">
        <v>#N/A</v>
      </c>
      <c r="Z128" s="26">
        <v>39296</v>
      </c>
      <c r="AA128" s="776" t="s">
        <v>1748</v>
      </c>
      <c r="AB128" s="776" t="s">
        <v>1748</v>
      </c>
      <c r="AC128" s="776" t="s">
        <v>1748</v>
      </c>
      <c r="AD128" s="776" t="s">
        <v>1748</v>
      </c>
      <c r="AE128" s="777">
        <v>0</v>
      </c>
      <c r="AF128" s="777">
        <v>58.78</v>
      </c>
      <c r="AG128" s="778">
        <v>99.564512170038157</v>
      </c>
    </row>
    <row r="129" spans="1:33" x14ac:dyDescent="0.2">
      <c r="A129" s="15">
        <f t="shared" si="8"/>
        <v>2010</v>
      </c>
      <c r="B129" s="14">
        <f t="shared" si="9"/>
        <v>8</v>
      </c>
      <c r="C129" s="13" t="str">
        <f t="shared" si="10"/>
        <v>Q3</v>
      </c>
      <c r="D129" s="13" t="str">
        <f t="shared" si="11"/>
        <v>2010Q3</v>
      </c>
      <c r="E129" s="13" t="str">
        <f t="shared" si="12"/>
        <v>Mexico</v>
      </c>
      <c r="F129" s="13" t="str">
        <f t="shared" si="14"/>
        <v>Wind</v>
      </c>
      <c r="G129" s="13" t="str">
        <f t="shared" si="15"/>
        <v>Asset finance investments</v>
      </c>
      <c r="H129" s="638">
        <f t="shared" si="13"/>
        <v>58.543622909697362</v>
      </c>
      <c r="I129" s="24" t="s">
        <v>87</v>
      </c>
      <c r="J129" s="25" t="s">
        <v>246</v>
      </c>
      <c r="K129" s="25" t="s">
        <v>433</v>
      </c>
      <c r="L129" s="25" t="s">
        <v>432</v>
      </c>
      <c r="M129" s="25" t="s">
        <v>18</v>
      </c>
      <c r="N129" s="25" t="s">
        <v>85</v>
      </c>
      <c r="O129" s="25" t="s">
        <v>92</v>
      </c>
      <c r="P129" s="25" t="s">
        <v>83</v>
      </c>
      <c r="Q129" s="25" t="s">
        <v>129</v>
      </c>
      <c r="R129" s="25"/>
      <c r="S129" s="25" t="s">
        <v>101</v>
      </c>
      <c r="T129" s="25" t="s">
        <v>101</v>
      </c>
      <c r="U129" s="25" t="s">
        <v>112</v>
      </c>
      <c r="V129" s="25">
        <v>0</v>
      </c>
      <c r="W129" s="25" t="s">
        <v>249</v>
      </c>
      <c r="X129" s="25" t="s">
        <v>1749</v>
      </c>
      <c r="Y129" s="25" t="s">
        <v>1750</v>
      </c>
      <c r="Z129" s="26">
        <v>40417</v>
      </c>
      <c r="AA129" s="776">
        <v>67.5</v>
      </c>
      <c r="AB129" s="776">
        <v>0</v>
      </c>
      <c r="AC129" s="776">
        <v>0</v>
      </c>
      <c r="AD129" s="776">
        <v>0</v>
      </c>
      <c r="AE129" s="777">
        <v>58.5</v>
      </c>
      <c r="AF129" s="777">
        <v>58.5</v>
      </c>
      <c r="AG129" s="778">
        <v>58.543622909697362</v>
      </c>
    </row>
    <row r="130" spans="1:33" x14ac:dyDescent="0.2">
      <c r="A130" s="15">
        <f t="shared" si="8"/>
        <v>2007</v>
      </c>
      <c r="B130" s="14">
        <f t="shared" si="9"/>
        <v>3</v>
      </c>
      <c r="C130" s="13" t="str">
        <f t="shared" si="10"/>
        <v>Q1</v>
      </c>
      <c r="D130" s="13" t="str">
        <f t="shared" si="11"/>
        <v>2007Q1</v>
      </c>
      <c r="E130" s="13" t="str">
        <f t="shared" si="12"/>
        <v>Belize</v>
      </c>
      <c r="F130" s="13" t="str">
        <f t="shared" si="14"/>
        <v>Biofuels</v>
      </c>
      <c r="G130" s="13" t="str">
        <f t="shared" si="15"/>
        <v>Asset finance investments</v>
      </c>
      <c r="H130" s="638">
        <f t="shared" si="13"/>
        <v>58.392992251438251</v>
      </c>
      <c r="I130" s="24" t="s">
        <v>87</v>
      </c>
      <c r="J130" s="25" t="s">
        <v>246</v>
      </c>
      <c r="K130" s="25" t="s">
        <v>303</v>
      </c>
      <c r="L130" s="25" t="s">
        <v>1864</v>
      </c>
      <c r="M130" s="25" t="s">
        <v>143</v>
      </c>
      <c r="N130" s="25" t="s">
        <v>85</v>
      </c>
      <c r="O130" s="25" t="s">
        <v>92</v>
      </c>
      <c r="P130" s="25" t="s">
        <v>83</v>
      </c>
      <c r="Q130" s="25" t="s">
        <v>82</v>
      </c>
      <c r="R130" s="25"/>
      <c r="S130" s="25" t="s">
        <v>96</v>
      </c>
      <c r="T130" s="25" t="s">
        <v>96</v>
      </c>
      <c r="U130" s="25" t="s">
        <v>95</v>
      </c>
      <c r="V130" s="25">
        <v>0</v>
      </c>
      <c r="W130" s="25" t="s">
        <v>245</v>
      </c>
      <c r="X130" s="25" t="s">
        <v>1752</v>
      </c>
      <c r="Y130" s="25" t="s">
        <v>1753</v>
      </c>
      <c r="Z130" s="26">
        <v>39157</v>
      </c>
      <c r="AA130" s="776">
        <v>0</v>
      </c>
      <c r="AB130" s="776">
        <v>0</v>
      </c>
      <c r="AC130" s="776">
        <v>0</v>
      </c>
      <c r="AD130" s="776">
        <v>0</v>
      </c>
      <c r="AE130" s="777">
        <v>0</v>
      </c>
      <c r="AF130" s="777">
        <v>57.67</v>
      </c>
      <c r="AG130" s="778">
        <v>58.392992251438251</v>
      </c>
    </row>
    <row r="131" spans="1:33" x14ac:dyDescent="0.2">
      <c r="A131" s="15">
        <f t="shared" si="8"/>
        <v>2006</v>
      </c>
      <c r="B131" s="14">
        <f t="shared" si="9"/>
        <v>5</v>
      </c>
      <c r="C131" s="13" t="str">
        <f t="shared" si="10"/>
        <v>Q2</v>
      </c>
      <c r="D131" s="13" t="str">
        <f t="shared" si="11"/>
        <v>2006Q2</v>
      </c>
      <c r="E131" s="13" t="str">
        <f t="shared" si="12"/>
        <v>Brazil</v>
      </c>
      <c r="F131" s="13" t="str">
        <f t="shared" si="14"/>
        <v>Biofuels</v>
      </c>
      <c r="G131" s="13" t="str">
        <f t="shared" si="15"/>
        <v>VC/PE investments</v>
      </c>
      <c r="H131" s="638">
        <f t="shared" si="13"/>
        <v>57.142000000000003</v>
      </c>
      <c r="I131" s="24" t="s">
        <v>87</v>
      </c>
      <c r="J131" s="25" t="s">
        <v>216</v>
      </c>
      <c r="K131" s="25" t="s">
        <v>1865</v>
      </c>
      <c r="L131" s="25" t="s">
        <v>1866</v>
      </c>
      <c r="M131" s="25" t="s">
        <v>31</v>
      </c>
      <c r="N131" s="25" t="s">
        <v>31</v>
      </c>
      <c r="O131" s="25" t="s">
        <v>92</v>
      </c>
      <c r="P131" s="25" t="s">
        <v>83</v>
      </c>
      <c r="Q131" s="25" t="s">
        <v>82</v>
      </c>
      <c r="R131" s="25" t="s">
        <v>91</v>
      </c>
      <c r="S131" s="25" t="s">
        <v>96</v>
      </c>
      <c r="T131" s="25" t="s">
        <v>96</v>
      </c>
      <c r="U131" s="25" t="s">
        <v>98</v>
      </c>
      <c r="V131" s="25" t="s">
        <v>230</v>
      </c>
      <c r="W131" s="25" t="s">
        <v>94</v>
      </c>
      <c r="X131" s="25" t="s">
        <v>213</v>
      </c>
      <c r="Y131" s="25" t="s">
        <v>212</v>
      </c>
      <c r="Z131" s="26">
        <v>38851</v>
      </c>
      <c r="AA131" s="776" t="s">
        <v>1748</v>
      </c>
      <c r="AB131" s="776" t="s">
        <v>1748</v>
      </c>
      <c r="AC131" s="776" t="s">
        <v>1748</v>
      </c>
      <c r="AD131" s="776" t="s">
        <v>1748</v>
      </c>
      <c r="AE131" s="777">
        <v>0</v>
      </c>
      <c r="AF131" s="777">
        <v>57.142000000000003</v>
      </c>
      <c r="AG131" s="778">
        <v>57.142000000000003</v>
      </c>
    </row>
    <row r="132" spans="1:33" x14ac:dyDescent="0.2">
      <c r="A132" s="15">
        <f t="shared" si="8"/>
        <v>2006</v>
      </c>
      <c r="B132" s="14">
        <f t="shared" si="9"/>
        <v>1</v>
      </c>
      <c r="C132" s="13" t="str">
        <f t="shared" si="10"/>
        <v>Q1</v>
      </c>
      <c r="D132" s="13" t="str">
        <f t="shared" si="11"/>
        <v>2006Q1</v>
      </c>
      <c r="E132" s="13" t="str">
        <f t="shared" si="12"/>
        <v>Brazil</v>
      </c>
      <c r="F132" s="13" t="str">
        <f t="shared" si="14"/>
        <v>Small Hydro</v>
      </c>
      <c r="G132" s="13" t="str">
        <f t="shared" si="15"/>
        <v>Asset finance investments</v>
      </c>
      <c r="H132" s="638">
        <f t="shared" si="13"/>
        <v>56.494068999999996</v>
      </c>
      <c r="I132" s="24" t="s">
        <v>87</v>
      </c>
      <c r="J132" s="25" t="s">
        <v>246</v>
      </c>
      <c r="K132" s="25" t="s">
        <v>267</v>
      </c>
      <c r="L132" s="25" t="s">
        <v>266</v>
      </c>
      <c r="M132" s="25" t="s">
        <v>31</v>
      </c>
      <c r="N132" s="25" t="s">
        <v>31</v>
      </c>
      <c r="O132" s="25" t="s">
        <v>92</v>
      </c>
      <c r="P132" s="25" t="s">
        <v>83</v>
      </c>
      <c r="Q132" s="25" t="s">
        <v>82</v>
      </c>
      <c r="R132" s="25" t="s">
        <v>91</v>
      </c>
      <c r="S132" s="25" t="s">
        <v>126</v>
      </c>
      <c r="T132" s="25" t="s">
        <v>125</v>
      </c>
      <c r="U132" s="25" t="s">
        <v>247</v>
      </c>
      <c r="V132" s="25">
        <v>0</v>
      </c>
      <c r="W132" s="25" t="s">
        <v>249</v>
      </c>
      <c r="X132" s="25" t="s">
        <v>1749</v>
      </c>
      <c r="Y132" s="25" t="s">
        <v>1750</v>
      </c>
      <c r="Z132" s="26">
        <v>38723</v>
      </c>
      <c r="AA132" s="776">
        <v>30</v>
      </c>
      <c r="AB132" s="776">
        <v>0</v>
      </c>
      <c r="AC132" s="776">
        <v>0</v>
      </c>
      <c r="AD132" s="776">
        <v>0</v>
      </c>
      <c r="AE132" s="777">
        <v>0</v>
      </c>
      <c r="AF132" s="777">
        <v>56.4</v>
      </c>
      <c r="AG132" s="778">
        <v>56.494068999999996</v>
      </c>
    </row>
    <row r="133" spans="1:33" x14ac:dyDescent="0.2">
      <c r="A133" s="15">
        <f t="shared" si="8"/>
        <v>2007</v>
      </c>
      <c r="B133" s="14">
        <f t="shared" si="9"/>
        <v>9</v>
      </c>
      <c r="C133" s="13" t="str">
        <f t="shared" si="10"/>
        <v>Q3</v>
      </c>
      <c r="D133" s="13" t="str">
        <f t="shared" si="11"/>
        <v>2007Q3</v>
      </c>
      <c r="E133" s="13" t="str">
        <f t="shared" si="12"/>
        <v>Colombia</v>
      </c>
      <c r="F133" s="13" t="str">
        <f t="shared" si="14"/>
        <v>Small Hydro</v>
      </c>
      <c r="G133" s="13" t="str">
        <f t="shared" si="15"/>
        <v>Asset finance investments</v>
      </c>
      <c r="H133" s="638">
        <f t="shared" si="13"/>
        <v>57.065444791809796</v>
      </c>
      <c r="I133" s="24" t="s">
        <v>87</v>
      </c>
      <c r="J133" s="25" t="s">
        <v>246</v>
      </c>
      <c r="K133" s="25" t="s">
        <v>296</v>
      </c>
      <c r="L133" s="25" t="s">
        <v>1867</v>
      </c>
      <c r="M133" s="25" t="s">
        <v>9</v>
      </c>
      <c r="N133" s="25" t="s">
        <v>85</v>
      </c>
      <c r="O133" s="25" t="s">
        <v>92</v>
      </c>
      <c r="P133" s="25" t="s">
        <v>83</v>
      </c>
      <c r="Q133" s="25" t="s">
        <v>82</v>
      </c>
      <c r="R133" s="25"/>
      <c r="S133" s="25" t="s">
        <v>126</v>
      </c>
      <c r="T133" s="25" t="s">
        <v>125</v>
      </c>
      <c r="U133" s="25" t="s">
        <v>189</v>
      </c>
      <c r="V133" s="25">
        <v>0</v>
      </c>
      <c r="W133" s="25" t="s">
        <v>245</v>
      </c>
      <c r="X133" s="25" t="s">
        <v>1752</v>
      </c>
      <c r="Y133" s="25" t="s">
        <v>1753</v>
      </c>
      <c r="Z133" s="26">
        <v>39338</v>
      </c>
      <c r="AA133" s="776">
        <v>50</v>
      </c>
      <c r="AB133" s="776">
        <v>0</v>
      </c>
      <c r="AC133" s="776">
        <v>0</v>
      </c>
      <c r="AD133" s="776">
        <v>0</v>
      </c>
      <c r="AE133" s="777">
        <v>56</v>
      </c>
      <c r="AF133" s="777">
        <v>56</v>
      </c>
      <c r="AG133" s="778">
        <v>57.065444791809796</v>
      </c>
    </row>
    <row r="134" spans="1:33" x14ac:dyDescent="0.2">
      <c r="A134" s="15">
        <f t="shared" ref="A134:A197" si="16">IF(K134="","",IF(AND(YEAR(Z134)&lt;2004,YEAR(Z134)&gt;1910),2004,YEAR(Z134)))</f>
        <v>2011</v>
      </c>
      <c r="B134" s="14">
        <f t="shared" ref="B134:B197" si="17">IF(K134="","",IF(ISNUMBER(Z134),MONTH(Z134),0))</f>
        <v>4</v>
      </c>
      <c r="C134" s="13" t="str">
        <f t="shared" ref="C134:C197" si="18">IF(K134="","",IF(AND(B134&gt;=1,B134&lt;=3),"Q1",IF(AND(B134&gt;3,B134&lt;=6),"Q2",IF(AND(B134&gt;6,B134&lt;=9),"Q3",IF(AND(B134&gt;9,B134&lt;=12),"Q4",0)))))</f>
        <v>Q2</v>
      </c>
      <c r="D134" s="13" t="str">
        <f t="shared" ref="D134:D197" si="19">IF(A134&lt;2006, "&lt; 2006", A134&amp;C134)</f>
        <v>2011Q2</v>
      </c>
      <c r="E134" s="13" t="str">
        <f t="shared" ref="E134:E197" si="20">IF(K134="","", M134)</f>
        <v>Chile</v>
      </c>
      <c r="F134" s="13" t="str">
        <f t="shared" si="14"/>
        <v>Geothermal</v>
      </c>
      <c r="G134" s="13" t="str">
        <f t="shared" si="15"/>
        <v>Corporate finance investments</v>
      </c>
      <c r="H134" s="638">
        <f t="shared" ref="H134:H197" si="21">IF(K134="","",AG134)</f>
        <v>58.804776107432666</v>
      </c>
      <c r="I134" s="24" t="s">
        <v>87</v>
      </c>
      <c r="J134" s="25" t="s">
        <v>86</v>
      </c>
      <c r="K134" s="25" t="s">
        <v>194</v>
      </c>
      <c r="L134" s="25" t="s">
        <v>193</v>
      </c>
      <c r="M134" s="25" t="s">
        <v>8</v>
      </c>
      <c r="N134" s="25" t="s">
        <v>85</v>
      </c>
      <c r="O134" s="25" t="s">
        <v>92</v>
      </c>
      <c r="P134" s="25" t="s">
        <v>83</v>
      </c>
      <c r="Q134" s="25" t="s">
        <v>129</v>
      </c>
      <c r="R134" s="25"/>
      <c r="S134" s="25" t="s">
        <v>157</v>
      </c>
      <c r="T134" s="25" t="s">
        <v>157</v>
      </c>
      <c r="U134" s="25">
        <v>0</v>
      </c>
      <c r="V134" s="25">
        <v>0</v>
      </c>
      <c r="W134" s="25" t="s">
        <v>94</v>
      </c>
      <c r="X134" s="25" t="s">
        <v>1747</v>
      </c>
      <c r="Y134" s="25" t="e">
        <v>#N/A</v>
      </c>
      <c r="Z134" s="26">
        <v>40644</v>
      </c>
      <c r="AA134" s="776" t="s">
        <v>1748</v>
      </c>
      <c r="AB134" s="776" t="s">
        <v>1748</v>
      </c>
      <c r="AC134" s="776" t="s">
        <v>1748</v>
      </c>
      <c r="AD134" s="776" t="s">
        <v>1748</v>
      </c>
      <c r="AE134" s="777">
        <v>0</v>
      </c>
      <c r="AF134" s="777">
        <v>55.368000000000002</v>
      </c>
      <c r="AG134" s="778">
        <v>58.804776107432666</v>
      </c>
    </row>
    <row r="135" spans="1:33" x14ac:dyDescent="0.2">
      <c r="A135" s="15">
        <f t="shared" si="16"/>
        <v>2012</v>
      </c>
      <c r="B135" s="14">
        <f t="shared" si="17"/>
        <v>4</v>
      </c>
      <c r="C135" s="13" t="str">
        <f t="shared" si="18"/>
        <v>Q2</v>
      </c>
      <c r="D135" s="13" t="str">
        <f t="shared" si="19"/>
        <v>2012Q2</v>
      </c>
      <c r="E135" s="13" t="str">
        <f t="shared" si="20"/>
        <v>Brazil</v>
      </c>
      <c r="F135" s="13" t="str">
        <f t="shared" ref="F135:F198" si="22">IF(K135="","",IF(OR(T135="Wind",T135="Solar",T135="Geothermal",T135="Small Hydro",T135="Biofuels",T135="Biomass &amp; Waste"),T135,"Other Clean Energy"))</f>
        <v>Biofuels</v>
      </c>
      <c r="G135" s="13" t="str">
        <f t="shared" ref="G135:G198" si="23">IF(K135="","",IF(OR(J135="PM",J135="MA"), "Corporate finance investments", IF(J135="VCPE", "VC/PE investments", IF(J135="AF", "Asset finance investments"))))</f>
        <v>Asset finance investments</v>
      </c>
      <c r="H135" s="638">
        <f t="shared" si="21"/>
        <v>56.053104936414513</v>
      </c>
      <c r="I135" s="24" t="s">
        <v>87</v>
      </c>
      <c r="J135" s="25" t="s">
        <v>246</v>
      </c>
      <c r="K135" s="25" t="s">
        <v>1868</v>
      </c>
      <c r="L135" s="25" t="s">
        <v>1869</v>
      </c>
      <c r="M135" s="25" t="s">
        <v>31</v>
      </c>
      <c r="N135" s="25" t="s">
        <v>31</v>
      </c>
      <c r="O135" s="25" t="s">
        <v>92</v>
      </c>
      <c r="P135" s="25" t="s">
        <v>83</v>
      </c>
      <c r="Q135" s="25" t="s">
        <v>82</v>
      </c>
      <c r="R135" s="25" t="s">
        <v>91</v>
      </c>
      <c r="S135" s="25" t="s">
        <v>96</v>
      </c>
      <c r="T135" s="25" t="s">
        <v>96</v>
      </c>
      <c r="U135" s="25" t="s">
        <v>95</v>
      </c>
      <c r="V135" s="25" t="s">
        <v>223</v>
      </c>
      <c r="W135" s="25" t="s">
        <v>245</v>
      </c>
      <c r="X135" s="25" t="s">
        <v>1752</v>
      </c>
      <c r="Y135" s="25" t="s">
        <v>1753</v>
      </c>
      <c r="Z135" s="26">
        <v>41004</v>
      </c>
      <c r="AA135" s="776">
        <v>0</v>
      </c>
      <c r="AB135" s="776">
        <v>259.2</v>
      </c>
      <c r="AC135" s="776">
        <v>0</v>
      </c>
      <c r="AD135" s="776">
        <v>0</v>
      </c>
      <c r="AE135" s="777">
        <v>55</v>
      </c>
      <c r="AF135" s="777">
        <v>55</v>
      </c>
      <c r="AG135" s="778">
        <v>56.053104936414513</v>
      </c>
    </row>
    <row r="136" spans="1:33" x14ac:dyDescent="0.2">
      <c r="A136" s="15">
        <f t="shared" si="16"/>
        <v>2012</v>
      </c>
      <c r="B136" s="14">
        <f t="shared" si="17"/>
        <v>10</v>
      </c>
      <c r="C136" s="13" t="str">
        <f t="shared" si="18"/>
        <v>Q4</v>
      </c>
      <c r="D136" s="13" t="str">
        <f t="shared" si="19"/>
        <v>2012Q4</v>
      </c>
      <c r="E136" s="13" t="str">
        <f t="shared" si="20"/>
        <v>Brazil</v>
      </c>
      <c r="F136" s="13" t="str">
        <f t="shared" si="22"/>
        <v>Biomass &amp; Waste</v>
      </c>
      <c r="G136" s="13" t="str">
        <f t="shared" si="23"/>
        <v>Asset finance investments</v>
      </c>
      <c r="H136" s="638">
        <f t="shared" si="21"/>
        <v>75.077204465731555</v>
      </c>
      <c r="I136" s="24" t="s">
        <v>87</v>
      </c>
      <c r="J136" s="25" t="s">
        <v>246</v>
      </c>
      <c r="K136" s="25" t="s">
        <v>1870</v>
      </c>
      <c r="L136" s="25" t="s">
        <v>1871</v>
      </c>
      <c r="M136" s="25" t="s">
        <v>31</v>
      </c>
      <c r="N136" s="25" t="s">
        <v>31</v>
      </c>
      <c r="O136" s="25" t="s">
        <v>92</v>
      </c>
      <c r="P136" s="25" t="s">
        <v>83</v>
      </c>
      <c r="Q136" s="25" t="s">
        <v>82</v>
      </c>
      <c r="R136" s="25" t="s">
        <v>91</v>
      </c>
      <c r="S136" s="25" t="s">
        <v>114</v>
      </c>
      <c r="T136" s="25" t="s">
        <v>114</v>
      </c>
      <c r="U136" s="25" t="s">
        <v>113</v>
      </c>
      <c r="V136" s="25" t="s">
        <v>347</v>
      </c>
      <c r="W136" s="25" t="s">
        <v>245</v>
      </c>
      <c r="X136" s="25" t="s">
        <v>1752</v>
      </c>
      <c r="Y136" s="25" t="s">
        <v>1753</v>
      </c>
      <c r="Z136" s="26">
        <v>41200</v>
      </c>
      <c r="AA136" s="776">
        <v>40</v>
      </c>
      <c r="AB136" s="776">
        <v>0</v>
      </c>
      <c r="AC136" s="776">
        <v>0</v>
      </c>
      <c r="AD136" s="776">
        <v>0</v>
      </c>
      <c r="AE136" s="777">
        <v>55</v>
      </c>
      <c r="AF136" s="777">
        <v>55</v>
      </c>
      <c r="AG136" s="778">
        <v>75.077204465731555</v>
      </c>
    </row>
    <row r="137" spans="1:33" x14ac:dyDescent="0.2">
      <c r="A137" s="15">
        <f t="shared" si="16"/>
        <v>2008</v>
      </c>
      <c r="B137" s="14">
        <f t="shared" si="17"/>
        <v>4</v>
      </c>
      <c r="C137" s="13" t="str">
        <f t="shared" si="18"/>
        <v>Q2</v>
      </c>
      <c r="D137" s="13" t="str">
        <f t="shared" si="19"/>
        <v>2008Q2</v>
      </c>
      <c r="E137" s="13" t="str">
        <f t="shared" si="20"/>
        <v>Brazil</v>
      </c>
      <c r="F137" s="13" t="str">
        <f t="shared" si="22"/>
        <v>Other Clean Energy</v>
      </c>
      <c r="G137" s="13" t="str">
        <f t="shared" si="23"/>
        <v>Corporate finance investments</v>
      </c>
      <c r="H137" s="638">
        <f t="shared" si="21"/>
        <v>57.701116072700259</v>
      </c>
      <c r="I137" s="24" t="s">
        <v>87</v>
      </c>
      <c r="J137" s="25" t="s">
        <v>86</v>
      </c>
      <c r="K137" s="25" t="s">
        <v>1872</v>
      </c>
      <c r="L137" s="25" t="s">
        <v>227</v>
      </c>
      <c r="M137" s="25" t="s">
        <v>31</v>
      </c>
      <c r="N137" s="25" t="s">
        <v>31</v>
      </c>
      <c r="O137" s="25" t="s">
        <v>92</v>
      </c>
      <c r="P137" s="25" t="s">
        <v>83</v>
      </c>
      <c r="Q137" s="25" t="s">
        <v>82</v>
      </c>
      <c r="R137" s="25" t="s">
        <v>91</v>
      </c>
      <c r="S137" s="25" t="s">
        <v>226</v>
      </c>
      <c r="T137" s="25" t="s">
        <v>1873</v>
      </c>
      <c r="U137" s="25">
        <v>0</v>
      </c>
      <c r="V137" s="25">
        <v>0</v>
      </c>
      <c r="W137" s="25" t="s">
        <v>88</v>
      </c>
      <c r="X137" s="25" t="s">
        <v>1874</v>
      </c>
      <c r="Y137" s="25" t="e">
        <v>#N/A</v>
      </c>
      <c r="Z137" s="26">
        <v>39560</v>
      </c>
      <c r="AA137" s="776" t="s">
        <v>1748</v>
      </c>
      <c r="AB137" s="776" t="s">
        <v>1748</v>
      </c>
      <c r="AC137" s="776" t="s">
        <v>1748</v>
      </c>
      <c r="AD137" s="776" t="s">
        <v>1748</v>
      </c>
      <c r="AE137" s="777">
        <v>0</v>
      </c>
      <c r="AF137" s="777">
        <v>54.561</v>
      </c>
      <c r="AG137" s="778">
        <v>57.701116072700259</v>
      </c>
    </row>
    <row r="138" spans="1:33" x14ac:dyDescent="0.2">
      <c r="A138" s="15">
        <f t="shared" si="16"/>
        <v>2009</v>
      </c>
      <c r="B138" s="14">
        <f t="shared" si="17"/>
        <v>1</v>
      </c>
      <c r="C138" s="13" t="str">
        <f t="shared" si="18"/>
        <v>Q1</v>
      </c>
      <c r="D138" s="13" t="str">
        <f t="shared" si="19"/>
        <v>2009Q1</v>
      </c>
      <c r="E138" s="13" t="str">
        <f t="shared" si="20"/>
        <v>Chile</v>
      </c>
      <c r="F138" s="13" t="str">
        <f t="shared" si="22"/>
        <v>Wind</v>
      </c>
      <c r="G138" s="13" t="str">
        <f t="shared" si="23"/>
        <v>Corporate finance investments</v>
      </c>
      <c r="H138" s="638">
        <f t="shared" si="21"/>
        <v>55.953168241604203</v>
      </c>
      <c r="I138" s="24" t="s">
        <v>87</v>
      </c>
      <c r="J138" s="25" t="s">
        <v>86</v>
      </c>
      <c r="K138" s="25" t="s">
        <v>151</v>
      </c>
      <c r="L138" s="25" t="s">
        <v>150</v>
      </c>
      <c r="M138" s="25" t="s">
        <v>8</v>
      </c>
      <c r="N138" s="25" t="s">
        <v>85</v>
      </c>
      <c r="O138" s="25" t="s">
        <v>92</v>
      </c>
      <c r="P138" s="25" t="s">
        <v>83</v>
      </c>
      <c r="Q138" s="25" t="s">
        <v>129</v>
      </c>
      <c r="R138" s="25"/>
      <c r="S138" s="25" t="s">
        <v>101</v>
      </c>
      <c r="T138" s="25" t="s">
        <v>101</v>
      </c>
      <c r="U138" s="25">
        <v>0</v>
      </c>
      <c r="V138" s="25">
        <v>0</v>
      </c>
      <c r="W138" s="25" t="s">
        <v>88</v>
      </c>
      <c r="X138" s="25" t="s">
        <v>1747</v>
      </c>
      <c r="Y138" s="25" t="e">
        <v>#N/A</v>
      </c>
      <c r="Z138" s="26">
        <v>39828</v>
      </c>
      <c r="AA138" s="776" t="s">
        <v>1748</v>
      </c>
      <c r="AB138" s="776" t="s">
        <v>1748</v>
      </c>
      <c r="AC138" s="776" t="s">
        <v>1748</v>
      </c>
      <c r="AD138" s="776" t="s">
        <v>1748</v>
      </c>
      <c r="AE138" s="777">
        <v>0</v>
      </c>
      <c r="AF138" s="777">
        <v>54.561</v>
      </c>
      <c r="AG138" s="778">
        <v>55.953168241604203</v>
      </c>
    </row>
    <row r="139" spans="1:33" x14ac:dyDescent="0.2">
      <c r="A139" s="15">
        <f t="shared" si="16"/>
        <v>2006</v>
      </c>
      <c r="B139" s="14">
        <f t="shared" si="17"/>
        <v>8</v>
      </c>
      <c r="C139" s="13" t="str">
        <f t="shared" si="18"/>
        <v>Q3</v>
      </c>
      <c r="D139" s="13" t="str">
        <f t="shared" si="19"/>
        <v>2006Q3</v>
      </c>
      <c r="E139" s="13" t="str">
        <f t="shared" si="20"/>
        <v>Brazil</v>
      </c>
      <c r="F139" s="13" t="str">
        <f t="shared" si="22"/>
        <v>Biofuels</v>
      </c>
      <c r="G139" s="13" t="str">
        <f t="shared" si="23"/>
        <v>Asset finance investments</v>
      </c>
      <c r="H139" s="638">
        <f t="shared" si="21"/>
        <v>54.39</v>
      </c>
      <c r="I139" s="24" t="s">
        <v>87</v>
      </c>
      <c r="J139" s="25" t="s">
        <v>246</v>
      </c>
      <c r="K139" s="25" t="s">
        <v>265</v>
      </c>
      <c r="L139" s="25" t="s">
        <v>1875</v>
      </c>
      <c r="M139" s="25" t="s">
        <v>31</v>
      </c>
      <c r="N139" s="25" t="s">
        <v>31</v>
      </c>
      <c r="O139" s="25" t="s">
        <v>92</v>
      </c>
      <c r="P139" s="25" t="s">
        <v>83</v>
      </c>
      <c r="Q139" s="25" t="s">
        <v>82</v>
      </c>
      <c r="R139" s="25" t="s">
        <v>91</v>
      </c>
      <c r="S139" s="25" t="s">
        <v>96</v>
      </c>
      <c r="T139" s="25" t="s">
        <v>96</v>
      </c>
      <c r="U139" s="25" t="s">
        <v>98</v>
      </c>
      <c r="V139" s="25" t="s">
        <v>230</v>
      </c>
      <c r="W139" s="25" t="s">
        <v>245</v>
      </c>
      <c r="X139" s="25" t="s">
        <v>1752</v>
      </c>
      <c r="Y139" s="25" t="s">
        <v>1753</v>
      </c>
      <c r="Z139" s="26">
        <v>38937</v>
      </c>
      <c r="AA139" s="776">
        <v>4</v>
      </c>
      <c r="AB139" s="776">
        <v>94</v>
      </c>
      <c r="AC139" s="776">
        <v>0</v>
      </c>
      <c r="AD139" s="776">
        <v>0</v>
      </c>
      <c r="AE139" s="777">
        <v>0</v>
      </c>
      <c r="AF139" s="777">
        <v>54.39</v>
      </c>
      <c r="AG139" s="778">
        <v>54.39</v>
      </c>
    </row>
    <row r="140" spans="1:33" x14ac:dyDescent="0.2">
      <c r="A140" s="15">
        <f t="shared" si="16"/>
        <v>2008</v>
      </c>
      <c r="B140" s="14">
        <f t="shared" si="17"/>
        <v>9</v>
      </c>
      <c r="C140" s="13" t="str">
        <f t="shared" si="18"/>
        <v>Q3</v>
      </c>
      <c r="D140" s="13" t="str">
        <f t="shared" si="19"/>
        <v>2008Q3</v>
      </c>
      <c r="E140" s="13" t="str">
        <f t="shared" si="20"/>
        <v>Brazil</v>
      </c>
      <c r="F140" s="13" t="str">
        <f t="shared" si="22"/>
        <v>Small Hydro</v>
      </c>
      <c r="G140" s="13" t="str">
        <f t="shared" si="23"/>
        <v>Asset finance investments</v>
      </c>
      <c r="H140" s="638">
        <f t="shared" si="21"/>
        <v>54.566743868905071</v>
      </c>
      <c r="I140" s="24" t="s">
        <v>87</v>
      </c>
      <c r="J140" s="25" t="s">
        <v>246</v>
      </c>
      <c r="K140" s="25" t="s">
        <v>344</v>
      </c>
      <c r="L140" s="25" t="s">
        <v>343</v>
      </c>
      <c r="M140" s="25" t="s">
        <v>31</v>
      </c>
      <c r="N140" s="25" t="s">
        <v>31</v>
      </c>
      <c r="O140" s="25" t="s">
        <v>92</v>
      </c>
      <c r="P140" s="25" t="s">
        <v>83</v>
      </c>
      <c r="Q140" s="25" t="s">
        <v>82</v>
      </c>
      <c r="R140" s="25" t="s">
        <v>91</v>
      </c>
      <c r="S140" s="25" t="s">
        <v>126</v>
      </c>
      <c r="T140" s="25" t="s">
        <v>125</v>
      </c>
      <c r="U140" s="25" t="s">
        <v>342</v>
      </c>
      <c r="V140" s="25">
        <v>0</v>
      </c>
      <c r="W140" s="25" t="s">
        <v>245</v>
      </c>
      <c r="X140" s="25" t="s">
        <v>1752</v>
      </c>
      <c r="Y140" s="25" t="s">
        <v>1753</v>
      </c>
      <c r="Z140" s="26">
        <v>39707</v>
      </c>
      <c r="AA140" s="776">
        <v>37</v>
      </c>
      <c r="AB140" s="776">
        <v>0</v>
      </c>
      <c r="AC140" s="776">
        <v>0</v>
      </c>
      <c r="AD140" s="776">
        <v>0</v>
      </c>
      <c r="AE140" s="777">
        <v>0</v>
      </c>
      <c r="AF140" s="777">
        <v>54.02</v>
      </c>
      <c r="AG140" s="778">
        <v>54.566743868905071</v>
      </c>
    </row>
    <row r="141" spans="1:33" x14ac:dyDescent="0.2">
      <c r="A141" s="15">
        <f t="shared" si="16"/>
        <v>2011</v>
      </c>
      <c r="B141" s="14">
        <f t="shared" si="17"/>
        <v>7</v>
      </c>
      <c r="C141" s="13" t="str">
        <f t="shared" si="18"/>
        <v>Q3</v>
      </c>
      <c r="D141" s="13" t="str">
        <f t="shared" si="19"/>
        <v>2011Q3</v>
      </c>
      <c r="E141" s="13" t="str">
        <f t="shared" si="20"/>
        <v>Brazil</v>
      </c>
      <c r="F141" s="13" t="str">
        <f t="shared" si="22"/>
        <v>Small Hydro</v>
      </c>
      <c r="G141" s="13" t="str">
        <f t="shared" si="23"/>
        <v>Asset finance investments</v>
      </c>
      <c r="H141" s="638">
        <f t="shared" si="21"/>
        <v>54.336222993217234</v>
      </c>
      <c r="I141" s="24" t="s">
        <v>87</v>
      </c>
      <c r="J141" s="25" t="s">
        <v>246</v>
      </c>
      <c r="K141" s="25" t="s">
        <v>481</v>
      </c>
      <c r="L141" s="25" t="s">
        <v>480</v>
      </c>
      <c r="M141" s="25" t="s">
        <v>31</v>
      </c>
      <c r="N141" s="25" t="s">
        <v>31</v>
      </c>
      <c r="O141" s="25" t="s">
        <v>92</v>
      </c>
      <c r="P141" s="25" t="s">
        <v>83</v>
      </c>
      <c r="Q141" s="25" t="s">
        <v>82</v>
      </c>
      <c r="R141" s="25" t="s">
        <v>91</v>
      </c>
      <c r="S141" s="25" t="s">
        <v>126</v>
      </c>
      <c r="T141" s="25" t="s">
        <v>125</v>
      </c>
      <c r="U141" s="25" t="s">
        <v>247</v>
      </c>
      <c r="V141" s="25">
        <v>0</v>
      </c>
      <c r="W141" s="25" t="s">
        <v>249</v>
      </c>
      <c r="X141" s="25" t="s">
        <v>1771</v>
      </c>
      <c r="Y141" s="25" t="s">
        <v>1750</v>
      </c>
      <c r="Z141" s="26">
        <v>40743</v>
      </c>
      <c r="AA141" s="776">
        <v>91.4</v>
      </c>
      <c r="AB141" s="776">
        <v>0</v>
      </c>
      <c r="AC141" s="776">
        <v>0</v>
      </c>
      <c r="AD141" s="776">
        <v>0</v>
      </c>
      <c r="AE141" s="777">
        <v>53.97</v>
      </c>
      <c r="AF141" s="777">
        <v>53.97</v>
      </c>
      <c r="AG141" s="778">
        <v>54.336222993217234</v>
      </c>
    </row>
    <row r="142" spans="1:33" x14ac:dyDescent="0.2">
      <c r="A142" s="15">
        <f t="shared" si="16"/>
        <v>2012</v>
      </c>
      <c r="B142" s="14">
        <f t="shared" si="17"/>
        <v>2</v>
      </c>
      <c r="C142" s="13" t="str">
        <f t="shared" si="18"/>
        <v>Q1</v>
      </c>
      <c r="D142" s="13" t="str">
        <f t="shared" si="19"/>
        <v>2012Q1</v>
      </c>
      <c r="E142" s="13" t="str">
        <f t="shared" si="20"/>
        <v>Chile</v>
      </c>
      <c r="F142" s="13" t="str">
        <f t="shared" si="22"/>
        <v>Biomass &amp; Waste</v>
      </c>
      <c r="G142" s="13" t="str">
        <f t="shared" si="23"/>
        <v>Asset finance investments</v>
      </c>
      <c r="H142" s="638">
        <f t="shared" si="21"/>
        <v>56.451726724695206</v>
      </c>
      <c r="I142" s="24" t="s">
        <v>87</v>
      </c>
      <c r="J142" s="25" t="s">
        <v>246</v>
      </c>
      <c r="K142" s="25" t="s">
        <v>1876</v>
      </c>
      <c r="L142" s="25" t="s">
        <v>1877</v>
      </c>
      <c r="M142" s="25" t="s">
        <v>8</v>
      </c>
      <c r="N142" s="25" t="s">
        <v>85</v>
      </c>
      <c r="O142" s="25" t="s">
        <v>92</v>
      </c>
      <c r="P142" s="25" t="s">
        <v>83</v>
      </c>
      <c r="Q142" s="25" t="s">
        <v>129</v>
      </c>
      <c r="R142" s="25"/>
      <c r="S142" s="25" t="s">
        <v>114</v>
      </c>
      <c r="T142" s="25" t="s">
        <v>114</v>
      </c>
      <c r="U142" s="25" t="s">
        <v>379</v>
      </c>
      <c r="V142" s="25" t="s">
        <v>347</v>
      </c>
      <c r="W142" s="25" t="s">
        <v>245</v>
      </c>
      <c r="X142" s="25" t="s">
        <v>1752</v>
      </c>
      <c r="Y142" s="25" t="s">
        <v>1753</v>
      </c>
      <c r="Z142" s="26">
        <v>40948</v>
      </c>
      <c r="AA142" s="776">
        <v>14.8</v>
      </c>
      <c r="AB142" s="776">
        <v>0</v>
      </c>
      <c r="AC142" s="776">
        <v>0</v>
      </c>
      <c r="AD142" s="776">
        <v>0</v>
      </c>
      <c r="AE142" s="777">
        <v>0</v>
      </c>
      <c r="AF142" s="777">
        <v>53.872</v>
      </c>
      <c r="AG142" s="778">
        <v>56.451726724695206</v>
      </c>
    </row>
    <row r="143" spans="1:33" x14ac:dyDescent="0.2">
      <c r="A143" s="15">
        <f t="shared" si="16"/>
        <v>2010</v>
      </c>
      <c r="B143" s="14">
        <f t="shared" si="17"/>
        <v>4</v>
      </c>
      <c r="C143" s="13" t="str">
        <f t="shared" si="18"/>
        <v>Q2</v>
      </c>
      <c r="D143" s="13" t="str">
        <f t="shared" si="19"/>
        <v>2010Q2</v>
      </c>
      <c r="E143" s="13" t="str">
        <f t="shared" si="20"/>
        <v>Argentina</v>
      </c>
      <c r="F143" s="13" t="str">
        <f t="shared" si="22"/>
        <v>Biofuels</v>
      </c>
      <c r="G143" s="13" t="str">
        <f t="shared" si="23"/>
        <v>Corporate finance investments</v>
      </c>
      <c r="H143" s="638">
        <f t="shared" si="21"/>
        <v>53.039521610495051</v>
      </c>
      <c r="I143" s="24" t="s">
        <v>87</v>
      </c>
      <c r="J143" s="25" t="s">
        <v>86</v>
      </c>
      <c r="K143" s="25" t="s">
        <v>163</v>
      </c>
      <c r="L143" s="25" t="s">
        <v>162</v>
      </c>
      <c r="M143" s="25" t="s">
        <v>4</v>
      </c>
      <c r="N143" s="25" t="s">
        <v>85</v>
      </c>
      <c r="O143" s="25" t="s">
        <v>92</v>
      </c>
      <c r="P143" s="25" t="s">
        <v>83</v>
      </c>
      <c r="Q143" s="25" t="s">
        <v>82</v>
      </c>
      <c r="R143" s="25"/>
      <c r="S143" s="25" t="s">
        <v>96</v>
      </c>
      <c r="T143" s="25" t="s">
        <v>96</v>
      </c>
      <c r="U143" s="25" t="s">
        <v>98</v>
      </c>
      <c r="V143" s="25">
        <v>0</v>
      </c>
      <c r="W143" s="25" t="s">
        <v>97</v>
      </c>
      <c r="X143" s="25" t="s">
        <v>1747</v>
      </c>
      <c r="Y143" s="25" t="e">
        <v>#N/A</v>
      </c>
      <c r="Z143" s="26">
        <v>40296</v>
      </c>
      <c r="AA143" s="776" t="s">
        <v>1748</v>
      </c>
      <c r="AB143" s="776" t="s">
        <v>1748</v>
      </c>
      <c r="AC143" s="776" t="s">
        <v>1748</v>
      </c>
      <c r="AD143" s="776" t="s">
        <v>1748</v>
      </c>
      <c r="AE143" s="777">
        <v>53</v>
      </c>
      <c r="AF143" s="777">
        <v>53</v>
      </c>
      <c r="AG143" s="778">
        <v>53.039521610495051</v>
      </c>
    </row>
    <row r="144" spans="1:33" x14ac:dyDescent="0.2">
      <c r="A144" s="15">
        <f t="shared" si="16"/>
        <v>2007</v>
      </c>
      <c r="B144" s="14">
        <f t="shared" si="17"/>
        <v>9</v>
      </c>
      <c r="C144" s="13" t="str">
        <f t="shared" si="18"/>
        <v>Q3</v>
      </c>
      <c r="D144" s="13" t="str">
        <f t="shared" si="19"/>
        <v>2007Q3</v>
      </c>
      <c r="E144" s="13" t="str">
        <f t="shared" si="20"/>
        <v>Brazil</v>
      </c>
      <c r="F144" s="13" t="str">
        <f t="shared" si="22"/>
        <v>Biofuels</v>
      </c>
      <c r="G144" s="13" t="str">
        <f t="shared" si="23"/>
        <v>Asset finance investments</v>
      </c>
      <c r="H144" s="638">
        <f t="shared" si="21"/>
        <v>60.054314175411157</v>
      </c>
      <c r="I144" s="24" t="s">
        <v>87</v>
      </c>
      <c r="J144" s="25" t="s">
        <v>246</v>
      </c>
      <c r="K144" s="25" t="s">
        <v>302</v>
      </c>
      <c r="L144" s="25" t="s">
        <v>301</v>
      </c>
      <c r="M144" s="25" t="s">
        <v>31</v>
      </c>
      <c r="N144" s="25" t="s">
        <v>31</v>
      </c>
      <c r="O144" s="25" t="s">
        <v>92</v>
      </c>
      <c r="P144" s="25" t="s">
        <v>83</v>
      </c>
      <c r="Q144" s="25" t="s">
        <v>82</v>
      </c>
      <c r="R144" s="25" t="s">
        <v>91</v>
      </c>
      <c r="S144" s="25" t="s">
        <v>96</v>
      </c>
      <c r="T144" s="25" t="s">
        <v>96</v>
      </c>
      <c r="U144" s="25" t="s">
        <v>98</v>
      </c>
      <c r="V144" s="25">
        <v>0</v>
      </c>
      <c r="W144" s="25" t="s">
        <v>245</v>
      </c>
      <c r="X144" s="25" t="s">
        <v>1752</v>
      </c>
      <c r="Y144" s="25" t="s">
        <v>1753</v>
      </c>
      <c r="Z144" s="26">
        <v>39349</v>
      </c>
      <c r="AA144" s="776">
        <v>0</v>
      </c>
      <c r="AB144" s="776">
        <v>66</v>
      </c>
      <c r="AC144" s="776">
        <v>0</v>
      </c>
      <c r="AD144" s="776">
        <v>0</v>
      </c>
      <c r="AE144" s="777">
        <v>53</v>
      </c>
      <c r="AF144" s="777">
        <v>53</v>
      </c>
      <c r="AG144" s="778">
        <v>60.054314175411157</v>
      </c>
    </row>
    <row r="145" spans="1:33" x14ac:dyDescent="0.2">
      <c r="A145" s="15">
        <f t="shared" si="16"/>
        <v>2011</v>
      </c>
      <c r="B145" s="14">
        <f t="shared" si="17"/>
        <v>11</v>
      </c>
      <c r="C145" s="13" t="str">
        <f t="shared" si="18"/>
        <v>Q4</v>
      </c>
      <c r="D145" s="13" t="str">
        <f t="shared" si="19"/>
        <v>2011Q4</v>
      </c>
      <c r="E145" s="13" t="str">
        <f t="shared" si="20"/>
        <v>Brazil</v>
      </c>
      <c r="F145" s="13" t="str">
        <f t="shared" si="22"/>
        <v>Biomass &amp; Waste</v>
      </c>
      <c r="G145" s="13" t="str">
        <f t="shared" si="23"/>
        <v>Asset finance investments</v>
      </c>
      <c r="H145" s="638">
        <f t="shared" si="21"/>
        <v>52.352855209325483</v>
      </c>
      <c r="I145" s="24" t="s">
        <v>87</v>
      </c>
      <c r="J145" s="25" t="s">
        <v>246</v>
      </c>
      <c r="K145" s="25" t="s">
        <v>1878</v>
      </c>
      <c r="L145" s="25" t="s">
        <v>1879</v>
      </c>
      <c r="M145" s="25" t="s">
        <v>31</v>
      </c>
      <c r="N145" s="25" t="s">
        <v>31</v>
      </c>
      <c r="O145" s="25" t="s">
        <v>92</v>
      </c>
      <c r="P145" s="25" t="s">
        <v>83</v>
      </c>
      <c r="Q145" s="25" t="s">
        <v>82</v>
      </c>
      <c r="R145" s="25" t="s">
        <v>91</v>
      </c>
      <c r="S145" s="25" t="s">
        <v>114</v>
      </c>
      <c r="T145" s="25" t="s">
        <v>114</v>
      </c>
      <c r="U145" s="25" t="s">
        <v>113</v>
      </c>
      <c r="V145" s="25" t="s">
        <v>347</v>
      </c>
      <c r="W145" s="25" t="s">
        <v>249</v>
      </c>
      <c r="X145" s="25" t="s">
        <v>1749</v>
      </c>
      <c r="Y145" s="25" t="s">
        <v>1750</v>
      </c>
      <c r="Z145" s="26">
        <v>40877</v>
      </c>
      <c r="AA145" s="776">
        <v>33</v>
      </c>
      <c r="AB145" s="776">
        <v>0</v>
      </c>
      <c r="AC145" s="776">
        <v>0</v>
      </c>
      <c r="AD145" s="776">
        <v>0</v>
      </c>
      <c r="AE145" s="777">
        <v>52</v>
      </c>
      <c r="AF145" s="777">
        <v>52</v>
      </c>
      <c r="AG145" s="778">
        <v>52.352855209325483</v>
      </c>
    </row>
    <row r="146" spans="1:33" x14ac:dyDescent="0.2">
      <c r="A146" s="15">
        <f t="shared" si="16"/>
        <v>2008</v>
      </c>
      <c r="B146" s="14">
        <f t="shared" si="17"/>
        <v>12</v>
      </c>
      <c r="C146" s="13" t="str">
        <f t="shared" si="18"/>
        <v>Q4</v>
      </c>
      <c r="D146" s="13" t="str">
        <f t="shared" si="19"/>
        <v>2008Q4</v>
      </c>
      <c r="E146" s="13" t="str">
        <f t="shared" si="20"/>
        <v>Brazil</v>
      </c>
      <c r="F146" s="13" t="str">
        <f t="shared" si="22"/>
        <v>Biofuels</v>
      </c>
      <c r="G146" s="13" t="str">
        <f t="shared" si="23"/>
        <v>Asset finance investments</v>
      </c>
      <c r="H146" s="638">
        <f t="shared" si="21"/>
        <v>52.1528546857473</v>
      </c>
      <c r="I146" s="24" t="s">
        <v>87</v>
      </c>
      <c r="J146" s="25" t="s">
        <v>246</v>
      </c>
      <c r="K146" s="25" t="s">
        <v>1880</v>
      </c>
      <c r="L146" s="25" t="s">
        <v>1881</v>
      </c>
      <c r="M146" s="25" t="s">
        <v>31</v>
      </c>
      <c r="N146" s="25" t="s">
        <v>31</v>
      </c>
      <c r="O146" s="25" t="s">
        <v>92</v>
      </c>
      <c r="P146" s="25" t="s">
        <v>83</v>
      </c>
      <c r="Q146" s="25" t="s">
        <v>82</v>
      </c>
      <c r="R146" s="25" t="s">
        <v>91</v>
      </c>
      <c r="S146" s="25" t="s">
        <v>96</v>
      </c>
      <c r="T146" s="25" t="s">
        <v>96</v>
      </c>
      <c r="U146" s="25" t="s">
        <v>98</v>
      </c>
      <c r="V146" s="25" t="s">
        <v>230</v>
      </c>
      <c r="W146" s="25" t="s">
        <v>249</v>
      </c>
      <c r="X146" s="25" t="s">
        <v>1882</v>
      </c>
      <c r="Y146" s="25" t="s">
        <v>1750</v>
      </c>
      <c r="Z146" s="26">
        <v>39813</v>
      </c>
      <c r="AA146" s="776">
        <v>0</v>
      </c>
      <c r="AB146" s="776">
        <v>65</v>
      </c>
      <c r="AC146" s="776">
        <v>0</v>
      </c>
      <c r="AD146" s="776">
        <v>0</v>
      </c>
      <c r="AE146" s="777">
        <v>52</v>
      </c>
      <c r="AF146" s="777">
        <v>52</v>
      </c>
      <c r="AG146" s="778">
        <v>52.1528546857473</v>
      </c>
    </row>
    <row r="147" spans="1:33" x14ac:dyDescent="0.2">
      <c r="A147" s="15">
        <f t="shared" si="16"/>
        <v>2011</v>
      </c>
      <c r="B147" s="14">
        <f t="shared" si="17"/>
        <v>10</v>
      </c>
      <c r="C147" s="13" t="str">
        <f t="shared" si="18"/>
        <v>Q4</v>
      </c>
      <c r="D147" s="13" t="str">
        <f t="shared" si="19"/>
        <v>2011Q4</v>
      </c>
      <c r="E147" s="13" t="str">
        <f t="shared" si="20"/>
        <v>Brazil</v>
      </c>
      <c r="F147" s="13" t="str">
        <f t="shared" si="22"/>
        <v>Biofuels</v>
      </c>
      <c r="G147" s="13" t="str">
        <f t="shared" si="23"/>
        <v>Asset finance investments</v>
      </c>
      <c r="H147" s="638">
        <f t="shared" si="21"/>
        <v>51.849462370774276</v>
      </c>
      <c r="I147" s="24" t="s">
        <v>87</v>
      </c>
      <c r="J147" s="25" t="s">
        <v>246</v>
      </c>
      <c r="K147" s="25" t="s">
        <v>1883</v>
      </c>
      <c r="L147" s="25" t="s">
        <v>1884</v>
      </c>
      <c r="M147" s="25" t="s">
        <v>31</v>
      </c>
      <c r="N147" s="25" t="s">
        <v>31</v>
      </c>
      <c r="O147" s="25" t="s">
        <v>92</v>
      </c>
      <c r="P147" s="25" t="s">
        <v>83</v>
      </c>
      <c r="Q147" s="25" t="s">
        <v>82</v>
      </c>
      <c r="R147" s="25" t="s">
        <v>91</v>
      </c>
      <c r="S147" s="25" t="s">
        <v>96</v>
      </c>
      <c r="T147" s="25" t="s">
        <v>96</v>
      </c>
      <c r="U147" s="25" t="s">
        <v>98</v>
      </c>
      <c r="V147" s="25" t="s">
        <v>230</v>
      </c>
      <c r="W147" s="25" t="s">
        <v>245</v>
      </c>
      <c r="X147" s="25" t="s">
        <v>1752</v>
      </c>
      <c r="Y147" s="25" t="s">
        <v>1753</v>
      </c>
      <c r="Z147" s="26">
        <v>40847</v>
      </c>
      <c r="AA147" s="776">
        <v>4</v>
      </c>
      <c r="AB147" s="776">
        <v>103</v>
      </c>
      <c r="AC147" s="776">
        <v>0</v>
      </c>
      <c r="AD147" s="776">
        <v>0</v>
      </c>
      <c r="AE147" s="777">
        <v>0</v>
      </c>
      <c r="AF147" s="777">
        <v>51.5</v>
      </c>
      <c r="AG147" s="778">
        <v>51.849462370774276</v>
      </c>
    </row>
    <row r="148" spans="1:33" x14ac:dyDescent="0.2">
      <c r="A148" s="15">
        <f t="shared" si="16"/>
        <v>2006</v>
      </c>
      <c r="B148" s="14">
        <f t="shared" si="17"/>
        <v>11</v>
      </c>
      <c r="C148" s="13" t="str">
        <f t="shared" si="18"/>
        <v>Q4</v>
      </c>
      <c r="D148" s="13" t="str">
        <f t="shared" si="19"/>
        <v>2006Q4</v>
      </c>
      <c r="E148" s="13" t="str">
        <f t="shared" si="20"/>
        <v>Brazil</v>
      </c>
      <c r="F148" s="13" t="str">
        <f t="shared" si="22"/>
        <v>Wind</v>
      </c>
      <c r="G148" s="13" t="str">
        <f t="shared" si="23"/>
        <v>Corporate finance investments</v>
      </c>
      <c r="H148" s="638">
        <f t="shared" si="21"/>
        <v>51.630996999999994</v>
      </c>
      <c r="I148" s="24" t="s">
        <v>87</v>
      </c>
      <c r="J148" s="25" t="s">
        <v>86</v>
      </c>
      <c r="K148" s="25" t="s">
        <v>102</v>
      </c>
      <c r="L148" s="25" t="s">
        <v>1885</v>
      </c>
      <c r="M148" s="25" t="s">
        <v>31</v>
      </c>
      <c r="N148" s="25" t="s">
        <v>31</v>
      </c>
      <c r="O148" s="25" t="s">
        <v>92</v>
      </c>
      <c r="P148" s="25" t="s">
        <v>83</v>
      </c>
      <c r="Q148" s="25" t="s">
        <v>82</v>
      </c>
      <c r="R148" s="25" t="s">
        <v>91</v>
      </c>
      <c r="S148" s="25" t="s">
        <v>101</v>
      </c>
      <c r="T148" s="25" t="s">
        <v>101</v>
      </c>
      <c r="U148" s="25">
        <v>0</v>
      </c>
      <c r="V148" s="25">
        <v>0</v>
      </c>
      <c r="W148" s="25" t="s">
        <v>94</v>
      </c>
      <c r="X148" s="25" t="s">
        <v>1747</v>
      </c>
      <c r="Y148" s="25" t="e">
        <v>#N/A</v>
      </c>
      <c r="Z148" s="26">
        <v>39051</v>
      </c>
      <c r="AA148" s="776" t="s">
        <v>1748</v>
      </c>
      <c r="AB148" s="776" t="s">
        <v>1748</v>
      </c>
      <c r="AC148" s="776" t="s">
        <v>1748</v>
      </c>
      <c r="AD148" s="776" t="s">
        <v>1748</v>
      </c>
      <c r="AE148" s="777">
        <v>0</v>
      </c>
      <c r="AF148" s="777">
        <v>51.463000000000001</v>
      </c>
      <c r="AG148" s="778">
        <v>51.630996999999994</v>
      </c>
    </row>
    <row r="149" spans="1:33" x14ac:dyDescent="0.2">
      <c r="A149" s="15">
        <f t="shared" si="16"/>
        <v>2008</v>
      </c>
      <c r="B149" s="14">
        <f t="shared" si="17"/>
        <v>1</v>
      </c>
      <c r="C149" s="13" t="str">
        <f t="shared" si="18"/>
        <v>Q1</v>
      </c>
      <c r="D149" s="13" t="str">
        <f t="shared" si="19"/>
        <v>2008Q1</v>
      </c>
      <c r="E149" s="13" t="str">
        <f t="shared" si="20"/>
        <v>Brazil</v>
      </c>
      <c r="F149" s="13" t="str">
        <f t="shared" si="22"/>
        <v>Biomass &amp; Waste</v>
      </c>
      <c r="G149" s="13" t="str">
        <f t="shared" si="23"/>
        <v>VC/PE investments</v>
      </c>
      <c r="H149" s="638">
        <f t="shared" si="21"/>
        <v>58.193559373675306</v>
      </c>
      <c r="I149" s="24" t="s">
        <v>87</v>
      </c>
      <c r="J149" s="25" t="s">
        <v>216</v>
      </c>
      <c r="K149" s="25" t="s">
        <v>229</v>
      </c>
      <c r="L149" s="25" t="s">
        <v>228</v>
      </c>
      <c r="M149" s="25" t="s">
        <v>31</v>
      </c>
      <c r="N149" s="25" t="s">
        <v>31</v>
      </c>
      <c r="O149" s="25" t="s">
        <v>92</v>
      </c>
      <c r="P149" s="25" t="s">
        <v>83</v>
      </c>
      <c r="Q149" s="25" t="s">
        <v>82</v>
      </c>
      <c r="R149" s="25" t="s">
        <v>91</v>
      </c>
      <c r="S149" s="25" t="s">
        <v>114</v>
      </c>
      <c r="T149" s="25" t="s">
        <v>114</v>
      </c>
      <c r="U149" s="25" t="s">
        <v>113</v>
      </c>
      <c r="V149" s="25">
        <v>0</v>
      </c>
      <c r="W149" s="25" t="s">
        <v>88</v>
      </c>
      <c r="X149" s="25" t="s">
        <v>213</v>
      </c>
      <c r="Y149" s="25" t="s">
        <v>212</v>
      </c>
      <c r="Z149" s="26">
        <v>39478</v>
      </c>
      <c r="AA149" s="776" t="s">
        <v>1748</v>
      </c>
      <c r="AB149" s="776" t="s">
        <v>1748</v>
      </c>
      <c r="AC149" s="776" t="s">
        <v>1748</v>
      </c>
      <c r="AD149" s="776" t="s">
        <v>1748</v>
      </c>
      <c r="AE149" s="777">
        <v>0</v>
      </c>
      <c r="AF149" s="777">
        <v>51.427999999999997</v>
      </c>
      <c r="AG149" s="778">
        <v>58.193559373675306</v>
      </c>
    </row>
    <row r="150" spans="1:33" x14ac:dyDescent="0.2">
      <c r="A150" s="15">
        <f t="shared" si="16"/>
        <v>2008</v>
      </c>
      <c r="B150" s="14">
        <f t="shared" si="17"/>
        <v>5</v>
      </c>
      <c r="C150" s="13" t="str">
        <f t="shared" si="18"/>
        <v>Q2</v>
      </c>
      <c r="D150" s="13" t="str">
        <f t="shared" si="19"/>
        <v>2008Q2</v>
      </c>
      <c r="E150" s="13" t="str">
        <f t="shared" si="20"/>
        <v>Argentina</v>
      </c>
      <c r="F150" s="13" t="str">
        <f t="shared" si="22"/>
        <v>Biofuels</v>
      </c>
      <c r="G150" s="13" t="str">
        <f t="shared" si="23"/>
        <v>VC/PE investments</v>
      </c>
      <c r="H150" s="638">
        <f t="shared" si="21"/>
        <v>55.114535068189831</v>
      </c>
      <c r="I150" s="24" t="s">
        <v>87</v>
      </c>
      <c r="J150" s="25" t="s">
        <v>216</v>
      </c>
      <c r="K150" s="25" t="s">
        <v>225</v>
      </c>
      <c r="L150" s="25" t="s">
        <v>224</v>
      </c>
      <c r="M150" s="25" t="s">
        <v>4</v>
      </c>
      <c r="N150" s="25" t="s">
        <v>85</v>
      </c>
      <c r="O150" s="25" t="s">
        <v>92</v>
      </c>
      <c r="P150" s="25" t="s">
        <v>83</v>
      </c>
      <c r="Q150" s="25" t="s">
        <v>82</v>
      </c>
      <c r="R150" s="25"/>
      <c r="S150" s="25" t="s">
        <v>96</v>
      </c>
      <c r="T150" s="25" t="s">
        <v>96</v>
      </c>
      <c r="U150" s="25" t="s">
        <v>95</v>
      </c>
      <c r="V150" s="25" t="s">
        <v>223</v>
      </c>
      <c r="W150" s="25" t="s">
        <v>97</v>
      </c>
      <c r="X150" s="25" t="s">
        <v>213</v>
      </c>
      <c r="Y150" s="25" t="s">
        <v>212</v>
      </c>
      <c r="Z150" s="26">
        <v>39577</v>
      </c>
      <c r="AA150" s="776" t="s">
        <v>1748</v>
      </c>
      <c r="AB150" s="776" t="s">
        <v>1748</v>
      </c>
      <c r="AC150" s="776" t="s">
        <v>1748</v>
      </c>
      <c r="AD150" s="776" t="s">
        <v>1748</v>
      </c>
      <c r="AE150" s="777">
        <v>0</v>
      </c>
      <c r="AF150" s="777">
        <v>51.427999999999997</v>
      </c>
      <c r="AG150" s="778">
        <v>55.114535068189831</v>
      </c>
    </row>
    <row r="151" spans="1:33" x14ac:dyDescent="0.2">
      <c r="A151" s="15">
        <f t="shared" si="16"/>
        <v>2011</v>
      </c>
      <c r="B151" s="14">
        <f t="shared" si="17"/>
        <v>12</v>
      </c>
      <c r="C151" s="13" t="str">
        <f t="shared" si="18"/>
        <v>Q4</v>
      </c>
      <c r="D151" s="13" t="str">
        <f t="shared" si="19"/>
        <v>2011Q4</v>
      </c>
      <c r="E151" s="13" t="str">
        <f t="shared" si="20"/>
        <v>Brazil</v>
      </c>
      <c r="F151" s="13" t="str">
        <f t="shared" si="22"/>
        <v>Small Hydro</v>
      </c>
      <c r="G151" s="13" t="str">
        <f t="shared" si="23"/>
        <v>Corporate finance investments</v>
      </c>
      <c r="H151" s="638">
        <f t="shared" si="21"/>
        <v>51.082291684822231</v>
      </c>
      <c r="I151" s="24" t="s">
        <v>87</v>
      </c>
      <c r="J151" s="25" t="s">
        <v>86</v>
      </c>
      <c r="K151" s="25" t="s">
        <v>1886</v>
      </c>
      <c r="L151" s="25" t="s">
        <v>1887</v>
      </c>
      <c r="M151" s="25" t="s">
        <v>31</v>
      </c>
      <c r="N151" s="25" t="s">
        <v>31</v>
      </c>
      <c r="O151" s="25" t="s">
        <v>92</v>
      </c>
      <c r="P151" s="25" t="s">
        <v>83</v>
      </c>
      <c r="Q151" s="25" t="s">
        <v>82</v>
      </c>
      <c r="R151" s="25" t="s">
        <v>91</v>
      </c>
      <c r="S151" s="25" t="s">
        <v>126</v>
      </c>
      <c r="T151" s="25" t="s">
        <v>125</v>
      </c>
      <c r="U151" s="25">
        <v>0</v>
      </c>
      <c r="V151" s="25">
        <v>0</v>
      </c>
      <c r="W151" s="25" t="s">
        <v>88</v>
      </c>
      <c r="X151" s="25" t="s">
        <v>1747</v>
      </c>
      <c r="Y151" s="25" t="e">
        <v>#N/A</v>
      </c>
      <c r="Z151" s="26">
        <v>40908</v>
      </c>
      <c r="AA151" s="776" t="s">
        <v>1748</v>
      </c>
      <c r="AB151" s="776" t="s">
        <v>1748</v>
      </c>
      <c r="AC151" s="776" t="s">
        <v>1748</v>
      </c>
      <c r="AD151" s="776" t="s">
        <v>1748</v>
      </c>
      <c r="AE151" s="777">
        <v>0</v>
      </c>
      <c r="AF151" s="777">
        <v>50.738</v>
      </c>
      <c r="AG151" s="778">
        <v>51.082291684822231</v>
      </c>
    </row>
    <row r="152" spans="1:33" x14ac:dyDescent="0.2">
      <c r="A152" s="15">
        <f t="shared" si="16"/>
        <v>2011</v>
      </c>
      <c r="B152" s="14">
        <f t="shared" si="17"/>
        <v>3</v>
      </c>
      <c r="C152" s="13" t="str">
        <f t="shared" si="18"/>
        <v>Q1</v>
      </c>
      <c r="D152" s="13" t="str">
        <f t="shared" si="19"/>
        <v>2011Q1</v>
      </c>
      <c r="E152" s="13" t="str">
        <f t="shared" si="20"/>
        <v>Nicaragua</v>
      </c>
      <c r="F152" s="13" t="str">
        <f t="shared" si="22"/>
        <v>Geothermal</v>
      </c>
      <c r="G152" s="13" t="str">
        <f t="shared" si="23"/>
        <v>Asset finance investments</v>
      </c>
      <c r="H152" s="638">
        <f t="shared" si="21"/>
        <v>50.451785659145386</v>
      </c>
      <c r="I152" s="24" t="s">
        <v>87</v>
      </c>
      <c r="J152" s="25" t="s">
        <v>246</v>
      </c>
      <c r="K152" s="25" t="s">
        <v>479</v>
      </c>
      <c r="L152" s="25" t="s">
        <v>1888</v>
      </c>
      <c r="M152" s="25" t="s">
        <v>2</v>
      </c>
      <c r="N152" s="25" t="s">
        <v>85</v>
      </c>
      <c r="O152" s="25" t="s">
        <v>92</v>
      </c>
      <c r="P152" s="25" t="s">
        <v>83</v>
      </c>
      <c r="Q152" s="25" t="s">
        <v>82</v>
      </c>
      <c r="R152" s="25"/>
      <c r="S152" s="25" t="s">
        <v>157</v>
      </c>
      <c r="T152" s="25" t="s">
        <v>157</v>
      </c>
      <c r="U152" s="25" t="s">
        <v>156</v>
      </c>
      <c r="V152" s="25" t="s">
        <v>248</v>
      </c>
      <c r="W152" s="25" t="s">
        <v>249</v>
      </c>
      <c r="X152" s="25" t="s">
        <v>1771</v>
      </c>
      <c r="Y152" s="25" t="s">
        <v>1750</v>
      </c>
      <c r="Z152" s="26">
        <v>40604</v>
      </c>
      <c r="AA152" s="776">
        <v>0</v>
      </c>
      <c r="AB152" s="776">
        <v>0</v>
      </c>
      <c r="AC152" s="776">
        <v>0</v>
      </c>
      <c r="AD152" s="776">
        <v>0</v>
      </c>
      <c r="AE152" s="777">
        <v>50</v>
      </c>
      <c r="AF152" s="777">
        <v>50</v>
      </c>
      <c r="AG152" s="778">
        <v>50.451785659145386</v>
      </c>
    </row>
    <row r="153" spans="1:33" x14ac:dyDescent="0.2">
      <c r="A153" s="15">
        <f t="shared" si="16"/>
        <v>2011</v>
      </c>
      <c r="B153" s="14">
        <f t="shared" si="17"/>
        <v>4</v>
      </c>
      <c r="C153" s="13" t="str">
        <f t="shared" si="18"/>
        <v>Q2</v>
      </c>
      <c r="D153" s="13" t="str">
        <f t="shared" si="19"/>
        <v>2011Q2</v>
      </c>
      <c r="E153" s="13" t="str">
        <f t="shared" si="20"/>
        <v>Mexico</v>
      </c>
      <c r="F153" s="13" t="str">
        <f t="shared" si="22"/>
        <v>Wind</v>
      </c>
      <c r="G153" s="13" t="str">
        <f t="shared" si="23"/>
        <v>Asset finance investments</v>
      </c>
      <c r="H153" s="638">
        <f t="shared" si="21"/>
        <v>50.413561559325217</v>
      </c>
      <c r="I153" s="24" t="s">
        <v>87</v>
      </c>
      <c r="J153" s="25" t="s">
        <v>246</v>
      </c>
      <c r="K153" s="25" t="s">
        <v>478</v>
      </c>
      <c r="L153" s="25" t="s">
        <v>477</v>
      </c>
      <c r="M153" s="25" t="s">
        <v>18</v>
      </c>
      <c r="N153" s="25" t="s">
        <v>85</v>
      </c>
      <c r="O153" s="25" t="s">
        <v>92</v>
      </c>
      <c r="P153" s="25" t="s">
        <v>83</v>
      </c>
      <c r="Q153" s="25" t="s">
        <v>129</v>
      </c>
      <c r="R153" s="25"/>
      <c r="S153" s="25" t="s">
        <v>101</v>
      </c>
      <c r="T153" s="25" t="s">
        <v>101</v>
      </c>
      <c r="U153" s="25" t="s">
        <v>112</v>
      </c>
      <c r="V153" s="25">
        <v>0</v>
      </c>
      <c r="W153" s="25" t="s">
        <v>245</v>
      </c>
      <c r="X153" s="25" t="s">
        <v>1752</v>
      </c>
      <c r="Y153" s="25" t="s">
        <v>1753</v>
      </c>
      <c r="Z153" s="26">
        <v>40651</v>
      </c>
      <c r="AA153" s="776">
        <v>324</v>
      </c>
      <c r="AB153" s="776">
        <v>0</v>
      </c>
      <c r="AC153" s="776">
        <v>0</v>
      </c>
      <c r="AD153" s="776">
        <v>0</v>
      </c>
      <c r="AE153" s="777">
        <v>0</v>
      </c>
      <c r="AF153" s="777">
        <v>50</v>
      </c>
      <c r="AG153" s="778">
        <v>50.413561559325217</v>
      </c>
    </row>
    <row r="154" spans="1:33" x14ac:dyDescent="0.2">
      <c r="A154" s="15">
        <f t="shared" si="16"/>
        <v>2011</v>
      </c>
      <c r="B154" s="14">
        <f t="shared" si="17"/>
        <v>5</v>
      </c>
      <c r="C154" s="13" t="str">
        <f t="shared" si="18"/>
        <v>Q2</v>
      </c>
      <c r="D154" s="13" t="str">
        <f t="shared" si="19"/>
        <v>2011Q2</v>
      </c>
      <c r="E154" s="13" t="str">
        <f t="shared" si="20"/>
        <v>Nicaragua</v>
      </c>
      <c r="F154" s="13" t="str">
        <f t="shared" si="22"/>
        <v>Geothermal</v>
      </c>
      <c r="G154" s="13" t="str">
        <f t="shared" si="23"/>
        <v>Asset finance investments</v>
      </c>
      <c r="H154" s="638">
        <f t="shared" si="21"/>
        <v>50.451677380969649</v>
      </c>
      <c r="I154" s="24" t="s">
        <v>87</v>
      </c>
      <c r="J154" s="25" t="s">
        <v>246</v>
      </c>
      <c r="K154" s="25" t="s">
        <v>476</v>
      </c>
      <c r="L154" s="25" t="s">
        <v>1889</v>
      </c>
      <c r="M154" s="25" t="s">
        <v>2</v>
      </c>
      <c r="N154" s="25" t="s">
        <v>85</v>
      </c>
      <c r="O154" s="25" t="s">
        <v>92</v>
      </c>
      <c r="P154" s="25" t="s">
        <v>83</v>
      </c>
      <c r="Q154" s="25" t="s">
        <v>82</v>
      </c>
      <c r="R154" s="25"/>
      <c r="S154" s="25" t="s">
        <v>157</v>
      </c>
      <c r="T154" s="25" t="s">
        <v>157</v>
      </c>
      <c r="U154" s="25" t="s">
        <v>156</v>
      </c>
      <c r="V154" s="25" t="s">
        <v>248</v>
      </c>
      <c r="W154" s="25" t="s">
        <v>249</v>
      </c>
      <c r="X154" s="25" t="s">
        <v>1752</v>
      </c>
      <c r="Y154" s="25" t="s">
        <v>1753</v>
      </c>
      <c r="Z154" s="26">
        <v>40683</v>
      </c>
      <c r="AA154" s="776">
        <v>77.599999999999994</v>
      </c>
      <c r="AB154" s="776">
        <v>0</v>
      </c>
      <c r="AC154" s="776">
        <v>0</v>
      </c>
      <c r="AD154" s="776">
        <v>0</v>
      </c>
      <c r="AE154" s="777">
        <v>50</v>
      </c>
      <c r="AF154" s="777">
        <v>50</v>
      </c>
      <c r="AG154" s="778">
        <v>50.451677380969649</v>
      </c>
    </row>
    <row r="155" spans="1:33" x14ac:dyDescent="0.2">
      <c r="A155" s="15">
        <f t="shared" si="16"/>
        <v>2011</v>
      </c>
      <c r="B155" s="14">
        <f t="shared" si="17"/>
        <v>11</v>
      </c>
      <c r="C155" s="13" t="str">
        <f t="shared" si="18"/>
        <v>Q4</v>
      </c>
      <c r="D155" s="13" t="str">
        <f t="shared" si="19"/>
        <v>2011Q4</v>
      </c>
      <c r="E155" s="13" t="str">
        <f t="shared" si="20"/>
        <v>Brazil</v>
      </c>
      <c r="F155" s="13" t="str">
        <f t="shared" si="22"/>
        <v>Biofuels</v>
      </c>
      <c r="G155" s="13" t="str">
        <f t="shared" si="23"/>
        <v>Asset finance investments</v>
      </c>
      <c r="H155" s="638">
        <f t="shared" si="21"/>
        <v>50.339283855120655</v>
      </c>
      <c r="I155" s="24" t="s">
        <v>87</v>
      </c>
      <c r="J155" s="25" t="s">
        <v>246</v>
      </c>
      <c r="K155" s="25" t="s">
        <v>454</v>
      </c>
      <c r="L155" s="25" t="s">
        <v>453</v>
      </c>
      <c r="M155" s="25" t="s">
        <v>31</v>
      </c>
      <c r="N155" s="25" t="s">
        <v>31</v>
      </c>
      <c r="O155" s="25" t="s">
        <v>92</v>
      </c>
      <c r="P155" s="25" t="s">
        <v>83</v>
      </c>
      <c r="Q155" s="25" t="s">
        <v>82</v>
      </c>
      <c r="R155" s="25" t="s">
        <v>91</v>
      </c>
      <c r="S155" s="25" t="s">
        <v>96</v>
      </c>
      <c r="T155" s="25" t="s">
        <v>96</v>
      </c>
      <c r="U155" s="25" t="s">
        <v>98</v>
      </c>
      <c r="V155" s="25" t="s">
        <v>230</v>
      </c>
      <c r="W155" s="25" t="s">
        <v>245</v>
      </c>
      <c r="X155" s="25" t="s">
        <v>1752</v>
      </c>
      <c r="Y155" s="25" t="s">
        <v>1753</v>
      </c>
      <c r="Z155" s="26">
        <v>40851</v>
      </c>
      <c r="AA155" s="776">
        <v>96</v>
      </c>
      <c r="AB155" s="776">
        <v>200</v>
      </c>
      <c r="AC155" s="776">
        <v>0</v>
      </c>
      <c r="AD155" s="776">
        <v>0</v>
      </c>
      <c r="AE155" s="777">
        <v>0</v>
      </c>
      <c r="AF155" s="777">
        <v>50</v>
      </c>
      <c r="AG155" s="778">
        <v>50.339283855120655</v>
      </c>
    </row>
    <row r="156" spans="1:33" x14ac:dyDescent="0.2">
      <c r="A156" s="15">
        <f t="shared" si="16"/>
        <v>2011</v>
      </c>
      <c r="B156" s="14">
        <f t="shared" si="17"/>
        <v>6</v>
      </c>
      <c r="C156" s="13" t="str">
        <f t="shared" si="18"/>
        <v>Q2</v>
      </c>
      <c r="D156" s="13" t="str">
        <f t="shared" si="19"/>
        <v>2011Q2</v>
      </c>
      <c r="E156" s="13" t="str">
        <f t="shared" si="20"/>
        <v>Brazil</v>
      </c>
      <c r="F156" s="13" t="str">
        <f t="shared" si="22"/>
        <v>Small Hydro</v>
      </c>
      <c r="G156" s="13" t="str">
        <f t="shared" si="23"/>
        <v>Asset finance investments</v>
      </c>
      <c r="H156" s="638">
        <f t="shared" si="21"/>
        <v>49.634533881148961</v>
      </c>
      <c r="I156" s="24" t="s">
        <v>87</v>
      </c>
      <c r="J156" s="25" t="s">
        <v>246</v>
      </c>
      <c r="K156" s="25" t="s">
        <v>475</v>
      </c>
      <c r="L156" s="25" t="s">
        <v>474</v>
      </c>
      <c r="M156" s="25" t="s">
        <v>31</v>
      </c>
      <c r="N156" s="25" t="s">
        <v>31</v>
      </c>
      <c r="O156" s="25" t="s">
        <v>92</v>
      </c>
      <c r="P156" s="25" t="s">
        <v>83</v>
      </c>
      <c r="Q156" s="25" t="s">
        <v>82</v>
      </c>
      <c r="R156" s="25" t="s">
        <v>91</v>
      </c>
      <c r="S156" s="25" t="s">
        <v>126</v>
      </c>
      <c r="T156" s="25" t="s">
        <v>125</v>
      </c>
      <c r="U156" s="25" t="s">
        <v>247</v>
      </c>
      <c r="V156" s="25">
        <v>0</v>
      </c>
      <c r="W156" s="25" t="s">
        <v>249</v>
      </c>
      <c r="X156" s="25" t="s">
        <v>1749</v>
      </c>
      <c r="Y156" s="25" t="s">
        <v>1750</v>
      </c>
      <c r="Z156" s="26">
        <v>40707</v>
      </c>
      <c r="AA156" s="776">
        <v>13.7</v>
      </c>
      <c r="AB156" s="776">
        <v>0</v>
      </c>
      <c r="AC156" s="776">
        <v>0</v>
      </c>
      <c r="AD156" s="776">
        <v>0</v>
      </c>
      <c r="AE156" s="777">
        <v>49.3</v>
      </c>
      <c r="AF156" s="777">
        <v>49.3</v>
      </c>
      <c r="AG156" s="778">
        <v>49.634533881148961</v>
      </c>
    </row>
    <row r="157" spans="1:33" x14ac:dyDescent="0.2">
      <c r="A157" s="15">
        <f t="shared" si="16"/>
        <v>2012</v>
      </c>
      <c r="B157" s="14">
        <f t="shared" si="17"/>
        <v>5</v>
      </c>
      <c r="C157" s="13" t="str">
        <f t="shared" si="18"/>
        <v>Q2</v>
      </c>
      <c r="D157" s="13" t="str">
        <f t="shared" si="19"/>
        <v>2012Q2</v>
      </c>
      <c r="E157" s="13" t="str">
        <f t="shared" si="20"/>
        <v>Brazil</v>
      </c>
      <c r="F157" s="13" t="str">
        <f t="shared" si="22"/>
        <v>Biomass &amp; Waste</v>
      </c>
      <c r="G157" s="13" t="str">
        <f t="shared" si="23"/>
        <v>Asset finance investments</v>
      </c>
      <c r="H157" s="638">
        <f t="shared" si="21"/>
        <v>49.530561816540825</v>
      </c>
      <c r="I157" s="24" t="s">
        <v>87</v>
      </c>
      <c r="J157" s="25" t="s">
        <v>246</v>
      </c>
      <c r="K157" s="25" t="s">
        <v>1890</v>
      </c>
      <c r="L157" s="25" t="s">
        <v>1891</v>
      </c>
      <c r="M157" s="25" t="s">
        <v>31</v>
      </c>
      <c r="N157" s="25" t="s">
        <v>31</v>
      </c>
      <c r="O157" s="25" t="s">
        <v>92</v>
      </c>
      <c r="P157" s="25" t="s">
        <v>83</v>
      </c>
      <c r="Q157" s="25" t="s">
        <v>82</v>
      </c>
      <c r="R157" s="25" t="s">
        <v>91</v>
      </c>
      <c r="S157" s="25" t="s">
        <v>114</v>
      </c>
      <c r="T157" s="25" t="s">
        <v>114</v>
      </c>
      <c r="U157" s="25" t="s">
        <v>925</v>
      </c>
      <c r="V157" s="25" t="s">
        <v>685</v>
      </c>
      <c r="W157" s="25" t="s">
        <v>249</v>
      </c>
      <c r="X157" s="25" t="s">
        <v>1749</v>
      </c>
      <c r="Y157" s="25" t="s">
        <v>1750</v>
      </c>
      <c r="Z157" s="26">
        <v>41046</v>
      </c>
      <c r="AA157" s="776">
        <v>0</v>
      </c>
      <c r="AB157" s="776">
        <v>0</v>
      </c>
      <c r="AC157" s="776">
        <v>0</v>
      </c>
      <c r="AD157" s="776">
        <v>8333</v>
      </c>
      <c r="AE157" s="777">
        <v>48.6</v>
      </c>
      <c r="AF157" s="777">
        <v>48.6</v>
      </c>
      <c r="AG157" s="778">
        <v>49.530561816540825</v>
      </c>
    </row>
    <row r="158" spans="1:33" x14ac:dyDescent="0.2">
      <c r="A158" s="15">
        <f t="shared" si="16"/>
        <v>2006</v>
      </c>
      <c r="B158" s="14">
        <f t="shared" si="17"/>
        <v>9</v>
      </c>
      <c r="C158" s="13" t="str">
        <f t="shared" si="18"/>
        <v>Q3</v>
      </c>
      <c r="D158" s="13" t="str">
        <f t="shared" si="19"/>
        <v>2006Q3</v>
      </c>
      <c r="E158" s="13" t="str">
        <f t="shared" si="20"/>
        <v>Peru</v>
      </c>
      <c r="F158" s="13" t="str">
        <f t="shared" si="22"/>
        <v>Biofuels</v>
      </c>
      <c r="G158" s="13" t="str">
        <f t="shared" si="23"/>
        <v>Corporate finance investments</v>
      </c>
      <c r="H158" s="638">
        <f t="shared" si="21"/>
        <v>49.81391946804581</v>
      </c>
      <c r="I158" s="24" t="s">
        <v>87</v>
      </c>
      <c r="J158" s="25" t="s">
        <v>86</v>
      </c>
      <c r="K158" s="25" t="s">
        <v>100</v>
      </c>
      <c r="L158" s="25" t="s">
        <v>99</v>
      </c>
      <c r="M158" s="25" t="s">
        <v>20</v>
      </c>
      <c r="N158" s="25" t="s">
        <v>85</v>
      </c>
      <c r="O158" s="25" t="s">
        <v>92</v>
      </c>
      <c r="P158" s="25" t="s">
        <v>83</v>
      </c>
      <c r="Q158" s="25" t="s">
        <v>82</v>
      </c>
      <c r="R158" s="25"/>
      <c r="S158" s="25" t="s">
        <v>96</v>
      </c>
      <c r="T158" s="25" t="s">
        <v>96</v>
      </c>
      <c r="U158" s="25">
        <v>0</v>
      </c>
      <c r="V158" s="25">
        <v>0</v>
      </c>
      <c r="W158" s="25" t="s">
        <v>97</v>
      </c>
      <c r="X158" s="25" t="s">
        <v>1747</v>
      </c>
      <c r="Y158" s="25" t="e">
        <v>#N/A</v>
      </c>
      <c r="Z158" s="26">
        <v>38975</v>
      </c>
      <c r="AA158" s="776" t="s">
        <v>1748</v>
      </c>
      <c r="AB158" s="776" t="s">
        <v>1748</v>
      </c>
      <c r="AC158" s="776" t="s">
        <v>1748</v>
      </c>
      <c r="AD158" s="776" t="s">
        <v>1748</v>
      </c>
      <c r="AE158" s="777">
        <v>0</v>
      </c>
      <c r="AF158" s="777">
        <v>48.375</v>
      </c>
      <c r="AG158" s="778">
        <v>49.81391946804581</v>
      </c>
    </row>
    <row r="159" spans="1:33" x14ac:dyDescent="0.2">
      <c r="A159" s="15">
        <f t="shared" si="16"/>
        <v>2009</v>
      </c>
      <c r="B159" s="14">
        <f t="shared" si="17"/>
        <v>7</v>
      </c>
      <c r="C159" s="13" t="str">
        <f t="shared" si="18"/>
        <v>Q3</v>
      </c>
      <c r="D159" s="13" t="str">
        <f t="shared" si="19"/>
        <v>2009Q3</v>
      </c>
      <c r="E159" s="13" t="str">
        <f t="shared" si="20"/>
        <v>Brazil</v>
      </c>
      <c r="F159" s="13" t="str">
        <f t="shared" si="22"/>
        <v>Biofuels</v>
      </c>
      <c r="G159" s="13" t="str">
        <f t="shared" si="23"/>
        <v>Asset finance investments</v>
      </c>
      <c r="H159" s="638">
        <f t="shared" si="21"/>
        <v>48.000025861306412</v>
      </c>
      <c r="I159" s="24" t="s">
        <v>87</v>
      </c>
      <c r="J159" s="25" t="s">
        <v>246</v>
      </c>
      <c r="K159" s="25" t="s">
        <v>402</v>
      </c>
      <c r="L159" s="25" t="s">
        <v>401</v>
      </c>
      <c r="M159" s="25" t="s">
        <v>31</v>
      </c>
      <c r="N159" s="25" t="s">
        <v>31</v>
      </c>
      <c r="O159" s="25" t="s">
        <v>92</v>
      </c>
      <c r="P159" s="25" t="s">
        <v>83</v>
      </c>
      <c r="Q159" s="25" t="s">
        <v>82</v>
      </c>
      <c r="R159" s="25" t="s">
        <v>91</v>
      </c>
      <c r="S159" s="25" t="s">
        <v>96</v>
      </c>
      <c r="T159" s="25" t="s">
        <v>96</v>
      </c>
      <c r="U159" s="25" t="s">
        <v>98</v>
      </c>
      <c r="V159" s="25" t="s">
        <v>230</v>
      </c>
      <c r="W159" s="25" t="s">
        <v>245</v>
      </c>
      <c r="X159" s="25" t="s">
        <v>1752</v>
      </c>
      <c r="Y159" s="25" t="s">
        <v>1753</v>
      </c>
      <c r="Z159" s="26">
        <v>40016</v>
      </c>
      <c r="AA159" s="776">
        <v>4</v>
      </c>
      <c r="AB159" s="776">
        <v>29</v>
      </c>
      <c r="AC159" s="776">
        <v>0</v>
      </c>
      <c r="AD159" s="776">
        <v>0</v>
      </c>
      <c r="AE159" s="777">
        <v>0</v>
      </c>
      <c r="AF159" s="777">
        <v>48</v>
      </c>
      <c r="AG159" s="778">
        <v>48.000025861306412</v>
      </c>
    </row>
    <row r="160" spans="1:33" x14ac:dyDescent="0.2">
      <c r="A160" s="15">
        <f t="shared" si="16"/>
        <v>2009</v>
      </c>
      <c r="B160" s="14">
        <f t="shared" si="17"/>
        <v>11</v>
      </c>
      <c r="C160" s="13" t="str">
        <f t="shared" si="18"/>
        <v>Q4</v>
      </c>
      <c r="D160" s="13" t="str">
        <f t="shared" si="19"/>
        <v>2009Q4</v>
      </c>
      <c r="E160" s="13" t="str">
        <f t="shared" si="20"/>
        <v>Brazil</v>
      </c>
      <c r="F160" s="13" t="str">
        <f t="shared" si="22"/>
        <v>Biomass &amp; Waste</v>
      </c>
      <c r="G160" s="13" t="str">
        <f t="shared" si="23"/>
        <v>Asset finance investments</v>
      </c>
      <c r="H160" s="638">
        <f t="shared" si="21"/>
        <v>47.800025753550962</v>
      </c>
      <c r="I160" s="24" t="s">
        <v>87</v>
      </c>
      <c r="J160" s="25" t="s">
        <v>246</v>
      </c>
      <c r="K160" s="25" t="s">
        <v>407</v>
      </c>
      <c r="L160" s="25" t="s">
        <v>1892</v>
      </c>
      <c r="M160" s="25" t="s">
        <v>31</v>
      </c>
      <c r="N160" s="25" t="s">
        <v>31</v>
      </c>
      <c r="O160" s="25" t="s">
        <v>92</v>
      </c>
      <c r="P160" s="25" t="s">
        <v>83</v>
      </c>
      <c r="Q160" s="25" t="s">
        <v>82</v>
      </c>
      <c r="R160" s="25" t="s">
        <v>91</v>
      </c>
      <c r="S160" s="25" t="s">
        <v>114</v>
      </c>
      <c r="T160" s="25" t="s">
        <v>114</v>
      </c>
      <c r="U160" s="25" t="s">
        <v>113</v>
      </c>
      <c r="V160" s="25" t="s">
        <v>347</v>
      </c>
      <c r="W160" s="25" t="s">
        <v>249</v>
      </c>
      <c r="X160" s="25" t="s">
        <v>1752</v>
      </c>
      <c r="Y160" s="25" t="s">
        <v>1753</v>
      </c>
      <c r="Z160" s="26">
        <v>40122</v>
      </c>
      <c r="AA160" s="776">
        <v>33</v>
      </c>
      <c r="AB160" s="776">
        <v>0</v>
      </c>
      <c r="AC160" s="776">
        <v>0</v>
      </c>
      <c r="AD160" s="776">
        <v>0</v>
      </c>
      <c r="AE160" s="777">
        <v>47.8</v>
      </c>
      <c r="AF160" s="777">
        <v>47.8</v>
      </c>
      <c r="AG160" s="778">
        <v>47.800025753550962</v>
      </c>
    </row>
    <row r="161" spans="1:33" x14ac:dyDescent="0.2">
      <c r="A161" s="15">
        <f t="shared" si="16"/>
        <v>2008</v>
      </c>
      <c r="B161" s="14">
        <f t="shared" si="17"/>
        <v>1</v>
      </c>
      <c r="C161" s="13" t="str">
        <f t="shared" si="18"/>
        <v>Q1</v>
      </c>
      <c r="D161" s="13" t="str">
        <f t="shared" si="19"/>
        <v>2008Q1</v>
      </c>
      <c r="E161" s="13" t="str">
        <f t="shared" si="20"/>
        <v>Brazil</v>
      </c>
      <c r="F161" s="13" t="str">
        <f t="shared" si="22"/>
        <v>Biofuels</v>
      </c>
      <c r="G161" s="13" t="str">
        <f t="shared" si="23"/>
        <v>Asset finance investments</v>
      </c>
      <c r="H161" s="638">
        <f t="shared" si="21"/>
        <v>47.238451071128821</v>
      </c>
      <c r="I161" s="24" t="s">
        <v>87</v>
      </c>
      <c r="J161" s="25" t="s">
        <v>246</v>
      </c>
      <c r="K161" s="25" t="s">
        <v>1893</v>
      </c>
      <c r="L161" s="25" t="s">
        <v>1894</v>
      </c>
      <c r="M161" s="25" t="s">
        <v>31</v>
      </c>
      <c r="N161" s="25" t="s">
        <v>31</v>
      </c>
      <c r="O161" s="25" t="s">
        <v>92</v>
      </c>
      <c r="P161" s="25" t="s">
        <v>83</v>
      </c>
      <c r="Q161" s="25" t="s">
        <v>82</v>
      </c>
      <c r="R161" s="25" t="s">
        <v>91</v>
      </c>
      <c r="S161" s="25" t="s">
        <v>96</v>
      </c>
      <c r="T161" s="25" t="s">
        <v>96</v>
      </c>
      <c r="U161" s="25" t="s">
        <v>98</v>
      </c>
      <c r="V161" s="25" t="s">
        <v>230</v>
      </c>
      <c r="W161" s="25" t="s">
        <v>249</v>
      </c>
      <c r="X161" s="25" t="s">
        <v>1749</v>
      </c>
      <c r="Y161" s="25" t="s">
        <v>1750</v>
      </c>
      <c r="Z161" s="26">
        <v>39471</v>
      </c>
      <c r="AA161" s="776">
        <v>16</v>
      </c>
      <c r="AB161" s="776">
        <v>120</v>
      </c>
      <c r="AC161" s="776">
        <v>0</v>
      </c>
      <c r="AD161" s="776">
        <v>0</v>
      </c>
      <c r="AE161" s="777">
        <v>47.1</v>
      </c>
      <c r="AF161" s="777">
        <v>47.1</v>
      </c>
      <c r="AG161" s="778">
        <v>47.238451071128821</v>
      </c>
    </row>
    <row r="162" spans="1:33" x14ac:dyDescent="0.2">
      <c r="A162" s="15">
        <f t="shared" si="16"/>
        <v>2008</v>
      </c>
      <c r="B162" s="14">
        <f t="shared" si="17"/>
        <v>2</v>
      </c>
      <c r="C162" s="13" t="str">
        <f t="shared" si="18"/>
        <v>Q1</v>
      </c>
      <c r="D162" s="13" t="str">
        <f t="shared" si="19"/>
        <v>2008Q1</v>
      </c>
      <c r="E162" s="13" t="str">
        <f t="shared" si="20"/>
        <v>Chile</v>
      </c>
      <c r="F162" s="13" t="str">
        <f t="shared" si="22"/>
        <v>Small Hydro</v>
      </c>
      <c r="G162" s="13" t="str">
        <f t="shared" si="23"/>
        <v>Asset finance investments</v>
      </c>
      <c r="H162" s="638">
        <f t="shared" si="21"/>
        <v>49.706344930034007</v>
      </c>
      <c r="I162" s="24" t="s">
        <v>87</v>
      </c>
      <c r="J162" s="25" t="s">
        <v>246</v>
      </c>
      <c r="K162" s="25" t="s">
        <v>341</v>
      </c>
      <c r="L162" s="25" t="s">
        <v>340</v>
      </c>
      <c r="M162" s="25" t="s">
        <v>8</v>
      </c>
      <c r="N162" s="25" t="s">
        <v>85</v>
      </c>
      <c r="O162" s="25" t="s">
        <v>92</v>
      </c>
      <c r="P162" s="25" t="s">
        <v>83</v>
      </c>
      <c r="Q162" s="25" t="s">
        <v>129</v>
      </c>
      <c r="R162" s="25"/>
      <c r="S162" s="25" t="s">
        <v>126</v>
      </c>
      <c r="T162" s="25" t="s">
        <v>125</v>
      </c>
      <c r="U162" s="25" t="s">
        <v>247</v>
      </c>
      <c r="V162" s="25">
        <v>0</v>
      </c>
      <c r="W162" s="25" t="s">
        <v>249</v>
      </c>
      <c r="X162" s="25" t="s">
        <v>1749</v>
      </c>
      <c r="Y162" s="25" t="s">
        <v>1750</v>
      </c>
      <c r="Z162" s="26">
        <v>39507</v>
      </c>
      <c r="AA162" s="776">
        <v>76.3</v>
      </c>
      <c r="AB162" s="776">
        <v>0</v>
      </c>
      <c r="AC162" s="776">
        <v>0</v>
      </c>
      <c r="AD162" s="776">
        <v>0</v>
      </c>
      <c r="AE162" s="777">
        <v>47</v>
      </c>
      <c r="AF162" s="777">
        <v>47</v>
      </c>
      <c r="AG162" s="778">
        <v>49.706344930034007</v>
      </c>
    </row>
    <row r="163" spans="1:33" x14ac:dyDescent="0.2">
      <c r="A163" s="15">
        <f t="shared" si="16"/>
        <v>2012</v>
      </c>
      <c r="B163" s="14">
        <f t="shared" si="17"/>
        <v>3</v>
      </c>
      <c r="C163" s="13" t="str">
        <f t="shared" si="18"/>
        <v>Q1</v>
      </c>
      <c r="D163" s="13" t="str">
        <f t="shared" si="19"/>
        <v>2012Q1</v>
      </c>
      <c r="E163" s="13" t="str">
        <f t="shared" si="20"/>
        <v>Peru</v>
      </c>
      <c r="F163" s="13" t="str">
        <f t="shared" si="22"/>
        <v>Small Hydro</v>
      </c>
      <c r="G163" s="13" t="str">
        <f t="shared" si="23"/>
        <v>Asset finance investments</v>
      </c>
      <c r="H163" s="638">
        <f t="shared" si="21"/>
        <v>55.572366873424805</v>
      </c>
      <c r="I163" s="24" t="s">
        <v>87</v>
      </c>
      <c r="J163" s="25" t="s">
        <v>246</v>
      </c>
      <c r="K163" s="25" t="s">
        <v>1895</v>
      </c>
      <c r="L163" s="25" t="s">
        <v>1896</v>
      </c>
      <c r="M163" s="25" t="s">
        <v>20</v>
      </c>
      <c r="N163" s="25" t="s">
        <v>85</v>
      </c>
      <c r="O163" s="25" t="s">
        <v>92</v>
      </c>
      <c r="P163" s="25" t="s">
        <v>83</v>
      </c>
      <c r="Q163" s="25" t="s">
        <v>82</v>
      </c>
      <c r="R163" s="25"/>
      <c r="S163" s="25" t="s">
        <v>126</v>
      </c>
      <c r="T163" s="25" t="s">
        <v>125</v>
      </c>
      <c r="U163" s="25" t="s">
        <v>247</v>
      </c>
      <c r="V163" s="25">
        <v>0</v>
      </c>
      <c r="W163" s="25" t="s">
        <v>245</v>
      </c>
      <c r="X163" s="25" t="s">
        <v>1752</v>
      </c>
      <c r="Y163" s="25" t="s">
        <v>1753</v>
      </c>
      <c r="Z163" s="26">
        <v>40969</v>
      </c>
      <c r="AA163" s="776">
        <v>16.2</v>
      </c>
      <c r="AB163" s="776">
        <v>0</v>
      </c>
      <c r="AC163" s="776">
        <v>0</v>
      </c>
      <c r="AD163" s="776">
        <v>0</v>
      </c>
      <c r="AE163" s="777">
        <v>46.8</v>
      </c>
      <c r="AF163" s="777">
        <v>46.8</v>
      </c>
      <c r="AG163" s="778">
        <v>55.572366873424805</v>
      </c>
    </row>
    <row r="164" spans="1:33" x14ac:dyDescent="0.2">
      <c r="A164" s="15">
        <f t="shared" si="16"/>
        <v>2006</v>
      </c>
      <c r="B164" s="14">
        <f t="shared" si="17"/>
        <v>9</v>
      </c>
      <c r="C164" s="13" t="str">
        <f t="shared" si="18"/>
        <v>Q3</v>
      </c>
      <c r="D164" s="13" t="str">
        <f t="shared" si="19"/>
        <v>2006Q3</v>
      </c>
      <c r="E164" s="13" t="str">
        <f t="shared" si="20"/>
        <v>Brazil</v>
      </c>
      <c r="F164" s="13" t="str">
        <f t="shared" si="22"/>
        <v>Biofuels</v>
      </c>
      <c r="G164" s="13" t="str">
        <f t="shared" si="23"/>
        <v>Asset finance investments</v>
      </c>
      <c r="H164" s="638">
        <f t="shared" si="21"/>
        <v>46.72</v>
      </c>
      <c r="I164" s="24" t="s">
        <v>87</v>
      </c>
      <c r="J164" s="25" t="s">
        <v>246</v>
      </c>
      <c r="K164" s="25" t="s">
        <v>264</v>
      </c>
      <c r="L164" s="25" t="s">
        <v>263</v>
      </c>
      <c r="M164" s="25" t="s">
        <v>31</v>
      </c>
      <c r="N164" s="25" t="s">
        <v>31</v>
      </c>
      <c r="O164" s="25" t="s">
        <v>92</v>
      </c>
      <c r="P164" s="25" t="s">
        <v>83</v>
      </c>
      <c r="Q164" s="25" t="s">
        <v>82</v>
      </c>
      <c r="R164" s="25" t="s">
        <v>91</v>
      </c>
      <c r="S164" s="25" t="s">
        <v>96</v>
      </c>
      <c r="T164" s="25" t="s">
        <v>96</v>
      </c>
      <c r="U164" s="25" t="s">
        <v>98</v>
      </c>
      <c r="V164" s="25" t="s">
        <v>230</v>
      </c>
      <c r="W164" s="25" t="s">
        <v>245</v>
      </c>
      <c r="X164" s="25" t="s">
        <v>1752</v>
      </c>
      <c r="Y164" s="25" t="s">
        <v>1753</v>
      </c>
      <c r="Z164" s="26">
        <v>38990</v>
      </c>
      <c r="AA164" s="776">
        <v>12</v>
      </c>
      <c r="AB164" s="776">
        <v>64</v>
      </c>
      <c r="AC164" s="776">
        <v>0</v>
      </c>
      <c r="AD164" s="776">
        <v>0</v>
      </c>
      <c r="AE164" s="777">
        <v>0</v>
      </c>
      <c r="AF164" s="777">
        <v>46.72</v>
      </c>
      <c r="AG164" s="778">
        <v>46.72</v>
      </c>
    </row>
    <row r="165" spans="1:33" x14ac:dyDescent="0.2">
      <c r="A165" s="15">
        <f t="shared" si="16"/>
        <v>2011</v>
      </c>
      <c r="B165" s="14">
        <f t="shared" si="17"/>
        <v>10</v>
      </c>
      <c r="C165" s="13" t="str">
        <f t="shared" si="18"/>
        <v>Q4</v>
      </c>
      <c r="D165" s="13" t="str">
        <f t="shared" si="19"/>
        <v>2011Q4</v>
      </c>
      <c r="E165" s="13" t="str">
        <f t="shared" si="20"/>
        <v>Chile</v>
      </c>
      <c r="F165" s="13" t="str">
        <f t="shared" si="22"/>
        <v>Small Hydro</v>
      </c>
      <c r="G165" s="13" t="str">
        <f t="shared" si="23"/>
        <v>Corporate finance investments</v>
      </c>
      <c r="H165" s="638">
        <f t="shared" si="21"/>
        <v>46.685658632915995</v>
      </c>
      <c r="I165" s="24" t="s">
        <v>87</v>
      </c>
      <c r="J165" s="25" t="s">
        <v>86</v>
      </c>
      <c r="K165" s="25" t="s">
        <v>1897</v>
      </c>
      <c r="L165" s="25" t="s">
        <v>1898</v>
      </c>
      <c r="M165" s="25" t="s">
        <v>8</v>
      </c>
      <c r="N165" s="25" t="s">
        <v>85</v>
      </c>
      <c r="O165" s="25" t="s">
        <v>92</v>
      </c>
      <c r="P165" s="25" t="s">
        <v>83</v>
      </c>
      <c r="Q165" s="25" t="s">
        <v>129</v>
      </c>
      <c r="R165" s="25"/>
      <c r="S165" s="25" t="s">
        <v>126</v>
      </c>
      <c r="T165" s="25" t="s">
        <v>125</v>
      </c>
      <c r="U165" s="25" t="s">
        <v>247</v>
      </c>
      <c r="V165" s="25">
        <v>0</v>
      </c>
      <c r="W165" s="25" t="s">
        <v>94</v>
      </c>
      <c r="X165" s="25" t="s">
        <v>1747</v>
      </c>
      <c r="Y165" s="25" t="e">
        <v>#N/A</v>
      </c>
      <c r="Z165" s="26">
        <v>40822</v>
      </c>
      <c r="AA165" s="776" t="s">
        <v>1748</v>
      </c>
      <c r="AB165" s="776" t="s">
        <v>1748</v>
      </c>
      <c r="AC165" s="776" t="s">
        <v>1748</v>
      </c>
      <c r="AD165" s="776" t="s">
        <v>1748</v>
      </c>
      <c r="AE165" s="777">
        <v>0</v>
      </c>
      <c r="AF165" s="777">
        <v>46.371000000000002</v>
      </c>
      <c r="AG165" s="778">
        <v>46.685658632915995</v>
      </c>
    </row>
    <row r="166" spans="1:33" x14ac:dyDescent="0.2">
      <c r="A166" s="15">
        <f t="shared" si="16"/>
        <v>2008</v>
      </c>
      <c r="B166" s="14">
        <f t="shared" si="17"/>
        <v>1</v>
      </c>
      <c r="C166" s="13" t="str">
        <f t="shared" si="18"/>
        <v>Q1</v>
      </c>
      <c r="D166" s="13" t="str">
        <f t="shared" si="19"/>
        <v>2008Q1</v>
      </c>
      <c r="E166" s="13" t="str">
        <f t="shared" si="20"/>
        <v>Brazil</v>
      </c>
      <c r="F166" s="13" t="str">
        <f t="shared" si="22"/>
        <v>Wind</v>
      </c>
      <c r="G166" s="13" t="str">
        <f t="shared" si="23"/>
        <v>Corporate finance investments</v>
      </c>
      <c r="H166" s="638">
        <f t="shared" si="21"/>
        <v>48.987577582127727</v>
      </c>
      <c r="I166" s="24" t="s">
        <v>87</v>
      </c>
      <c r="J166" s="25" t="s">
        <v>86</v>
      </c>
      <c r="K166" s="25" t="s">
        <v>140</v>
      </c>
      <c r="L166" s="25" t="s">
        <v>139</v>
      </c>
      <c r="M166" s="25" t="s">
        <v>31</v>
      </c>
      <c r="N166" s="25" t="s">
        <v>31</v>
      </c>
      <c r="O166" s="25" t="s">
        <v>92</v>
      </c>
      <c r="P166" s="25" t="s">
        <v>83</v>
      </c>
      <c r="Q166" s="25" t="s">
        <v>82</v>
      </c>
      <c r="R166" s="25" t="s">
        <v>91</v>
      </c>
      <c r="S166" s="25" t="s">
        <v>101</v>
      </c>
      <c r="T166" s="25" t="s">
        <v>101</v>
      </c>
      <c r="U166" s="25" t="s">
        <v>112</v>
      </c>
      <c r="V166" s="25">
        <v>0</v>
      </c>
      <c r="W166" s="25" t="s">
        <v>94</v>
      </c>
      <c r="X166" s="25" t="s">
        <v>1747</v>
      </c>
      <c r="Y166" s="25" t="e">
        <v>#N/A</v>
      </c>
      <c r="Z166" s="26">
        <v>39454</v>
      </c>
      <c r="AA166" s="776" t="s">
        <v>1748</v>
      </c>
      <c r="AB166" s="776" t="s">
        <v>1748</v>
      </c>
      <c r="AC166" s="776" t="s">
        <v>1748</v>
      </c>
      <c r="AD166" s="776" t="s">
        <v>1748</v>
      </c>
      <c r="AE166" s="777">
        <v>0</v>
      </c>
      <c r="AF166" s="777">
        <v>46.316000000000003</v>
      </c>
      <c r="AG166" s="778">
        <v>48.987577582127727</v>
      </c>
    </row>
    <row r="167" spans="1:33" x14ac:dyDescent="0.2">
      <c r="A167" s="15">
        <f t="shared" si="16"/>
        <v>2008</v>
      </c>
      <c r="B167" s="14">
        <f t="shared" si="17"/>
        <v>11</v>
      </c>
      <c r="C167" s="13" t="str">
        <f t="shared" si="18"/>
        <v>Q4</v>
      </c>
      <c r="D167" s="13" t="str">
        <f t="shared" si="19"/>
        <v>2008Q4</v>
      </c>
      <c r="E167" s="13" t="str">
        <f t="shared" si="20"/>
        <v>Brazil</v>
      </c>
      <c r="F167" s="13" t="str">
        <f t="shared" si="22"/>
        <v>Small Hydro</v>
      </c>
      <c r="G167" s="13" t="str">
        <f t="shared" si="23"/>
        <v>Asset finance investments</v>
      </c>
      <c r="H167" s="638">
        <f t="shared" si="21"/>
        <v>47.425879404413763</v>
      </c>
      <c r="I167" s="24" t="s">
        <v>87</v>
      </c>
      <c r="J167" s="25" t="s">
        <v>246</v>
      </c>
      <c r="K167" s="25" t="s">
        <v>346</v>
      </c>
      <c r="L167" s="25" t="s">
        <v>345</v>
      </c>
      <c r="M167" s="25" t="s">
        <v>31</v>
      </c>
      <c r="N167" s="25" t="s">
        <v>31</v>
      </c>
      <c r="O167" s="25" t="s">
        <v>92</v>
      </c>
      <c r="P167" s="25" t="s">
        <v>83</v>
      </c>
      <c r="Q167" s="25" t="s">
        <v>82</v>
      </c>
      <c r="R167" s="25" t="s">
        <v>91</v>
      </c>
      <c r="S167" s="25" t="s">
        <v>126</v>
      </c>
      <c r="T167" s="25" t="s">
        <v>125</v>
      </c>
      <c r="U167" s="25" t="s">
        <v>342</v>
      </c>
      <c r="V167" s="25">
        <v>0</v>
      </c>
      <c r="W167" s="25" t="s">
        <v>245</v>
      </c>
      <c r="X167" s="25" t="s">
        <v>1752</v>
      </c>
      <c r="Y167" s="25" t="s">
        <v>1753</v>
      </c>
      <c r="Z167" s="26">
        <v>39758</v>
      </c>
      <c r="AA167" s="776">
        <v>20</v>
      </c>
      <c r="AB167" s="776">
        <v>0</v>
      </c>
      <c r="AC167" s="776">
        <v>0</v>
      </c>
      <c r="AD167" s="776">
        <v>0</v>
      </c>
      <c r="AE167" s="777">
        <v>46.3</v>
      </c>
      <c r="AF167" s="777">
        <v>46.3</v>
      </c>
      <c r="AG167" s="778">
        <v>47.425879404413763</v>
      </c>
    </row>
    <row r="168" spans="1:33" x14ac:dyDescent="0.2">
      <c r="A168" s="15">
        <f t="shared" si="16"/>
        <v>2010</v>
      </c>
      <c r="B168" s="14">
        <f t="shared" si="17"/>
        <v>1</v>
      </c>
      <c r="C168" s="13" t="str">
        <f t="shared" si="18"/>
        <v>Q1</v>
      </c>
      <c r="D168" s="13" t="str">
        <f t="shared" si="19"/>
        <v>2010Q1</v>
      </c>
      <c r="E168" s="13" t="str">
        <f t="shared" si="20"/>
        <v>Costa Rica</v>
      </c>
      <c r="F168" s="13" t="str">
        <f t="shared" si="22"/>
        <v>Wind</v>
      </c>
      <c r="G168" s="13" t="str">
        <f t="shared" si="23"/>
        <v>Corporate finance investments</v>
      </c>
      <c r="H168" s="638">
        <f t="shared" si="21"/>
        <v>45.033556084382589</v>
      </c>
      <c r="I168" s="24" t="s">
        <v>87</v>
      </c>
      <c r="J168" s="25" t="s">
        <v>86</v>
      </c>
      <c r="K168" s="25" t="s">
        <v>161</v>
      </c>
      <c r="L168" s="25" t="s">
        <v>160</v>
      </c>
      <c r="M168" s="25" t="s">
        <v>10</v>
      </c>
      <c r="N168" s="25" t="s">
        <v>85</v>
      </c>
      <c r="O168" s="25" t="s">
        <v>92</v>
      </c>
      <c r="P168" s="25" t="s">
        <v>83</v>
      </c>
      <c r="Q168" s="25" t="s">
        <v>82</v>
      </c>
      <c r="R168" s="25"/>
      <c r="S168" s="25" t="s">
        <v>101</v>
      </c>
      <c r="T168" s="25" t="s">
        <v>101</v>
      </c>
      <c r="U168" s="25" t="s">
        <v>112</v>
      </c>
      <c r="V168" s="25">
        <v>0</v>
      </c>
      <c r="W168" s="25" t="s">
        <v>94</v>
      </c>
      <c r="X168" s="25" t="s">
        <v>1747</v>
      </c>
      <c r="Y168" s="25" t="e">
        <v>#N/A</v>
      </c>
      <c r="Z168" s="26">
        <v>40197</v>
      </c>
      <c r="AA168" s="776" t="s">
        <v>1748</v>
      </c>
      <c r="AB168" s="776" t="s">
        <v>1748</v>
      </c>
      <c r="AC168" s="776" t="s">
        <v>1748</v>
      </c>
      <c r="AD168" s="776" t="s">
        <v>1748</v>
      </c>
      <c r="AE168" s="777">
        <v>0</v>
      </c>
      <c r="AF168" s="777">
        <v>45</v>
      </c>
      <c r="AG168" s="778">
        <v>45.033556084382589</v>
      </c>
    </row>
    <row r="169" spans="1:33" x14ac:dyDescent="0.2">
      <c r="A169" s="15">
        <f t="shared" si="16"/>
        <v>2009</v>
      </c>
      <c r="B169" s="14">
        <f t="shared" si="17"/>
        <v>10</v>
      </c>
      <c r="C169" s="13" t="str">
        <f t="shared" si="18"/>
        <v>Q4</v>
      </c>
      <c r="D169" s="13" t="str">
        <f t="shared" si="19"/>
        <v>2009Q4</v>
      </c>
      <c r="E169" s="13" t="str">
        <f t="shared" si="20"/>
        <v>Mexico</v>
      </c>
      <c r="F169" s="13" t="str">
        <f t="shared" si="22"/>
        <v>Wind</v>
      </c>
      <c r="G169" s="13" t="str">
        <f t="shared" si="23"/>
        <v>Asset finance investments</v>
      </c>
      <c r="H169" s="638">
        <f t="shared" si="21"/>
        <v>44.343201345817661</v>
      </c>
      <c r="I169" s="24" t="s">
        <v>87</v>
      </c>
      <c r="J169" s="25" t="s">
        <v>246</v>
      </c>
      <c r="K169" s="25" t="s">
        <v>406</v>
      </c>
      <c r="L169" s="25" t="s">
        <v>405</v>
      </c>
      <c r="M169" s="25" t="s">
        <v>18</v>
      </c>
      <c r="N169" s="25" t="s">
        <v>85</v>
      </c>
      <c r="O169" s="25" t="s">
        <v>92</v>
      </c>
      <c r="P169" s="25" t="s">
        <v>83</v>
      </c>
      <c r="Q169" s="25" t="s">
        <v>129</v>
      </c>
      <c r="R169" s="25"/>
      <c r="S169" s="25" t="s">
        <v>101</v>
      </c>
      <c r="T169" s="25" t="s">
        <v>101</v>
      </c>
      <c r="U169" s="25" t="s">
        <v>112</v>
      </c>
      <c r="V169" s="25">
        <v>0</v>
      </c>
      <c r="W169" s="25" t="s">
        <v>249</v>
      </c>
      <c r="X169" s="25" t="s">
        <v>1771</v>
      </c>
      <c r="Y169" s="25" t="s">
        <v>1750</v>
      </c>
      <c r="Z169" s="26">
        <v>40116</v>
      </c>
      <c r="AA169" s="776">
        <v>102</v>
      </c>
      <c r="AB169" s="776">
        <v>0</v>
      </c>
      <c r="AC169" s="776">
        <v>0</v>
      </c>
      <c r="AD169" s="776">
        <v>0</v>
      </c>
      <c r="AE169" s="777">
        <v>44.3</v>
      </c>
      <c r="AF169" s="777">
        <v>44.3</v>
      </c>
      <c r="AG169" s="778">
        <v>44.343201345817661</v>
      </c>
    </row>
    <row r="170" spans="1:33" x14ac:dyDescent="0.2">
      <c r="A170" s="15">
        <f t="shared" si="16"/>
        <v>2007</v>
      </c>
      <c r="B170" s="14">
        <f t="shared" si="17"/>
        <v>10</v>
      </c>
      <c r="C170" s="13" t="str">
        <f t="shared" si="18"/>
        <v>Q4</v>
      </c>
      <c r="D170" s="13" t="str">
        <f t="shared" si="19"/>
        <v>2007Q4</v>
      </c>
      <c r="E170" s="13" t="str">
        <f t="shared" si="20"/>
        <v>Brazil</v>
      </c>
      <c r="F170" s="13" t="str">
        <f t="shared" si="22"/>
        <v>Biofuels</v>
      </c>
      <c r="G170" s="13" t="str">
        <f t="shared" si="23"/>
        <v>Corporate finance investments</v>
      </c>
      <c r="H170" s="638">
        <f t="shared" si="21"/>
        <v>46.825148103060592</v>
      </c>
      <c r="I170" s="24" t="s">
        <v>87</v>
      </c>
      <c r="J170" s="25" t="s">
        <v>86</v>
      </c>
      <c r="K170" s="25" t="s">
        <v>122</v>
      </c>
      <c r="L170" s="25" t="s">
        <v>121</v>
      </c>
      <c r="M170" s="25" t="s">
        <v>31</v>
      </c>
      <c r="N170" s="25" t="s">
        <v>31</v>
      </c>
      <c r="O170" s="25" t="s">
        <v>92</v>
      </c>
      <c r="P170" s="25" t="s">
        <v>83</v>
      </c>
      <c r="Q170" s="25" t="s">
        <v>82</v>
      </c>
      <c r="R170" s="25" t="s">
        <v>91</v>
      </c>
      <c r="S170" s="25" t="s">
        <v>96</v>
      </c>
      <c r="T170" s="25" t="s">
        <v>96</v>
      </c>
      <c r="U170" s="25" t="s">
        <v>98</v>
      </c>
      <c r="V170" s="25">
        <v>0</v>
      </c>
      <c r="W170" s="25" t="s">
        <v>97</v>
      </c>
      <c r="X170" s="25" t="s">
        <v>1747</v>
      </c>
      <c r="Y170" s="25" t="e">
        <v>#N/A</v>
      </c>
      <c r="Z170" s="26">
        <v>39364</v>
      </c>
      <c r="AA170" s="776" t="s">
        <v>1748</v>
      </c>
      <c r="AB170" s="776" t="s">
        <v>1748</v>
      </c>
      <c r="AC170" s="776" t="s">
        <v>1748</v>
      </c>
      <c r="AD170" s="776" t="s">
        <v>1748</v>
      </c>
      <c r="AE170" s="777">
        <v>0</v>
      </c>
      <c r="AF170" s="777">
        <v>43.581000000000003</v>
      </c>
      <c r="AG170" s="778">
        <v>46.825148103060592</v>
      </c>
    </row>
    <row r="171" spans="1:33" x14ac:dyDescent="0.2">
      <c r="A171" s="15">
        <f t="shared" si="16"/>
        <v>2007</v>
      </c>
      <c r="B171" s="14">
        <f t="shared" si="17"/>
        <v>8</v>
      </c>
      <c r="C171" s="13" t="str">
        <f t="shared" si="18"/>
        <v>Q3</v>
      </c>
      <c r="D171" s="13" t="str">
        <f t="shared" si="19"/>
        <v>2007Q3</v>
      </c>
      <c r="E171" s="13" t="str">
        <f t="shared" si="20"/>
        <v>Argentina</v>
      </c>
      <c r="F171" s="13" t="str">
        <f t="shared" si="22"/>
        <v>Biofuels</v>
      </c>
      <c r="G171" s="13" t="str">
        <f t="shared" si="23"/>
        <v>Corporate finance investments</v>
      </c>
      <c r="H171" s="638">
        <f t="shared" si="21"/>
        <v>46.567952188261103</v>
      </c>
      <c r="I171" s="24" t="s">
        <v>87</v>
      </c>
      <c r="J171" s="25" t="s">
        <v>86</v>
      </c>
      <c r="K171" s="25" t="s">
        <v>120</v>
      </c>
      <c r="L171" s="25" t="s">
        <v>119</v>
      </c>
      <c r="M171" s="25" t="s">
        <v>4</v>
      </c>
      <c r="N171" s="25" t="s">
        <v>85</v>
      </c>
      <c r="O171" s="25" t="s">
        <v>92</v>
      </c>
      <c r="P171" s="25" t="s">
        <v>83</v>
      </c>
      <c r="Q171" s="25" t="s">
        <v>82</v>
      </c>
      <c r="R171" s="25"/>
      <c r="S171" s="25" t="s">
        <v>96</v>
      </c>
      <c r="T171" s="25" t="s">
        <v>96</v>
      </c>
      <c r="U171" s="25">
        <v>0</v>
      </c>
      <c r="V171" s="25">
        <v>0</v>
      </c>
      <c r="W171" s="25" t="s">
        <v>97</v>
      </c>
      <c r="X171" s="25" t="s">
        <v>1747</v>
      </c>
      <c r="Y171" s="25" t="e">
        <v>#N/A</v>
      </c>
      <c r="Z171" s="26">
        <v>39311</v>
      </c>
      <c r="AA171" s="776" t="s">
        <v>1748</v>
      </c>
      <c r="AB171" s="776" t="s">
        <v>1748</v>
      </c>
      <c r="AC171" s="776" t="s">
        <v>1748</v>
      </c>
      <c r="AD171" s="776" t="s">
        <v>1748</v>
      </c>
      <c r="AE171" s="777">
        <v>0</v>
      </c>
      <c r="AF171" s="777">
        <v>43.581000000000003</v>
      </c>
      <c r="AG171" s="778">
        <v>46.567952188261103</v>
      </c>
    </row>
    <row r="172" spans="1:33" x14ac:dyDescent="0.2">
      <c r="A172" s="15">
        <f t="shared" si="16"/>
        <v>2008</v>
      </c>
      <c r="B172" s="14">
        <f t="shared" si="17"/>
        <v>10</v>
      </c>
      <c r="C172" s="13" t="str">
        <f t="shared" si="18"/>
        <v>Q4</v>
      </c>
      <c r="D172" s="13" t="str">
        <f t="shared" si="19"/>
        <v>2008Q4</v>
      </c>
      <c r="E172" s="13" t="str">
        <f t="shared" si="20"/>
        <v>Belize</v>
      </c>
      <c r="F172" s="13" t="str">
        <f t="shared" si="22"/>
        <v>Biofuels</v>
      </c>
      <c r="G172" s="13" t="str">
        <f t="shared" si="23"/>
        <v>Corporate finance investments</v>
      </c>
      <c r="H172" s="638">
        <f t="shared" si="21"/>
        <v>62.49516694573628</v>
      </c>
      <c r="I172" s="24" t="s">
        <v>87</v>
      </c>
      <c r="J172" s="25" t="s">
        <v>86</v>
      </c>
      <c r="K172" s="25" t="s">
        <v>145</v>
      </c>
      <c r="L172" s="25" t="s">
        <v>144</v>
      </c>
      <c r="M172" s="25" t="s">
        <v>143</v>
      </c>
      <c r="N172" s="25" t="s">
        <v>85</v>
      </c>
      <c r="O172" s="25" t="s">
        <v>92</v>
      </c>
      <c r="P172" s="25" t="s">
        <v>83</v>
      </c>
      <c r="Q172" s="25" t="s">
        <v>82</v>
      </c>
      <c r="R172" s="25"/>
      <c r="S172" s="25" t="s">
        <v>96</v>
      </c>
      <c r="T172" s="25" t="s">
        <v>96</v>
      </c>
      <c r="U172" s="25">
        <v>0</v>
      </c>
      <c r="V172" s="25">
        <v>0</v>
      </c>
      <c r="W172" s="25" t="s">
        <v>97</v>
      </c>
      <c r="X172" s="25" t="s">
        <v>1747</v>
      </c>
      <c r="Y172" s="25" t="e">
        <v>#N/A</v>
      </c>
      <c r="Z172" s="26">
        <v>39751</v>
      </c>
      <c r="AA172" s="776" t="s">
        <v>1748</v>
      </c>
      <c r="AB172" s="776" t="s">
        <v>1748</v>
      </c>
      <c r="AC172" s="776" t="s">
        <v>1748</v>
      </c>
      <c r="AD172" s="776" t="s">
        <v>1748</v>
      </c>
      <c r="AE172" s="777">
        <v>0</v>
      </c>
      <c r="AF172" s="777">
        <v>43.581000000000003</v>
      </c>
      <c r="AG172" s="778">
        <v>62.49516694573628</v>
      </c>
    </row>
    <row r="173" spans="1:33" x14ac:dyDescent="0.2">
      <c r="A173" s="15">
        <f t="shared" si="16"/>
        <v>2007</v>
      </c>
      <c r="B173" s="14">
        <f t="shared" si="17"/>
        <v>11</v>
      </c>
      <c r="C173" s="13" t="str">
        <f t="shared" si="18"/>
        <v>Q4</v>
      </c>
      <c r="D173" s="13" t="str">
        <f t="shared" si="19"/>
        <v>2007Q4</v>
      </c>
      <c r="E173" s="13" t="str">
        <f t="shared" si="20"/>
        <v>Peru</v>
      </c>
      <c r="F173" s="13" t="str">
        <f t="shared" si="22"/>
        <v>Biofuels</v>
      </c>
      <c r="G173" s="13" t="str">
        <f t="shared" si="23"/>
        <v>Corporate finance investments</v>
      </c>
      <c r="H173" s="638">
        <f t="shared" si="21"/>
        <v>57.537439069455331</v>
      </c>
      <c r="I173" s="24" t="s">
        <v>87</v>
      </c>
      <c r="J173" s="25" t="s">
        <v>86</v>
      </c>
      <c r="K173" s="25" t="s">
        <v>118</v>
      </c>
      <c r="L173" s="25" t="s">
        <v>117</v>
      </c>
      <c r="M173" s="25" t="s">
        <v>20</v>
      </c>
      <c r="N173" s="25" t="s">
        <v>85</v>
      </c>
      <c r="O173" s="25" t="s">
        <v>92</v>
      </c>
      <c r="P173" s="25" t="s">
        <v>83</v>
      </c>
      <c r="Q173" s="25" t="s">
        <v>82</v>
      </c>
      <c r="R173" s="25"/>
      <c r="S173" s="25" t="s">
        <v>96</v>
      </c>
      <c r="T173" s="25" t="s">
        <v>96</v>
      </c>
      <c r="U173" s="25" t="s">
        <v>98</v>
      </c>
      <c r="V173" s="25">
        <v>0</v>
      </c>
      <c r="W173" s="25" t="s">
        <v>97</v>
      </c>
      <c r="X173" s="25" t="s">
        <v>1899</v>
      </c>
      <c r="Y173" s="25" t="e">
        <v>#N/A</v>
      </c>
      <c r="Z173" s="26">
        <v>39405</v>
      </c>
      <c r="AA173" s="776" t="s">
        <v>1748</v>
      </c>
      <c r="AB173" s="776" t="s">
        <v>1748</v>
      </c>
      <c r="AC173" s="776" t="s">
        <v>1748</v>
      </c>
      <c r="AD173" s="776" t="s">
        <v>1748</v>
      </c>
      <c r="AE173" s="777">
        <v>0</v>
      </c>
      <c r="AF173" s="777">
        <v>43.581000000000003</v>
      </c>
      <c r="AG173" s="778">
        <v>57.537439069455331</v>
      </c>
    </row>
    <row r="174" spans="1:33" x14ac:dyDescent="0.2">
      <c r="A174" s="15">
        <f t="shared" si="16"/>
        <v>2009</v>
      </c>
      <c r="B174" s="14">
        <f t="shared" si="17"/>
        <v>5</v>
      </c>
      <c r="C174" s="13" t="str">
        <f t="shared" si="18"/>
        <v>Q2</v>
      </c>
      <c r="D174" s="13" t="str">
        <f t="shared" si="19"/>
        <v>2009Q2</v>
      </c>
      <c r="E174" s="13" t="str">
        <f t="shared" si="20"/>
        <v>Guatemala</v>
      </c>
      <c r="F174" s="13" t="str">
        <f t="shared" si="22"/>
        <v>Geothermal</v>
      </c>
      <c r="G174" s="13" t="str">
        <f t="shared" si="23"/>
        <v>Asset finance investments</v>
      </c>
      <c r="H174" s="638">
        <f t="shared" si="21"/>
        <v>45.586850561143251</v>
      </c>
      <c r="I174" s="24" t="s">
        <v>87</v>
      </c>
      <c r="J174" s="25" t="s">
        <v>246</v>
      </c>
      <c r="K174" s="25" t="s">
        <v>400</v>
      </c>
      <c r="L174" s="25" t="s">
        <v>399</v>
      </c>
      <c r="M174" s="25" t="s">
        <v>13</v>
      </c>
      <c r="N174" s="25" t="s">
        <v>85</v>
      </c>
      <c r="O174" s="25" t="s">
        <v>92</v>
      </c>
      <c r="P174" s="25" t="s">
        <v>83</v>
      </c>
      <c r="Q174" s="25" t="s">
        <v>82</v>
      </c>
      <c r="R174" s="25"/>
      <c r="S174" s="25" t="s">
        <v>157</v>
      </c>
      <c r="T174" s="25" t="s">
        <v>157</v>
      </c>
      <c r="U174" s="25" t="s">
        <v>156</v>
      </c>
      <c r="V174" s="25">
        <v>0</v>
      </c>
      <c r="W174" s="25" t="s">
        <v>249</v>
      </c>
      <c r="X174" s="25" t="s">
        <v>1749</v>
      </c>
      <c r="Y174" s="25" t="s">
        <v>1750</v>
      </c>
      <c r="Z174" s="26">
        <v>39954</v>
      </c>
      <c r="AA174" s="776">
        <v>25.2</v>
      </c>
      <c r="AB174" s="776">
        <v>0</v>
      </c>
      <c r="AC174" s="776">
        <v>0</v>
      </c>
      <c r="AD174" s="776">
        <v>0</v>
      </c>
      <c r="AE174" s="777">
        <v>42</v>
      </c>
      <c r="AF174" s="777">
        <v>42</v>
      </c>
      <c r="AG174" s="778">
        <v>45.586850561143251</v>
      </c>
    </row>
    <row r="175" spans="1:33" x14ac:dyDescent="0.2">
      <c r="A175" s="15">
        <f t="shared" si="16"/>
        <v>2012</v>
      </c>
      <c r="B175" s="14">
        <f t="shared" si="17"/>
        <v>11</v>
      </c>
      <c r="C175" s="13" t="str">
        <f t="shared" si="18"/>
        <v>Q4</v>
      </c>
      <c r="D175" s="13" t="str">
        <f t="shared" si="19"/>
        <v>2012Q4</v>
      </c>
      <c r="E175" s="13" t="str">
        <f t="shared" si="20"/>
        <v>Brazil</v>
      </c>
      <c r="F175" s="13" t="str">
        <f t="shared" si="22"/>
        <v>Wind</v>
      </c>
      <c r="G175" s="13" t="str">
        <f t="shared" si="23"/>
        <v>Asset finance investments</v>
      </c>
      <c r="H175" s="638">
        <f t="shared" si="21"/>
        <v>58.020762285705473</v>
      </c>
      <c r="I175" s="24" t="s">
        <v>87</v>
      </c>
      <c r="J175" s="25" t="s">
        <v>246</v>
      </c>
      <c r="K175" s="25" t="s">
        <v>1900</v>
      </c>
      <c r="L175" s="25" t="s">
        <v>1901</v>
      </c>
      <c r="M175" s="25" t="s">
        <v>31</v>
      </c>
      <c r="N175" s="25" t="s">
        <v>31</v>
      </c>
      <c r="O175" s="25" t="s">
        <v>92</v>
      </c>
      <c r="P175" s="25" t="s">
        <v>83</v>
      </c>
      <c r="Q175" s="25" t="s">
        <v>82</v>
      </c>
      <c r="R175" s="25" t="s">
        <v>91</v>
      </c>
      <c r="S175" s="25" t="s">
        <v>101</v>
      </c>
      <c r="T175" s="25" t="s">
        <v>101</v>
      </c>
      <c r="U175" s="25" t="s">
        <v>112</v>
      </c>
      <c r="V175" s="25">
        <v>0</v>
      </c>
      <c r="W175" s="25" t="s">
        <v>249</v>
      </c>
      <c r="X175" s="25" t="s">
        <v>1814</v>
      </c>
      <c r="Y175" s="25" t="s">
        <v>1750</v>
      </c>
      <c r="Z175" s="26">
        <v>41234</v>
      </c>
      <c r="AA175" s="776">
        <v>88</v>
      </c>
      <c r="AB175" s="776">
        <v>0</v>
      </c>
      <c r="AC175" s="776">
        <v>0</v>
      </c>
      <c r="AD175" s="776">
        <v>0</v>
      </c>
      <c r="AE175" s="777">
        <v>42</v>
      </c>
      <c r="AF175" s="777">
        <v>42</v>
      </c>
      <c r="AG175" s="778">
        <v>58.020762285705473</v>
      </c>
    </row>
    <row r="176" spans="1:33" x14ac:dyDescent="0.2">
      <c r="A176" s="15">
        <f t="shared" si="16"/>
        <v>2010</v>
      </c>
      <c r="B176" s="14">
        <f t="shared" si="17"/>
        <v>5</v>
      </c>
      <c r="C176" s="13" t="str">
        <f t="shared" si="18"/>
        <v>Q2</v>
      </c>
      <c r="D176" s="13" t="str">
        <f t="shared" si="19"/>
        <v>2010Q2</v>
      </c>
      <c r="E176" s="13" t="str">
        <f t="shared" si="20"/>
        <v>Brazil</v>
      </c>
      <c r="F176" s="13" t="str">
        <f t="shared" si="22"/>
        <v>Biofuels</v>
      </c>
      <c r="G176" s="13" t="str">
        <f t="shared" si="23"/>
        <v>Asset finance investments</v>
      </c>
      <c r="H176" s="638">
        <f t="shared" si="21"/>
        <v>41.030573321326358</v>
      </c>
      <c r="I176" s="24" t="s">
        <v>87</v>
      </c>
      <c r="J176" s="25" t="s">
        <v>246</v>
      </c>
      <c r="K176" s="25" t="s">
        <v>1902</v>
      </c>
      <c r="L176" s="25" t="s">
        <v>1903</v>
      </c>
      <c r="M176" s="25" t="s">
        <v>31</v>
      </c>
      <c r="N176" s="25" t="s">
        <v>31</v>
      </c>
      <c r="O176" s="25" t="s">
        <v>92</v>
      </c>
      <c r="P176" s="25" t="s">
        <v>83</v>
      </c>
      <c r="Q176" s="25" t="s">
        <v>82</v>
      </c>
      <c r="R176" s="25" t="s">
        <v>91</v>
      </c>
      <c r="S176" s="25" t="s">
        <v>96</v>
      </c>
      <c r="T176" s="25" t="s">
        <v>96</v>
      </c>
      <c r="U176" s="25" t="s">
        <v>95</v>
      </c>
      <c r="V176" s="25" t="s">
        <v>223</v>
      </c>
      <c r="W176" s="25" t="s">
        <v>249</v>
      </c>
      <c r="X176" s="25" t="s">
        <v>1749</v>
      </c>
      <c r="Y176" s="25" t="s">
        <v>1750</v>
      </c>
      <c r="Z176" s="26">
        <v>40311</v>
      </c>
      <c r="AA176" s="776">
        <v>0</v>
      </c>
      <c r="AB176" s="776">
        <v>315</v>
      </c>
      <c r="AC176" s="776">
        <v>0</v>
      </c>
      <c r="AD176" s="776">
        <v>0</v>
      </c>
      <c r="AE176" s="777">
        <v>41</v>
      </c>
      <c r="AF176" s="777">
        <v>41</v>
      </c>
      <c r="AG176" s="778">
        <v>41.030573321326358</v>
      </c>
    </row>
    <row r="177" spans="1:33" x14ac:dyDescent="0.2">
      <c r="A177" s="15">
        <f t="shared" si="16"/>
        <v>2009</v>
      </c>
      <c r="B177" s="14">
        <f t="shared" si="17"/>
        <v>6</v>
      </c>
      <c r="C177" s="13" t="str">
        <f t="shared" si="18"/>
        <v>Q2</v>
      </c>
      <c r="D177" s="13" t="str">
        <f t="shared" si="19"/>
        <v>2009Q2</v>
      </c>
      <c r="E177" s="13" t="str">
        <f t="shared" si="20"/>
        <v>Brazil</v>
      </c>
      <c r="F177" s="13" t="str">
        <f t="shared" si="22"/>
        <v>Biofuels</v>
      </c>
      <c r="G177" s="13" t="str">
        <f t="shared" si="23"/>
        <v>Asset finance investments</v>
      </c>
      <c r="H177" s="638">
        <f t="shared" si="21"/>
        <v>40.100021604966393</v>
      </c>
      <c r="I177" s="24" t="s">
        <v>87</v>
      </c>
      <c r="J177" s="25" t="s">
        <v>246</v>
      </c>
      <c r="K177" s="25" t="s">
        <v>1904</v>
      </c>
      <c r="L177" s="25" t="s">
        <v>1905</v>
      </c>
      <c r="M177" s="25" t="s">
        <v>31</v>
      </c>
      <c r="N177" s="25" t="s">
        <v>31</v>
      </c>
      <c r="O177" s="25" t="s">
        <v>92</v>
      </c>
      <c r="P177" s="25" t="s">
        <v>83</v>
      </c>
      <c r="Q177" s="25" t="s">
        <v>82</v>
      </c>
      <c r="R177" s="25" t="s">
        <v>91</v>
      </c>
      <c r="S177" s="25" t="s">
        <v>96</v>
      </c>
      <c r="T177" s="25" t="s">
        <v>96</v>
      </c>
      <c r="U177" s="25" t="s">
        <v>95</v>
      </c>
      <c r="V177" s="25" t="s">
        <v>223</v>
      </c>
      <c r="W177" s="25" t="s">
        <v>249</v>
      </c>
      <c r="X177" s="25" t="s">
        <v>1752</v>
      </c>
      <c r="Y177" s="25" t="s">
        <v>1753</v>
      </c>
      <c r="Z177" s="26">
        <v>39994</v>
      </c>
      <c r="AA177" s="776">
        <v>0</v>
      </c>
      <c r="AB177" s="776">
        <v>159</v>
      </c>
      <c r="AC177" s="776">
        <v>0</v>
      </c>
      <c r="AD177" s="776">
        <v>0</v>
      </c>
      <c r="AE177" s="777">
        <v>40.1</v>
      </c>
      <c r="AF177" s="777">
        <v>40.1</v>
      </c>
      <c r="AG177" s="778">
        <v>40.100021604966393</v>
      </c>
    </row>
    <row r="178" spans="1:33" x14ac:dyDescent="0.2">
      <c r="A178" s="15">
        <f t="shared" si="16"/>
        <v>2008</v>
      </c>
      <c r="B178" s="14">
        <f t="shared" si="17"/>
        <v>2</v>
      </c>
      <c r="C178" s="13" t="str">
        <f t="shared" si="18"/>
        <v>Q1</v>
      </c>
      <c r="D178" s="13" t="str">
        <f t="shared" si="19"/>
        <v>2008Q1</v>
      </c>
      <c r="E178" s="13" t="str">
        <f t="shared" si="20"/>
        <v>Brazil</v>
      </c>
      <c r="F178" s="13" t="str">
        <f t="shared" si="22"/>
        <v>Other Clean Energy</v>
      </c>
      <c r="G178" s="13" t="str">
        <f t="shared" si="23"/>
        <v>VC/PE investments</v>
      </c>
      <c r="H178" s="638">
        <f t="shared" si="21"/>
        <v>47.667709182773038</v>
      </c>
      <c r="I178" s="24" t="s">
        <v>87</v>
      </c>
      <c r="J178" s="25" t="s">
        <v>216</v>
      </c>
      <c r="K178" s="25" t="s">
        <v>222</v>
      </c>
      <c r="L178" s="25" t="s">
        <v>221</v>
      </c>
      <c r="M178" s="25" t="s">
        <v>31</v>
      </c>
      <c r="N178" s="25" t="s">
        <v>31</v>
      </c>
      <c r="O178" s="25" t="s">
        <v>92</v>
      </c>
      <c r="P178" s="25" t="s">
        <v>83</v>
      </c>
      <c r="Q178" s="25" t="s">
        <v>82</v>
      </c>
      <c r="R178" s="25" t="s">
        <v>91</v>
      </c>
      <c r="S178" s="25" t="s">
        <v>220</v>
      </c>
      <c r="T178" s="25" t="s">
        <v>1873</v>
      </c>
      <c r="U178" s="25" t="s">
        <v>219</v>
      </c>
      <c r="V178" s="25">
        <v>0</v>
      </c>
      <c r="W178" s="25" t="s">
        <v>88</v>
      </c>
      <c r="X178" s="25" t="s">
        <v>213</v>
      </c>
      <c r="Y178" s="25" t="s">
        <v>212</v>
      </c>
      <c r="Z178" s="26">
        <v>39507</v>
      </c>
      <c r="AA178" s="776" t="s">
        <v>1748</v>
      </c>
      <c r="AB178" s="776" t="s">
        <v>1748</v>
      </c>
      <c r="AC178" s="776" t="s">
        <v>1748</v>
      </c>
      <c r="AD178" s="776" t="s">
        <v>1748</v>
      </c>
      <c r="AE178" s="777">
        <v>40</v>
      </c>
      <c r="AF178" s="777">
        <v>40</v>
      </c>
      <c r="AG178" s="778">
        <v>47.667709182773038</v>
      </c>
    </row>
    <row r="179" spans="1:33" x14ac:dyDescent="0.2">
      <c r="A179" s="15">
        <f t="shared" si="16"/>
        <v>2012</v>
      </c>
      <c r="B179" s="14">
        <f t="shared" si="17"/>
        <v>11</v>
      </c>
      <c r="C179" s="13" t="str">
        <f t="shared" si="18"/>
        <v>Q4</v>
      </c>
      <c r="D179" s="13" t="str">
        <f t="shared" si="19"/>
        <v>2012Q4</v>
      </c>
      <c r="E179" s="13" t="str">
        <f t="shared" si="20"/>
        <v>Brazil</v>
      </c>
      <c r="F179" s="13" t="str">
        <f t="shared" si="22"/>
        <v>Biofuels</v>
      </c>
      <c r="G179" s="13" t="str">
        <f t="shared" si="23"/>
        <v>Asset finance investments</v>
      </c>
      <c r="H179" s="638">
        <f t="shared" si="21"/>
        <v>53.760094367482232</v>
      </c>
      <c r="I179" s="24" t="s">
        <v>87</v>
      </c>
      <c r="J179" s="25" t="s">
        <v>246</v>
      </c>
      <c r="K179" s="25" t="s">
        <v>1906</v>
      </c>
      <c r="L179" s="25" t="s">
        <v>1907</v>
      </c>
      <c r="M179" s="25" t="s">
        <v>31</v>
      </c>
      <c r="N179" s="25" t="s">
        <v>31</v>
      </c>
      <c r="O179" s="25" t="s">
        <v>92</v>
      </c>
      <c r="P179" s="25" t="s">
        <v>83</v>
      </c>
      <c r="Q179" s="25" t="s">
        <v>82</v>
      </c>
      <c r="R179" s="25" t="s">
        <v>91</v>
      </c>
      <c r="S179" s="25" t="s">
        <v>96</v>
      </c>
      <c r="T179" s="25" t="s">
        <v>96</v>
      </c>
      <c r="U179" s="25" t="s">
        <v>95</v>
      </c>
      <c r="V179" s="25" t="s">
        <v>223</v>
      </c>
      <c r="W179" s="25" t="s">
        <v>245</v>
      </c>
      <c r="X179" s="25" t="s">
        <v>1752</v>
      </c>
      <c r="Y179" s="25" t="s">
        <v>1753</v>
      </c>
      <c r="Z179" s="26">
        <v>41214</v>
      </c>
      <c r="AA179" s="776">
        <v>0</v>
      </c>
      <c r="AB179" s="776">
        <v>129.6</v>
      </c>
      <c r="AC179" s="776">
        <v>0</v>
      </c>
      <c r="AD179" s="776">
        <v>0</v>
      </c>
      <c r="AE179" s="777">
        <v>0</v>
      </c>
      <c r="AF179" s="777">
        <v>38.880000000000003</v>
      </c>
      <c r="AG179" s="778">
        <v>53.760094367482232</v>
      </c>
    </row>
    <row r="180" spans="1:33" x14ac:dyDescent="0.2">
      <c r="A180" s="15">
        <f t="shared" si="16"/>
        <v>2007</v>
      </c>
      <c r="B180" s="14">
        <f t="shared" si="17"/>
        <v>8</v>
      </c>
      <c r="C180" s="13" t="str">
        <f t="shared" si="18"/>
        <v>Q3</v>
      </c>
      <c r="D180" s="13" t="str">
        <f t="shared" si="19"/>
        <v>2007Q3</v>
      </c>
      <c r="E180" s="13" t="str">
        <f t="shared" si="20"/>
        <v>Brazil</v>
      </c>
      <c r="F180" s="13" t="str">
        <f t="shared" si="22"/>
        <v>Biofuels</v>
      </c>
      <c r="G180" s="13" t="str">
        <f t="shared" si="23"/>
        <v>Asset finance investments</v>
      </c>
      <c r="H180" s="638">
        <f t="shared" si="21"/>
        <v>43.40227264481036</v>
      </c>
      <c r="I180" s="24" t="s">
        <v>87</v>
      </c>
      <c r="J180" s="25" t="s">
        <v>246</v>
      </c>
      <c r="K180" s="25" t="s">
        <v>293</v>
      </c>
      <c r="L180" s="25" t="s">
        <v>292</v>
      </c>
      <c r="M180" s="25" t="s">
        <v>31</v>
      </c>
      <c r="N180" s="25" t="s">
        <v>31</v>
      </c>
      <c r="O180" s="25" t="s">
        <v>92</v>
      </c>
      <c r="P180" s="25" t="s">
        <v>83</v>
      </c>
      <c r="Q180" s="25" t="s">
        <v>82</v>
      </c>
      <c r="R180" s="25" t="s">
        <v>91</v>
      </c>
      <c r="S180" s="25" t="s">
        <v>96</v>
      </c>
      <c r="T180" s="25" t="s">
        <v>96</v>
      </c>
      <c r="U180" s="25" t="s">
        <v>98</v>
      </c>
      <c r="V180" s="25" t="s">
        <v>230</v>
      </c>
      <c r="W180" s="25" t="s">
        <v>245</v>
      </c>
      <c r="X180" s="25" t="s">
        <v>1752</v>
      </c>
      <c r="Y180" s="25" t="s">
        <v>1753</v>
      </c>
      <c r="Z180" s="26">
        <v>39325</v>
      </c>
      <c r="AA180" s="776">
        <v>100</v>
      </c>
      <c r="AB180" s="776">
        <v>84</v>
      </c>
      <c r="AC180" s="776">
        <v>0</v>
      </c>
      <c r="AD180" s="776">
        <v>0</v>
      </c>
      <c r="AE180" s="777">
        <v>0</v>
      </c>
      <c r="AF180" s="777">
        <v>38.304000000000002</v>
      </c>
      <c r="AG180" s="778">
        <v>43.40227264481036</v>
      </c>
    </row>
    <row r="181" spans="1:33" x14ac:dyDescent="0.2">
      <c r="A181" s="15">
        <f t="shared" si="16"/>
        <v>2009</v>
      </c>
      <c r="B181" s="14">
        <f t="shared" si="17"/>
        <v>5</v>
      </c>
      <c r="C181" s="13" t="str">
        <f t="shared" si="18"/>
        <v>Q2</v>
      </c>
      <c r="D181" s="13" t="str">
        <f t="shared" si="19"/>
        <v>2009Q2</v>
      </c>
      <c r="E181" s="13" t="str">
        <f t="shared" si="20"/>
        <v>Brazil</v>
      </c>
      <c r="F181" s="13" t="str">
        <f t="shared" si="22"/>
        <v>Wind</v>
      </c>
      <c r="G181" s="13" t="str">
        <f t="shared" si="23"/>
        <v>Asset finance investments</v>
      </c>
      <c r="H181" s="638">
        <f t="shared" si="21"/>
        <v>37.700020311901078</v>
      </c>
      <c r="I181" s="24" t="s">
        <v>87</v>
      </c>
      <c r="J181" s="25" t="s">
        <v>246</v>
      </c>
      <c r="K181" s="25" t="s">
        <v>398</v>
      </c>
      <c r="L181" s="25" t="s">
        <v>397</v>
      </c>
      <c r="M181" s="25" t="s">
        <v>31</v>
      </c>
      <c r="N181" s="25" t="s">
        <v>31</v>
      </c>
      <c r="O181" s="25" t="s">
        <v>92</v>
      </c>
      <c r="P181" s="25" t="s">
        <v>83</v>
      </c>
      <c r="Q181" s="25" t="s">
        <v>82</v>
      </c>
      <c r="R181" s="25" t="s">
        <v>91</v>
      </c>
      <c r="S181" s="25" t="s">
        <v>101</v>
      </c>
      <c r="T181" s="25" t="s">
        <v>101</v>
      </c>
      <c r="U181" s="25" t="s">
        <v>112</v>
      </c>
      <c r="V181" s="25">
        <v>0</v>
      </c>
      <c r="W181" s="25" t="s">
        <v>249</v>
      </c>
      <c r="X181" s="25" t="s">
        <v>1749</v>
      </c>
      <c r="Y181" s="25" t="s">
        <v>1750</v>
      </c>
      <c r="Z181" s="26">
        <v>39953</v>
      </c>
      <c r="AA181" s="776">
        <v>18</v>
      </c>
      <c r="AB181" s="776">
        <v>0</v>
      </c>
      <c r="AC181" s="776">
        <v>0</v>
      </c>
      <c r="AD181" s="776">
        <v>0</v>
      </c>
      <c r="AE181" s="777">
        <v>37.700000000000003</v>
      </c>
      <c r="AF181" s="777">
        <v>37.700000000000003</v>
      </c>
      <c r="AG181" s="778">
        <v>37.700020311901078</v>
      </c>
    </row>
    <row r="182" spans="1:33" x14ac:dyDescent="0.2">
      <c r="A182" s="15">
        <f t="shared" si="16"/>
        <v>2009</v>
      </c>
      <c r="B182" s="14">
        <f t="shared" si="17"/>
        <v>8</v>
      </c>
      <c r="C182" s="13" t="str">
        <f t="shared" si="18"/>
        <v>Q3</v>
      </c>
      <c r="D182" s="13" t="str">
        <f t="shared" si="19"/>
        <v>2009Q3</v>
      </c>
      <c r="E182" s="13" t="str">
        <f t="shared" si="20"/>
        <v>Brazil</v>
      </c>
      <c r="F182" s="13" t="str">
        <f t="shared" si="22"/>
        <v>Small Hydro</v>
      </c>
      <c r="G182" s="13" t="str">
        <f t="shared" si="23"/>
        <v>Asset finance investments</v>
      </c>
      <c r="H182" s="638">
        <f t="shared" si="21"/>
        <v>36.50001966536842</v>
      </c>
      <c r="I182" s="24" t="s">
        <v>87</v>
      </c>
      <c r="J182" s="25" t="s">
        <v>246</v>
      </c>
      <c r="K182" s="25" t="s">
        <v>395</v>
      </c>
      <c r="L182" s="25" t="s">
        <v>394</v>
      </c>
      <c r="M182" s="25" t="s">
        <v>31</v>
      </c>
      <c r="N182" s="25" t="s">
        <v>31</v>
      </c>
      <c r="O182" s="25" t="s">
        <v>92</v>
      </c>
      <c r="P182" s="25" t="s">
        <v>83</v>
      </c>
      <c r="Q182" s="25" t="s">
        <v>82</v>
      </c>
      <c r="R182" s="25" t="s">
        <v>91</v>
      </c>
      <c r="S182" s="25" t="s">
        <v>126</v>
      </c>
      <c r="T182" s="25" t="s">
        <v>125</v>
      </c>
      <c r="U182" s="25" t="s">
        <v>247</v>
      </c>
      <c r="V182" s="25">
        <v>0</v>
      </c>
      <c r="W182" s="25" t="s">
        <v>249</v>
      </c>
      <c r="X182" s="25" t="s">
        <v>1771</v>
      </c>
      <c r="Y182" s="25" t="s">
        <v>1750</v>
      </c>
      <c r="Z182" s="26">
        <v>40032</v>
      </c>
      <c r="AA182" s="776">
        <v>25</v>
      </c>
      <c r="AB182" s="776">
        <v>0</v>
      </c>
      <c r="AC182" s="776">
        <v>0</v>
      </c>
      <c r="AD182" s="776">
        <v>0</v>
      </c>
      <c r="AE182" s="777">
        <v>0</v>
      </c>
      <c r="AF182" s="777">
        <v>36.5</v>
      </c>
      <c r="AG182" s="778">
        <v>36.50001966536842</v>
      </c>
    </row>
    <row r="183" spans="1:33" x14ac:dyDescent="0.2">
      <c r="A183" s="15">
        <f t="shared" si="16"/>
        <v>2012</v>
      </c>
      <c r="B183" s="14">
        <f t="shared" si="17"/>
        <v>11</v>
      </c>
      <c r="C183" s="13" t="str">
        <f t="shared" si="18"/>
        <v>Q4</v>
      </c>
      <c r="D183" s="13" t="str">
        <f t="shared" si="19"/>
        <v>2012Q4</v>
      </c>
      <c r="E183" s="13" t="str">
        <f t="shared" si="20"/>
        <v>Brazil</v>
      </c>
      <c r="F183" s="13" t="str">
        <f t="shared" si="22"/>
        <v>Small Hydro</v>
      </c>
      <c r="G183" s="13" t="str">
        <f t="shared" si="23"/>
        <v>Asset finance investments</v>
      </c>
      <c r="H183" s="638">
        <f t="shared" si="21"/>
        <v>48.508865533918517</v>
      </c>
      <c r="I183" s="24" t="s">
        <v>87</v>
      </c>
      <c r="J183" s="25" t="s">
        <v>246</v>
      </c>
      <c r="K183" s="25" t="s">
        <v>1908</v>
      </c>
      <c r="L183" s="25" t="s">
        <v>1909</v>
      </c>
      <c r="M183" s="25" t="s">
        <v>31</v>
      </c>
      <c r="N183" s="25" t="s">
        <v>31</v>
      </c>
      <c r="O183" s="25" t="s">
        <v>92</v>
      </c>
      <c r="P183" s="25" t="s">
        <v>83</v>
      </c>
      <c r="Q183" s="25" t="s">
        <v>82</v>
      </c>
      <c r="R183" s="25" t="s">
        <v>91</v>
      </c>
      <c r="S183" s="25" t="s">
        <v>125</v>
      </c>
      <c r="T183" s="25" t="s">
        <v>125</v>
      </c>
      <c r="U183" s="25" t="s">
        <v>247</v>
      </c>
      <c r="V183" s="25">
        <v>0</v>
      </c>
      <c r="W183" s="25" t="s">
        <v>249</v>
      </c>
      <c r="X183" s="25" t="s">
        <v>1814</v>
      </c>
      <c r="Y183" s="25" t="s">
        <v>1750</v>
      </c>
      <c r="Z183" s="26">
        <v>41219</v>
      </c>
      <c r="AA183" s="776">
        <v>19</v>
      </c>
      <c r="AB183" s="776">
        <v>0</v>
      </c>
      <c r="AC183" s="776">
        <v>0</v>
      </c>
      <c r="AD183" s="776">
        <v>0</v>
      </c>
      <c r="AE183" s="777">
        <v>35.700000000000003</v>
      </c>
      <c r="AF183" s="777">
        <v>35.700000000000003</v>
      </c>
      <c r="AG183" s="778">
        <v>48.508865533918517</v>
      </c>
    </row>
    <row r="184" spans="1:33" x14ac:dyDescent="0.2">
      <c r="A184" s="15">
        <f t="shared" si="16"/>
        <v>2011</v>
      </c>
      <c r="B184" s="14">
        <f t="shared" si="17"/>
        <v>12</v>
      </c>
      <c r="C184" s="13" t="str">
        <f t="shared" si="18"/>
        <v>Q4</v>
      </c>
      <c r="D184" s="13" t="str">
        <f t="shared" si="19"/>
        <v>2011Q4</v>
      </c>
      <c r="E184" s="13" t="str">
        <f t="shared" si="20"/>
        <v>Peru</v>
      </c>
      <c r="F184" s="13" t="str">
        <f t="shared" si="22"/>
        <v>Small Hydro</v>
      </c>
      <c r="G184" s="13" t="str">
        <f t="shared" si="23"/>
        <v>Corporate finance investments</v>
      </c>
      <c r="H184" s="638">
        <f t="shared" si="21"/>
        <v>35.367374050930671</v>
      </c>
      <c r="I184" s="24" t="s">
        <v>87</v>
      </c>
      <c r="J184" s="25" t="s">
        <v>86</v>
      </c>
      <c r="K184" s="25" t="s">
        <v>1910</v>
      </c>
      <c r="L184" s="25" t="s">
        <v>1911</v>
      </c>
      <c r="M184" s="25" t="s">
        <v>20</v>
      </c>
      <c r="N184" s="25" t="s">
        <v>85</v>
      </c>
      <c r="O184" s="25" t="s">
        <v>92</v>
      </c>
      <c r="P184" s="25" t="s">
        <v>83</v>
      </c>
      <c r="Q184" s="25" t="s">
        <v>82</v>
      </c>
      <c r="R184" s="25"/>
      <c r="S184" s="25" t="s">
        <v>126</v>
      </c>
      <c r="T184" s="25" t="s">
        <v>125</v>
      </c>
      <c r="U184" s="25" t="s">
        <v>247</v>
      </c>
      <c r="V184" s="25">
        <v>0</v>
      </c>
      <c r="W184" s="25" t="s">
        <v>94</v>
      </c>
      <c r="X184" s="25" t="s">
        <v>1747</v>
      </c>
      <c r="Y184" s="25" t="e">
        <v>#N/A</v>
      </c>
      <c r="Z184" s="26">
        <v>40908</v>
      </c>
      <c r="AA184" s="776" t="s">
        <v>1748</v>
      </c>
      <c r="AB184" s="776" t="s">
        <v>1748</v>
      </c>
      <c r="AC184" s="776" t="s">
        <v>1748</v>
      </c>
      <c r="AD184" s="776" t="s">
        <v>1748</v>
      </c>
      <c r="AE184" s="777">
        <v>0</v>
      </c>
      <c r="AF184" s="777">
        <v>35.128999999999998</v>
      </c>
      <c r="AG184" s="778">
        <v>35.367374050930671</v>
      </c>
    </row>
    <row r="185" spans="1:33" x14ac:dyDescent="0.2">
      <c r="A185" s="15">
        <f t="shared" si="16"/>
        <v>2009</v>
      </c>
      <c r="B185" s="14">
        <f t="shared" si="17"/>
        <v>4</v>
      </c>
      <c r="C185" s="13" t="str">
        <f t="shared" si="18"/>
        <v>Q2</v>
      </c>
      <c r="D185" s="13" t="str">
        <f t="shared" si="19"/>
        <v>2009Q2</v>
      </c>
      <c r="E185" s="13" t="str">
        <f t="shared" si="20"/>
        <v>Brazil</v>
      </c>
      <c r="F185" s="13" t="str">
        <f t="shared" si="22"/>
        <v>Biofuels</v>
      </c>
      <c r="G185" s="13" t="str">
        <f t="shared" si="23"/>
        <v>Asset finance investments</v>
      </c>
      <c r="H185" s="638">
        <f t="shared" si="21"/>
        <v>35.000018857202591</v>
      </c>
      <c r="I185" s="24" t="s">
        <v>87</v>
      </c>
      <c r="J185" s="25" t="s">
        <v>246</v>
      </c>
      <c r="K185" s="25" t="s">
        <v>396</v>
      </c>
      <c r="L185" s="25" t="s">
        <v>1912</v>
      </c>
      <c r="M185" s="25" t="s">
        <v>31</v>
      </c>
      <c r="N185" s="25" t="s">
        <v>31</v>
      </c>
      <c r="O185" s="25" t="s">
        <v>92</v>
      </c>
      <c r="P185" s="25" t="s">
        <v>83</v>
      </c>
      <c r="Q185" s="25" t="s">
        <v>82</v>
      </c>
      <c r="R185" s="25" t="s">
        <v>91</v>
      </c>
      <c r="S185" s="25" t="s">
        <v>96</v>
      </c>
      <c r="T185" s="25" t="s">
        <v>96</v>
      </c>
      <c r="U185" s="25" t="s">
        <v>98</v>
      </c>
      <c r="V185" s="25" t="s">
        <v>230</v>
      </c>
      <c r="W185" s="25" t="s">
        <v>245</v>
      </c>
      <c r="X185" s="25" t="s">
        <v>1752</v>
      </c>
      <c r="Y185" s="25" t="s">
        <v>1753</v>
      </c>
      <c r="Z185" s="26">
        <v>39933</v>
      </c>
      <c r="AA185" s="776">
        <v>15</v>
      </c>
      <c r="AB185" s="776">
        <v>60</v>
      </c>
      <c r="AC185" s="776">
        <v>0</v>
      </c>
      <c r="AD185" s="776">
        <v>0</v>
      </c>
      <c r="AE185" s="777">
        <v>0</v>
      </c>
      <c r="AF185" s="777">
        <v>35</v>
      </c>
      <c r="AG185" s="778">
        <v>35.000018857202591</v>
      </c>
    </row>
    <row r="186" spans="1:33" x14ac:dyDescent="0.2">
      <c r="A186" s="15">
        <f t="shared" si="16"/>
        <v>2007</v>
      </c>
      <c r="B186" s="14">
        <f t="shared" si="17"/>
        <v>3</v>
      </c>
      <c r="C186" s="13" t="str">
        <f t="shared" si="18"/>
        <v>Q1</v>
      </c>
      <c r="D186" s="13" t="str">
        <f t="shared" si="19"/>
        <v>2007Q1</v>
      </c>
      <c r="E186" s="13" t="str">
        <f t="shared" si="20"/>
        <v>Brazil</v>
      </c>
      <c r="F186" s="13" t="str">
        <f t="shared" si="22"/>
        <v>Biofuels</v>
      </c>
      <c r="G186" s="13" t="str">
        <f t="shared" si="23"/>
        <v>Asset finance investments</v>
      </c>
      <c r="H186" s="638">
        <f t="shared" si="21"/>
        <v>46.202178975031607</v>
      </c>
      <c r="I186" s="24" t="s">
        <v>87</v>
      </c>
      <c r="J186" s="25" t="s">
        <v>246</v>
      </c>
      <c r="K186" s="25" t="s">
        <v>250</v>
      </c>
      <c r="L186" s="25" t="s">
        <v>1913</v>
      </c>
      <c r="M186" s="25" t="s">
        <v>31</v>
      </c>
      <c r="N186" s="25" t="s">
        <v>31</v>
      </c>
      <c r="O186" s="25" t="s">
        <v>92</v>
      </c>
      <c r="P186" s="25" t="s">
        <v>83</v>
      </c>
      <c r="Q186" s="25" t="s">
        <v>82</v>
      </c>
      <c r="R186" s="25" t="s">
        <v>91</v>
      </c>
      <c r="S186" s="25" t="s">
        <v>96</v>
      </c>
      <c r="T186" s="25" t="s">
        <v>96</v>
      </c>
      <c r="U186" s="25" t="s">
        <v>98</v>
      </c>
      <c r="V186" s="25" t="s">
        <v>230</v>
      </c>
      <c r="W186" s="25" t="s">
        <v>245</v>
      </c>
      <c r="X186" s="25" t="s">
        <v>1752</v>
      </c>
      <c r="Y186" s="25" t="s">
        <v>1753</v>
      </c>
      <c r="Z186" s="26">
        <v>39157</v>
      </c>
      <c r="AA186" s="776">
        <v>0</v>
      </c>
      <c r="AB186" s="776">
        <v>60</v>
      </c>
      <c r="AC186" s="776">
        <v>0</v>
      </c>
      <c r="AD186" s="776">
        <v>0</v>
      </c>
      <c r="AE186" s="777">
        <v>0</v>
      </c>
      <c r="AF186" s="777">
        <v>34.200000000000003</v>
      </c>
      <c r="AG186" s="778">
        <v>46.202178975031607</v>
      </c>
    </row>
    <row r="187" spans="1:33" x14ac:dyDescent="0.2">
      <c r="A187" s="15">
        <f t="shared" si="16"/>
        <v>2011</v>
      </c>
      <c r="B187" s="14">
        <f t="shared" si="17"/>
        <v>10</v>
      </c>
      <c r="C187" s="13" t="str">
        <f t="shared" si="18"/>
        <v>Q4</v>
      </c>
      <c r="D187" s="13" t="str">
        <f t="shared" si="19"/>
        <v>2011Q4</v>
      </c>
      <c r="E187" s="13" t="str">
        <f t="shared" si="20"/>
        <v>Brazil</v>
      </c>
      <c r="F187" s="13" t="str">
        <f t="shared" si="22"/>
        <v>Biofuels</v>
      </c>
      <c r="G187" s="13" t="str">
        <f t="shared" si="23"/>
        <v>Corporate finance investments</v>
      </c>
      <c r="H187" s="638">
        <f t="shared" si="21"/>
        <v>33.425284479800119</v>
      </c>
      <c r="I187" s="24" t="s">
        <v>87</v>
      </c>
      <c r="J187" s="25" t="s">
        <v>86</v>
      </c>
      <c r="K187" s="25" t="s">
        <v>1914</v>
      </c>
      <c r="L187" s="25" t="s">
        <v>1915</v>
      </c>
      <c r="M187" s="25" t="s">
        <v>31</v>
      </c>
      <c r="N187" s="25" t="s">
        <v>31</v>
      </c>
      <c r="O187" s="25" t="s">
        <v>92</v>
      </c>
      <c r="P187" s="25" t="s">
        <v>83</v>
      </c>
      <c r="Q187" s="25" t="s">
        <v>82</v>
      </c>
      <c r="R187" s="25" t="s">
        <v>91</v>
      </c>
      <c r="S187" s="25" t="s">
        <v>96</v>
      </c>
      <c r="T187" s="25" t="s">
        <v>96</v>
      </c>
      <c r="U187" s="25" t="s">
        <v>95</v>
      </c>
      <c r="V187" s="25">
        <v>0</v>
      </c>
      <c r="W187" s="25" t="s">
        <v>97</v>
      </c>
      <c r="X187" s="25" t="s">
        <v>1747</v>
      </c>
      <c r="Y187" s="25" t="e">
        <v>#N/A</v>
      </c>
      <c r="Z187" s="26">
        <v>40847</v>
      </c>
      <c r="AA187" s="776" t="s">
        <v>1748</v>
      </c>
      <c r="AB187" s="776" t="s">
        <v>1748</v>
      </c>
      <c r="AC187" s="776" t="s">
        <v>1748</v>
      </c>
      <c r="AD187" s="776" t="s">
        <v>1748</v>
      </c>
      <c r="AE187" s="777">
        <v>33.200000000000003</v>
      </c>
      <c r="AF187" s="777">
        <v>33.200000000000003</v>
      </c>
      <c r="AG187" s="778">
        <v>33.425284479800119</v>
      </c>
    </row>
    <row r="188" spans="1:33" x14ac:dyDescent="0.2">
      <c r="A188" s="15">
        <f t="shared" si="16"/>
        <v>2006</v>
      </c>
      <c r="B188" s="14">
        <f t="shared" si="17"/>
        <v>6</v>
      </c>
      <c r="C188" s="13" t="str">
        <f t="shared" si="18"/>
        <v>Q2</v>
      </c>
      <c r="D188" s="13" t="str">
        <f t="shared" si="19"/>
        <v>2006Q2</v>
      </c>
      <c r="E188" s="13" t="str">
        <f t="shared" si="20"/>
        <v>Brazil</v>
      </c>
      <c r="F188" s="13" t="str">
        <f t="shared" si="22"/>
        <v>Biofuels</v>
      </c>
      <c r="G188" s="13" t="str">
        <f t="shared" si="23"/>
        <v>Asset finance investments</v>
      </c>
      <c r="H188" s="638">
        <f t="shared" si="21"/>
        <v>33</v>
      </c>
      <c r="I188" s="24" t="s">
        <v>87</v>
      </c>
      <c r="J188" s="25" t="s">
        <v>246</v>
      </c>
      <c r="K188" s="25" t="s">
        <v>262</v>
      </c>
      <c r="L188" s="25" t="s">
        <v>261</v>
      </c>
      <c r="M188" s="25" t="s">
        <v>31</v>
      </c>
      <c r="N188" s="25" t="s">
        <v>31</v>
      </c>
      <c r="O188" s="25" t="s">
        <v>92</v>
      </c>
      <c r="P188" s="25" t="s">
        <v>83</v>
      </c>
      <c r="Q188" s="25" t="s">
        <v>82</v>
      </c>
      <c r="R188" s="25" t="s">
        <v>91</v>
      </c>
      <c r="S188" s="25" t="s">
        <v>96</v>
      </c>
      <c r="T188" s="25" t="s">
        <v>96</v>
      </c>
      <c r="U188" s="25" t="s">
        <v>98</v>
      </c>
      <c r="V188" s="25">
        <v>0</v>
      </c>
      <c r="W188" s="25" t="s">
        <v>245</v>
      </c>
      <c r="X188" s="25" t="s">
        <v>1752</v>
      </c>
      <c r="Y188" s="25" t="s">
        <v>1753</v>
      </c>
      <c r="Z188" s="26">
        <v>38880</v>
      </c>
      <c r="AA188" s="776">
        <v>16</v>
      </c>
      <c r="AB188" s="776">
        <v>125</v>
      </c>
      <c r="AC188" s="776">
        <v>0</v>
      </c>
      <c r="AD188" s="776">
        <v>0</v>
      </c>
      <c r="AE188" s="777">
        <v>33</v>
      </c>
      <c r="AF188" s="777">
        <v>33</v>
      </c>
      <c r="AG188" s="778">
        <v>33</v>
      </c>
    </row>
    <row r="189" spans="1:33" x14ac:dyDescent="0.2">
      <c r="A189" s="15">
        <f t="shared" si="16"/>
        <v>2007</v>
      </c>
      <c r="B189" s="14">
        <f t="shared" si="17"/>
        <v>11</v>
      </c>
      <c r="C189" s="13" t="str">
        <f t="shared" si="18"/>
        <v>Q4</v>
      </c>
      <c r="D189" s="13" t="str">
        <f t="shared" si="19"/>
        <v>2007Q4</v>
      </c>
      <c r="E189" s="13" t="str">
        <f t="shared" si="20"/>
        <v>Brazil</v>
      </c>
      <c r="F189" s="13" t="str">
        <f t="shared" si="22"/>
        <v>Wind</v>
      </c>
      <c r="G189" s="13" t="str">
        <f t="shared" si="23"/>
        <v>Asset finance investments</v>
      </c>
      <c r="H189" s="638">
        <f t="shared" si="21"/>
        <v>55.315378342146751</v>
      </c>
      <c r="I189" s="24" t="s">
        <v>87</v>
      </c>
      <c r="J189" s="25" t="s">
        <v>246</v>
      </c>
      <c r="K189" s="25" t="s">
        <v>316</v>
      </c>
      <c r="L189" s="25" t="s">
        <v>315</v>
      </c>
      <c r="M189" s="25" t="s">
        <v>31</v>
      </c>
      <c r="N189" s="25" t="s">
        <v>31</v>
      </c>
      <c r="O189" s="25" t="s">
        <v>92</v>
      </c>
      <c r="P189" s="25" t="s">
        <v>83</v>
      </c>
      <c r="Q189" s="25" t="s">
        <v>82</v>
      </c>
      <c r="R189" s="25" t="s">
        <v>91</v>
      </c>
      <c r="S189" s="25" t="s">
        <v>101</v>
      </c>
      <c r="T189" s="25" t="s">
        <v>101</v>
      </c>
      <c r="U189" s="25" t="s">
        <v>112</v>
      </c>
      <c r="V189" s="25">
        <v>0</v>
      </c>
      <c r="W189" s="25" t="s">
        <v>245</v>
      </c>
      <c r="X189" s="25" t="s">
        <v>1752</v>
      </c>
      <c r="Y189" s="25" t="s">
        <v>1753</v>
      </c>
      <c r="Z189" s="26">
        <v>39399</v>
      </c>
      <c r="AA189" s="776">
        <v>217.7</v>
      </c>
      <c r="AB189" s="776">
        <v>0</v>
      </c>
      <c r="AC189" s="776">
        <v>0</v>
      </c>
      <c r="AD189" s="776">
        <v>0</v>
      </c>
      <c r="AE189" s="777">
        <v>0</v>
      </c>
      <c r="AF189" s="777">
        <v>32.655000000000001</v>
      </c>
      <c r="AG189" s="778">
        <v>55.315378342146751</v>
      </c>
    </row>
    <row r="190" spans="1:33" x14ac:dyDescent="0.2">
      <c r="A190" s="15">
        <f t="shared" si="16"/>
        <v>2008</v>
      </c>
      <c r="B190" s="14">
        <f t="shared" si="17"/>
        <v>4</v>
      </c>
      <c r="C190" s="13" t="str">
        <f t="shared" si="18"/>
        <v>Q2</v>
      </c>
      <c r="D190" s="13" t="str">
        <f t="shared" si="19"/>
        <v>2008Q2</v>
      </c>
      <c r="E190" s="13" t="str">
        <f t="shared" si="20"/>
        <v>Brazil</v>
      </c>
      <c r="F190" s="13" t="str">
        <f t="shared" si="22"/>
        <v>Biofuels</v>
      </c>
      <c r="G190" s="13" t="str">
        <f t="shared" si="23"/>
        <v>Asset finance investments</v>
      </c>
      <c r="H190" s="638">
        <f t="shared" si="21"/>
        <v>32.585504783460195</v>
      </c>
      <c r="I190" s="24" t="s">
        <v>87</v>
      </c>
      <c r="J190" s="25" t="s">
        <v>246</v>
      </c>
      <c r="K190" s="25" t="s">
        <v>339</v>
      </c>
      <c r="L190" s="25" t="s">
        <v>1916</v>
      </c>
      <c r="M190" s="25" t="s">
        <v>31</v>
      </c>
      <c r="N190" s="25" t="s">
        <v>31</v>
      </c>
      <c r="O190" s="25" t="s">
        <v>92</v>
      </c>
      <c r="P190" s="25" t="s">
        <v>83</v>
      </c>
      <c r="Q190" s="25" t="s">
        <v>82</v>
      </c>
      <c r="R190" s="25" t="s">
        <v>91</v>
      </c>
      <c r="S190" s="25" t="s">
        <v>96</v>
      </c>
      <c r="T190" s="25" t="s">
        <v>96</v>
      </c>
      <c r="U190" s="25" t="s">
        <v>98</v>
      </c>
      <c r="V190" s="25">
        <v>0</v>
      </c>
      <c r="W190" s="25" t="s">
        <v>245</v>
      </c>
      <c r="X190" s="25" t="s">
        <v>1752</v>
      </c>
      <c r="Y190" s="25" t="s">
        <v>1753</v>
      </c>
      <c r="Z190" s="26">
        <v>39539</v>
      </c>
      <c r="AA190" s="776">
        <v>0</v>
      </c>
      <c r="AB190" s="776">
        <v>57</v>
      </c>
      <c r="AC190" s="776">
        <v>0</v>
      </c>
      <c r="AD190" s="776">
        <v>0</v>
      </c>
      <c r="AE190" s="777">
        <v>0</v>
      </c>
      <c r="AF190" s="777">
        <v>32.49</v>
      </c>
      <c r="AG190" s="778">
        <v>32.585504783460195</v>
      </c>
    </row>
    <row r="191" spans="1:33" x14ac:dyDescent="0.2">
      <c r="A191" s="15">
        <f t="shared" si="16"/>
        <v>2010</v>
      </c>
      <c r="B191" s="14">
        <f t="shared" si="17"/>
        <v>4</v>
      </c>
      <c r="C191" s="13" t="str">
        <f t="shared" si="18"/>
        <v>Q2</v>
      </c>
      <c r="D191" s="13" t="str">
        <f t="shared" si="19"/>
        <v>2010Q2</v>
      </c>
      <c r="E191" s="13" t="str">
        <f t="shared" si="20"/>
        <v>Brazil</v>
      </c>
      <c r="F191" s="13" t="str">
        <f t="shared" si="22"/>
        <v>Biofuels</v>
      </c>
      <c r="G191" s="13" t="str">
        <f t="shared" si="23"/>
        <v>Corporate finance investments</v>
      </c>
      <c r="H191" s="638">
        <f t="shared" si="21"/>
        <v>32.256035104707102</v>
      </c>
      <c r="I191" s="24" t="s">
        <v>87</v>
      </c>
      <c r="J191" s="25" t="s">
        <v>86</v>
      </c>
      <c r="K191" s="25" t="s">
        <v>174</v>
      </c>
      <c r="L191" s="25" t="s">
        <v>173</v>
      </c>
      <c r="M191" s="25" t="s">
        <v>31</v>
      </c>
      <c r="N191" s="25" t="s">
        <v>31</v>
      </c>
      <c r="O191" s="25" t="s">
        <v>92</v>
      </c>
      <c r="P191" s="25" t="s">
        <v>83</v>
      </c>
      <c r="Q191" s="25" t="s">
        <v>82</v>
      </c>
      <c r="R191" s="25" t="s">
        <v>91</v>
      </c>
      <c r="S191" s="25" t="s">
        <v>96</v>
      </c>
      <c r="T191" s="25" t="s">
        <v>96</v>
      </c>
      <c r="U191" s="25" t="s">
        <v>98</v>
      </c>
      <c r="V191" s="25">
        <v>0</v>
      </c>
      <c r="W191" s="25" t="s">
        <v>97</v>
      </c>
      <c r="X191" s="25" t="s">
        <v>1747</v>
      </c>
      <c r="Y191" s="25" t="e">
        <v>#N/A</v>
      </c>
      <c r="Z191" s="26">
        <v>40298</v>
      </c>
      <c r="AA191" s="776" t="s">
        <v>1748</v>
      </c>
      <c r="AB191" s="776" t="s">
        <v>1748</v>
      </c>
      <c r="AC191" s="776" t="s">
        <v>1748</v>
      </c>
      <c r="AD191" s="776" t="s">
        <v>1748</v>
      </c>
      <c r="AE191" s="777">
        <v>0</v>
      </c>
      <c r="AF191" s="777">
        <v>32.231999999999999</v>
      </c>
      <c r="AG191" s="778">
        <v>32.256035104707102</v>
      </c>
    </row>
    <row r="192" spans="1:33" x14ac:dyDescent="0.2">
      <c r="A192" s="15">
        <f t="shared" si="16"/>
        <v>2008</v>
      </c>
      <c r="B192" s="14">
        <f t="shared" si="17"/>
        <v>6</v>
      </c>
      <c r="C192" s="13" t="str">
        <f t="shared" si="18"/>
        <v>Q2</v>
      </c>
      <c r="D192" s="13" t="str">
        <f t="shared" si="19"/>
        <v>2008Q2</v>
      </c>
      <c r="E192" s="13" t="str">
        <f t="shared" si="20"/>
        <v>Brazil</v>
      </c>
      <c r="F192" s="13" t="str">
        <f t="shared" si="22"/>
        <v>Wind</v>
      </c>
      <c r="G192" s="13" t="str">
        <f t="shared" si="23"/>
        <v>Corporate finance investments</v>
      </c>
      <c r="H192" s="638">
        <f t="shared" si="21"/>
        <v>34.053808230766613</v>
      </c>
      <c r="I192" s="24" t="s">
        <v>87</v>
      </c>
      <c r="J192" s="25" t="s">
        <v>86</v>
      </c>
      <c r="K192" s="25" t="s">
        <v>138</v>
      </c>
      <c r="L192" s="25" t="s">
        <v>137</v>
      </c>
      <c r="M192" s="25" t="s">
        <v>31</v>
      </c>
      <c r="N192" s="25" t="s">
        <v>31</v>
      </c>
      <c r="O192" s="25" t="s">
        <v>92</v>
      </c>
      <c r="P192" s="25" t="s">
        <v>83</v>
      </c>
      <c r="Q192" s="25" t="s">
        <v>82</v>
      </c>
      <c r="R192" s="25" t="s">
        <v>91</v>
      </c>
      <c r="S192" s="25" t="s">
        <v>101</v>
      </c>
      <c r="T192" s="25" t="s">
        <v>101</v>
      </c>
      <c r="U192" s="25">
        <v>0</v>
      </c>
      <c r="V192" s="25">
        <v>0</v>
      </c>
      <c r="W192" s="25" t="s">
        <v>94</v>
      </c>
      <c r="X192" s="25" t="s">
        <v>1747</v>
      </c>
      <c r="Y192" s="25" t="e">
        <v>#N/A</v>
      </c>
      <c r="Z192" s="26">
        <v>39629</v>
      </c>
      <c r="AA192" s="776" t="s">
        <v>1748</v>
      </c>
      <c r="AB192" s="776" t="s">
        <v>1748</v>
      </c>
      <c r="AC192" s="776" t="s">
        <v>1748</v>
      </c>
      <c r="AD192" s="776" t="s">
        <v>1748</v>
      </c>
      <c r="AE192" s="777">
        <v>32.200000000000003</v>
      </c>
      <c r="AF192" s="777">
        <v>32.200000000000003</v>
      </c>
      <c r="AG192" s="778">
        <v>34.053808230766613</v>
      </c>
    </row>
    <row r="193" spans="1:33" x14ac:dyDescent="0.2">
      <c r="A193" s="15">
        <f t="shared" si="16"/>
        <v>2012</v>
      </c>
      <c r="B193" s="14">
        <f t="shared" si="17"/>
        <v>9</v>
      </c>
      <c r="C193" s="13" t="str">
        <f t="shared" si="18"/>
        <v>Q3</v>
      </c>
      <c r="D193" s="13" t="str">
        <f t="shared" si="19"/>
        <v>2012Q3</v>
      </c>
      <c r="E193" s="13" t="str">
        <f t="shared" si="20"/>
        <v>Brazil</v>
      </c>
      <c r="F193" s="13" t="str">
        <f t="shared" si="22"/>
        <v>Biofuels</v>
      </c>
      <c r="G193" s="13" t="str">
        <f t="shared" si="23"/>
        <v>Asset finance investments</v>
      </c>
      <c r="H193" s="638">
        <f t="shared" si="21"/>
        <v>32.617576732223291</v>
      </c>
      <c r="I193" s="24" t="s">
        <v>87</v>
      </c>
      <c r="J193" s="25" t="s">
        <v>246</v>
      </c>
      <c r="K193" s="25" t="s">
        <v>1917</v>
      </c>
      <c r="L193" s="25" t="s">
        <v>1918</v>
      </c>
      <c r="M193" s="25" t="s">
        <v>31</v>
      </c>
      <c r="N193" s="25" t="s">
        <v>31</v>
      </c>
      <c r="O193" s="25" t="s">
        <v>92</v>
      </c>
      <c r="P193" s="25" t="s">
        <v>83</v>
      </c>
      <c r="Q193" s="25" t="s">
        <v>82</v>
      </c>
      <c r="R193" s="25" t="s">
        <v>91</v>
      </c>
      <c r="S193" s="25" t="s">
        <v>96</v>
      </c>
      <c r="T193" s="25" t="s">
        <v>96</v>
      </c>
      <c r="U193" s="25" t="s">
        <v>98</v>
      </c>
      <c r="V193" s="25" t="s">
        <v>230</v>
      </c>
      <c r="W193" s="25" t="s">
        <v>245</v>
      </c>
      <c r="X193" s="25" t="s">
        <v>1752</v>
      </c>
      <c r="Y193" s="25" t="s">
        <v>1753</v>
      </c>
      <c r="Z193" s="26">
        <v>41163</v>
      </c>
      <c r="AA193" s="776">
        <v>0</v>
      </c>
      <c r="AB193" s="776">
        <v>63</v>
      </c>
      <c r="AC193" s="776">
        <v>0</v>
      </c>
      <c r="AD193" s="776">
        <v>0</v>
      </c>
      <c r="AE193" s="777">
        <v>32</v>
      </c>
      <c r="AF193" s="777">
        <v>32</v>
      </c>
      <c r="AG193" s="778">
        <v>32.617576732223291</v>
      </c>
    </row>
    <row r="194" spans="1:33" x14ac:dyDescent="0.2">
      <c r="A194" s="15">
        <f t="shared" si="16"/>
        <v>2007</v>
      </c>
      <c r="B194" s="14">
        <f t="shared" si="17"/>
        <v>9</v>
      </c>
      <c r="C194" s="13" t="str">
        <f t="shared" si="18"/>
        <v>Q3</v>
      </c>
      <c r="D194" s="13" t="str">
        <f t="shared" si="19"/>
        <v>2007Q3</v>
      </c>
      <c r="E194" s="13" t="str">
        <f t="shared" si="20"/>
        <v>Brazil</v>
      </c>
      <c r="F194" s="13" t="str">
        <f t="shared" si="22"/>
        <v>Biofuels</v>
      </c>
      <c r="G194" s="13" t="str">
        <f t="shared" si="23"/>
        <v>Asset finance investments</v>
      </c>
      <c r="H194" s="638">
        <f t="shared" si="21"/>
        <v>36.259208558738806</v>
      </c>
      <c r="I194" s="24" t="s">
        <v>87</v>
      </c>
      <c r="J194" s="25" t="s">
        <v>246</v>
      </c>
      <c r="K194" s="25" t="s">
        <v>291</v>
      </c>
      <c r="L194" s="25" t="s">
        <v>290</v>
      </c>
      <c r="M194" s="25" t="s">
        <v>31</v>
      </c>
      <c r="N194" s="25" t="s">
        <v>31</v>
      </c>
      <c r="O194" s="25" t="s">
        <v>92</v>
      </c>
      <c r="P194" s="25" t="s">
        <v>83</v>
      </c>
      <c r="Q194" s="25" t="s">
        <v>82</v>
      </c>
      <c r="R194" s="25" t="s">
        <v>91</v>
      </c>
      <c r="S194" s="25" t="s">
        <v>96</v>
      </c>
      <c r="T194" s="25" t="s">
        <v>96</v>
      </c>
      <c r="U194" s="25" t="s">
        <v>98</v>
      </c>
      <c r="V194" s="25">
        <v>0</v>
      </c>
      <c r="W194" s="25" t="s">
        <v>245</v>
      </c>
      <c r="X194" s="25" t="s">
        <v>1752</v>
      </c>
      <c r="Y194" s="25" t="s">
        <v>1753</v>
      </c>
      <c r="Z194" s="26">
        <v>39349</v>
      </c>
      <c r="AA194" s="776">
        <v>0</v>
      </c>
      <c r="AB194" s="776">
        <v>82</v>
      </c>
      <c r="AC194" s="776">
        <v>0</v>
      </c>
      <c r="AD194" s="776">
        <v>0</v>
      </c>
      <c r="AE194" s="777">
        <v>32</v>
      </c>
      <c r="AF194" s="777">
        <v>32</v>
      </c>
      <c r="AG194" s="778">
        <v>36.259208558738806</v>
      </c>
    </row>
    <row r="195" spans="1:33" x14ac:dyDescent="0.2">
      <c r="A195" s="15">
        <f t="shared" si="16"/>
        <v>2009</v>
      </c>
      <c r="B195" s="14">
        <f t="shared" si="17"/>
        <v>11</v>
      </c>
      <c r="C195" s="13" t="str">
        <f t="shared" si="18"/>
        <v>Q4</v>
      </c>
      <c r="D195" s="13" t="str">
        <f t="shared" si="19"/>
        <v>2009Q4</v>
      </c>
      <c r="E195" s="13" t="str">
        <f t="shared" si="20"/>
        <v>Brazil</v>
      </c>
      <c r="F195" s="13" t="str">
        <f t="shared" si="22"/>
        <v>Biofuels</v>
      </c>
      <c r="G195" s="13" t="str">
        <f t="shared" si="23"/>
        <v>Asset finance investments</v>
      </c>
      <c r="H195" s="638">
        <f t="shared" si="21"/>
        <v>31.900017186993217</v>
      </c>
      <c r="I195" s="24" t="s">
        <v>87</v>
      </c>
      <c r="J195" s="25" t="s">
        <v>246</v>
      </c>
      <c r="K195" s="25" t="s">
        <v>404</v>
      </c>
      <c r="L195" s="25" t="s">
        <v>403</v>
      </c>
      <c r="M195" s="25" t="s">
        <v>31</v>
      </c>
      <c r="N195" s="25" t="s">
        <v>31</v>
      </c>
      <c r="O195" s="25" t="s">
        <v>92</v>
      </c>
      <c r="P195" s="25" t="s">
        <v>83</v>
      </c>
      <c r="Q195" s="25" t="s">
        <v>82</v>
      </c>
      <c r="R195" s="25" t="s">
        <v>91</v>
      </c>
      <c r="S195" s="25" t="s">
        <v>96</v>
      </c>
      <c r="T195" s="25" t="s">
        <v>96</v>
      </c>
      <c r="U195" s="25" t="s">
        <v>95</v>
      </c>
      <c r="V195" s="25" t="s">
        <v>223</v>
      </c>
      <c r="W195" s="25" t="s">
        <v>245</v>
      </c>
      <c r="X195" s="25" t="s">
        <v>1752</v>
      </c>
      <c r="Y195" s="25" t="s">
        <v>1753</v>
      </c>
      <c r="Z195" s="26">
        <v>40147</v>
      </c>
      <c r="AA195" s="776">
        <v>0</v>
      </c>
      <c r="AB195" s="776">
        <v>159</v>
      </c>
      <c r="AC195" s="776">
        <v>0</v>
      </c>
      <c r="AD195" s="776">
        <v>0</v>
      </c>
      <c r="AE195" s="777">
        <v>31.9</v>
      </c>
      <c r="AF195" s="777">
        <v>31.9</v>
      </c>
      <c r="AG195" s="778">
        <v>31.900017186993217</v>
      </c>
    </row>
    <row r="196" spans="1:33" x14ac:dyDescent="0.2">
      <c r="A196" s="15">
        <f t="shared" si="16"/>
        <v>2007</v>
      </c>
      <c r="B196" s="14">
        <f t="shared" si="17"/>
        <v>9</v>
      </c>
      <c r="C196" s="13" t="str">
        <f t="shared" si="18"/>
        <v>Q3</v>
      </c>
      <c r="D196" s="13" t="str">
        <f t="shared" si="19"/>
        <v>2007Q3</v>
      </c>
      <c r="E196" s="13" t="str">
        <f t="shared" si="20"/>
        <v>Brazil</v>
      </c>
      <c r="F196" s="13" t="str">
        <f t="shared" si="22"/>
        <v>Biofuels</v>
      </c>
      <c r="G196" s="13" t="str">
        <f t="shared" si="23"/>
        <v>Asset finance investments</v>
      </c>
      <c r="H196" s="638">
        <f t="shared" si="21"/>
        <v>36.032588505246693</v>
      </c>
      <c r="I196" s="24" t="s">
        <v>87</v>
      </c>
      <c r="J196" s="25" t="s">
        <v>246</v>
      </c>
      <c r="K196" s="25" t="s">
        <v>289</v>
      </c>
      <c r="L196" s="25" t="s">
        <v>1919</v>
      </c>
      <c r="M196" s="25" t="s">
        <v>31</v>
      </c>
      <c r="N196" s="25" t="s">
        <v>31</v>
      </c>
      <c r="O196" s="25" t="s">
        <v>92</v>
      </c>
      <c r="P196" s="25" t="s">
        <v>83</v>
      </c>
      <c r="Q196" s="25" t="s">
        <v>82</v>
      </c>
      <c r="R196" s="25" t="s">
        <v>91</v>
      </c>
      <c r="S196" s="25" t="s">
        <v>96</v>
      </c>
      <c r="T196" s="25" t="s">
        <v>96</v>
      </c>
      <c r="U196" s="25" t="s">
        <v>98</v>
      </c>
      <c r="V196" s="25" t="s">
        <v>230</v>
      </c>
      <c r="W196" s="25" t="s">
        <v>245</v>
      </c>
      <c r="X196" s="25" t="s">
        <v>1752</v>
      </c>
      <c r="Y196" s="25" t="s">
        <v>1753</v>
      </c>
      <c r="Z196" s="26">
        <v>39349.457638888904</v>
      </c>
      <c r="AA196" s="776">
        <v>0</v>
      </c>
      <c r="AB196" s="776">
        <v>46</v>
      </c>
      <c r="AC196" s="776">
        <v>0</v>
      </c>
      <c r="AD196" s="776">
        <v>0</v>
      </c>
      <c r="AE196" s="777">
        <v>31.8</v>
      </c>
      <c r="AF196" s="777">
        <v>31.8</v>
      </c>
      <c r="AG196" s="778">
        <v>36.032588505246693</v>
      </c>
    </row>
    <row r="197" spans="1:33" x14ac:dyDescent="0.2">
      <c r="A197" s="15">
        <f t="shared" si="16"/>
        <v>2008</v>
      </c>
      <c r="B197" s="14">
        <f t="shared" si="17"/>
        <v>9</v>
      </c>
      <c r="C197" s="13" t="str">
        <f t="shared" si="18"/>
        <v>Q3</v>
      </c>
      <c r="D197" s="13" t="str">
        <f t="shared" si="19"/>
        <v>2008Q3</v>
      </c>
      <c r="E197" s="13" t="str">
        <f t="shared" si="20"/>
        <v>Brazil</v>
      </c>
      <c r="F197" s="13" t="str">
        <f t="shared" si="22"/>
        <v>Biofuels</v>
      </c>
      <c r="G197" s="13" t="str">
        <f t="shared" si="23"/>
        <v>Asset finance investments</v>
      </c>
      <c r="H197" s="638">
        <f t="shared" si="21"/>
        <v>31.110180759561459</v>
      </c>
      <c r="I197" s="24" t="s">
        <v>87</v>
      </c>
      <c r="J197" s="25" t="s">
        <v>246</v>
      </c>
      <c r="K197" s="25" t="s">
        <v>338</v>
      </c>
      <c r="L197" s="25" t="s">
        <v>1920</v>
      </c>
      <c r="M197" s="25" t="s">
        <v>31</v>
      </c>
      <c r="N197" s="25" t="s">
        <v>31</v>
      </c>
      <c r="O197" s="25" t="s">
        <v>92</v>
      </c>
      <c r="P197" s="25" t="s">
        <v>83</v>
      </c>
      <c r="Q197" s="25" t="s">
        <v>82</v>
      </c>
      <c r="R197" s="25" t="s">
        <v>91</v>
      </c>
      <c r="S197" s="25" t="s">
        <v>96</v>
      </c>
      <c r="T197" s="25" t="s">
        <v>96</v>
      </c>
      <c r="U197" s="25" t="s">
        <v>98</v>
      </c>
      <c r="V197" s="25" t="s">
        <v>230</v>
      </c>
      <c r="W197" s="25" t="s">
        <v>245</v>
      </c>
      <c r="X197" s="25" t="s">
        <v>1752</v>
      </c>
      <c r="Y197" s="25" t="s">
        <v>1753</v>
      </c>
      <c r="Z197" s="26">
        <v>39709</v>
      </c>
      <c r="AA197" s="776">
        <v>19</v>
      </c>
      <c r="AB197" s="776">
        <v>90.7</v>
      </c>
      <c r="AC197" s="776">
        <v>0</v>
      </c>
      <c r="AD197" s="776">
        <v>0</v>
      </c>
      <c r="AE197" s="777">
        <v>0</v>
      </c>
      <c r="AF197" s="777">
        <v>31.018999999999998</v>
      </c>
      <c r="AG197" s="778">
        <v>31.110180759561459</v>
      </c>
    </row>
    <row r="198" spans="1:33" x14ac:dyDescent="0.2">
      <c r="A198" s="15">
        <f t="shared" ref="A198:A261" si="24">IF(K198="","",IF(AND(YEAR(Z198)&lt;2004,YEAR(Z198)&gt;1910),2004,YEAR(Z198)))</f>
        <v>2011</v>
      </c>
      <c r="B198" s="14">
        <f t="shared" ref="B198:B261" si="25">IF(K198="","",IF(ISNUMBER(Z198),MONTH(Z198),0))</f>
        <v>1</v>
      </c>
      <c r="C198" s="13" t="str">
        <f t="shared" ref="C198:C261" si="26">IF(K198="","",IF(AND(B198&gt;=1,B198&lt;=3),"Q1",IF(AND(B198&gt;3,B198&lt;=6),"Q2",IF(AND(B198&gt;6,B198&lt;=9),"Q3",IF(AND(B198&gt;9,B198&lt;=12),"Q4",0)))))</f>
        <v>Q1</v>
      </c>
      <c r="D198" s="13" t="str">
        <f t="shared" ref="D198:D261" si="27">IF(A198&lt;2006, "&lt; 2006", A198&amp;C198)</f>
        <v>2011Q1</v>
      </c>
      <c r="E198" s="13" t="str">
        <f t="shared" ref="E198:E261" si="28">IF(K198="","", M198)</f>
        <v>Brazil</v>
      </c>
      <c r="F198" s="13" t="str">
        <f t="shared" si="22"/>
        <v>Wind</v>
      </c>
      <c r="G198" s="13" t="str">
        <f t="shared" si="23"/>
        <v>VC/PE investments</v>
      </c>
      <c r="H198" s="638">
        <f t="shared" ref="H198:H261" si="29">IF(K198="","",AG198)</f>
        <v>31.210355990174804</v>
      </c>
      <c r="I198" s="24" t="s">
        <v>87</v>
      </c>
      <c r="J198" s="25" t="s">
        <v>216</v>
      </c>
      <c r="K198" s="25" t="s">
        <v>1921</v>
      </c>
      <c r="L198" s="25" t="s">
        <v>547</v>
      </c>
      <c r="M198" s="25" t="s">
        <v>31</v>
      </c>
      <c r="N198" s="25" t="s">
        <v>31</v>
      </c>
      <c r="O198" s="25" t="s">
        <v>92</v>
      </c>
      <c r="P198" s="25" t="s">
        <v>83</v>
      </c>
      <c r="Q198" s="25" t="s">
        <v>82</v>
      </c>
      <c r="R198" s="25" t="s">
        <v>91</v>
      </c>
      <c r="S198" s="25" t="s">
        <v>101</v>
      </c>
      <c r="T198" s="25" t="s">
        <v>101</v>
      </c>
      <c r="U198" s="25" t="s">
        <v>112</v>
      </c>
      <c r="V198" s="25">
        <v>0</v>
      </c>
      <c r="W198" s="25" t="s">
        <v>94</v>
      </c>
      <c r="X198" s="25" t="s">
        <v>213</v>
      </c>
      <c r="Y198" s="25" t="s">
        <v>212</v>
      </c>
      <c r="Z198" s="26">
        <v>40564</v>
      </c>
      <c r="AA198" s="776" t="s">
        <v>1748</v>
      </c>
      <c r="AB198" s="776" t="s">
        <v>1748</v>
      </c>
      <c r="AC198" s="776" t="s">
        <v>1748</v>
      </c>
      <c r="AD198" s="776" t="s">
        <v>1748</v>
      </c>
      <c r="AE198" s="777">
        <v>31</v>
      </c>
      <c r="AF198" s="777">
        <v>31</v>
      </c>
      <c r="AG198" s="778">
        <v>31.210355990174804</v>
      </c>
    </row>
    <row r="199" spans="1:33" x14ac:dyDescent="0.2">
      <c r="A199" s="15">
        <f t="shared" si="24"/>
        <v>2008</v>
      </c>
      <c r="B199" s="14">
        <f t="shared" si="25"/>
        <v>10</v>
      </c>
      <c r="C199" s="13" t="str">
        <f t="shared" si="26"/>
        <v>Q4</v>
      </c>
      <c r="D199" s="13" t="str">
        <f t="shared" si="27"/>
        <v>2008Q4</v>
      </c>
      <c r="E199" s="13" t="str">
        <f t="shared" si="28"/>
        <v>Brazil</v>
      </c>
      <c r="F199" s="13" t="str">
        <f t="shared" ref="F199:F262" si="30">IF(K199="","",IF(OR(T199="Wind",T199="Solar",T199="Geothermal",T199="Small Hydro",T199="Biofuels",T199="Biomass &amp; Waste"),T199,"Other Clean Energy"))</f>
        <v>Wind</v>
      </c>
      <c r="G199" s="13" t="str">
        <f t="shared" ref="G199:G262" si="31">IF(K199="","",IF(OR(J199="PM",J199="MA"), "Corporate finance investments", IF(J199="VCPE", "VC/PE investments", IF(J199="AF", "Asset finance investments"))))</f>
        <v>Asset finance investments</v>
      </c>
      <c r="H199" s="638">
        <f t="shared" si="29"/>
        <v>30.929346381730777</v>
      </c>
      <c r="I199" s="24" t="s">
        <v>87</v>
      </c>
      <c r="J199" s="25" t="s">
        <v>246</v>
      </c>
      <c r="K199" s="25" t="s">
        <v>335</v>
      </c>
      <c r="L199" s="25" t="s">
        <v>334</v>
      </c>
      <c r="M199" s="25" t="s">
        <v>31</v>
      </c>
      <c r="N199" s="25" t="s">
        <v>31</v>
      </c>
      <c r="O199" s="25" t="s">
        <v>92</v>
      </c>
      <c r="P199" s="25" t="s">
        <v>83</v>
      </c>
      <c r="Q199" s="25" t="s">
        <v>82</v>
      </c>
      <c r="R199" s="25" t="s">
        <v>91</v>
      </c>
      <c r="S199" s="25" t="s">
        <v>101</v>
      </c>
      <c r="T199" s="25" t="s">
        <v>101</v>
      </c>
      <c r="U199" s="25" t="s">
        <v>112</v>
      </c>
      <c r="V199" s="25">
        <v>0</v>
      </c>
      <c r="W199" s="25" t="s">
        <v>249</v>
      </c>
      <c r="X199" s="25" t="s">
        <v>1749</v>
      </c>
      <c r="Y199" s="25" t="s">
        <v>1750</v>
      </c>
      <c r="Z199" s="26">
        <v>39731</v>
      </c>
      <c r="AA199" s="776">
        <v>14.7</v>
      </c>
      <c r="AB199" s="776">
        <v>0</v>
      </c>
      <c r="AC199" s="776">
        <v>0</v>
      </c>
      <c r="AD199" s="776">
        <v>0</v>
      </c>
      <c r="AE199" s="777">
        <v>30.75</v>
      </c>
      <c r="AF199" s="777">
        <v>30.75</v>
      </c>
      <c r="AG199" s="778">
        <v>30.929346381730777</v>
      </c>
    </row>
    <row r="200" spans="1:33" x14ac:dyDescent="0.2">
      <c r="A200" s="15">
        <f t="shared" si="24"/>
        <v>2009</v>
      </c>
      <c r="B200" s="14">
        <f t="shared" si="25"/>
        <v>12</v>
      </c>
      <c r="C200" s="13" t="str">
        <f t="shared" si="26"/>
        <v>Q4</v>
      </c>
      <c r="D200" s="13" t="str">
        <f t="shared" si="27"/>
        <v>2009Q4</v>
      </c>
      <c r="E200" s="13" t="str">
        <f t="shared" si="28"/>
        <v>Brazil</v>
      </c>
      <c r="F200" s="13" t="str">
        <f t="shared" si="30"/>
        <v>Biofuels</v>
      </c>
      <c r="G200" s="13" t="str">
        <f t="shared" si="31"/>
        <v>Asset finance investments</v>
      </c>
      <c r="H200" s="638">
        <f t="shared" si="29"/>
        <v>30.600016486582838</v>
      </c>
      <c r="I200" s="24" t="s">
        <v>87</v>
      </c>
      <c r="J200" s="25" t="s">
        <v>246</v>
      </c>
      <c r="K200" s="25" t="s">
        <v>1922</v>
      </c>
      <c r="L200" s="25" t="s">
        <v>861</v>
      </c>
      <c r="M200" s="25" t="s">
        <v>31</v>
      </c>
      <c r="N200" s="25" t="s">
        <v>31</v>
      </c>
      <c r="O200" s="25" t="s">
        <v>92</v>
      </c>
      <c r="P200" s="25" t="s">
        <v>83</v>
      </c>
      <c r="Q200" s="25" t="s">
        <v>82</v>
      </c>
      <c r="R200" s="25" t="s">
        <v>91</v>
      </c>
      <c r="S200" s="25" t="s">
        <v>96</v>
      </c>
      <c r="T200" s="25" t="s">
        <v>96</v>
      </c>
      <c r="U200" s="25" t="s">
        <v>98</v>
      </c>
      <c r="V200" s="25" t="s">
        <v>230</v>
      </c>
      <c r="W200" s="25" t="s">
        <v>249</v>
      </c>
      <c r="X200" s="25" t="s">
        <v>1771</v>
      </c>
      <c r="Y200" s="25" t="s">
        <v>1750</v>
      </c>
      <c r="Z200" s="26">
        <v>40156</v>
      </c>
      <c r="AA200" s="776">
        <v>0</v>
      </c>
      <c r="AB200" s="776">
        <v>86</v>
      </c>
      <c r="AC200" s="776">
        <v>0</v>
      </c>
      <c r="AD200" s="776">
        <v>0</v>
      </c>
      <c r="AE200" s="777">
        <v>30.6</v>
      </c>
      <c r="AF200" s="777">
        <v>30.6</v>
      </c>
      <c r="AG200" s="778">
        <v>30.600016486582838</v>
      </c>
    </row>
    <row r="201" spans="1:33" x14ac:dyDescent="0.2">
      <c r="A201" s="15">
        <f t="shared" si="24"/>
        <v>2008</v>
      </c>
      <c r="B201" s="14">
        <f t="shared" si="25"/>
        <v>6</v>
      </c>
      <c r="C201" s="13" t="str">
        <f t="shared" si="26"/>
        <v>Q2</v>
      </c>
      <c r="D201" s="13" t="str">
        <f t="shared" si="27"/>
        <v>2008Q2</v>
      </c>
      <c r="E201" s="13" t="str">
        <f t="shared" si="28"/>
        <v>Brazil</v>
      </c>
      <c r="F201" s="13" t="str">
        <f t="shared" si="30"/>
        <v>Small Hydro</v>
      </c>
      <c r="G201" s="13" t="str">
        <f t="shared" si="31"/>
        <v>VC/PE investments</v>
      </c>
      <c r="H201" s="638">
        <f t="shared" si="29"/>
        <v>32.646684093764634</v>
      </c>
      <c r="I201" s="24" t="s">
        <v>87</v>
      </c>
      <c r="J201" s="25" t="s">
        <v>216</v>
      </c>
      <c r="K201" s="25" t="s">
        <v>215</v>
      </c>
      <c r="L201" s="25" t="s">
        <v>214</v>
      </c>
      <c r="M201" s="25" t="s">
        <v>31</v>
      </c>
      <c r="N201" s="25" t="s">
        <v>31</v>
      </c>
      <c r="O201" s="25" t="s">
        <v>92</v>
      </c>
      <c r="P201" s="25" t="s">
        <v>83</v>
      </c>
      <c r="Q201" s="25" t="s">
        <v>82</v>
      </c>
      <c r="R201" s="25" t="s">
        <v>91</v>
      </c>
      <c r="S201" s="25" t="s">
        <v>126</v>
      </c>
      <c r="T201" s="25" t="s">
        <v>125</v>
      </c>
      <c r="U201" s="25">
        <v>0</v>
      </c>
      <c r="V201" s="25">
        <v>0</v>
      </c>
      <c r="W201" s="25">
        <v>0</v>
      </c>
      <c r="X201" s="25" t="s">
        <v>213</v>
      </c>
      <c r="Y201" s="25" t="s">
        <v>212</v>
      </c>
      <c r="Z201" s="26">
        <v>39609.706250000003</v>
      </c>
      <c r="AA201" s="776" t="s">
        <v>1748</v>
      </c>
      <c r="AB201" s="776" t="s">
        <v>1748</v>
      </c>
      <c r="AC201" s="776" t="s">
        <v>1748</v>
      </c>
      <c r="AD201" s="776" t="s">
        <v>1748</v>
      </c>
      <c r="AE201" s="777">
        <v>30.5</v>
      </c>
      <c r="AF201" s="777">
        <v>30.5</v>
      </c>
      <c r="AG201" s="778">
        <v>32.646684093764634</v>
      </c>
    </row>
    <row r="202" spans="1:33" x14ac:dyDescent="0.2">
      <c r="A202" s="15">
        <f t="shared" si="24"/>
        <v>2008</v>
      </c>
      <c r="B202" s="14">
        <f t="shared" si="25"/>
        <v>8</v>
      </c>
      <c r="C202" s="13" t="str">
        <f t="shared" si="26"/>
        <v>Q3</v>
      </c>
      <c r="D202" s="13" t="str">
        <f t="shared" si="27"/>
        <v>2008Q3</v>
      </c>
      <c r="E202" s="13" t="str">
        <f t="shared" si="28"/>
        <v>Colombia</v>
      </c>
      <c r="F202" s="13" t="str">
        <f t="shared" si="30"/>
        <v>Solar</v>
      </c>
      <c r="G202" s="13" t="str">
        <f t="shared" si="31"/>
        <v>VC/PE investments</v>
      </c>
      <c r="H202" s="638">
        <f t="shared" si="29"/>
        <v>32.903436609140613</v>
      </c>
      <c r="I202" s="24" t="s">
        <v>87</v>
      </c>
      <c r="J202" s="25" t="s">
        <v>216</v>
      </c>
      <c r="K202" s="25" t="s">
        <v>218</v>
      </c>
      <c r="L202" s="25" t="s">
        <v>217</v>
      </c>
      <c r="M202" s="25" t="s">
        <v>9</v>
      </c>
      <c r="N202" s="25" t="s">
        <v>85</v>
      </c>
      <c r="O202" s="25" t="s">
        <v>92</v>
      </c>
      <c r="P202" s="25" t="s">
        <v>83</v>
      </c>
      <c r="Q202" s="25" t="s">
        <v>82</v>
      </c>
      <c r="R202" s="25"/>
      <c r="S202" s="25" t="s">
        <v>80</v>
      </c>
      <c r="T202" s="25" t="s">
        <v>80</v>
      </c>
      <c r="U202" s="25">
        <v>0</v>
      </c>
      <c r="V202" s="25">
        <v>0</v>
      </c>
      <c r="W202" s="25" t="s">
        <v>88</v>
      </c>
      <c r="X202" s="25" t="s">
        <v>213</v>
      </c>
      <c r="Y202" s="25" t="s">
        <v>212</v>
      </c>
      <c r="Z202" s="26">
        <v>39689</v>
      </c>
      <c r="AA202" s="776" t="s">
        <v>1748</v>
      </c>
      <c r="AB202" s="776" t="s">
        <v>1748</v>
      </c>
      <c r="AC202" s="776" t="s">
        <v>1748</v>
      </c>
      <c r="AD202" s="776" t="s">
        <v>1748</v>
      </c>
      <c r="AE202" s="777">
        <v>0</v>
      </c>
      <c r="AF202" s="777">
        <v>30</v>
      </c>
      <c r="AG202" s="778">
        <v>32.903436609140613</v>
      </c>
    </row>
    <row r="203" spans="1:33" x14ac:dyDescent="0.2">
      <c r="A203" s="15">
        <f t="shared" si="24"/>
        <v>2008</v>
      </c>
      <c r="B203" s="14">
        <f t="shared" si="25"/>
        <v>4</v>
      </c>
      <c r="C203" s="13" t="str">
        <f t="shared" si="26"/>
        <v>Q2</v>
      </c>
      <c r="D203" s="13" t="str">
        <f t="shared" si="27"/>
        <v>2008Q2</v>
      </c>
      <c r="E203" s="13" t="str">
        <f t="shared" si="28"/>
        <v>Brazil</v>
      </c>
      <c r="F203" s="13" t="str">
        <f t="shared" si="30"/>
        <v>Biofuels</v>
      </c>
      <c r="G203" s="13" t="str">
        <f t="shared" si="31"/>
        <v>Asset finance investments</v>
      </c>
      <c r="H203" s="638">
        <f t="shared" si="29"/>
        <v>30.088185395623452</v>
      </c>
      <c r="I203" s="24" t="s">
        <v>87</v>
      </c>
      <c r="J203" s="25" t="s">
        <v>246</v>
      </c>
      <c r="K203" s="25" t="s">
        <v>337</v>
      </c>
      <c r="L203" s="25" t="s">
        <v>336</v>
      </c>
      <c r="M203" s="25" t="s">
        <v>31</v>
      </c>
      <c r="N203" s="25" t="s">
        <v>31</v>
      </c>
      <c r="O203" s="25" t="s">
        <v>92</v>
      </c>
      <c r="P203" s="25" t="s">
        <v>83</v>
      </c>
      <c r="Q203" s="25" t="s">
        <v>82</v>
      </c>
      <c r="R203" s="25" t="s">
        <v>91</v>
      </c>
      <c r="S203" s="25" t="s">
        <v>96</v>
      </c>
      <c r="T203" s="25" t="s">
        <v>96</v>
      </c>
      <c r="U203" s="25" t="s">
        <v>98</v>
      </c>
      <c r="V203" s="25">
        <v>0</v>
      </c>
      <c r="W203" s="25" t="s">
        <v>245</v>
      </c>
      <c r="X203" s="25" t="s">
        <v>1752</v>
      </c>
      <c r="Y203" s="25" t="s">
        <v>1753</v>
      </c>
      <c r="Z203" s="26">
        <v>39542.59375</v>
      </c>
      <c r="AA203" s="776">
        <v>0</v>
      </c>
      <c r="AB203" s="776">
        <v>60</v>
      </c>
      <c r="AC203" s="776">
        <v>0</v>
      </c>
      <c r="AD203" s="776">
        <v>0</v>
      </c>
      <c r="AE203" s="777">
        <v>0</v>
      </c>
      <c r="AF203" s="777">
        <v>30</v>
      </c>
      <c r="AG203" s="778">
        <v>30.088185395623452</v>
      </c>
    </row>
    <row r="204" spans="1:33" x14ac:dyDescent="0.2">
      <c r="A204" s="15">
        <f t="shared" si="24"/>
        <v>2009</v>
      </c>
      <c r="B204" s="14">
        <f t="shared" si="25"/>
        <v>4</v>
      </c>
      <c r="C204" s="13" t="str">
        <f t="shared" si="26"/>
        <v>Q2</v>
      </c>
      <c r="D204" s="13" t="str">
        <f t="shared" si="27"/>
        <v>2009Q2</v>
      </c>
      <c r="E204" s="13" t="str">
        <f t="shared" si="28"/>
        <v>Brazil</v>
      </c>
      <c r="F204" s="13" t="str">
        <f t="shared" si="30"/>
        <v>Small Hydro</v>
      </c>
      <c r="G204" s="13" t="str">
        <f t="shared" si="31"/>
        <v>Asset finance investments</v>
      </c>
      <c r="H204" s="638">
        <f t="shared" si="29"/>
        <v>29.700016001683341</v>
      </c>
      <c r="I204" s="24" t="s">
        <v>87</v>
      </c>
      <c r="J204" s="25" t="s">
        <v>246</v>
      </c>
      <c r="K204" s="25" t="s">
        <v>391</v>
      </c>
      <c r="L204" s="25" t="s">
        <v>390</v>
      </c>
      <c r="M204" s="25" t="s">
        <v>31</v>
      </c>
      <c r="N204" s="25" t="s">
        <v>31</v>
      </c>
      <c r="O204" s="25" t="s">
        <v>92</v>
      </c>
      <c r="P204" s="25" t="s">
        <v>83</v>
      </c>
      <c r="Q204" s="25" t="s">
        <v>82</v>
      </c>
      <c r="R204" s="25" t="s">
        <v>91</v>
      </c>
      <c r="S204" s="25" t="s">
        <v>126</v>
      </c>
      <c r="T204" s="25" t="s">
        <v>125</v>
      </c>
      <c r="U204" s="25" t="s">
        <v>247</v>
      </c>
      <c r="V204" s="25">
        <v>0</v>
      </c>
      <c r="W204" s="25" t="s">
        <v>245</v>
      </c>
      <c r="X204" s="25" t="s">
        <v>1752</v>
      </c>
      <c r="Y204" s="25" t="s">
        <v>1753</v>
      </c>
      <c r="Z204" s="26">
        <v>39931</v>
      </c>
      <c r="AA204" s="776">
        <v>60</v>
      </c>
      <c r="AB204" s="776">
        <v>0</v>
      </c>
      <c r="AC204" s="776">
        <v>0</v>
      </c>
      <c r="AD204" s="776">
        <v>0</v>
      </c>
      <c r="AE204" s="777">
        <v>0</v>
      </c>
      <c r="AF204" s="777">
        <v>29.7</v>
      </c>
      <c r="AG204" s="778">
        <v>29.700016001683341</v>
      </c>
    </row>
    <row r="205" spans="1:33" x14ac:dyDescent="0.2">
      <c r="A205" s="15">
        <f t="shared" si="24"/>
        <v>2007</v>
      </c>
      <c r="B205" s="14">
        <f t="shared" si="25"/>
        <v>9</v>
      </c>
      <c r="C205" s="13" t="str">
        <f t="shared" si="26"/>
        <v>Q3</v>
      </c>
      <c r="D205" s="13" t="str">
        <f t="shared" si="27"/>
        <v>2007Q3</v>
      </c>
      <c r="E205" s="13" t="str">
        <f t="shared" si="28"/>
        <v>Brazil</v>
      </c>
      <c r="F205" s="13" t="str">
        <f t="shared" si="30"/>
        <v>Biofuels</v>
      </c>
      <c r="G205" s="13" t="str">
        <f t="shared" si="31"/>
        <v>Asset finance investments</v>
      </c>
      <c r="H205" s="638">
        <f t="shared" si="29"/>
        <v>32.633287702864926</v>
      </c>
      <c r="I205" s="24" t="s">
        <v>87</v>
      </c>
      <c r="J205" s="25" t="s">
        <v>246</v>
      </c>
      <c r="K205" s="25" t="s">
        <v>288</v>
      </c>
      <c r="L205" s="25" t="s">
        <v>287</v>
      </c>
      <c r="M205" s="25" t="s">
        <v>31</v>
      </c>
      <c r="N205" s="25" t="s">
        <v>31</v>
      </c>
      <c r="O205" s="25" t="s">
        <v>92</v>
      </c>
      <c r="P205" s="25" t="s">
        <v>83</v>
      </c>
      <c r="Q205" s="25" t="s">
        <v>82</v>
      </c>
      <c r="R205" s="25" t="s">
        <v>91</v>
      </c>
      <c r="S205" s="25" t="s">
        <v>96</v>
      </c>
      <c r="T205" s="25" t="s">
        <v>96</v>
      </c>
      <c r="U205" s="25" t="s">
        <v>98</v>
      </c>
      <c r="V205" s="25" t="s">
        <v>230</v>
      </c>
      <c r="W205" s="25" t="s">
        <v>245</v>
      </c>
      <c r="X205" s="25" t="s">
        <v>1752</v>
      </c>
      <c r="Y205" s="25" t="s">
        <v>1753</v>
      </c>
      <c r="Z205" s="26">
        <v>39349</v>
      </c>
      <c r="AA205" s="776">
        <v>0</v>
      </c>
      <c r="AB205" s="776">
        <v>104</v>
      </c>
      <c r="AC205" s="776">
        <v>0</v>
      </c>
      <c r="AD205" s="776">
        <v>0</v>
      </c>
      <c r="AE205" s="777">
        <v>28.8</v>
      </c>
      <c r="AF205" s="777">
        <v>28.8</v>
      </c>
      <c r="AG205" s="778">
        <v>32.633287702864926</v>
      </c>
    </row>
    <row r="206" spans="1:33" x14ac:dyDescent="0.2">
      <c r="A206" s="15">
        <f t="shared" si="24"/>
        <v>2012</v>
      </c>
      <c r="B206" s="14">
        <f t="shared" si="25"/>
        <v>10</v>
      </c>
      <c r="C206" s="13" t="str">
        <f t="shared" si="26"/>
        <v>Q4</v>
      </c>
      <c r="D206" s="13" t="str">
        <f t="shared" si="27"/>
        <v>2012Q4</v>
      </c>
      <c r="E206" s="13" t="str">
        <f t="shared" si="28"/>
        <v>Brazil</v>
      </c>
      <c r="F206" s="13" t="str">
        <f t="shared" si="30"/>
        <v>Small Hydro</v>
      </c>
      <c r="G206" s="13" t="str">
        <f t="shared" si="31"/>
        <v>Asset finance investments</v>
      </c>
      <c r="H206" s="638">
        <f t="shared" si="29"/>
        <v>39.133202447530898</v>
      </c>
      <c r="I206" s="24" t="s">
        <v>87</v>
      </c>
      <c r="J206" s="25" t="s">
        <v>246</v>
      </c>
      <c r="K206" s="25" t="s">
        <v>1923</v>
      </c>
      <c r="L206" s="25" t="s">
        <v>1924</v>
      </c>
      <c r="M206" s="25" t="s">
        <v>31</v>
      </c>
      <c r="N206" s="25" t="s">
        <v>31</v>
      </c>
      <c r="O206" s="25" t="s">
        <v>92</v>
      </c>
      <c r="P206" s="25" t="s">
        <v>83</v>
      </c>
      <c r="Q206" s="25" t="s">
        <v>82</v>
      </c>
      <c r="R206" s="25" t="s">
        <v>91</v>
      </c>
      <c r="S206" s="25" t="s">
        <v>126</v>
      </c>
      <c r="T206" s="25" t="s">
        <v>125</v>
      </c>
      <c r="U206" s="25" t="s">
        <v>247</v>
      </c>
      <c r="V206" s="25">
        <v>0</v>
      </c>
      <c r="W206" s="25" t="s">
        <v>245</v>
      </c>
      <c r="X206" s="25" t="s">
        <v>1752</v>
      </c>
      <c r="Y206" s="25" t="s">
        <v>1753</v>
      </c>
      <c r="Z206" s="26">
        <v>41193</v>
      </c>
      <c r="AA206" s="776">
        <v>60</v>
      </c>
      <c r="AB206" s="776">
        <v>0</v>
      </c>
      <c r="AC206" s="776">
        <v>0</v>
      </c>
      <c r="AD206" s="776">
        <v>0</v>
      </c>
      <c r="AE206" s="777">
        <v>0</v>
      </c>
      <c r="AF206" s="777">
        <v>28.8</v>
      </c>
      <c r="AG206" s="778">
        <v>39.133202447530898</v>
      </c>
    </row>
    <row r="207" spans="1:33" x14ac:dyDescent="0.2">
      <c r="A207" s="15">
        <f t="shared" si="24"/>
        <v>2010</v>
      </c>
      <c r="B207" s="14">
        <f t="shared" si="25"/>
        <v>7</v>
      </c>
      <c r="C207" s="13" t="str">
        <f t="shared" si="26"/>
        <v>Q3</v>
      </c>
      <c r="D207" s="13" t="str">
        <f t="shared" si="27"/>
        <v>2010Q3</v>
      </c>
      <c r="E207" s="13" t="str">
        <f t="shared" si="28"/>
        <v>Brazil</v>
      </c>
      <c r="F207" s="13" t="str">
        <f t="shared" si="30"/>
        <v>Biofuels</v>
      </c>
      <c r="G207" s="13" t="str">
        <f t="shared" si="31"/>
        <v>Asset finance investments</v>
      </c>
      <c r="H207" s="638">
        <f t="shared" si="29"/>
        <v>28.821475894004855</v>
      </c>
      <c r="I207" s="24" t="s">
        <v>87</v>
      </c>
      <c r="J207" s="25" t="s">
        <v>246</v>
      </c>
      <c r="K207" s="25" t="s">
        <v>1925</v>
      </c>
      <c r="L207" s="25" t="s">
        <v>1926</v>
      </c>
      <c r="M207" s="25" t="s">
        <v>31</v>
      </c>
      <c r="N207" s="25" t="s">
        <v>31</v>
      </c>
      <c r="O207" s="25" t="s">
        <v>92</v>
      </c>
      <c r="P207" s="25" t="s">
        <v>83</v>
      </c>
      <c r="Q207" s="25" t="s">
        <v>82</v>
      </c>
      <c r="R207" s="25" t="s">
        <v>91</v>
      </c>
      <c r="S207" s="25" t="s">
        <v>96</v>
      </c>
      <c r="T207" s="25" t="s">
        <v>96</v>
      </c>
      <c r="U207" s="25" t="s">
        <v>98</v>
      </c>
      <c r="V207" s="25" t="s">
        <v>230</v>
      </c>
      <c r="W207" s="25" t="s">
        <v>245</v>
      </c>
      <c r="X207" s="25" t="s">
        <v>1752</v>
      </c>
      <c r="Y207" s="25" t="s">
        <v>1753</v>
      </c>
      <c r="Z207" s="26">
        <v>40390</v>
      </c>
      <c r="AA207" s="776">
        <v>6</v>
      </c>
      <c r="AB207" s="776">
        <v>84.4</v>
      </c>
      <c r="AC207" s="776">
        <v>0</v>
      </c>
      <c r="AD207" s="776">
        <v>0</v>
      </c>
      <c r="AE207" s="777">
        <v>28.8</v>
      </c>
      <c r="AF207" s="777">
        <v>28.8</v>
      </c>
      <c r="AG207" s="778">
        <v>28.821475894004855</v>
      </c>
    </row>
    <row r="208" spans="1:33" x14ac:dyDescent="0.2">
      <c r="A208" s="15">
        <f t="shared" si="24"/>
        <v>2011</v>
      </c>
      <c r="B208" s="14">
        <f t="shared" si="25"/>
        <v>5</v>
      </c>
      <c r="C208" s="13" t="str">
        <f t="shared" si="26"/>
        <v>Q2</v>
      </c>
      <c r="D208" s="13" t="str">
        <f t="shared" si="27"/>
        <v>2011Q2</v>
      </c>
      <c r="E208" s="13" t="str">
        <f t="shared" si="28"/>
        <v>Brazil</v>
      </c>
      <c r="F208" s="13" t="str">
        <f t="shared" si="30"/>
        <v>Biofuels</v>
      </c>
      <c r="G208" s="13" t="str">
        <f t="shared" si="31"/>
        <v>Corporate finance investments</v>
      </c>
      <c r="H208" s="638">
        <f t="shared" si="29"/>
        <v>28.314840382828265</v>
      </c>
      <c r="I208" s="24" t="s">
        <v>87</v>
      </c>
      <c r="J208" s="25" t="s">
        <v>86</v>
      </c>
      <c r="K208" s="25" t="s">
        <v>197</v>
      </c>
      <c r="L208" s="25" t="s">
        <v>135</v>
      </c>
      <c r="M208" s="25" t="s">
        <v>31</v>
      </c>
      <c r="N208" s="25" t="s">
        <v>31</v>
      </c>
      <c r="O208" s="25" t="s">
        <v>92</v>
      </c>
      <c r="P208" s="25" t="s">
        <v>83</v>
      </c>
      <c r="Q208" s="25" t="s">
        <v>82</v>
      </c>
      <c r="R208" s="25" t="s">
        <v>91</v>
      </c>
      <c r="S208" s="25" t="s">
        <v>96</v>
      </c>
      <c r="T208" s="25" t="s">
        <v>96</v>
      </c>
      <c r="U208" s="25">
        <v>0</v>
      </c>
      <c r="V208" s="25">
        <v>0</v>
      </c>
      <c r="W208" s="25" t="s">
        <v>94</v>
      </c>
      <c r="X208" s="25" t="s">
        <v>1747</v>
      </c>
      <c r="Y208" s="25" t="e">
        <v>#N/A</v>
      </c>
      <c r="Z208" s="26">
        <v>40686</v>
      </c>
      <c r="AA208" s="776" t="s">
        <v>1748</v>
      </c>
      <c r="AB208" s="776" t="s">
        <v>1748</v>
      </c>
      <c r="AC208" s="776" t="s">
        <v>1748</v>
      </c>
      <c r="AD208" s="776" t="s">
        <v>1748</v>
      </c>
      <c r="AE208" s="777">
        <v>0</v>
      </c>
      <c r="AF208" s="777">
        <v>28.123999999999999</v>
      </c>
      <c r="AG208" s="778">
        <v>28.314840382828265</v>
      </c>
    </row>
    <row r="209" spans="1:33" x14ac:dyDescent="0.2">
      <c r="A209" s="15">
        <f t="shared" si="24"/>
        <v>2006</v>
      </c>
      <c r="B209" s="14">
        <f t="shared" si="25"/>
        <v>4</v>
      </c>
      <c r="C209" s="13" t="str">
        <f t="shared" si="26"/>
        <v>Q2</v>
      </c>
      <c r="D209" s="13" t="str">
        <f t="shared" si="27"/>
        <v>2006Q2</v>
      </c>
      <c r="E209" s="13" t="str">
        <f t="shared" si="28"/>
        <v>Brazil</v>
      </c>
      <c r="F209" s="13" t="str">
        <f t="shared" si="30"/>
        <v>Biofuels</v>
      </c>
      <c r="G209" s="13" t="str">
        <f t="shared" si="31"/>
        <v>Asset finance investments</v>
      </c>
      <c r="H209" s="638">
        <f t="shared" si="29"/>
        <v>26.954999999999998</v>
      </c>
      <c r="I209" s="24" t="s">
        <v>87</v>
      </c>
      <c r="J209" s="25" t="s">
        <v>246</v>
      </c>
      <c r="K209" s="25" t="s">
        <v>260</v>
      </c>
      <c r="L209" s="25" t="s">
        <v>1927</v>
      </c>
      <c r="M209" s="25" t="s">
        <v>31</v>
      </c>
      <c r="N209" s="25" t="s">
        <v>31</v>
      </c>
      <c r="O209" s="25" t="s">
        <v>92</v>
      </c>
      <c r="P209" s="25" t="s">
        <v>83</v>
      </c>
      <c r="Q209" s="25" t="s">
        <v>82</v>
      </c>
      <c r="R209" s="25" t="s">
        <v>91</v>
      </c>
      <c r="S209" s="25" t="s">
        <v>96</v>
      </c>
      <c r="T209" s="25" t="s">
        <v>96</v>
      </c>
      <c r="U209" s="25" t="s">
        <v>98</v>
      </c>
      <c r="V209" s="25" t="s">
        <v>230</v>
      </c>
      <c r="W209" s="25" t="s">
        <v>245</v>
      </c>
      <c r="X209" s="25" t="s">
        <v>1752</v>
      </c>
      <c r="Y209" s="25" t="s">
        <v>1753</v>
      </c>
      <c r="Z209" s="26">
        <v>38830</v>
      </c>
      <c r="AA209" s="776">
        <v>6</v>
      </c>
      <c r="AB209" s="776">
        <v>84.4</v>
      </c>
      <c r="AC209" s="776">
        <v>0</v>
      </c>
      <c r="AD209" s="776">
        <v>0</v>
      </c>
      <c r="AE209" s="777">
        <v>0</v>
      </c>
      <c r="AF209" s="777">
        <v>26.954999999999998</v>
      </c>
      <c r="AG209" s="778">
        <v>26.954999999999998</v>
      </c>
    </row>
    <row r="210" spans="1:33" x14ac:dyDescent="0.2">
      <c r="A210" s="15">
        <f t="shared" si="24"/>
        <v>2012</v>
      </c>
      <c r="B210" s="14">
        <f t="shared" si="25"/>
        <v>6</v>
      </c>
      <c r="C210" s="13" t="str">
        <f t="shared" si="26"/>
        <v>Q2</v>
      </c>
      <c r="D210" s="13" t="str">
        <f t="shared" si="27"/>
        <v>2012Q2</v>
      </c>
      <c r="E210" s="13" t="str">
        <f t="shared" si="28"/>
        <v>Brazil</v>
      </c>
      <c r="F210" s="13" t="str">
        <f t="shared" si="30"/>
        <v>Biofuels</v>
      </c>
      <c r="G210" s="13" t="str">
        <f t="shared" si="31"/>
        <v>Asset finance investments</v>
      </c>
      <c r="H210" s="638">
        <f t="shared" si="29"/>
        <v>26.090172479494754</v>
      </c>
      <c r="I210" s="24" t="s">
        <v>87</v>
      </c>
      <c r="J210" s="25" t="s">
        <v>246</v>
      </c>
      <c r="K210" s="25" t="s">
        <v>1928</v>
      </c>
      <c r="L210" s="25" t="s">
        <v>1929</v>
      </c>
      <c r="M210" s="25" t="s">
        <v>31</v>
      </c>
      <c r="N210" s="25" t="s">
        <v>31</v>
      </c>
      <c r="O210" s="25" t="s">
        <v>92</v>
      </c>
      <c r="P210" s="25" t="s">
        <v>83</v>
      </c>
      <c r="Q210" s="25" t="s">
        <v>82</v>
      </c>
      <c r="R210" s="25" t="s">
        <v>91</v>
      </c>
      <c r="S210" s="25" t="s">
        <v>96</v>
      </c>
      <c r="T210" s="25" t="s">
        <v>96</v>
      </c>
      <c r="U210" s="25" t="s">
        <v>1930</v>
      </c>
      <c r="V210" s="25" t="s">
        <v>1931</v>
      </c>
      <c r="W210" s="25" t="s">
        <v>249</v>
      </c>
      <c r="X210" s="25" t="s">
        <v>1806</v>
      </c>
      <c r="Y210" s="25" t="s">
        <v>1750</v>
      </c>
      <c r="Z210" s="26">
        <v>41079</v>
      </c>
      <c r="AA210" s="776">
        <v>0</v>
      </c>
      <c r="AB210" s="776">
        <v>45</v>
      </c>
      <c r="AC210" s="776">
        <v>0</v>
      </c>
      <c r="AD210" s="776">
        <v>0</v>
      </c>
      <c r="AE210" s="777">
        <v>25.6</v>
      </c>
      <c r="AF210" s="777">
        <v>25.6</v>
      </c>
      <c r="AG210" s="778">
        <v>26.090172479494754</v>
      </c>
    </row>
    <row r="211" spans="1:33" x14ac:dyDescent="0.2">
      <c r="A211" s="15">
        <f t="shared" si="24"/>
        <v>2012</v>
      </c>
      <c r="B211" s="14">
        <f t="shared" si="25"/>
        <v>7</v>
      </c>
      <c r="C211" s="13" t="str">
        <f t="shared" si="26"/>
        <v>Q3</v>
      </c>
      <c r="D211" s="13" t="str">
        <f t="shared" si="27"/>
        <v>2012Q3</v>
      </c>
      <c r="E211" s="13" t="str">
        <f t="shared" si="28"/>
        <v>Brazil</v>
      </c>
      <c r="F211" s="13" t="str">
        <f t="shared" si="30"/>
        <v>Biofuels</v>
      </c>
      <c r="G211" s="13" t="str">
        <f t="shared" si="31"/>
        <v>Asset finance investments</v>
      </c>
      <c r="H211" s="638">
        <f t="shared" si="29"/>
        <v>25.992131458490434</v>
      </c>
      <c r="I211" s="24" t="s">
        <v>87</v>
      </c>
      <c r="J211" s="25" t="s">
        <v>246</v>
      </c>
      <c r="K211" s="25" t="s">
        <v>1932</v>
      </c>
      <c r="L211" s="25" t="s">
        <v>1933</v>
      </c>
      <c r="M211" s="25" t="s">
        <v>31</v>
      </c>
      <c r="N211" s="25" t="s">
        <v>31</v>
      </c>
      <c r="O211" s="25" t="s">
        <v>92</v>
      </c>
      <c r="P211" s="25" t="s">
        <v>83</v>
      </c>
      <c r="Q211" s="25" t="s">
        <v>82</v>
      </c>
      <c r="R211" s="25" t="s">
        <v>91</v>
      </c>
      <c r="S211" s="25" t="s">
        <v>96</v>
      </c>
      <c r="T211" s="25" t="s">
        <v>96</v>
      </c>
      <c r="U211" s="25" t="s">
        <v>1930</v>
      </c>
      <c r="V211" s="25" t="s">
        <v>1931</v>
      </c>
      <c r="W211" s="25" t="s">
        <v>249</v>
      </c>
      <c r="X211" s="25" t="s">
        <v>1749</v>
      </c>
      <c r="Y211" s="25" t="s">
        <v>1750</v>
      </c>
      <c r="Z211" s="26">
        <v>41103</v>
      </c>
      <c r="AA211" s="776">
        <v>0</v>
      </c>
      <c r="AB211" s="776">
        <v>45</v>
      </c>
      <c r="AC211" s="776">
        <v>0</v>
      </c>
      <c r="AD211" s="776">
        <v>0</v>
      </c>
      <c r="AE211" s="777">
        <v>25.5</v>
      </c>
      <c r="AF211" s="777">
        <v>25.5</v>
      </c>
      <c r="AG211" s="778">
        <v>25.992131458490434</v>
      </c>
    </row>
    <row r="212" spans="1:33" x14ac:dyDescent="0.2">
      <c r="A212" s="15">
        <f t="shared" si="24"/>
        <v>2011</v>
      </c>
      <c r="B212" s="14">
        <f t="shared" si="25"/>
        <v>12</v>
      </c>
      <c r="C212" s="13" t="str">
        <f t="shared" si="26"/>
        <v>Q4</v>
      </c>
      <c r="D212" s="13" t="str">
        <f t="shared" si="27"/>
        <v>2011Q4</v>
      </c>
      <c r="E212" s="13" t="str">
        <f t="shared" si="28"/>
        <v>Brazil</v>
      </c>
      <c r="F212" s="13" t="str">
        <f t="shared" si="30"/>
        <v>Biofuels</v>
      </c>
      <c r="G212" s="13" t="str">
        <f t="shared" si="31"/>
        <v>Corporate finance investments</v>
      </c>
      <c r="H212" s="638">
        <f t="shared" si="29"/>
        <v>25.169641927560328</v>
      </c>
      <c r="I212" s="24" t="s">
        <v>87</v>
      </c>
      <c r="J212" s="25" t="s">
        <v>86</v>
      </c>
      <c r="K212" s="25" t="s">
        <v>1934</v>
      </c>
      <c r="L212" s="25" t="s">
        <v>206</v>
      </c>
      <c r="M212" s="25" t="s">
        <v>31</v>
      </c>
      <c r="N212" s="25" t="s">
        <v>31</v>
      </c>
      <c r="O212" s="25" t="s">
        <v>92</v>
      </c>
      <c r="P212" s="25" t="s">
        <v>83</v>
      </c>
      <c r="Q212" s="25" t="s">
        <v>82</v>
      </c>
      <c r="R212" s="25" t="s">
        <v>91</v>
      </c>
      <c r="S212" s="25" t="s">
        <v>96</v>
      </c>
      <c r="T212" s="25" t="s">
        <v>96</v>
      </c>
      <c r="U212" s="25" t="s">
        <v>98</v>
      </c>
      <c r="V212" s="25">
        <v>0</v>
      </c>
      <c r="W212" s="25" t="s">
        <v>97</v>
      </c>
      <c r="X212" s="25" t="s">
        <v>1747</v>
      </c>
      <c r="Y212" s="25" t="e">
        <v>#N/A</v>
      </c>
      <c r="Z212" s="26">
        <v>40908</v>
      </c>
      <c r="AA212" s="776" t="s">
        <v>1748</v>
      </c>
      <c r="AB212" s="776" t="s">
        <v>1748</v>
      </c>
      <c r="AC212" s="776" t="s">
        <v>1748</v>
      </c>
      <c r="AD212" s="776" t="s">
        <v>1748</v>
      </c>
      <c r="AE212" s="777">
        <v>25</v>
      </c>
      <c r="AF212" s="777">
        <v>25</v>
      </c>
      <c r="AG212" s="778">
        <v>25.169641927560328</v>
      </c>
    </row>
    <row r="213" spans="1:33" x14ac:dyDescent="0.2">
      <c r="A213" s="15">
        <f t="shared" si="24"/>
        <v>2007</v>
      </c>
      <c r="B213" s="14">
        <f t="shared" si="25"/>
        <v>6</v>
      </c>
      <c r="C213" s="13" t="str">
        <f t="shared" si="26"/>
        <v>Q2</v>
      </c>
      <c r="D213" s="13" t="str">
        <f t="shared" si="27"/>
        <v>2007Q2</v>
      </c>
      <c r="E213" s="13" t="str">
        <f t="shared" si="28"/>
        <v>Mexico</v>
      </c>
      <c r="F213" s="13" t="str">
        <f t="shared" si="30"/>
        <v>Wind</v>
      </c>
      <c r="G213" s="13" t="str">
        <f t="shared" si="31"/>
        <v>Asset finance investments</v>
      </c>
      <c r="H213" s="638">
        <f t="shared" si="29"/>
        <v>25.978220982451187</v>
      </c>
      <c r="I213" s="24" t="s">
        <v>87</v>
      </c>
      <c r="J213" s="25" t="s">
        <v>246</v>
      </c>
      <c r="K213" s="25" t="s">
        <v>285</v>
      </c>
      <c r="L213" s="25" t="s">
        <v>284</v>
      </c>
      <c r="M213" s="25" t="s">
        <v>18</v>
      </c>
      <c r="N213" s="25" t="s">
        <v>85</v>
      </c>
      <c r="O213" s="25" t="s">
        <v>92</v>
      </c>
      <c r="P213" s="25" t="s">
        <v>83</v>
      </c>
      <c r="Q213" s="25" t="s">
        <v>129</v>
      </c>
      <c r="R213" s="25"/>
      <c r="S213" s="25" t="s">
        <v>101</v>
      </c>
      <c r="T213" s="25" t="s">
        <v>101</v>
      </c>
      <c r="U213" s="25" t="s">
        <v>112</v>
      </c>
      <c r="V213" s="25">
        <v>0</v>
      </c>
      <c r="W213" s="25" t="s">
        <v>245</v>
      </c>
      <c r="X213" s="25" t="s">
        <v>1752</v>
      </c>
      <c r="Y213" s="25" t="s">
        <v>1753</v>
      </c>
      <c r="Z213" s="26">
        <v>39262.722916666702</v>
      </c>
      <c r="AA213" s="776">
        <v>250</v>
      </c>
      <c r="AB213" s="776">
        <v>0</v>
      </c>
      <c r="AC213" s="776">
        <v>0</v>
      </c>
      <c r="AD213" s="776">
        <v>0</v>
      </c>
      <c r="AE213" s="777">
        <v>0</v>
      </c>
      <c r="AF213" s="777">
        <v>25</v>
      </c>
      <c r="AG213" s="778">
        <v>25.978220982451187</v>
      </c>
    </row>
    <row r="214" spans="1:33" x14ac:dyDescent="0.2">
      <c r="A214" s="15">
        <f t="shared" si="24"/>
        <v>2012</v>
      </c>
      <c r="B214" s="14">
        <f t="shared" si="25"/>
        <v>8</v>
      </c>
      <c r="C214" s="13" t="str">
        <f t="shared" si="26"/>
        <v>Q3</v>
      </c>
      <c r="D214" s="13" t="str">
        <f t="shared" si="27"/>
        <v>2012Q3</v>
      </c>
      <c r="E214" s="13" t="str">
        <f t="shared" si="28"/>
        <v>Brazil</v>
      </c>
      <c r="F214" s="13" t="str">
        <f t="shared" si="30"/>
        <v>Small Hydro</v>
      </c>
      <c r="G214" s="13" t="str">
        <f t="shared" si="31"/>
        <v>Asset finance investments</v>
      </c>
      <c r="H214" s="638">
        <f t="shared" si="29"/>
        <v>24.870902258320257</v>
      </c>
      <c r="I214" s="24" t="s">
        <v>87</v>
      </c>
      <c r="J214" s="25" t="s">
        <v>246</v>
      </c>
      <c r="K214" s="25" t="s">
        <v>1935</v>
      </c>
      <c r="L214" s="25" t="s">
        <v>1936</v>
      </c>
      <c r="M214" s="25" t="s">
        <v>31</v>
      </c>
      <c r="N214" s="25" t="s">
        <v>31</v>
      </c>
      <c r="O214" s="25" t="s">
        <v>92</v>
      </c>
      <c r="P214" s="25" t="s">
        <v>83</v>
      </c>
      <c r="Q214" s="25" t="s">
        <v>82</v>
      </c>
      <c r="R214" s="25" t="s">
        <v>91</v>
      </c>
      <c r="S214" s="25" t="s">
        <v>126</v>
      </c>
      <c r="T214" s="25" t="s">
        <v>125</v>
      </c>
      <c r="U214" s="25" t="s">
        <v>247</v>
      </c>
      <c r="V214" s="25">
        <v>0</v>
      </c>
      <c r="W214" s="25" t="s">
        <v>249</v>
      </c>
      <c r="X214" s="25" t="s">
        <v>1749</v>
      </c>
      <c r="Y214" s="25" t="s">
        <v>1750</v>
      </c>
      <c r="Z214" s="26">
        <v>41128</v>
      </c>
      <c r="AA214" s="776">
        <v>30</v>
      </c>
      <c r="AB214" s="776">
        <v>0</v>
      </c>
      <c r="AC214" s="776">
        <v>0</v>
      </c>
      <c r="AD214" s="776">
        <v>0</v>
      </c>
      <c r="AE214" s="777">
        <v>24.4</v>
      </c>
      <c r="AF214" s="777">
        <v>24.4</v>
      </c>
      <c r="AG214" s="778">
        <v>24.870902258320257</v>
      </c>
    </row>
    <row r="215" spans="1:33" x14ac:dyDescent="0.2">
      <c r="A215" s="15">
        <f t="shared" si="24"/>
        <v>2008</v>
      </c>
      <c r="B215" s="14">
        <f t="shared" si="25"/>
        <v>8</v>
      </c>
      <c r="C215" s="13" t="str">
        <f t="shared" si="26"/>
        <v>Q3</v>
      </c>
      <c r="D215" s="13" t="str">
        <f t="shared" si="27"/>
        <v>2008Q3</v>
      </c>
      <c r="E215" s="13" t="str">
        <f t="shared" si="28"/>
        <v>Brazil</v>
      </c>
      <c r="F215" s="13" t="str">
        <f t="shared" si="30"/>
        <v>Wind</v>
      </c>
      <c r="G215" s="13" t="str">
        <f t="shared" si="31"/>
        <v>Asset finance investments</v>
      </c>
      <c r="H215" s="638">
        <f t="shared" si="29"/>
        <v>24.366351284760206</v>
      </c>
      <c r="I215" s="24" t="s">
        <v>87</v>
      </c>
      <c r="J215" s="25" t="s">
        <v>246</v>
      </c>
      <c r="K215" s="25" t="s">
        <v>333</v>
      </c>
      <c r="L215" s="25" t="s">
        <v>332</v>
      </c>
      <c r="M215" s="25" t="s">
        <v>31</v>
      </c>
      <c r="N215" s="25" t="s">
        <v>31</v>
      </c>
      <c r="O215" s="25" t="s">
        <v>92</v>
      </c>
      <c r="P215" s="25" t="s">
        <v>83</v>
      </c>
      <c r="Q215" s="25" t="s">
        <v>82</v>
      </c>
      <c r="R215" s="25" t="s">
        <v>91</v>
      </c>
      <c r="S215" s="25" t="s">
        <v>101</v>
      </c>
      <c r="T215" s="25" t="s">
        <v>101</v>
      </c>
      <c r="U215" s="25" t="s">
        <v>112</v>
      </c>
      <c r="V215" s="25">
        <v>0</v>
      </c>
      <c r="W215" s="25" t="s">
        <v>245</v>
      </c>
      <c r="X215" s="25" t="s">
        <v>1752</v>
      </c>
      <c r="Y215" s="25" t="s">
        <v>1753</v>
      </c>
      <c r="Z215" s="26">
        <v>39682</v>
      </c>
      <c r="AA215" s="776">
        <v>161.5</v>
      </c>
      <c r="AB215" s="776">
        <v>0</v>
      </c>
      <c r="AC215" s="776">
        <v>0</v>
      </c>
      <c r="AD215" s="776">
        <v>0</v>
      </c>
      <c r="AE215" s="777">
        <v>24.225000000000001</v>
      </c>
      <c r="AF215" s="777">
        <v>24.225000000000001</v>
      </c>
      <c r="AG215" s="778">
        <v>24.366351284760206</v>
      </c>
    </row>
    <row r="216" spans="1:33" x14ac:dyDescent="0.2">
      <c r="A216" s="15">
        <f t="shared" si="24"/>
        <v>2007</v>
      </c>
      <c r="B216" s="14">
        <f t="shared" si="25"/>
        <v>9</v>
      </c>
      <c r="C216" s="13" t="str">
        <f t="shared" si="26"/>
        <v>Q3</v>
      </c>
      <c r="D216" s="13" t="str">
        <f t="shared" si="27"/>
        <v>2007Q3</v>
      </c>
      <c r="E216" s="13" t="str">
        <f t="shared" si="28"/>
        <v>Brazil</v>
      </c>
      <c r="F216" s="13" t="str">
        <f t="shared" si="30"/>
        <v>Biofuels</v>
      </c>
      <c r="G216" s="13" t="str">
        <f t="shared" si="31"/>
        <v>Asset finance investments</v>
      </c>
      <c r="H216" s="638">
        <f t="shared" si="29"/>
        <v>27.194406419054111</v>
      </c>
      <c r="I216" s="24" t="s">
        <v>87</v>
      </c>
      <c r="J216" s="25" t="s">
        <v>246</v>
      </c>
      <c r="K216" s="25" t="s">
        <v>286</v>
      </c>
      <c r="L216" s="25" t="s">
        <v>1937</v>
      </c>
      <c r="M216" s="25" t="s">
        <v>31</v>
      </c>
      <c r="N216" s="25" t="s">
        <v>31</v>
      </c>
      <c r="O216" s="25" t="s">
        <v>92</v>
      </c>
      <c r="P216" s="25" t="s">
        <v>83</v>
      </c>
      <c r="Q216" s="25" t="s">
        <v>82</v>
      </c>
      <c r="R216" s="25" t="s">
        <v>91</v>
      </c>
      <c r="S216" s="25" t="s">
        <v>96</v>
      </c>
      <c r="T216" s="25" t="s">
        <v>96</v>
      </c>
      <c r="U216" s="25" t="s">
        <v>98</v>
      </c>
      <c r="V216" s="25">
        <v>0</v>
      </c>
      <c r="W216" s="25" t="s">
        <v>245</v>
      </c>
      <c r="X216" s="25" t="s">
        <v>1752</v>
      </c>
      <c r="Y216" s="25" t="s">
        <v>1753</v>
      </c>
      <c r="Z216" s="26">
        <v>39349.493055555598</v>
      </c>
      <c r="AA216" s="776">
        <v>0</v>
      </c>
      <c r="AB216" s="776">
        <v>0</v>
      </c>
      <c r="AC216" s="776">
        <v>0</v>
      </c>
      <c r="AD216" s="776">
        <v>0</v>
      </c>
      <c r="AE216" s="777">
        <v>24</v>
      </c>
      <c r="AF216" s="777">
        <v>24</v>
      </c>
      <c r="AG216" s="778">
        <v>27.194406419054111</v>
      </c>
    </row>
    <row r="217" spans="1:33" x14ac:dyDescent="0.2">
      <c r="A217" s="15">
        <f t="shared" si="24"/>
        <v>2008</v>
      </c>
      <c r="B217" s="14">
        <f t="shared" si="25"/>
        <v>1</v>
      </c>
      <c r="C217" s="13" t="str">
        <f t="shared" si="26"/>
        <v>Q1</v>
      </c>
      <c r="D217" s="13" t="str">
        <f t="shared" si="27"/>
        <v>2008Q1</v>
      </c>
      <c r="E217" s="13" t="str">
        <f t="shared" si="28"/>
        <v>Brazil</v>
      </c>
      <c r="F217" s="13" t="str">
        <f t="shared" si="30"/>
        <v>Biofuels</v>
      </c>
      <c r="G217" s="13" t="str">
        <f t="shared" si="31"/>
        <v>Corporate finance investments</v>
      </c>
      <c r="H217" s="638">
        <f t="shared" si="29"/>
        <v>24.89596753585203</v>
      </c>
      <c r="I217" s="24" t="s">
        <v>87</v>
      </c>
      <c r="J217" s="25" t="s">
        <v>86</v>
      </c>
      <c r="K217" s="25" t="s">
        <v>136</v>
      </c>
      <c r="L217" s="25" t="s">
        <v>135</v>
      </c>
      <c r="M217" s="25" t="s">
        <v>31</v>
      </c>
      <c r="N217" s="25" t="s">
        <v>31</v>
      </c>
      <c r="O217" s="25" t="s">
        <v>92</v>
      </c>
      <c r="P217" s="25" t="s">
        <v>83</v>
      </c>
      <c r="Q217" s="25" t="s">
        <v>82</v>
      </c>
      <c r="R217" s="25" t="s">
        <v>91</v>
      </c>
      <c r="S217" s="25" t="s">
        <v>96</v>
      </c>
      <c r="T217" s="25" t="s">
        <v>96</v>
      </c>
      <c r="U217" s="25" t="s">
        <v>98</v>
      </c>
      <c r="V217" s="25">
        <v>0</v>
      </c>
      <c r="W217" s="25" t="s">
        <v>94</v>
      </c>
      <c r="X217" s="25" t="s">
        <v>1747</v>
      </c>
      <c r="Y217" s="25" t="e">
        <v>#N/A</v>
      </c>
      <c r="Z217" s="26">
        <v>39464</v>
      </c>
      <c r="AA217" s="776" t="s">
        <v>1748</v>
      </c>
      <c r="AB217" s="776" t="s">
        <v>1748</v>
      </c>
      <c r="AC217" s="776" t="s">
        <v>1748</v>
      </c>
      <c r="AD217" s="776" t="s">
        <v>1748</v>
      </c>
      <c r="AE217" s="777">
        <v>0</v>
      </c>
      <c r="AF217" s="777">
        <v>23.54</v>
      </c>
      <c r="AG217" s="778">
        <v>24.89596753585203</v>
      </c>
    </row>
    <row r="218" spans="1:33" x14ac:dyDescent="0.2">
      <c r="A218" s="15">
        <f t="shared" si="24"/>
        <v>2011</v>
      </c>
      <c r="B218" s="14">
        <f t="shared" si="25"/>
        <v>11</v>
      </c>
      <c r="C218" s="13" t="str">
        <f t="shared" si="26"/>
        <v>Q4</v>
      </c>
      <c r="D218" s="13" t="str">
        <f t="shared" si="27"/>
        <v>2011Q4</v>
      </c>
      <c r="E218" s="13" t="str">
        <f t="shared" si="28"/>
        <v>Brazil</v>
      </c>
      <c r="F218" s="13" t="str">
        <f t="shared" si="30"/>
        <v>Small Hydro</v>
      </c>
      <c r="G218" s="13" t="str">
        <f t="shared" si="31"/>
        <v>Asset finance investments</v>
      </c>
      <c r="H218" s="638">
        <f t="shared" si="29"/>
        <v>23.458106276486227</v>
      </c>
      <c r="I218" s="24" t="s">
        <v>87</v>
      </c>
      <c r="J218" s="25" t="s">
        <v>246</v>
      </c>
      <c r="K218" s="25" t="s">
        <v>458</v>
      </c>
      <c r="L218" s="25" t="s">
        <v>457</v>
      </c>
      <c r="M218" s="25" t="s">
        <v>31</v>
      </c>
      <c r="N218" s="25" t="s">
        <v>31</v>
      </c>
      <c r="O218" s="25" t="s">
        <v>92</v>
      </c>
      <c r="P218" s="25" t="s">
        <v>83</v>
      </c>
      <c r="Q218" s="25" t="s">
        <v>82</v>
      </c>
      <c r="R218" s="25" t="s">
        <v>91</v>
      </c>
      <c r="S218" s="25" t="s">
        <v>126</v>
      </c>
      <c r="T218" s="25" t="s">
        <v>125</v>
      </c>
      <c r="U218" s="25" t="s">
        <v>247</v>
      </c>
      <c r="V218" s="25">
        <v>0</v>
      </c>
      <c r="W218" s="25" t="s">
        <v>249</v>
      </c>
      <c r="X218" s="25" t="s">
        <v>1749</v>
      </c>
      <c r="Y218" s="25" t="s">
        <v>1750</v>
      </c>
      <c r="Z218" s="26">
        <v>40877</v>
      </c>
      <c r="AA218" s="776">
        <v>6.7</v>
      </c>
      <c r="AB218" s="776">
        <v>0</v>
      </c>
      <c r="AC218" s="776">
        <v>0</v>
      </c>
      <c r="AD218" s="776">
        <v>0</v>
      </c>
      <c r="AE218" s="777">
        <v>23.3</v>
      </c>
      <c r="AF218" s="777">
        <v>23.3</v>
      </c>
      <c r="AG218" s="778">
        <v>23.458106276486227</v>
      </c>
    </row>
    <row r="219" spans="1:33" x14ac:dyDescent="0.2">
      <c r="A219" s="15">
        <f t="shared" si="24"/>
        <v>2007</v>
      </c>
      <c r="B219" s="14">
        <f t="shared" si="25"/>
        <v>9</v>
      </c>
      <c r="C219" s="13" t="str">
        <f t="shared" si="26"/>
        <v>Q3</v>
      </c>
      <c r="D219" s="13" t="str">
        <f t="shared" si="27"/>
        <v>2007Q3</v>
      </c>
      <c r="E219" s="13" t="str">
        <f t="shared" si="28"/>
        <v>Brazil</v>
      </c>
      <c r="F219" s="13" t="str">
        <f t="shared" si="30"/>
        <v>Biomass &amp; Waste</v>
      </c>
      <c r="G219" s="13" t="str">
        <f t="shared" si="31"/>
        <v>Corporate finance investments</v>
      </c>
      <c r="H219" s="638">
        <f t="shared" si="29"/>
        <v>24.734114618801307</v>
      </c>
      <c r="I219" s="24" t="s">
        <v>87</v>
      </c>
      <c r="J219" s="25" t="s">
        <v>86</v>
      </c>
      <c r="K219" s="25" t="s">
        <v>116</v>
      </c>
      <c r="L219" s="25" t="s">
        <v>115</v>
      </c>
      <c r="M219" s="25" t="s">
        <v>31</v>
      </c>
      <c r="N219" s="25" t="s">
        <v>31</v>
      </c>
      <c r="O219" s="25" t="s">
        <v>92</v>
      </c>
      <c r="P219" s="25" t="s">
        <v>83</v>
      </c>
      <c r="Q219" s="25" t="s">
        <v>82</v>
      </c>
      <c r="R219" s="25" t="s">
        <v>91</v>
      </c>
      <c r="S219" s="25" t="s">
        <v>114</v>
      </c>
      <c r="T219" s="25" t="s">
        <v>114</v>
      </c>
      <c r="U219" s="25" t="s">
        <v>113</v>
      </c>
      <c r="V219" s="25">
        <v>0</v>
      </c>
      <c r="W219" s="25" t="s">
        <v>94</v>
      </c>
      <c r="X219" s="25" t="s">
        <v>1747</v>
      </c>
      <c r="Y219" s="25" t="e">
        <v>#N/A</v>
      </c>
      <c r="Z219" s="26">
        <v>39349</v>
      </c>
      <c r="AA219" s="776" t="s">
        <v>1748</v>
      </c>
      <c r="AB219" s="776" t="s">
        <v>1748</v>
      </c>
      <c r="AC219" s="776" t="s">
        <v>1748</v>
      </c>
      <c r="AD219" s="776" t="s">
        <v>1748</v>
      </c>
      <c r="AE219" s="777">
        <v>0</v>
      </c>
      <c r="AF219" s="777">
        <v>23.021999999999998</v>
      </c>
      <c r="AG219" s="778">
        <v>24.734114618801307</v>
      </c>
    </row>
    <row r="220" spans="1:33" x14ac:dyDescent="0.2">
      <c r="A220" s="15">
        <f t="shared" si="24"/>
        <v>2010</v>
      </c>
      <c r="B220" s="14">
        <f t="shared" si="25"/>
        <v>2</v>
      </c>
      <c r="C220" s="13" t="str">
        <f t="shared" si="26"/>
        <v>Q1</v>
      </c>
      <c r="D220" s="13" t="str">
        <f t="shared" si="27"/>
        <v>2010Q1</v>
      </c>
      <c r="E220" s="13" t="str">
        <f t="shared" si="28"/>
        <v>Brazil</v>
      </c>
      <c r="F220" s="13" t="str">
        <f t="shared" si="30"/>
        <v>Biofuels</v>
      </c>
      <c r="G220" s="13" t="str">
        <f t="shared" si="31"/>
        <v>Asset finance investments</v>
      </c>
      <c r="H220" s="638">
        <f t="shared" si="29"/>
        <v>22.016405196809266</v>
      </c>
      <c r="I220" s="24" t="s">
        <v>87</v>
      </c>
      <c r="J220" s="25" t="s">
        <v>246</v>
      </c>
      <c r="K220" s="25" t="s">
        <v>426</v>
      </c>
      <c r="L220" s="25" t="s">
        <v>425</v>
      </c>
      <c r="M220" s="25" t="s">
        <v>31</v>
      </c>
      <c r="N220" s="25" t="s">
        <v>31</v>
      </c>
      <c r="O220" s="25" t="s">
        <v>92</v>
      </c>
      <c r="P220" s="25" t="s">
        <v>83</v>
      </c>
      <c r="Q220" s="25" t="s">
        <v>82</v>
      </c>
      <c r="R220" s="25" t="s">
        <v>91</v>
      </c>
      <c r="S220" s="25" t="s">
        <v>96</v>
      </c>
      <c r="T220" s="25" t="s">
        <v>96</v>
      </c>
      <c r="U220" s="25" t="s">
        <v>98</v>
      </c>
      <c r="V220" s="25" t="s">
        <v>230</v>
      </c>
      <c r="W220" s="25" t="s">
        <v>245</v>
      </c>
      <c r="X220" s="25" t="s">
        <v>1752</v>
      </c>
      <c r="Y220" s="25" t="s">
        <v>1753</v>
      </c>
      <c r="Z220" s="26">
        <v>40217</v>
      </c>
      <c r="AA220" s="776">
        <v>8</v>
      </c>
      <c r="AB220" s="776">
        <v>96</v>
      </c>
      <c r="AC220" s="776">
        <v>0</v>
      </c>
      <c r="AD220" s="776">
        <v>0</v>
      </c>
      <c r="AE220" s="777">
        <v>0</v>
      </c>
      <c r="AF220" s="777">
        <v>22</v>
      </c>
      <c r="AG220" s="778">
        <v>22.016405196809266</v>
      </c>
    </row>
    <row r="221" spans="1:33" x14ac:dyDescent="0.2">
      <c r="A221" s="15">
        <f t="shared" si="24"/>
        <v>2009</v>
      </c>
      <c r="B221" s="14">
        <f t="shared" si="25"/>
        <v>3</v>
      </c>
      <c r="C221" s="13" t="str">
        <f t="shared" si="26"/>
        <v>Q1</v>
      </c>
      <c r="D221" s="13" t="str">
        <f t="shared" si="27"/>
        <v>2009Q1</v>
      </c>
      <c r="E221" s="13" t="str">
        <f t="shared" si="28"/>
        <v>Brazil</v>
      </c>
      <c r="F221" s="13" t="str">
        <f t="shared" si="30"/>
        <v>Biofuels</v>
      </c>
      <c r="G221" s="13" t="str">
        <f t="shared" si="31"/>
        <v>VC/PE investments</v>
      </c>
      <c r="H221" s="638">
        <f t="shared" si="29"/>
        <v>21.200011422076997</v>
      </c>
      <c r="I221" s="24" t="s">
        <v>87</v>
      </c>
      <c r="J221" s="25" t="s">
        <v>216</v>
      </c>
      <c r="K221" s="25" t="s">
        <v>236</v>
      </c>
      <c r="L221" s="25" t="s">
        <v>235</v>
      </c>
      <c r="M221" s="25" t="s">
        <v>31</v>
      </c>
      <c r="N221" s="25" t="s">
        <v>31</v>
      </c>
      <c r="O221" s="25" t="s">
        <v>92</v>
      </c>
      <c r="P221" s="25" t="s">
        <v>83</v>
      </c>
      <c r="Q221" s="25" t="s">
        <v>82</v>
      </c>
      <c r="R221" s="25" t="s">
        <v>91</v>
      </c>
      <c r="S221" s="25" t="s">
        <v>96</v>
      </c>
      <c r="T221" s="25" t="s">
        <v>96</v>
      </c>
      <c r="U221" s="25" t="s">
        <v>98</v>
      </c>
      <c r="V221" s="25" t="s">
        <v>230</v>
      </c>
      <c r="W221" s="25" t="s">
        <v>94</v>
      </c>
      <c r="X221" s="25" t="s">
        <v>213</v>
      </c>
      <c r="Y221" s="25" t="s">
        <v>212</v>
      </c>
      <c r="Z221" s="26">
        <v>39899</v>
      </c>
      <c r="AA221" s="776" t="s">
        <v>1748</v>
      </c>
      <c r="AB221" s="776" t="s">
        <v>1748</v>
      </c>
      <c r="AC221" s="776" t="s">
        <v>1748</v>
      </c>
      <c r="AD221" s="776" t="s">
        <v>1748</v>
      </c>
      <c r="AE221" s="777">
        <v>21.2</v>
      </c>
      <c r="AF221" s="777">
        <v>21.2</v>
      </c>
      <c r="AG221" s="778">
        <v>21.200011422076997</v>
      </c>
    </row>
    <row r="222" spans="1:33" x14ac:dyDescent="0.2">
      <c r="A222" s="15">
        <f t="shared" si="24"/>
        <v>2012</v>
      </c>
      <c r="B222" s="14">
        <f t="shared" si="25"/>
        <v>3</v>
      </c>
      <c r="C222" s="13" t="str">
        <f t="shared" si="26"/>
        <v>Q1</v>
      </c>
      <c r="D222" s="13" t="str">
        <f t="shared" si="27"/>
        <v>2012Q1</v>
      </c>
      <c r="E222" s="13" t="str">
        <f t="shared" si="28"/>
        <v>Panama</v>
      </c>
      <c r="F222" s="13" t="str">
        <f t="shared" si="30"/>
        <v>Small Hydro</v>
      </c>
      <c r="G222" s="13" t="str">
        <f t="shared" si="31"/>
        <v>VC/PE investments</v>
      </c>
      <c r="H222" s="638">
        <f t="shared" si="29"/>
        <v>22.097621427372069</v>
      </c>
      <c r="I222" s="24" t="s">
        <v>87</v>
      </c>
      <c r="J222" s="25" t="s">
        <v>216</v>
      </c>
      <c r="K222" s="25" t="s">
        <v>1938</v>
      </c>
      <c r="L222" s="25" t="s">
        <v>1939</v>
      </c>
      <c r="M222" s="25" t="s">
        <v>19</v>
      </c>
      <c r="N222" s="25" t="s">
        <v>85</v>
      </c>
      <c r="O222" s="25" t="s">
        <v>92</v>
      </c>
      <c r="P222" s="25" t="s">
        <v>83</v>
      </c>
      <c r="Q222" s="25" t="s">
        <v>82</v>
      </c>
      <c r="R222" s="25"/>
      <c r="S222" s="25" t="s">
        <v>126</v>
      </c>
      <c r="T222" s="25" t="s">
        <v>125</v>
      </c>
      <c r="U222" s="25" t="s">
        <v>342</v>
      </c>
      <c r="V222" s="25">
        <v>0</v>
      </c>
      <c r="W222" s="25" t="s">
        <v>94</v>
      </c>
      <c r="X222" s="25" t="s">
        <v>213</v>
      </c>
      <c r="Y222" s="25" t="s">
        <v>212</v>
      </c>
      <c r="Z222" s="26">
        <v>40980</v>
      </c>
      <c r="AA222" s="776" t="s">
        <v>1748</v>
      </c>
      <c r="AB222" s="776" t="s">
        <v>1748</v>
      </c>
      <c r="AC222" s="776" t="s">
        <v>1748</v>
      </c>
      <c r="AD222" s="776" t="s">
        <v>1748</v>
      </c>
      <c r="AE222" s="777">
        <v>0</v>
      </c>
      <c r="AF222" s="777">
        <v>20.407</v>
      </c>
      <c r="AG222" s="778">
        <v>22.097621427372069</v>
      </c>
    </row>
    <row r="223" spans="1:33" x14ac:dyDescent="0.2">
      <c r="A223" s="15">
        <f t="shared" si="24"/>
        <v>2009</v>
      </c>
      <c r="B223" s="14">
        <f t="shared" si="25"/>
        <v>6</v>
      </c>
      <c r="C223" s="13" t="str">
        <f t="shared" si="26"/>
        <v>Q2</v>
      </c>
      <c r="D223" s="13" t="str">
        <f t="shared" si="27"/>
        <v>2009Q2</v>
      </c>
      <c r="E223" s="13" t="str">
        <f t="shared" si="28"/>
        <v>Peru</v>
      </c>
      <c r="F223" s="13" t="str">
        <f t="shared" si="30"/>
        <v>Solar</v>
      </c>
      <c r="G223" s="13" t="str">
        <f t="shared" si="31"/>
        <v>VC/PE investments</v>
      </c>
      <c r="H223" s="638">
        <f t="shared" si="29"/>
        <v>20.929811276499393</v>
      </c>
      <c r="I223" s="24" t="s">
        <v>87</v>
      </c>
      <c r="J223" s="25" t="s">
        <v>216</v>
      </c>
      <c r="K223" s="25" t="s">
        <v>234</v>
      </c>
      <c r="L223" s="25" t="s">
        <v>233</v>
      </c>
      <c r="M223" s="25" t="s">
        <v>20</v>
      </c>
      <c r="N223" s="25" t="s">
        <v>85</v>
      </c>
      <c r="O223" s="25" t="s">
        <v>92</v>
      </c>
      <c r="P223" s="25" t="s">
        <v>83</v>
      </c>
      <c r="Q223" s="25" t="s">
        <v>82</v>
      </c>
      <c r="R223" s="25"/>
      <c r="S223" s="25" t="s">
        <v>80</v>
      </c>
      <c r="T223" s="25" t="s">
        <v>80</v>
      </c>
      <c r="U223" s="25" t="s">
        <v>181</v>
      </c>
      <c r="V223" s="25" t="s">
        <v>232</v>
      </c>
      <c r="W223" s="25" t="s">
        <v>88</v>
      </c>
      <c r="X223" s="25" t="s">
        <v>213</v>
      </c>
      <c r="Y223" s="25" t="s">
        <v>212</v>
      </c>
      <c r="Z223" s="26">
        <v>39974</v>
      </c>
      <c r="AA223" s="776" t="s">
        <v>1748</v>
      </c>
      <c r="AB223" s="776" t="s">
        <v>1748</v>
      </c>
      <c r="AC223" s="776" t="s">
        <v>1748</v>
      </c>
      <c r="AD223" s="776" t="s">
        <v>1748</v>
      </c>
      <c r="AE223" s="777">
        <v>0</v>
      </c>
      <c r="AF223" s="777">
        <v>20.407</v>
      </c>
      <c r="AG223" s="778">
        <v>20.929811276499393</v>
      </c>
    </row>
    <row r="224" spans="1:33" x14ac:dyDescent="0.2">
      <c r="A224" s="15">
        <f t="shared" si="24"/>
        <v>2010</v>
      </c>
      <c r="B224" s="14">
        <f t="shared" si="25"/>
        <v>1</v>
      </c>
      <c r="C224" s="13" t="str">
        <f t="shared" si="26"/>
        <v>Q1</v>
      </c>
      <c r="D224" s="13" t="str">
        <f t="shared" si="27"/>
        <v>2010Q1</v>
      </c>
      <c r="E224" s="13" t="str">
        <f t="shared" si="28"/>
        <v>Guatemala</v>
      </c>
      <c r="F224" s="13" t="str">
        <f t="shared" si="30"/>
        <v>Solar</v>
      </c>
      <c r="G224" s="13" t="str">
        <f t="shared" si="31"/>
        <v>VC/PE investments</v>
      </c>
      <c r="H224" s="638">
        <f t="shared" si="29"/>
        <v>20.42221731142212</v>
      </c>
      <c r="I224" s="24" t="s">
        <v>87</v>
      </c>
      <c r="J224" s="25" t="s">
        <v>216</v>
      </c>
      <c r="K224" s="25" t="s">
        <v>240</v>
      </c>
      <c r="L224" s="25" t="s">
        <v>239</v>
      </c>
      <c r="M224" s="25" t="s">
        <v>13</v>
      </c>
      <c r="N224" s="25" t="s">
        <v>85</v>
      </c>
      <c r="O224" s="25" t="s">
        <v>92</v>
      </c>
      <c r="P224" s="25" t="s">
        <v>83</v>
      </c>
      <c r="Q224" s="25" t="s">
        <v>82</v>
      </c>
      <c r="R224" s="25"/>
      <c r="S224" s="25" t="s">
        <v>80</v>
      </c>
      <c r="T224" s="25" t="s">
        <v>80</v>
      </c>
      <c r="U224" s="25" t="s">
        <v>181</v>
      </c>
      <c r="V224" s="25">
        <v>0</v>
      </c>
      <c r="W224" s="25" t="s">
        <v>94</v>
      </c>
      <c r="X224" s="25" t="s">
        <v>213</v>
      </c>
      <c r="Y224" s="25" t="s">
        <v>212</v>
      </c>
      <c r="Z224" s="26">
        <v>40209</v>
      </c>
      <c r="AA224" s="776" t="s">
        <v>1748</v>
      </c>
      <c r="AB224" s="776" t="s">
        <v>1748</v>
      </c>
      <c r="AC224" s="776" t="s">
        <v>1748</v>
      </c>
      <c r="AD224" s="776" t="s">
        <v>1748</v>
      </c>
      <c r="AE224" s="777">
        <v>0</v>
      </c>
      <c r="AF224" s="777">
        <v>20.407</v>
      </c>
      <c r="AG224" s="778">
        <v>20.42221731142212</v>
      </c>
    </row>
    <row r="225" spans="1:33" x14ac:dyDescent="0.2">
      <c r="A225" s="15">
        <f t="shared" si="24"/>
        <v>2010</v>
      </c>
      <c r="B225" s="14">
        <f t="shared" si="25"/>
        <v>3</v>
      </c>
      <c r="C225" s="13" t="str">
        <f t="shared" si="26"/>
        <v>Q1</v>
      </c>
      <c r="D225" s="13" t="str">
        <f t="shared" si="27"/>
        <v>2010Q1</v>
      </c>
      <c r="E225" s="13" t="str">
        <f t="shared" si="28"/>
        <v>Brazil</v>
      </c>
      <c r="F225" s="13" t="str">
        <f t="shared" si="30"/>
        <v>Biofuels</v>
      </c>
      <c r="G225" s="13" t="str">
        <f t="shared" si="31"/>
        <v>VC/PE investments</v>
      </c>
      <c r="H225" s="638">
        <f t="shared" si="29"/>
        <v>20.42221731142212</v>
      </c>
      <c r="I225" s="24" t="s">
        <v>87</v>
      </c>
      <c r="J225" s="25" t="s">
        <v>216</v>
      </c>
      <c r="K225" s="25" t="s">
        <v>242</v>
      </c>
      <c r="L225" s="25" t="s">
        <v>241</v>
      </c>
      <c r="M225" s="25" t="s">
        <v>31</v>
      </c>
      <c r="N225" s="25" t="s">
        <v>31</v>
      </c>
      <c r="O225" s="25" t="s">
        <v>92</v>
      </c>
      <c r="P225" s="25" t="s">
        <v>83</v>
      </c>
      <c r="Q225" s="25" t="s">
        <v>82</v>
      </c>
      <c r="R225" s="25" t="s">
        <v>91</v>
      </c>
      <c r="S225" s="25" t="s">
        <v>96</v>
      </c>
      <c r="T225" s="25" t="s">
        <v>96</v>
      </c>
      <c r="U225" s="25" t="s">
        <v>95</v>
      </c>
      <c r="V225" s="25">
        <v>0</v>
      </c>
      <c r="W225" s="25" t="s">
        <v>79</v>
      </c>
      <c r="X225" s="25" t="s">
        <v>213</v>
      </c>
      <c r="Y225" s="25" t="s">
        <v>212</v>
      </c>
      <c r="Z225" s="26">
        <v>40268</v>
      </c>
      <c r="AA225" s="776" t="s">
        <v>1748</v>
      </c>
      <c r="AB225" s="776" t="s">
        <v>1748</v>
      </c>
      <c r="AC225" s="776" t="s">
        <v>1748</v>
      </c>
      <c r="AD225" s="776" t="s">
        <v>1748</v>
      </c>
      <c r="AE225" s="777">
        <v>0</v>
      </c>
      <c r="AF225" s="777">
        <v>20.407</v>
      </c>
      <c r="AG225" s="778">
        <v>20.42221731142212</v>
      </c>
    </row>
    <row r="226" spans="1:33" x14ac:dyDescent="0.2">
      <c r="A226" s="15">
        <f t="shared" si="24"/>
        <v>2012</v>
      </c>
      <c r="B226" s="14">
        <f t="shared" si="25"/>
        <v>2</v>
      </c>
      <c r="C226" s="13" t="str">
        <f t="shared" si="26"/>
        <v>Q1</v>
      </c>
      <c r="D226" s="13" t="str">
        <f t="shared" si="27"/>
        <v>2012Q1</v>
      </c>
      <c r="E226" s="13" t="str">
        <f t="shared" si="28"/>
        <v>Mexico</v>
      </c>
      <c r="F226" s="13" t="str">
        <f t="shared" si="30"/>
        <v>Wind</v>
      </c>
      <c r="G226" s="13" t="str">
        <f t="shared" si="31"/>
        <v>Asset finance investments</v>
      </c>
      <c r="H226" s="638">
        <f t="shared" si="29"/>
        <v>24.159540704862572</v>
      </c>
      <c r="I226" s="24" t="s">
        <v>87</v>
      </c>
      <c r="J226" s="25" t="s">
        <v>246</v>
      </c>
      <c r="K226" s="25" t="s">
        <v>1940</v>
      </c>
      <c r="L226" s="25" t="s">
        <v>1941</v>
      </c>
      <c r="M226" s="25" t="s">
        <v>18</v>
      </c>
      <c r="N226" s="25" t="s">
        <v>85</v>
      </c>
      <c r="O226" s="25" t="s">
        <v>92</v>
      </c>
      <c r="P226" s="25" t="s">
        <v>83</v>
      </c>
      <c r="Q226" s="25" t="s">
        <v>129</v>
      </c>
      <c r="R226" s="25"/>
      <c r="S226" s="25" t="s">
        <v>101</v>
      </c>
      <c r="T226" s="25" t="s">
        <v>101</v>
      </c>
      <c r="U226" s="25" t="s">
        <v>112</v>
      </c>
      <c r="V226" s="25">
        <v>0</v>
      </c>
      <c r="W226" s="25" t="s">
        <v>245</v>
      </c>
      <c r="X226" s="25" t="s">
        <v>1752</v>
      </c>
      <c r="Y226" s="25" t="s">
        <v>1753</v>
      </c>
      <c r="Z226" s="26">
        <v>40963</v>
      </c>
      <c r="AA226" s="776">
        <v>396</v>
      </c>
      <c r="AB226" s="776">
        <v>0</v>
      </c>
      <c r="AC226" s="776">
        <v>0</v>
      </c>
      <c r="AD226" s="776">
        <v>0</v>
      </c>
      <c r="AE226" s="777">
        <v>0</v>
      </c>
      <c r="AF226" s="777">
        <v>20.196000000000002</v>
      </c>
      <c r="AG226" s="778">
        <v>24.159540704862572</v>
      </c>
    </row>
    <row r="227" spans="1:33" x14ac:dyDescent="0.2">
      <c r="A227" s="15">
        <f t="shared" si="24"/>
        <v>2008</v>
      </c>
      <c r="B227" s="14">
        <f t="shared" si="25"/>
        <v>6</v>
      </c>
      <c r="C227" s="13" t="str">
        <f t="shared" si="26"/>
        <v>Q2</v>
      </c>
      <c r="D227" s="13" t="str">
        <f t="shared" si="27"/>
        <v>2008Q2</v>
      </c>
      <c r="E227" s="13" t="str">
        <f t="shared" si="28"/>
        <v>Costa Rica</v>
      </c>
      <c r="F227" s="13" t="str">
        <f t="shared" si="30"/>
        <v>Wind</v>
      </c>
      <c r="G227" s="13" t="str">
        <f t="shared" si="31"/>
        <v>Asset finance investments</v>
      </c>
      <c r="H227" s="638">
        <f t="shared" si="29"/>
        <v>22.936043986424828</v>
      </c>
      <c r="I227" s="24" t="s">
        <v>87</v>
      </c>
      <c r="J227" s="25" t="s">
        <v>246</v>
      </c>
      <c r="K227" s="25" t="s">
        <v>331</v>
      </c>
      <c r="L227" s="25" t="s">
        <v>330</v>
      </c>
      <c r="M227" s="25" t="s">
        <v>10</v>
      </c>
      <c r="N227" s="25" t="s">
        <v>85</v>
      </c>
      <c r="O227" s="25" t="s">
        <v>92</v>
      </c>
      <c r="P227" s="25" t="s">
        <v>83</v>
      </c>
      <c r="Q227" s="25" t="s">
        <v>82</v>
      </c>
      <c r="R227" s="25"/>
      <c r="S227" s="25" t="s">
        <v>101</v>
      </c>
      <c r="T227" s="25" t="s">
        <v>101</v>
      </c>
      <c r="U227" s="25" t="s">
        <v>112</v>
      </c>
      <c r="V227" s="25">
        <v>0</v>
      </c>
      <c r="W227" s="25" t="s">
        <v>245</v>
      </c>
      <c r="X227" s="25" t="s">
        <v>1749</v>
      </c>
      <c r="Y227" s="25" t="s">
        <v>1750</v>
      </c>
      <c r="Z227" s="26">
        <v>39629.627777777801</v>
      </c>
      <c r="AA227" s="776">
        <v>49.5</v>
      </c>
      <c r="AB227" s="776">
        <v>0</v>
      </c>
      <c r="AC227" s="776">
        <v>0</v>
      </c>
      <c r="AD227" s="776">
        <v>0</v>
      </c>
      <c r="AE227" s="777">
        <v>20</v>
      </c>
      <c r="AF227" s="777">
        <v>20</v>
      </c>
      <c r="AG227" s="778">
        <v>22.936043986424828</v>
      </c>
    </row>
    <row r="228" spans="1:33" x14ac:dyDescent="0.2">
      <c r="A228" s="15">
        <f t="shared" si="24"/>
        <v>2011</v>
      </c>
      <c r="B228" s="14">
        <f t="shared" si="25"/>
        <v>5</v>
      </c>
      <c r="C228" s="13" t="str">
        <f t="shared" si="26"/>
        <v>Q2</v>
      </c>
      <c r="D228" s="13" t="str">
        <f t="shared" si="27"/>
        <v>2011Q2</v>
      </c>
      <c r="E228" s="13" t="str">
        <f t="shared" si="28"/>
        <v>Brazil</v>
      </c>
      <c r="F228" s="13" t="str">
        <f t="shared" si="30"/>
        <v>Wind</v>
      </c>
      <c r="G228" s="13" t="str">
        <f t="shared" si="31"/>
        <v>Asset finance investments</v>
      </c>
      <c r="H228" s="638">
        <f t="shared" si="29"/>
        <v>20.135713542048261</v>
      </c>
      <c r="I228" s="24" t="s">
        <v>87</v>
      </c>
      <c r="J228" s="25" t="s">
        <v>246</v>
      </c>
      <c r="K228" s="25" t="s">
        <v>473</v>
      </c>
      <c r="L228" s="25" t="s">
        <v>1942</v>
      </c>
      <c r="M228" s="25" t="s">
        <v>31</v>
      </c>
      <c r="N228" s="25" t="s">
        <v>31</v>
      </c>
      <c r="O228" s="25" t="s">
        <v>92</v>
      </c>
      <c r="P228" s="25" t="s">
        <v>83</v>
      </c>
      <c r="Q228" s="25" t="s">
        <v>82</v>
      </c>
      <c r="R228" s="25" t="s">
        <v>91</v>
      </c>
      <c r="S228" s="25" t="s">
        <v>101</v>
      </c>
      <c r="T228" s="25" t="s">
        <v>101</v>
      </c>
      <c r="U228" s="25" t="s">
        <v>112</v>
      </c>
      <c r="V228" s="25">
        <v>0</v>
      </c>
      <c r="W228" s="25" t="s">
        <v>245</v>
      </c>
      <c r="X228" s="25" t="s">
        <v>1752</v>
      </c>
      <c r="Y228" s="25" t="s">
        <v>1753</v>
      </c>
      <c r="Z228" s="26">
        <v>40694</v>
      </c>
      <c r="AA228" s="776">
        <v>147.6</v>
      </c>
      <c r="AB228" s="776">
        <v>0</v>
      </c>
      <c r="AC228" s="776">
        <v>0</v>
      </c>
      <c r="AD228" s="776">
        <v>0</v>
      </c>
      <c r="AE228" s="777">
        <v>0</v>
      </c>
      <c r="AF228" s="777">
        <v>20</v>
      </c>
      <c r="AG228" s="778">
        <v>20.135713542048261</v>
      </c>
    </row>
    <row r="229" spans="1:33" x14ac:dyDescent="0.2">
      <c r="A229" s="15">
        <f t="shared" si="24"/>
        <v>2011</v>
      </c>
      <c r="B229" s="14">
        <f t="shared" si="25"/>
        <v>11</v>
      </c>
      <c r="C229" s="13" t="str">
        <f t="shared" si="26"/>
        <v>Q4</v>
      </c>
      <c r="D229" s="13" t="str">
        <f t="shared" si="27"/>
        <v>2011Q4</v>
      </c>
      <c r="E229" s="13" t="str">
        <f t="shared" si="28"/>
        <v>Brazil</v>
      </c>
      <c r="F229" s="13" t="str">
        <f t="shared" si="30"/>
        <v>Biofuels</v>
      </c>
      <c r="G229" s="13" t="str">
        <f t="shared" si="31"/>
        <v>Asset finance investments</v>
      </c>
      <c r="H229" s="638">
        <f t="shared" si="29"/>
        <v>20.135713542048261</v>
      </c>
      <c r="I229" s="24" t="s">
        <v>87</v>
      </c>
      <c r="J229" s="25" t="s">
        <v>246</v>
      </c>
      <c r="K229" s="25" t="s">
        <v>452</v>
      </c>
      <c r="L229" s="25" t="s">
        <v>1943</v>
      </c>
      <c r="M229" s="25" t="s">
        <v>31</v>
      </c>
      <c r="N229" s="25" t="s">
        <v>31</v>
      </c>
      <c r="O229" s="25" t="s">
        <v>92</v>
      </c>
      <c r="P229" s="25" t="s">
        <v>83</v>
      </c>
      <c r="Q229" s="25" t="s">
        <v>82</v>
      </c>
      <c r="R229" s="25" t="s">
        <v>91</v>
      </c>
      <c r="S229" s="25" t="s">
        <v>96</v>
      </c>
      <c r="T229" s="25" t="s">
        <v>96</v>
      </c>
      <c r="U229" s="25" t="s">
        <v>95</v>
      </c>
      <c r="V229" s="25" t="s">
        <v>223</v>
      </c>
      <c r="W229" s="25" t="s">
        <v>245</v>
      </c>
      <c r="X229" s="25" t="s">
        <v>1752</v>
      </c>
      <c r="Y229" s="25" t="s">
        <v>1753</v>
      </c>
      <c r="Z229" s="26">
        <v>40857</v>
      </c>
      <c r="AA229" s="776">
        <v>0</v>
      </c>
      <c r="AB229" s="776">
        <v>129.6</v>
      </c>
      <c r="AC229" s="776">
        <v>0</v>
      </c>
      <c r="AD229" s="776">
        <v>0</v>
      </c>
      <c r="AE229" s="777">
        <v>0</v>
      </c>
      <c r="AF229" s="777">
        <v>20</v>
      </c>
      <c r="AG229" s="778">
        <v>20.135713542048261</v>
      </c>
    </row>
    <row r="230" spans="1:33" x14ac:dyDescent="0.2">
      <c r="A230" s="15">
        <f t="shared" si="24"/>
        <v>2012</v>
      </c>
      <c r="B230" s="14">
        <f t="shared" si="25"/>
        <v>11</v>
      </c>
      <c r="C230" s="13" t="str">
        <f t="shared" si="26"/>
        <v>Q4</v>
      </c>
      <c r="D230" s="13" t="str">
        <f t="shared" si="27"/>
        <v>2012Q4</v>
      </c>
      <c r="E230" s="13" t="str">
        <f t="shared" si="28"/>
        <v>Brazil</v>
      </c>
      <c r="F230" s="13" t="str">
        <f t="shared" si="30"/>
        <v>Wind</v>
      </c>
      <c r="G230" s="13" t="str">
        <f t="shared" si="31"/>
        <v>Asset finance investments</v>
      </c>
      <c r="H230" s="638">
        <f t="shared" si="29"/>
        <v>26.800066389111574</v>
      </c>
      <c r="I230" s="24" t="s">
        <v>87</v>
      </c>
      <c r="J230" s="25" t="s">
        <v>246</v>
      </c>
      <c r="K230" s="25" t="s">
        <v>1944</v>
      </c>
      <c r="L230" s="25" t="s">
        <v>1945</v>
      </c>
      <c r="M230" s="25" t="s">
        <v>31</v>
      </c>
      <c r="N230" s="25" t="s">
        <v>31</v>
      </c>
      <c r="O230" s="25" t="s">
        <v>92</v>
      </c>
      <c r="P230" s="25" t="s">
        <v>83</v>
      </c>
      <c r="Q230" s="25" t="s">
        <v>82</v>
      </c>
      <c r="R230" s="25" t="s">
        <v>91</v>
      </c>
      <c r="S230" s="25" t="s">
        <v>101</v>
      </c>
      <c r="T230" s="25" t="s">
        <v>101</v>
      </c>
      <c r="U230" s="25" t="s">
        <v>112</v>
      </c>
      <c r="V230" s="25">
        <v>0</v>
      </c>
      <c r="W230" s="25" t="s">
        <v>249</v>
      </c>
      <c r="X230" s="25" t="s">
        <v>1814</v>
      </c>
      <c r="Y230" s="25" t="s">
        <v>1750</v>
      </c>
      <c r="Z230" s="26">
        <v>41219</v>
      </c>
      <c r="AA230" s="776">
        <v>42</v>
      </c>
      <c r="AB230" s="776">
        <v>0</v>
      </c>
      <c r="AC230" s="776">
        <v>0</v>
      </c>
      <c r="AD230" s="776">
        <v>0</v>
      </c>
      <c r="AE230" s="777">
        <v>19.399999999999999</v>
      </c>
      <c r="AF230" s="777">
        <v>19.399999999999999</v>
      </c>
      <c r="AG230" s="778">
        <v>26.800066389111574</v>
      </c>
    </row>
    <row r="231" spans="1:33" x14ac:dyDescent="0.2">
      <c r="A231" s="15">
        <f t="shared" si="24"/>
        <v>2012</v>
      </c>
      <c r="B231" s="14">
        <f t="shared" si="25"/>
        <v>11</v>
      </c>
      <c r="C231" s="13" t="str">
        <f t="shared" si="26"/>
        <v>Q4</v>
      </c>
      <c r="D231" s="13" t="str">
        <f t="shared" si="27"/>
        <v>2012Q4</v>
      </c>
      <c r="E231" s="13" t="str">
        <f t="shared" si="28"/>
        <v>Brazil</v>
      </c>
      <c r="F231" s="13" t="str">
        <f t="shared" si="30"/>
        <v>Small Hydro</v>
      </c>
      <c r="G231" s="13" t="str">
        <f t="shared" si="31"/>
        <v>Asset finance investments</v>
      </c>
      <c r="H231" s="638">
        <f t="shared" si="29"/>
        <v>25.81704328135719</v>
      </c>
      <c r="I231" s="24" t="s">
        <v>87</v>
      </c>
      <c r="J231" s="25" t="s">
        <v>246</v>
      </c>
      <c r="K231" s="25" t="s">
        <v>1946</v>
      </c>
      <c r="L231" s="25" t="s">
        <v>1947</v>
      </c>
      <c r="M231" s="25" t="s">
        <v>31</v>
      </c>
      <c r="N231" s="25" t="s">
        <v>31</v>
      </c>
      <c r="O231" s="25" t="s">
        <v>92</v>
      </c>
      <c r="P231" s="25" t="s">
        <v>83</v>
      </c>
      <c r="Q231" s="25" t="s">
        <v>82</v>
      </c>
      <c r="R231" s="25" t="s">
        <v>91</v>
      </c>
      <c r="S231" s="25" t="s">
        <v>125</v>
      </c>
      <c r="T231" s="25" t="s">
        <v>125</v>
      </c>
      <c r="U231" s="25" t="s">
        <v>247</v>
      </c>
      <c r="V231" s="25">
        <v>0</v>
      </c>
      <c r="W231" s="25" t="s">
        <v>249</v>
      </c>
      <c r="X231" s="25" t="s">
        <v>1814</v>
      </c>
      <c r="Y231" s="25" t="s">
        <v>1750</v>
      </c>
      <c r="Z231" s="26">
        <v>41234</v>
      </c>
      <c r="AA231" s="776">
        <v>8</v>
      </c>
      <c r="AB231" s="776">
        <v>0</v>
      </c>
      <c r="AC231" s="776">
        <v>0</v>
      </c>
      <c r="AD231" s="776">
        <v>0</v>
      </c>
      <c r="AE231" s="777">
        <v>19</v>
      </c>
      <c r="AF231" s="777">
        <v>19</v>
      </c>
      <c r="AG231" s="778">
        <v>25.81704328135719</v>
      </c>
    </row>
    <row r="232" spans="1:33" x14ac:dyDescent="0.2">
      <c r="A232" s="15">
        <f t="shared" si="24"/>
        <v>2010</v>
      </c>
      <c r="B232" s="14">
        <f t="shared" si="25"/>
        <v>10</v>
      </c>
      <c r="C232" s="13" t="str">
        <f t="shared" si="26"/>
        <v>Q4</v>
      </c>
      <c r="D232" s="13" t="str">
        <f t="shared" si="27"/>
        <v>2010Q4</v>
      </c>
      <c r="E232" s="13" t="str">
        <f t="shared" si="28"/>
        <v>Guatemala</v>
      </c>
      <c r="F232" s="13" t="str">
        <f t="shared" si="30"/>
        <v>Small Hydro</v>
      </c>
      <c r="G232" s="13" t="str">
        <f t="shared" si="31"/>
        <v>Asset finance investments</v>
      </c>
      <c r="H232" s="638">
        <f t="shared" si="29"/>
        <v>18.513795279135064</v>
      </c>
      <c r="I232" s="24" t="s">
        <v>87</v>
      </c>
      <c r="J232" s="25" t="s">
        <v>246</v>
      </c>
      <c r="K232" s="25" t="s">
        <v>428</v>
      </c>
      <c r="L232" s="25" t="s">
        <v>1948</v>
      </c>
      <c r="M232" s="25" t="s">
        <v>13</v>
      </c>
      <c r="N232" s="25" t="s">
        <v>85</v>
      </c>
      <c r="O232" s="25" t="s">
        <v>92</v>
      </c>
      <c r="P232" s="25" t="s">
        <v>83</v>
      </c>
      <c r="Q232" s="25" t="s">
        <v>82</v>
      </c>
      <c r="R232" s="25"/>
      <c r="S232" s="25" t="s">
        <v>126</v>
      </c>
      <c r="T232" s="25" t="s">
        <v>125</v>
      </c>
      <c r="U232" s="25" t="s">
        <v>247</v>
      </c>
      <c r="V232" s="25">
        <v>0</v>
      </c>
      <c r="W232" s="25" t="s">
        <v>245</v>
      </c>
      <c r="X232" s="25" t="s">
        <v>1752</v>
      </c>
      <c r="Y232" s="25" t="s">
        <v>1753</v>
      </c>
      <c r="Z232" s="26">
        <v>40472</v>
      </c>
      <c r="AA232" s="776">
        <v>25</v>
      </c>
      <c r="AB232" s="776">
        <v>0</v>
      </c>
      <c r="AC232" s="776">
        <v>0</v>
      </c>
      <c r="AD232" s="776">
        <v>0</v>
      </c>
      <c r="AE232" s="777">
        <v>18.5</v>
      </c>
      <c r="AF232" s="777">
        <v>18.5</v>
      </c>
      <c r="AG232" s="778">
        <v>18.513795279135064</v>
      </c>
    </row>
    <row r="233" spans="1:33" x14ac:dyDescent="0.2">
      <c r="A233" s="15">
        <f t="shared" si="24"/>
        <v>2011</v>
      </c>
      <c r="B233" s="14">
        <f t="shared" si="25"/>
        <v>3</v>
      </c>
      <c r="C233" s="13" t="str">
        <f t="shared" si="26"/>
        <v>Q1</v>
      </c>
      <c r="D233" s="13" t="str">
        <f t="shared" si="27"/>
        <v>2011Q1</v>
      </c>
      <c r="E233" s="13" t="str">
        <f t="shared" si="28"/>
        <v>Brazil</v>
      </c>
      <c r="F233" s="13" t="str">
        <f t="shared" si="30"/>
        <v>Biofuels</v>
      </c>
      <c r="G233" s="13" t="str">
        <f t="shared" si="31"/>
        <v>Asset finance investments</v>
      </c>
      <c r="H233" s="638">
        <f t="shared" si="29"/>
        <v>18.263092182637774</v>
      </c>
      <c r="I233" s="24" t="s">
        <v>87</v>
      </c>
      <c r="J233" s="25" t="s">
        <v>246</v>
      </c>
      <c r="K233" s="25" t="s">
        <v>1949</v>
      </c>
      <c r="L233" s="25" t="s">
        <v>1950</v>
      </c>
      <c r="M233" s="25" t="s">
        <v>31</v>
      </c>
      <c r="N233" s="25" t="s">
        <v>31</v>
      </c>
      <c r="O233" s="25" t="s">
        <v>92</v>
      </c>
      <c r="P233" s="25" t="s">
        <v>83</v>
      </c>
      <c r="Q233" s="25" t="s">
        <v>82</v>
      </c>
      <c r="R233" s="25" t="s">
        <v>91</v>
      </c>
      <c r="S233" s="25" t="s">
        <v>96</v>
      </c>
      <c r="T233" s="25" t="s">
        <v>96</v>
      </c>
      <c r="U233" s="25" t="s">
        <v>98</v>
      </c>
      <c r="V233" s="25" t="s">
        <v>230</v>
      </c>
      <c r="W233" s="25" t="s">
        <v>245</v>
      </c>
      <c r="X233" s="25" t="s">
        <v>1752</v>
      </c>
      <c r="Y233" s="25" t="s">
        <v>1753</v>
      </c>
      <c r="Z233" s="26">
        <v>40633</v>
      </c>
      <c r="AA233" s="776">
        <v>20</v>
      </c>
      <c r="AB233" s="776">
        <v>90.7</v>
      </c>
      <c r="AC233" s="776">
        <v>0</v>
      </c>
      <c r="AD233" s="776">
        <v>0</v>
      </c>
      <c r="AE233" s="777">
        <v>0</v>
      </c>
      <c r="AF233" s="777">
        <v>18.14</v>
      </c>
      <c r="AG233" s="778">
        <v>18.263092182637774</v>
      </c>
    </row>
    <row r="234" spans="1:33" x14ac:dyDescent="0.2">
      <c r="A234" s="15">
        <f t="shared" si="24"/>
        <v>2010</v>
      </c>
      <c r="B234" s="14">
        <f t="shared" si="25"/>
        <v>11</v>
      </c>
      <c r="C234" s="13" t="str">
        <f t="shared" si="26"/>
        <v>Q4</v>
      </c>
      <c r="D234" s="13" t="str">
        <f t="shared" si="27"/>
        <v>2010Q4</v>
      </c>
      <c r="E234" s="13" t="str">
        <f t="shared" si="28"/>
        <v>Brazil</v>
      </c>
      <c r="F234" s="13" t="str">
        <f t="shared" si="30"/>
        <v>Biofuels</v>
      </c>
      <c r="G234" s="13" t="str">
        <f t="shared" si="31"/>
        <v>Asset finance investments</v>
      </c>
      <c r="H234" s="638">
        <f t="shared" si="29"/>
        <v>18.113497002829444</v>
      </c>
      <c r="I234" s="24" t="s">
        <v>87</v>
      </c>
      <c r="J234" s="25" t="s">
        <v>246</v>
      </c>
      <c r="K234" s="25" t="s">
        <v>427</v>
      </c>
      <c r="L234" s="25" t="s">
        <v>1951</v>
      </c>
      <c r="M234" s="25" t="s">
        <v>31</v>
      </c>
      <c r="N234" s="25" t="s">
        <v>31</v>
      </c>
      <c r="O234" s="25" t="s">
        <v>92</v>
      </c>
      <c r="P234" s="25" t="s">
        <v>83</v>
      </c>
      <c r="Q234" s="25" t="s">
        <v>82</v>
      </c>
      <c r="R234" s="25" t="s">
        <v>91</v>
      </c>
      <c r="S234" s="25" t="s">
        <v>96</v>
      </c>
      <c r="T234" s="25" t="s">
        <v>96</v>
      </c>
      <c r="U234" s="25" t="s">
        <v>98</v>
      </c>
      <c r="V234" s="25" t="s">
        <v>230</v>
      </c>
      <c r="W234" s="25" t="s">
        <v>249</v>
      </c>
      <c r="X234" s="25" t="s">
        <v>1752</v>
      </c>
      <c r="Y234" s="25" t="s">
        <v>1753</v>
      </c>
      <c r="Z234" s="26">
        <v>40506</v>
      </c>
      <c r="AA234" s="776">
        <v>0</v>
      </c>
      <c r="AB234" s="776">
        <v>110</v>
      </c>
      <c r="AC234" s="776">
        <v>0</v>
      </c>
      <c r="AD234" s="776">
        <v>0</v>
      </c>
      <c r="AE234" s="777">
        <v>18.100000000000001</v>
      </c>
      <c r="AF234" s="777">
        <v>18.100000000000001</v>
      </c>
      <c r="AG234" s="778">
        <v>18.113497002829444</v>
      </c>
    </row>
    <row r="235" spans="1:33" x14ac:dyDescent="0.2">
      <c r="A235" s="15">
        <f t="shared" si="24"/>
        <v>2009</v>
      </c>
      <c r="B235" s="14">
        <f t="shared" si="25"/>
        <v>10</v>
      </c>
      <c r="C235" s="13" t="str">
        <f t="shared" si="26"/>
        <v>Q4</v>
      </c>
      <c r="D235" s="13" t="str">
        <f t="shared" si="27"/>
        <v>2009Q4</v>
      </c>
      <c r="E235" s="13" t="str">
        <f t="shared" si="28"/>
        <v>Brazil</v>
      </c>
      <c r="F235" s="13" t="str">
        <f t="shared" si="30"/>
        <v>Biomass &amp; Waste</v>
      </c>
      <c r="G235" s="13" t="str">
        <f t="shared" si="31"/>
        <v>Asset finance investments</v>
      </c>
      <c r="H235" s="638">
        <f t="shared" si="29"/>
        <v>18.000009697989903</v>
      </c>
      <c r="I235" s="24" t="s">
        <v>87</v>
      </c>
      <c r="J235" s="25" t="s">
        <v>246</v>
      </c>
      <c r="K235" s="25" t="s">
        <v>393</v>
      </c>
      <c r="L235" s="25" t="s">
        <v>1952</v>
      </c>
      <c r="M235" s="25" t="s">
        <v>31</v>
      </c>
      <c r="N235" s="25" t="s">
        <v>31</v>
      </c>
      <c r="O235" s="25" t="s">
        <v>92</v>
      </c>
      <c r="P235" s="25" t="s">
        <v>83</v>
      </c>
      <c r="Q235" s="25" t="s">
        <v>82</v>
      </c>
      <c r="R235" s="25" t="s">
        <v>91</v>
      </c>
      <c r="S235" s="25" t="s">
        <v>114</v>
      </c>
      <c r="T235" s="25" t="s">
        <v>114</v>
      </c>
      <c r="U235" s="25" t="s">
        <v>113</v>
      </c>
      <c r="V235" s="25" t="s">
        <v>347</v>
      </c>
      <c r="W235" s="25" t="s">
        <v>249</v>
      </c>
      <c r="X235" s="25" t="s">
        <v>1749</v>
      </c>
      <c r="Y235" s="25" t="s">
        <v>1750</v>
      </c>
      <c r="Z235" s="26">
        <v>40101</v>
      </c>
      <c r="AA235" s="776">
        <v>85</v>
      </c>
      <c r="AB235" s="776">
        <v>0</v>
      </c>
      <c r="AC235" s="776">
        <v>0</v>
      </c>
      <c r="AD235" s="776">
        <v>0</v>
      </c>
      <c r="AE235" s="777">
        <v>18</v>
      </c>
      <c r="AF235" s="777">
        <v>18</v>
      </c>
      <c r="AG235" s="778">
        <v>18.000009697989903</v>
      </c>
    </row>
    <row r="236" spans="1:33" x14ac:dyDescent="0.2">
      <c r="A236" s="15">
        <f t="shared" si="24"/>
        <v>2009</v>
      </c>
      <c r="B236" s="14">
        <f t="shared" si="25"/>
        <v>9</v>
      </c>
      <c r="C236" s="13" t="str">
        <f t="shared" si="26"/>
        <v>Q3</v>
      </c>
      <c r="D236" s="13" t="str">
        <f t="shared" si="27"/>
        <v>2009Q3</v>
      </c>
      <c r="E236" s="13" t="str">
        <f t="shared" si="28"/>
        <v>Brazil</v>
      </c>
      <c r="F236" s="13" t="str">
        <f t="shared" si="30"/>
        <v>Wind</v>
      </c>
      <c r="G236" s="13" t="str">
        <f t="shared" si="31"/>
        <v>Asset finance investments</v>
      </c>
      <c r="H236" s="638">
        <f t="shared" si="29"/>
        <v>17.60000948247902</v>
      </c>
      <c r="I236" s="24" t="s">
        <v>87</v>
      </c>
      <c r="J236" s="25" t="s">
        <v>246</v>
      </c>
      <c r="K236" s="25" t="s">
        <v>389</v>
      </c>
      <c r="L236" s="25" t="s">
        <v>1953</v>
      </c>
      <c r="M236" s="25" t="s">
        <v>31</v>
      </c>
      <c r="N236" s="25" t="s">
        <v>31</v>
      </c>
      <c r="O236" s="25" t="s">
        <v>92</v>
      </c>
      <c r="P236" s="25" t="s">
        <v>83</v>
      </c>
      <c r="Q236" s="25" t="s">
        <v>82</v>
      </c>
      <c r="R236" s="25" t="s">
        <v>91</v>
      </c>
      <c r="S236" s="25" t="s">
        <v>101</v>
      </c>
      <c r="T236" s="25" t="s">
        <v>101</v>
      </c>
      <c r="U236" s="25" t="s">
        <v>112</v>
      </c>
      <c r="V236" s="25">
        <v>0</v>
      </c>
      <c r="W236" s="25" t="s">
        <v>245</v>
      </c>
      <c r="X236" s="25" t="s">
        <v>1752</v>
      </c>
      <c r="Y236" s="25" t="s">
        <v>1753</v>
      </c>
      <c r="Z236" s="26">
        <v>40085</v>
      </c>
      <c r="AA236" s="776">
        <v>0</v>
      </c>
      <c r="AB236" s="776">
        <v>0</v>
      </c>
      <c r="AC236" s="776">
        <v>0</v>
      </c>
      <c r="AD236" s="776">
        <v>0</v>
      </c>
      <c r="AE236" s="777">
        <v>17.600000000000001</v>
      </c>
      <c r="AF236" s="777">
        <v>17.600000000000001</v>
      </c>
      <c r="AG236" s="778">
        <v>17.60000948247902</v>
      </c>
    </row>
    <row r="237" spans="1:33" x14ac:dyDescent="0.2">
      <c r="A237" s="15">
        <f t="shared" si="24"/>
        <v>2012</v>
      </c>
      <c r="B237" s="14">
        <f t="shared" si="25"/>
        <v>3</v>
      </c>
      <c r="C237" s="13" t="str">
        <f t="shared" si="26"/>
        <v>Q1</v>
      </c>
      <c r="D237" s="13" t="str">
        <f t="shared" si="27"/>
        <v>2012Q1</v>
      </c>
      <c r="E237" s="13" t="str">
        <f t="shared" si="28"/>
        <v>Peru</v>
      </c>
      <c r="F237" s="13" t="str">
        <f t="shared" si="30"/>
        <v>Biofuels</v>
      </c>
      <c r="G237" s="13" t="str">
        <f t="shared" si="31"/>
        <v>Asset finance investments</v>
      </c>
      <c r="H237" s="638">
        <f t="shared" si="29"/>
        <v>22.704512855822642</v>
      </c>
      <c r="I237" s="24" t="s">
        <v>87</v>
      </c>
      <c r="J237" s="25" t="s">
        <v>246</v>
      </c>
      <c r="K237" s="25" t="s">
        <v>1954</v>
      </c>
      <c r="L237" s="25" t="s">
        <v>1955</v>
      </c>
      <c r="M237" s="25" t="s">
        <v>20</v>
      </c>
      <c r="N237" s="25" t="s">
        <v>85</v>
      </c>
      <c r="O237" s="25" t="s">
        <v>92</v>
      </c>
      <c r="P237" s="25" t="s">
        <v>83</v>
      </c>
      <c r="Q237" s="25" t="s">
        <v>82</v>
      </c>
      <c r="R237" s="25"/>
      <c r="S237" s="25" t="s">
        <v>96</v>
      </c>
      <c r="T237" s="25" t="s">
        <v>96</v>
      </c>
      <c r="U237" s="25" t="s">
        <v>98</v>
      </c>
      <c r="V237" s="25" t="s">
        <v>230</v>
      </c>
      <c r="W237" s="25" t="s">
        <v>249</v>
      </c>
      <c r="X237" s="25" t="s">
        <v>1771</v>
      </c>
      <c r="Y237" s="25" t="s">
        <v>1750</v>
      </c>
      <c r="Z237" s="26">
        <v>40970</v>
      </c>
      <c r="AA237" s="776">
        <v>37</v>
      </c>
      <c r="AB237" s="776">
        <v>132</v>
      </c>
      <c r="AC237" s="776">
        <v>0</v>
      </c>
      <c r="AD237" s="776">
        <v>0</v>
      </c>
      <c r="AE237" s="777">
        <v>17.5</v>
      </c>
      <c r="AF237" s="777">
        <v>17.5</v>
      </c>
      <c r="AG237" s="778">
        <v>22.704512855822642</v>
      </c>
    </row>
    <row r="238" spans="1:33" x14ac:dyDescent="0.2">
      <c r="A238" s="15">
        <f t="shared" si="24"/>
        <v>2006</v>
      </c>
      <c r="B238" s="14">
        <f t="shared" si="25"/>
        <v>6</v>
      </c>
      <c r="C238" s="13" t="str">
        <f t="shared" si="26"/>
        <v>Q2</v>
      </c>
      <c r="D238" s="13" t="str">
        <f t="shared" si="27"/>
        <v>2006Q2</v>
      </c>
      <c r="E238" s="13" t="str">
        <f t="shared" si="28"/>
        <v>Costa Rica</v>
      </c>
      <c r="F238" s="13" t="str">
        <f t="shared" si="30"/>
        <v>Wind</v>
      </c>
      <c r="G238" s="13" t="str">
        <f t="shared" si="31"/>
        <v>Asset finance investments</v>
      </c>
      <c r="H238" s="638">
        <f t="shared" si="29"/>
        <v>17.90585567010309</v>
      </c>
      <c r="I238" s="24" t="s">
        <v>87</v>
      </c>
      <c r="J238" s="25" t="s">
        <v>246</v>
      </c>
      <c r="K238" s="25" t="s">
        <v>259</v>
      </c>
      <c r="L238" s="25" t="s">
        <v>258</v>
      </c>
      <c r="M238" s="25" t="s">
        <v>10</v>
      </c>
      <c r="N238" s="25" t="s">
        <v>85</v>
      </c>
      <c r="O238" s="25" t="s">
        <v>92</v>
      </c>
      <c r="P238" s="25" t="s">
        <v>83</v>
      </c>
      <c r="Q238" s="25" t="s">
        <v>82</v>
      </c>
      <c r="R238" s="25"/>
      <c r="S238" s="25" t="s">
        <v>101</v>
      </c>
      <c r="T238" s="25" t="s">
        <v>101</v>
      </c>
      <c r="U238" s="25" t="s">
        <v>112</v>
      </c>
      <c r="V238" s="25">
        <v>0</v>
      </c>
      <c r="W238" s="25" t="s">
        <v>245</v>
      </c>
      <c r="X238" s="25" t="s">
        <v>1752</v>
      </c>
      <c r="Y238" s="25" t="s">
        <v>1753</v>
      </c>
      <c r="Z238" s="26">
        <v>38876.535416666702</v>
      </c>
      <c r="AA238" s="776">
        <v>24</v>
      </c>
      <c r="AB238" s="776">
        <v>0</v>
      </c>
      <c r="AC238" s="776">
        <v>0</v>
      </c>
      <c r="AD238" s="776">
        <v>0</v>
      </c>
      <c r="AE238" s="777">
        <v>0</v>
      </c>
      <c r="AF238" s="777">
        <v>17.399999999999999</v>
      </c>
      <c r="AG238" s="778">
        <v>17.90585567010309</v>
      </c>
    </row>
    <row r="239" spans="1:33" x14ac:dyDescent="0.2">
      <c r="A239" s="15">
        <f t="shared" si="24"/>
        <v>2011</v>
      </c>
      <c r="B239" s="14">
        <f t="shared" si="25"/>
        <v>10</v>
      </c>
      <c r="C239" s="13" t="str">
        <f t="shared" si="26"/>
        <v>Q4</v>
      </c>
      <c r="D239" s="13" t="str">
        <f t="shared" si="27"/>
        <v>2011Q4</v>
      </c>
      <c r="E239" s="13" t="str">
        <f t="shared" si="28"/>
        <v>Chile</v>
      </c>
      <c r="F239" s="13" t="str">
        <f t="shared" si="30"/>
        <v>Geothermal</v>
      </c>
      <c r="G239" s="13" t="str">
        <f t="shared" si="31"/>
        <v>Corporate finance investments</v>
      </c>
      <c r="H239" s="638">
        <f t="shared" si="29"/>
        <v>18.559467736691829</v>
      </c>
      <c r="I239" s="24" t="s">
        <v>87</v>
      </c>
      <c r="J239" s="25" t="s">
        <v>86</v>
      </c>
      <c r="K239" s="25" t="s">
        <v>185</v>
      </c>
      <c r="L239" s="25" t="s">
        <v>184</v>
      </c>
      <c r="M239" s="25" t="s">
        <v>8</v>
      </c>
      <c r="N239" s="25" t="s">
        <v>85</v>
      </c>
      <c r="O239" s="25" t="s">
        <v>92</v>
      </c>
      <c r="P239" s="25" t="s">
        <v>83</v>
      </c>
      <c r="Q239" s="25" t="s">
        <v>129</v>
      </c>
      <c r="R239" s="25"/>
      <c r="S239" s="25" t="s">
        <v>157</v>
      </c>
      <c r="T239" s="25" t="s">
        <v>157</v>
      </c>
      <c r="U239" s="25">
        <v>0</v>
      </c>
      <c r="V239" s="25">
        <v>0</v>
      </c>
      <c r="W239" s="25" t="s">
        <v>94</v>
      </c>
      <c r="X239" s="25" t="s">
        <v>1747</v>
      </c>
      <c r="Y239" s="25" t="e">
        <v>#N/A</v>
      </c>
      <c r="Z239" s="26">
        <v>40829</v>
      </c>
      <c r="AA239" s="776" t="s">
        <v>1748</v>
      </c>
      <c r="AB239" s="776" t="s">
        <v>1748</v>
      </c>
      <c r="AC239" s="776" t="s">
        <v>1748</v>
      </c>
      <c r="AD239" s="776" t="s">
        <v>1748</v>
      </c>
      <c r="AE239" s="777">
        <v>16.8</v>
      </c>
      <c r="AF239" s="777">
        <v>16.8</v>
      </c>
      <c r="AG239" s="778">
        <v>18.559467736691829</v>
      </c>
    </row>
    <row r="240" spans="1:33" x14ac:dyDescent="0.2">
      <c r="A240" s="15">
        <f t="shared" si="24"/>
        <v>2009</v>
      </c>
      <c r="B240" s="14">
        <f t="shared" si="25"/>
        <v>12</v>
      </c>
      <c r="C240" s="13" t="str">
        <f t="shared" si="26"/>
        <v>Q4</v>
      </c>
      <c r="D240" s="13" t="str">
        <f t="shared" si="27"/>
        <v>2009Q4</v>
      </c>
      <c r="E240" s="13" t="str">
        <f t="shared" si="28"/>
        <v>Brazil</v>
      </c>
      <c r="F240" s="13" t="str">
        <f t="shared" si="30"/>
        <v>Small Hydro</v>
      </c>
      <c r="G240" s="13" t="str">
        <f t="shared" si="31"/>
        <v>Asset finance investments</v>
      </c>
      <c r="H240" s="638">
        <f t="shared" si="29"/>
        <v>16.790009046069471</v>
      </c>
      <c r="I240" s="24" t="s">
        <v>87</v>
      </c>
      <c r="J240" s="25" t="s">
        <v>246</v>
      </c>
      <c r="K240" s="25" t="s">
        <v>387</v>
      </c>
      <c r="L240" s="25" t="s">
        <v>386</v>
      </c>
      <c r="M240" s="25" t="s">
        <v>31</v>
      </c>
      <c r="N240" s="25" t="s">
        <v>31</v>
      </c>
      <c r="O240" s="25" t="s">
        <v>92</v>
      </c>
      <c r="P240" s="25" t="s">
        <v>83</v>
      </c>
      <c r="Q240" s="25" t="s">
        <v>82</v>
      </c>
      <c r="R240" s="25" t="s">
        <v>91</v>
      </c>
      <c r="S240" s="25" t="s">
        <v>126</v>
      </c>
      <c r="T240" s="25" t="s">
        <v>125</v>
      </c>
      <c r="U240" s="25" t="s">
        <v>247</v>
      </c>
      <c r="V240" s="25">
        <v>0</v>
      </c>
      <c r="W240" s="25" t="s">
        <v>245</v>
      </c>
      <c r="X240" s="25" t="s">
        <v>1752</v>
      </c>
      <c r="Y240" s="25" t="s">
        <v>1753</v>
      </c>
      <c r="Z240" s="26">
        <v>40178</v>
      </c>
      <c r="AA240" s="776">
        <v>11.5</v>
      </c>
      <c r="AB240" s="776">
        <v>0</v>
      </c>
      <c r="AC240" s="776">
        <v>0</v>
      </c>
      <c r="AD240" s="776">
        <v>0</v>
      </c>
      <c r="AE240" s="777">
        <v>0</v>
      </c>
      <c r="AF240" s="777">
        <v>16.79</v>
      </c>
      <c r="AG240" s="778">
        <v>16.790009046069471</v>
      </c>
    </row>
    <row r="241" spans="1:33" x14ac:dyDescent="0.2">
      <c r="A241" s="15">
        <f t="shared" si="24"/>
        <v>2012</v>
      </c>
      <c r="B241" s="14">
        <f t="shared" si="25"/>
        <v>2</v>
      </c>
      <c r="C241" s="13" t="str">
        <f t="shared" si="26"/>
        <v>Q1</v>
      </c>
      <c r="D241" s="13" t="str">
        <f t="shared" si="27"/>
        <v>2012Q1</v>
      </c>
      <c r="E241" s="13" t="str">
        <f t="shared" si="28"/>
        <v>Brazil</v>
      </c>
      <c r="F241" s="13" t="str">
        <f t="shared" si="30"/>
        <v>Small Hydro</v>
      </c>
      <c r="G241" s="13" t="str">
        <f t="shared" si="31"/>
        <v>Corporate finance investments</v>
      </c>
      <c r="H241" s="638">
        <f t="shared" si="29"/>
        <v>16.258236665580178</v>
      </c>
      <c r="I241" s="24" t="s">
        <v>87</v>
      </c>
      <c r="J241" s="25" t="s">
        <v>86</v>
      </c>
      <c r="K241" s="25" t="s">
        <v>1956</v>
      </c>
      <c r="L241" s="25" t="s">
        <v>1957</v>
      </c>
      <c r="M241" s="25" t="s">
        <v>31</v>
      </c>
      <c r="N241" s="25" t="s">
        <v>31</v>
      </c>
      <c r="O241" s="25" t="s">
        <v>92</v>
      </c>
      <c r="P241" s="25" t="s">
        <v>83</v>
      </c>
      <c r="Q241" s="25" t="s">
        <v>82</v>
      </c>
      <c r="R241" s="25" t="s">
        <v>91</v>
      </c>
      <c r="S241" s="25" t="s">
        <v>126</v>
      </c>
      <c r="T241" s="25" t="s">
        <v>125</v>
      </c>
      <c r="U241" s="25" t="s">
        <v>247</v>
      </c>
      <c r="V241" s="25">
        <v>0</v>
      </c>
      <c r="W241" s="25" t="s">
        <v>94</v>
      </c>
      <c r="X241" s="25" t="s">
        <v>1747</v>
      </c>
      <c r="Y241" s="25" t="e">
        <v>#N/A</v>
      </c>
      <c r="Z241" s="26">
        <v>40949</v>
      </c>
      <c r="AA241" s="776" t="s">
        <v>1748</v>
      </c>
      <c r="AB241" s="776" t="s">
        <v>1748</v>
      </c>
      <c r="AC241" s="776" t="s">
        <v>1748</v>
      </c>
      <c r="AD241" s="776" t="s">
        <v>1748</v>
      </c>
      <c r="AE241" s="777">
        <v>15.5</v>
      </c>
      <c r="AF241" s="777">
        <v>15.5</v>
      </c>
      <c r="AG241" s="778">
        <v>16.258236665580178</v>
      </c>
    </row>
    <row r="242" spans="1:33" x14ac:dyDescent="0.2">
      <c r="A242" s="15">
        <f t="shared" si="24"/>
        <v>2006</v>
      </c>
      <c r="B242" s="14">
        <f t="shared" si="25"/>
        <v>9</v>
      </c>
      <c r="C242" s="13" t="str">
        <f t="shared" si="26"/>
        <v>Q3</v>
      </c>
      <c r="D242" s="13" t="str">
        <f t="shared" si="27"/>
        <v>2006Q3</v>
      </c>
      <c r="E242" s="13" t="str">
        <f t="shared" si="28"/>
        <v>Brazil</v>
      </c>
      <c r="F242" s="13" t="str">
        <f t="shared" si="30"/>
        <v>Small Hydro</v>
      </c>
      <c r="G242" s="13" t="str">
        <f t="shared" si="31"/>
        <v>Asset finance investments</v>
      </c>
      <c r="H242" s="638">
        <f t="shared" si="29"/>
        <v>15.225384</v>
      </c>
      <c r="I242" s="24" t="s">
        <v>87</v>
      </c>
      <c r="J242" s="25" t="s">
        <v>246</v>
      </c>
      <c r="K242" s="25" t="s">
        <v>257</v>
      </c>
      <c r="L242" s="25" t="s">
        <v>256</v>
      </c>
      <c r="M242" s="25" t="s">
        <v>31</v>
      </c>
      <c r="N242" s="25" t="s">
        <v>31</v>
      </c>
      <c r="O242" s="25" t="s">
        <v>92</v>
      </c>
      <c r="P242" s="25" t="s">
        <v>83</v>
      </c>
      <c r="Q242" s="25" t="s">
        <v>82</v>
      </c>
      <c r="R242" s="25" t="s">
        <v>91</v>
      </c>
      <c r="S242" s="25" t="s">
        <v>126</v>
      </c>
      <c r="T242" s="25" t="s">
        <v>125</v>
      </c>
      <c r="U242" s="25" t="s">
        <v>247</v>
      </c>
      <c r="V242" s="25">
        <v>0</v>
      </c>
      <c r="W242" s="25" t="s">
        <v>245</v>
      </c>
      <c r="X242" s="25" t="s">
        <v>1752</v>
      </c>
      <c r="Y242" s="25" t="s">
        <v>1753</v>
      </c>
      <c r="Z242" s="26">
        <v>38986</v>
      </c>
      <c r="AA242" s="776">
        <v>15</v>
      </c>
      <c r="AB242" s="776">
        <v>0</v>
      </c>
      <c r="AC242" s="776">
        <v>0</v>
      </c>
      <c r="AD242" s="776">
        <v>0</v>
      </c>
      <c r="AE242" s="777">
        <v>15.2</v>
      </c>
      <c r="AF242" s="777">
        <v>15.2</v>
      </c>
      <c r="AG242" s="778">
        <v>15.225384</v>
      </c>
    </row>
    <row r="243" spans="1:33" x14ac:dyDescent="0.2">
      <c r="A243" s="15">
        <f t="shared" si="24"/>
        <v>2009</v>
      </c>
      <c r="B243" s="14">
        <f t="shared" si="25"/>
        <v>5</v>
      </c>
      <c r="C243" s="13" t="str">
        <f t="shared" si="26"/>
        <v>Q2</v>
      </c>
      <c r="D243" s="13" t="str">
        <f t="shared" si="27"/>
        <v>2009Q2</v>
      </c>
      <c r="E243" s="13" t="str">
        <f t="shared" si="28"/>
        <v>Brazil</v>
      </c>
      <c r="F243" s="13" t="str">
        <f t="shared" si="30"/>
        <v>Biofuels</v>
      </c>
      <c r="G243" s="13" t="str">
        <f t="shared" si="31"/>
        <v>Asset finance investments</v>
      </c>
      <c r="H243" s="638">
        <f t="shared" si="29"/>
        <v>15.000008081658253</v>
      </c>
      <c r="I243" s="24" t="s">
        <v>87</v>
      </c>
      <c r="J243" s="25" t="s">
        <v>246</v>
      </c>
      <c r="K243" s="25" t="s">
        <v>388</v>
      </c>
      <c r="L243" s="25" t="s">
        <v>1958</v>
      </c>
      <c r="M243" s="25" t="s">
        <v>31</v>
      </c>
      <c r="N243" s="25" t="s">
        <v>31</v>
      </c>
      <c r="O243" s="25" t="s">
        <v>92</v>
      </c>
      <c r="P243" s="25" t="s">
        <v>83</v>
      </c>
      <c r="Q243" s="25" t="s">
        <v>82</v>
      </c>
      <c r="R243" s="25" t="s">
        <v>91</v>
      </c>
      <c r="S243" s="25" t="s">
        <v>96</v>
      </c>
      <c r="T243" s="25" t="s">
        <v>96</v>
      </c>
      <c r="U243" s="25" t="s">
        <v>95</v>
      </c>
      <c r="V243" s="25" t="s">
        <v>223</v>
      </c>
      <c r="W243" s="25" t="s">
        <v>245</v>
      </c>
      <c r="X243" s="25" t="s">
        <v>1752</v>
      </c>
      <c r="Y243" s="25" t="s">
        <v>1753</v>
      </c>
      <c r="Z243" s="26">
        <v>39964</v>
      </c>
      <c r="AA243" s="776">
        <v>0</v>
      </c>
      <c r="AB243" s="776">
        <v>127.1</v>
      </c>
      <c r="AC243" s="776">
        <v>0</v>
      </c>
      <c r="AD243" s="776">
        <v>0</v>
      </c>
      <c r="AE243" s="777">
        <v>0</v>
      </c>
      <c r="AF243" s="777">
        <v>15</v>
      </c>
      <c r="AG243" s="778">
        <v>15.000008081658253</v>
      </c>
    </row>
    <row r="244" spans="1:33" x14ac:dyDescent="0.2">
      <c r="A244" s="15">
        <f t="shared" si="24"/>
        <v>2011</v>
      </c>
      <c r="B244" s="14">
        <f t="shared" si="25"/>
        <v>3</v>
      </c>
      <c r="C244" s="13" t="str">
        <f t="shared" si="26"/>
        <v>Q1</v>
      </c>
      <c r="D244" s="13" t="str">
        <f t="shared" si="27"/>
        <v>2011Q1</v>
      </c>
      <c r="E244" s="13" t="str">
        <f t="shared" si="28"/>
        <v>Chile</v>
      </c>
      <c r="F244" s="13" t="str">
        <f t="shared" si="30"/>
        <v>Wind</v>
      </c>
      <c r="G244" s="13" t="str">
        <f t="shared" si="31"/>
        <v>Asset finance investments</v>
      </c>
      <c r="H244" s="638">
        <f t="shared" si="29"/>
        <v>15.12406669462338</v>
      </c>
      <c r="I244" s="24" t="s">
        <v>87</v>
      </c>
      <c r="J244" s="25" t="s">
        <v>246</v>
      </c>
      <c r="K244" s="25" t="s">
        <v>503</v>
      </c>
      <c r="L244" s="25" t="s">
        <v>1959</v>
      </c>
      <c r="M244" s="25" t="s">
        <v>8</v>
      </c>
      <c r="N244" s="25" t="s">
        <v>85</v>
      </c>
      <c r="O244" s="25" t="s">
        <v>92</v>
      </c>
      <c r="P244" s="25" t="s">
        <v>83</v>
      </c>
      <c r="Q244" s="25" t="s">
        <v>129</v>
      </c>
      <c r="R244" s="25"/>
      <c r="S244" s="25" t="s">
        <v>101</v>
      </c>
      <c r="T244" s="25" t="s">
        <v>101</v>
      </c>
      <c r="U244" s="25" t="s">
        <v>112</v>
      </c>
      <c r="V244" s="25">
        <v>0</v>
      </c>
      <c r="W244" s="25" t="s">
        <v>245</v>
      </c>
      <c r="X244" s="25" t="s">
        <v>1752</v>
      </c>
      <c r="Y244" s="25" t="s">
        <v>1753</v>
      </c>
      <c r="Z244" s="26">
        <v>40606</v>
      </c>
      <c r="AA244" s="776">
        <v>500</v>
      </c>
      <c r="AB244" s="776">
        <v>0</v>
      </c>
      <c r="AC244" s="776">
        <v>0</v>
      </c>
      <c r="AD244" s="776">
        <v>0</v>
      </c>
      <c r="AE244" s="777">
        <v>0</v>
      </c>
      <c r="AF244" s="777">
        <v>15</v>
      </c>
      <c r="AG244" s="778">
        <v>15.12406669462338</v>
      </c>
    </row>
    <row r="245" spans="1:33" x14ac:dyDescent="0.2">
      <c r="A245" s="15">
        <f t="shared" si="24"/>
        <v>2008</v>
      </c>
      <c r="B245" s="14">
        <f t="shared" si="25"/>
        <v>3</v>
      </c>
      <c r="C245" s="13" t="str">
        <f t="shared" si="26"/>
        <v>Q1</v>
      </c>
      <c r="D245" s="13" t="str">
        <f t="shared" si="27"/>
        <v>2008Q1</v>
      </c>
      <c r="E245" s="13" t="str">
        <f t="shared" si="28"/>
        <v>Brazil</v>
      </c>
      <c r="F245" s="13" t="str">
        <f t="shared" si="30"/>
        <v>Wind</v>
      </c>
      <c r="G245" s="13" t="str">
        <f t="shared" si="31"/>
        <v>Asset finance investments</v>
      </c>
      <c r="H245" s="638">
        <f t="shared" si="29"/>
        <v>15.027101127408203</v>
      </c>
      <c r="I245" s="24" t="s">
        <v>87</v>
      </c>
      <c r="J245" s="25" t="s">
        <v>246</v>
      </c>
      <c r="K245" s="25" t="s">
        <v>362</v>
      </c>
      <c r="L245" s="25" t="s">
        <v>361</v>
      </c>
      <c r="M245" s="25" t="s">
        <v>31</v>
      </c>
      <c r="N245" s="25" t="s">
        <v>31</v>
      </c>
      <c r="O245" s="25" t="s">
        <v>92</v>
      </c>
      <c r="P245" s="25" t="s">
        <v>83</v>
      </c>
      <c r="Q245" s="25" t="s">
        <v>82</v>
      </c>
      <c r="R245" s="25" t="s">
        <v>91</v>
      </c>
      <c r="S245" s="25" t="s">
        <v>101</v>
      </c>
      <c r="T245" s="25" t="s">
        <v>101</v>
      </c>
      <c r="U245" s="25" t="s">
        <v>112</v>
      </c>
      <c r="V245" s="25">
        <v>0</v>
      </c>
      <c r="W245" s="25" t="s">
        <v>245</v>
      </c>
      <c r="X245" s="25" t="s">
        <v>1752</v>
      </c>
      <c r="Y245" s="25" t="s">
        <v>1753</v>
      </c>
      <c r="Z245" s="26">
        <v>39522</v>
      </c>
      <c r="AA245" s="776">
        <v>99.6</v>
      </c>
      <c r="AB245" s="776">
        <v>0</v>
      </c>
      <c r="AC245" s="776">
        <v>0</v>
      </c>
      <c r="AD245" s="776">
        <v>0</v>
      </c>
      <c r="AE245" s="777">
        <v>0</v>
      </c>
      <c r="AF245" s="777">
        <v>14.94</v>
      </c>
      <c r="AG245" s="778">
        <v>15.027101127408203</v>
      </c>
    </row>
    <row r="246" spans="1:33" x14ac:dyDescent="0.2">
      <c r="A246" s="15">
        <f t="shared" si="24"/>
        <v>2006</v>
      </c>
      <c r="B246" s="14">
        <f t="shared" si="25"/>
        <v>3</v>
      </c>
      <c r="C246" s="13" t="str">
        <f t="shared" si="26"/>
        <v>Q1</v>
      </c>
      <c r="D246" s="13" t="str">
        <f t="shared" si="27"/>
        <v>2006Q1</v>
      </c>
      <c r="E246" s="13" t="str">
        <f t="shared" si="28"/>
        <v>Guatemala</v>
      </c>
      <c r="F246" s="13" t="str">
        <f t="shared" si="30"/>
        <v>Geothermal</v>
      </c>
      <c r="G246" s="13" t="str">
        <f t="shared" si="31"/>
        <v>Asset finance investments</v>
      </c>
      <c r="H246" s="638">
        <f t="shared" si="29"/>
        <v>15.179</v>
      </c>
      <c r="I246" s="24" t="s">
        <v>87</v>
      </c>
      <c r="J246" s="25" t="s">
        <v>246</v>
      </c>
      <c r="K246" s="25" t="s">
        <v>255</v>
      </c>
      <c r="L246" s="25" t="s">
        <v>1960</v>
      </c>
      <c r="M246" s="25" t="s">
        <v>13</v>
      </c>
      <c r="N246" s="25" t="s">
        <v>85</v>
      </c>
      <c r="O246" s="25" t="s">
        <v>92</v>
      </c>
      <c r="P246" s="25" t="s">
        <v>83</v>
      </c>
      <c r="Q246" s="25" t="s">
        <v>82</v>
      </c>
      <c r="R246" s="25"/>
      <c r="S246" s="25" t="s">
        <v>157</v>
      </c>
      <c r="T246" s="25" t="s">
        <v>157</v>
      </c>
      <c r="U246" s="25" t="s">
        <v>156</v>
      </c>
      <c r="V246" s="25" t="s">
        <v>252</v>
      </c>
      <c r="W246" s="25" t="s">
        <v>245</v>
      </c>
      <c r="X246" s="25" t="s">
        <v>1752</v>
      </c>
      <c r="Y246" s="25" t="s">
        <v>1753</v>
      </c>
      <c r="Z246" s="26">
        <v>38796</v>
      </c>
      <c r="AA246" s="776">
        <v>24</v>
      </c>
      <c r="AB246" s="776">
        <v>0</v>
      </c>
      <c r="AC246" s="776">
        <v>0</v>
      </c>
      <c r="AD246" s="776">
        <v>0</v>
      </c>
      <c r="AE246" s="777">
        <v>14.75</v>
      </c>
      <c r="AF246" s="777">
        <v>14.75</v>
      </c>
      <c r="AG246" s="778">
        <v>15.179</v>
      </c>
    </row>
    <row r="247" spans="1:33" x14ac:dyDescent="0.2">
      <c r="A247" s="15">
        <f t="shared" si="24"/>
        <v>2008</v>
      </c>
      <c r="B247" s="14">
        <f t="shared" si="25"/>
        <v>10</v>
      </c>
      <c r="C247" s="13" t="str">
        <f t="shared" si="26"/>
        <v>Q4</v>
      </c>
      <c r="D247" s="13" t="str">
        <f t="shared" si="27"/>
        <v>2008Q4</v>
      </c>
      <c r="E247" s="13" t="str">
        <f t="shared" si="28"/>
        <v>Brazil</v>
      </c>
      <c r="F247" s="13" t="str">
        <f t="shared" si="30"/>
        <v>Biofuels</v>
      </c>
      <c r="G247" s="13" t="str">
        <f t="shared" si="31"/>
        <v>Asset finance investments</v>
      </c>
      <c r="H247" s="638">
        <f t="shared" si="29"/>
        <v>14.195605869655143</v>
      </c>
      <c r="I247" s="24" t="s">
        <v>87</v>
      </c>
      <c r="J247" s="25" t="s">
        <v>246</v>
      </c>
      <c r="K247" s="25" t="s">
        <v>329</v>
      </c>
      <c r="L247" s="25" t="s">
        <v>328</v>
      </c>
      <c r="M247" s="25" t="s">
        <v>31</v>
      </c>
      <c r="N247" s="25" t="s">
        <v>31</v>
      </c>
      <c r="O247" s="25" t="s">
        <v>92</v>
      </c>
      <c r="P247" s="25" t="s">
        <v>83</v>
      </c>
      <c r="Q247" s="25" t="s">
        <v>82</v>
      </c>
      <c r="R247" s="25" t="s">
        <v>91</v>
      </c>
      <c r="S247" s="25" t="s">
        <v>96</v>
      </c>
      <c r="T247" s="25" t="s">
        <v>96</v>
      </c>
      <c r="U247" s="25" t="s">
        <v>95</v>
      </c>
      <c r="V247" s="25">
        <v>0</v>
      </c>
      <c r="W247" s="25" t="s">
        <v>245</v>
      </c>
      <c r="X247" s="25" t="s">
        <v>1752</v>
      </c>
      <c r="Y247" s="25" t="s">
        <v>1753</v>
      </c>
      <c r="Z247" s="26">
        <v>39743</v>
      </c>
      <c r="AA247" s="776">
        <v>0</v>
      </c>
      <c r="AB247" s="776">
        <v>33.700000000000003</v>
      </c>
      <c r="AC247" s="776">
        <v>0</v>
      </c>
      <c r="AD247" s="776">
        <v>0</v>
      </c>
      <c r="AE247" s="777">
        <v>0</v>
      </c>
      <c r="AF247" s="777">
        <v>14.154</v>
      </c>
      <c r="AG247" s="778">
        <v>14.195605869655143</v>
      </c>
    </row>
    <row r="248" spans="1:33" x14ac:dyDescent="0.2">
      <c r="A248" s="15">
        <f t="shared" si="24"/>
        <v>2009</v>
      </c>
      <c r="B248" s="14">
        <f t="shared" si="25"/>
        <v>6</v>
      </c>
      <c r="C248" s="13" t="str">
        <f t="shared" si="26"/>
        <v>Q2</v>
      </c>
      <c r="D248" s="13" t="str">
        <f t="shared" si="27"/>
        <v>2009Q2</v>
      </c>
      <c r="E248" s="13" t="str">
        <f t="shared" si="28"/>
        <v>Chile</v>
      </c>
      <c r="F248" s="13" t="str">
        <f t="shared" si="30"/>
        <v>Small Hydro</v>
      </c>
      <c r="G248" s="13" t="str">
        <f t="shared" si="31"/>
        <v>Asset finance investments</v>
      </c>
      <c r="H248" s="638">
        <f t="shared" si="29"/>
        <v>15.177276177166215</v>
      </c>
      <c r="I248" s="24" t="s">
        <v>87</v>
      </c>
      <c r="J248" s="25" t="s">
        <v>246</v>
      </c>
      <c r="K248" s="25" t="s">
        <v>385</v>
      </c>
      <c r="L248" s="25" t="s">
        <v>384</v>
      </c>
      <c r="M248" s="25" t="s">
        <v>8</v>
      </c>
      <c r="N248" s="25" t="s">
        <v>85</v>
      </c>
      <c r="O248" s="25" t="s">
        <v>92</v>
      </c>
      <c r="P248" s="25" t="s">
        <v>83</v>
      </c>
      <c r="Q248" s="25" t="s">
        <v>129</v>
      </c>
      <c r="R248" s="25"/>
      <c r="S248" s="25" t="s">
        <v>126</v>
      </c>
      <c r="T248" s="25" t="s">
        <v>125</v>
      </c>
      <c r="U248" s="25" t="s">
        <v>247</v>
      </c>
      <c r="V248" s="25">
        <v>0</v>
      </c>
      <c r="W248" s="25" t="s">
        <v>245</v>
      </c>
      <c r="X248" s="25" t="s">
        <v>1752</v>
      </c>
      <c r="Y248" s="25" t="s">
        <v>1753</v>
      </c>
      <c r="Z248" s="26">
        <v>39989</v>
      </c>
      <c r="AA248" s="776">
        <v>17</v>
      </c>
      <c r="AB248" s="776">
        <v>0</v>
      </c>
      <c r="AC248" s="776">
        <v>0</v>
      </c>
      <c r="AD248" s="776">
        <v>0</v>
      </c>
      <c r="AE248" s="777">
        <v>0</v>
      </c>
      <c r="AF248" s="777">
        <v>13.651</v>
      </c>
      <c r="AG248" s="778">
        <v>15.177276177166215</v>
      </c>
    </row>
    <row r="249" spans="1:33" x14ac:dyDescent="0.2">
      <c r="A249" s="15">
        <f t="shared" si="24"/>
        <v>2011</v>
      </c>
      <c r="B249" s="14">
        <f t="shared" si="25"/>
        <v>2</v>
      </c>
      <c r="C249" s="13" t="str">
        <f t="shared" si="26"/>
        <v>Q1</v>
      </c>
      <c r="D249" s="13" t="str">
        <f t="shared" si="27"/>
        <v>2011Q1</v>
      </c>
      <c r="E249" s="13" t="str">
        <f t="shared" si="28"/>
        <v>Brazil</v>
      </c>
      <c r="F249" s="13" t="str">
        <f t="shared" si="30"/>
        <v>Wind</v>
      </c>
      <c r="G249" s="13" t="str">
        <f t="shared" si="31"/>
        <v>Asset finance investments</v>
      </c>
      <c r="H249" s="638">
        <f t="shared" si="29"/>
        <v>13.591606640882576</v>
      </c>
      <c r="I249" s="24" t="s">
        <v>87</v>
      </c>
      <c r="J249" s="25" t="s">
        <v>246</v>
      </c>
      <c r="K249" s="25" t="s">
        <v>472</v>
      </c>
      <c r="L249" s="25" t="s">
        <v>1961</v>
      </c>
      <c r="M249" s="25" t="s">
        <v>31</v>
      </c>
      <c r="N249" s="25" t="s">
        <v>31</v>
      </c>
      <c r="O249" s="25" t="s">
        <v>92</v>
      </c>
      <c r="P249" s="25" t="s">
        <v>83</v>
      </c>
      <c r="Q249" s="25" t="s">
        <v>82</v>
      </c>
      <c r="R249" s="25" t="s">
        <v>91</v>
      </c>
      <c r="S249" s="25" t="s">
        <v>101</v>
      </c>
      <c r="T249" s="25" t="s">
        <v>101</v>
      </c>
      <c r="U249" s="25" t="s">
        <v>112</v>
      </c>
      <c r="V249" s="25">
        <v>0</v>
      </c>
      <c r="W249" s="25" t="s">
        <v>245</v>
      </c>
      <c r="X249" s="25" t="s">
        <v>1752</v>
      </c>
      <c r="Y249" s="25" t="s">
        <v>1753</v>
      </c>
      <c r="Z249" s="26">
        <v>40583</v>
      </c>
      <c r="AA249" s="776">
        <v>90</v>
      </c>
      <c r="AB249" s="776">
        <v>0</v>
      </c>
      <c r="AC249" s="776">
        <v>0</v>
      </c>
      <c r="AD249" s="776">
        <v>0</v>
      </c>
      <c r="AE249" s="777">
        <v>0</v>
      </c>
      <c r="AF249" s="777">
        <v>13.5</v>
      </c>
      <c r="AG249" s="778">
        <v>13.591606640882576</v>
      </c>
    </row>
    <row r="250" spans="1:33" x14ac:dyDescent="0.2">
      <c r="A250" s="15">
        <f t="shared" si="24"/>
        <v>2011</v>
      </c>
      <c r="B250" s="14">
        <f t="shared" si="25"/>
        <v>12</v>
      </c>
      <c r="C250" s="13" t="str">
        <f t="shared" si="26"/>
        <v>Q4</v>
      </c>
      <c r="D250" s="13" t="str">
        <f t="shared" si="27"/>
        <v>2011Q4</v>
      </c>
      <c r="E250" s="13" t="str">
        <f t="shared" si="28"/>
        <v>Brazil</v>
      </c>
      <c r="F250" s="13" t="str">
        <f t="shared" si="30"/>
        <v>Biofuels</v>
      </c>
      <c r="G250" s="13" t="str">
        <f t="shared" si="31"/>
        <v>Asset finance investments</v>
      </c>
      <c r="H250" s="638">
        <f t="shared" si="29"/>
        <v>12.685499531490404</v>
      </c>
      <c r="I250" s="24" t="s">
        <v>87</v>
      </c>
      <c r="J250" s="25" t="s">
        <v>246</v>
      </c>
      <c r="K250" s="25" t="s">
        <v>1962</v>
      </c>
      <c r="L250" s="25" t="s">
        <v>1963</v>
      </c>
      <c r="M250" s="25" t="s">
        <v>31</v>
      </c>
      <c r="N250" s="25" t="s">
        <v>31</v>
      </c>
      <c r="O250" s="25" t="s">
        <v>92</v>
      </c>
      <c r="P250" s="25" t="s">
        <v>83</v>
      </c>
      <c r="Q250" s="25" t="s">
        <v>82</v>
      </c>
      <c r="R250" s="25" t="s">
        <v>91</v>
      </c>
      <c r="S250" s="25" t="s">
        <v>96</v>
      </c>
      <c r="T250" s="25" t="s">
        <v>96</v>
      </c>
      <c r="U250" s="25" t="s">
        <v>1930</v>
      </c>
      <c r="V250" s="25" t="s">
        <v>1931</v>
      </c>
      <c r="W250" s="25" t="s">
        <v>249</v>
      </c>
      <c r="X250" s="25" t="s">
        <v>1749</v>
      </c>
      <c r="Y250" s="25" t="s">
        <v>1750</v>
      </c>
      <c r="Z250" s="26">
        <v>40908</v>
      </c>
      <c r="AA250" s="776">
        <v>0</v>
      </c>
      <c r="AB250" s="776">
        <v>17</v>
      </c>
      <c r="AC250" s="776">
        <v>0</v>
      </c>
      <c r="AD250" s="776">
        <v>0</v>
      </c>
      <c r="AE250" s="777">
        <v>12.6</v>
      </c>
      <c r="AF250" s="777">
        <v>12.6</v>
      </c>
      <c r="AG250" s="778">
        <v>12.685499531490404</v>
      </c>
    </row>
    <row r="251" spans="1:33" x14ac:dyDescent="0.2">
      <c r="A251" s="15">
        <f t="shared" si="24"/>
        <v>2012</v>
      </c>
      <c r="B251" s="14">
        <f t="shared" si="25"/>
        <v>6</v>
      </c>
      <c r="C251" s="13" t="str">
        <f t="shared" si="26"/>
        <v>Q2</v>
      </c>
      <c r="D251" s="13" t="str">
        <f t="shared" si="27"/>
        <v>2012Q2</v>
      </c>
      <c r="E251" s="13" t="str">
        <f t="shared" si="28"/>
        <v>Brazil</v>
      </c>
      <c r="F251" s="13" t="str">
        <f t="shared" si="30"/>
        <v>Other Clean Energy</v>
      </c>
      <c r="G251" s="13" t="str">
        <f t="shared" si="31"/>
        <v>Corporate finance investments</v>
      </c>
      <c r="H251" s="638">
        <f t="shared" si="29"/>
        <v>13.701487462352679</v>
      </c>
      <c r="I251" s="24" t="s">
        <v>87</v>
      </c>
      <c r="J251" s="25" t="s">
        <v>86</v>
      </c>
      <c r="K251" s="25" t="s">
        <v>1964</v>
      </c>
      <c r="L251" s="25" t="s">
        <v>1965</v>
      </c>
      <c r="M251" s="25" t="s">
        <v>31</v>
      </c>
      <c r="N251" s="25" t="s">
        <v>31</v>
      </c>
      <c r="O251" s="25" t="s">
        <v>92</v>
      </c>
      <c r="P251" s="25" t="s">
        <v>83</v>
      </c>
      <c r="Q251" s="25" t="s">
        <v>82</v>
      </c>
      <c r="R251" s="25" t="s">
        <v>91</v>
      </c>
      <c r="S251" s="25" t="s">
        <v>90</v>
      </c>
      <c r="T251" s="25" t="s">
        <v>89</v>
      </c>
      <c r="U251" s="25" t="s">
        <v>1966</v>
      </c>
      <c r="V251" s="25">
        <v>0</v>
      </c>
      <c r="W251" s="25" t="s">
        <v>109</v>
      </c>
      <c r="X251" s="25" t="s">
        <v>1747</v>
      </c>
      <c r="Y251" s="25" t="e">
        <v>#N/A</v>
      </c>
      <c r="Z251" s="26">
        <v>41064</v>
      </c>
      <c r="AA251" s="776" t="s">
        <v>1748</v>
      </c>
      <c r="AB251" s="776" t="s">
        <v>1748</v>
      </c>
      <c r="AC251" s="776" t="s">
        <v>1748</v>
      </c>
      <c r="AD251" s="776" t="s">
        <v>1748</v>
      </c>
      <c r="AE251" s="777">
        <v>0</v>
      </c>
      <c r="AF251" s="777">
        <v>12.33</v>
      </c>
      <c r="AG251" s="778">
        <v>13.701487462352679</v>
      </c>
    </row>
    <row r="252" spans="1:33" x14ac:dyDescent="0.2">
      <c r="A252" s="15">
        <f t="shared" si="24"/>
        <v>2007</v>
      </c>
      <c r="B252" s="14">
        <f t="shared" si="25"/>
        <v>3</v>
      </c>
      <c r="C252" s="13" t="str">
        <f t="shared" si="26"/>
        <v>Q1</v>
      </c>
      <c r="D252" s="13" t="str">
        <f t="shared" si="27"/>
        <v>2007Q1</v>
      </c>
      <c r="E252" s="13" t="str">
        <f t="shared" si="28"/>
        <v>Brazil</v>
      </c>
      <c r="F252" s="13" t="str">
        <f t="shared" si="30"/>
        <v>Biofuels</v>
      </c>
      <c r="G252" s="13" t="str">
        <f t="shared" si="31"/>
        <v>Asset finance investments</v>
      </c>
      <c r="H252" s="638">
        <f t="shared" si="29"/>
        <v>16.324769904511168</v>
      </c>
      <c r="I252" s="24" t="s">
        <v>87</v>
      </c>
      <c r="J252" s="25" t="s">
        <v>246</v>
      </c>
      <c r="K252" s="25" t="s">
        <v>283</v>
      </c>
      <c r="L252" s="25" t="s">
        <v>1967</v>
      </c>
      <c r="M252" s="25" t="s">
        <v>31</v>
      </c>
      <c r="N252" s="25" t="s">
        <v>31</v>
      </c>
      <c r="O252" s="25" t="s">
        <v>92</v>
      </c>
      <c r="P252" s="25" t="s">
        <v>83</v>
      </c>
      <c r="Q252" s="25" t="s">
        <v>82</v>
      </c>
      <c r="R252" s="25" t="s">
        <v>91</v>
      </c>
      <c r="S252" s="25" t="s">
        <v>96</v>
      </c>
      <c r="T252" s="25" t="s">
        <v>96</v>
      </c>
      <c r="U252" s="25" t="s">
        <v>98</v>
      </c>
      <c r="V252" s="25" t="s">
        <v>230</v>
      </c>
      <c r="W252" s="25" t="s">
        <v>245</v>
      </c>
      <c r="X252" s="25" t="s">
        <v>1752</v>
      </c>
      <c r="Y252" s="25" t="s">
        <v>1753</v>
      </c>
      <c r="Z252" s="26">
        <v>39168</v>
      </c>
      <c r="AA252" s="776">
        <v>40</v>
      </c>
      <c r="AB252" s="776">
        <v>212</v>
      </c>
      <c r="AC252" s="776">
        <v>0</v>
      </c>
      <c r="AD252" s="776">
        <v>0</v>
      </c>
      <c r="AE252" s="777">
        <v>0</v>
      </c>
      <c r="AF252" s="777">
        <v>12.084</v>
      </c>
      <c r="AG252" s="778">
        <v>16.324769904511168</v>
      </c>
    </row>
    <row r="253" spans="1:33" x14ac:dyDescent="0.2">
      <c r="A253" s="15">
        <f t="shared" si="24"/>
        <v>2011</v>
      </c>
      <c r="B253" s="14">
        <f t="shared" si="25"/>
        <v>5</v>
      </c>
      <c r="C253" s="13" t="str">
        <f t="shared" si="26"/>
        <v>Q2</v>
      </c>
      <c r="D253" s="13" t="str">
        <f t="shared" si="27"/>
        <v>2011Q2</v>
      </c>
      <c r="E253" s="13" t="str">
        <f t="shared" si="28"/>
        <v>Chile</v>
      </c>
      <c r="F253" s="13" t="str">
        <f t="shared" si="30"/>
        <v>Geothermal</v>
      </c>
      <c r="G253" s="13" t="str">
        <f t="shared" si="31"/>
        <v>Corporate finance investments</v>
      </c>
      <c r="H253" s="638">
        <f t="shared" si="29"/>
        <v>12.744858280761306</v>
      </c>
      <c r="I253" s="24" t="s">
        <v>87</v>
      </c>
      <c r="J253" s="25" t="s">
        <v>86</v>
      </c>
      <c r="K253" s="25" t="s">
        <v>192</v>
      </c>
      <c r="L253" s="25" t="s">
        <v>184</v>
      </c>
      <c r="M253" s="25" t="s">
        <v>8</v>
      </c>
      <c r="N253" s="25" t="s">
        <v>85</v>
      </c>
      <c r="O253" s="25" t="s">
        <v>92</v>
      </c>
      <c r="P253" s="25" t="s">
        <v>83</v>
      </c>
      <c r="Q253" s="25" t="s">
        <v>129</v>
      </c>
      <c r="R253" s="25"/>
      <c r="S253" s="25" t="s">
        <v>157</v>
      </c>
      <c r="T253" s="25" t="s">
        <v>157</v>
      </c>
      <c r="U253" s="25">
        <v>0</v>
      </c>
      <c r="V253" s="25">
        <v>0</v>
      </c>
      <c r="W253" s="25" t="s">
        <v>94</v>
      </c>
      <c r="X253" s="25" t="s">
        <v>1747</v>
      </c>
      <c r="Y253" s="25" t="e">
        <v>#N/A</v>
      </c>
      <c r="Z253" s="26">
        <v>40672</v>
      </c>
      <c r="AA253" s="776" t="s">
        <v>1748</v>
      </c>
      <c r="AB253" s="776" t="s">
        <v>1748</v>
      </c>
      <c r="AC253" s="776" t="s">
        <v>1748</v>
      </c>
      <c r="AD253" s="776" t="s">
        <v>1748</v>
      </c>
      <c r="AE253" s="777">
        <v>12</v>
      </c>
      <c r="AF253" s="777">
        <v>12</v>
      </c>
      <c r="AG253" s="778">
        <v>12.744858280761306</v>
      </c>
    </row>
    <row r="254" spans="1:33" x14ac:dyDescent="0.2">
      <c r="A254" s="15">
        <f t="shared" si="24"/>
        <v>2007</v>
      </c>
      <c r="B254" s="14">
        <f t="shared" si="25"/>
        <v>4</v>
      </c>
      <c r="C254" s="13" t="str">
        <f t="shared" si="26"/>
        <v>Q2</v>
      </c>
      <c r="D254" s="13" t="str">
        <f t="shared" si="27"/>
        <v>2007Q2</v>
      </c>
      <c r="E254" s="13" t="str">
        <f t="shared" si="28"/>
        <v>Brazil</v>
      </c>
      <c r="F254" s="13" t="str">
        <f t="shared" si="30"/>
        <v>Wind</v>
      </c>
      <c r="G254" s="13" t="str">
        <f t="shared" si="31"/>
        <v>Asset finance investments</v>
      </c>
      <c r="H254" s="638">
        <f t="shared" si="29"/>
        <v>12.93410578865265</v>
      </c>
      <c r="I254" s="24" t="s">
        <v>87</v>
      </c>
      <c r="J254" s="25" t="s">
        <v>246</v>
      </c>
      <c r="K254" s="25" t="s">
        <v>282</v>
      </c>
      <c r="L254" s="25" t="s">
        <v>281</v>
      </c>
      <c r="M254" s="25" t="s">
        <v>31</v>
      </c>
      <c r="N254" s="25" t="s">
        <v>31</v>
      </c>
      <c r="O254" s="25" t="s">
        <v>92</v>
      </c>
      <c r="P254" s="25" t="s">
        <v>83</v>
      </c>
      <c r="Q254" s="25" t="s">
        <v>82</v>
      </c>
      <c r="R254" s="25" t="s">
        <v>91</v>
      </c>
      <c r="S254" s="25" t="s">
        <v>101</v>
      </c>
      <c r="T254" s="25" t="s">
        <v>101</v>
      </c>
      <c r="U254" s="25" t="s">
        <v>112</v>
      </c>
      <c r="V254" s="25">
        <v>0</v>
      </c>
      <c r="W254" s="25" t="s">
        <v>245</v>
      </c>
      <c r="X254" s="25" t="s">
        <v>1752</v>
      </c>
      <c r="Y254" s="25" t="s">
        <v>1753</v>
      </c>
      <c r="Z254" s="26">
        <v>39202</v>
      </c>
      <c r="AA254" s="776">
        <v>25.6</v>
      </c>
      <c r="AB254" s="776">
        <v>0</v>
      </c>
      <c r="AC254" s="776">
        <v>0</v>
      </c>
      <c r="AD254" s="776">
        <v>0</v>
      </c>
      <c r="AE254" s="777">
        <v>12</v>
      </c>
      <c r="AF254" s="777">
        <v>12</v>
      </c>
      <c r="AG254" s="778">
        <v>12.93410578865265</v>
      </c>
    </row>
    <row r="255" spans="1:33" x14ac:dyDescent="0.2">
      <c r="A255" s="15">
        <f t="shared" si="24"/>
        <v>2011</v>
      </c>
      <c r="B255" s="14">
        <f t="shared" si="25"/>
        <v>2</v>
      </c>
      <c r="C255" s="13" t="str">
        <f t="shared" si="26"/>
        <v>Q1</v>
      </c>
      <c r="D255" s="13" t="str">
        <f t="shared" si="27"/>
        <v>2011Q1</v>
      </c>
      <c r="E255" s="13" t="str">
        <f t="shared" si="28"/>
        <v>Nicaragua</v>
      </c>
      <c r="F255" s="13" t="str">
        <f t="shared" si="30"/>
        <v>Geothermal</v>
      </c>
      <c r="G255" s="13" t="str">
        <f t="shared" si="31"/>
        <v>Asset finance investments</v>
      </c>
      <c r="H255" s="638">
        <f t="shared" si="29"/>
        <v>12.108428558194893</v>
      </c>
      <c r="I255" s="24" t="s">
        <v>87</v>
      </c>
      <c r="J255" s="25" t="s">
        <v>246</v>
      </c>
      <c r="K255" s="25" t="s">
        <v>471</v>
      </c>
      <c r="L255" s="25" t="s">
        <v>1968</v>
      </c>
      <c r="M255" s="25" t="s">
        <v>2</v>
      </c>
      <c r="N255" s="25" t="s">
        <v>85</v>
      </c>
      <c r="O255" s="25" t="s">
        <v>92</v>
      </c>
      <c r="P255" s="25" t="s">
        <v>83</v>
      </c>
      <c r="Q255" s="25" t="s">
        <v>82</v>
      </c>
      <c r="R255" s="25"/>
      <c r="S255" s="25" t="s">
        <v>157</v>
      </c>
      <c r="T255" s="25" t="s">
        <v>157</v>
      </c>
      <c r="U255" s="25" t="s">
        <v>156</v>
      </c>
      <c r="V255" s="25" t="s">
        <v>248</v>
      </c>
      <c r="W255" s="25" t="s">
        <v>249</v>
      </c>
      <c r="X255" s="25" t="s">
        <v>1806</v>
      </c>
      <c r="Y255" s="25" t="s">
        <v>1750</v>
      </c>
      <c r="Z255" s="26">
        <v>40578</v>
      </c>
      <c r="AA255" s="776">
        <v>0</v>
      </c>
      <c r="AB255" s="776">
        <v>0</v>
      </c>
      <c r="AC255" s="776">
        <v>0</v>
      </c>
      <c r="AD255" s="776">
        <v>0</v>
      </c>
      <c r="AE255" s="777">
        <v>12</v>
      </c>
      <c r="AF255" s="777">
        <v>12</v>
      </c>
      <c r="AG255" s="778">
        <v>12.108428558194893</v>
      </c>
    </row>
    <row r="256" spans="1:33" x14ac:dyDescent="0.2">
      <c r="A256" s="15">
        <f t="shared" si="24"/>
        <v>2012</v>
      </c>
      <c r="B256" s="14">
        <f t="shared" si="25"/>
        <v>1</v>
      </c>
      <c r="C256" s="13" t="str">
        <f t="shared" si="26"/>
        <v>Q1</v>
      </c>
      <c r="D256" s="13" t="str">
        <f t="shared" si="27"/>
        <v>2012Q1</v>
      </c>
      <c r="E256" s="13" t="str">
        <f t="shared" si="28"/>
        <v>Brazil</v>
      </c>
      <c r="F256" s="13" t="str">
        <f t="shared" si="30"/>
        <v>Small Hydro</v>
      </c>
      <c r="G256" s="13" t="str">
        <f t="shared" si="31"/>
        <v>Asset finance investments</v>
      </c>
      <c r="H256" s="638">
        <f t="shared" si="29"/>
        <v>12.365057457517889</v>
      </c>
      <c r="I256" s="24" t="s">
        <v>87</v>
      </c>
      <c r="J256" s="25" t="s">
        <v>246</v>
      </c>
      <c r="K256" s="25" t="s">
        <v>1969</v>
      </c>
      <c r="L256" s="25" t="s">
        <v>1970</v>
      </c>
      <c r="M256" s="25" t="s">
        <v>31</v>
      </c>
      <c r="N256" s="25" t="s">
        <v>31</v>
      </c>
      <c r="O256" s="25" t="s">
        <v>92</v>
      </c>
      <c r="P256" s="25" t="s">
        <v>83</v>
      </c>
      <c r="Q256" s="25" t="s">
        <v>82</v>
      </c>
      <c r="R256" s="25" t="s">
        <v>91</v>
      </c>
      <c r="S256" s="25" t="s">
        <v>126</v>
      </c>
      <c r="T256" s="25" t="s">
        <v>125</v>
      </c>
      <c r="U256" s="25" t="s">
        <v>247</v>
      </c>
      <c r="V256" s="25">
        <v>0</v>
      </c>
      <c r="W256" s="25" t="s">
        <v>245</v>
      </c>
      <c r="X256" s="25" t="s">
        <v>1752</v>
      </c>
      <c r="Y256" s="25" t="s">
        <v>1753</v>
      </c>
      <c r="Z256" s="26">
        <v>40910</v>
      </c>
      <c r="AA256" s="776">
        <v>3.5</v>
      </c>
      <c r="AB256" s="776">
        <v>0</v>
      </c>
      <c r="AC256" s="776">
        <v>0</v>
      </c>
      <c r="AD256" s="776">
        <v>0</v>
      </c>
      <c r="AE256" s="777">
        <v>11.8</v>
      </c>
      <c r="AF256" s="777">
        <v>11.8</v>
      </c>
      <c r="AG256" s="778">
        <v>12.365057457517889</v>
      </c>
    </row>
    <row r="257" spans="1:33" x14ac:dyDescent="0.2">
      <c r="A257" s="15">
        <f t="shared" si="24"/>
        <v>2007</v>
      </c>
      <c r="B257" s="14">
        <f t="shared" si="25"/>
        <v>12</v>
      </c>
      <c r="C257" s="13" t="str">
        <f t="shared" si="26"/>
        <v>Q4</v>
      </c>
      <c r="D257" s="13" t="str">
        <f t="shared" si="27"/>
        <v>2007Q4</v>
      </c>
      <c r="E257" s="13" t="str">
        <f t="shared" si="28"/>
        <v>Brazil</v>
      </c>
      <c r="F257" s="13" t="str">
        <f t="shared" si="30"/>
        <v>Biofuels</v>
      </c>
      <c r="G257" s="13" t="str">
        <f t="shared" si="31"/>
        <v>Asset finance investments</v>
      </c>
      <c r="H257" s="638">
        <f t="shared" si="29"/>
        <v>12.096368392804907</v>
      </c>
      <c r="I257" s="24" t="s">
        <v>87</v>
      </c>
      <c r="J257" s="25" t="s">
        <v>246</v>
      </c>
      <c r="K257" s="25" t="s">
        <v>280</v>
      </c>
      <c r="L257" s="25" t="s">
        <v>279</v>
      </c>
      <c r="M257" s="25" t="s">
        <v>31</v>
      </c>
      <c r="N257" s="25" t="s">
        <v>31</v>
      </c>
      <c r="O257" s="25" t="s">
        <v>92</v>
      </c>
      <c r="P257" s="25" t="s">
        <v>83</v>
      </c>
      <c r="Q257" s="25" t="s">
        <v>82</v>
      </c>
      <c r="R257" s="25" t="s">
        <v>91</v>
      </c>
      <c r="S257" s="25" t="s">
        <v>96</v>
      </c>
      <c r="T257" s="25" t="s">
        <v>96</v>
      </c>
      <c r="U257" s="25" t="s">
        <v>98</v>
      </c>
      <c r="V257" s="25" t="s">
        <v>230</v>
      </c>
      <c r="W257" s="25" t="s">
        <v>245</v>
      </c>
      <c r="X257" s="25" t="s">
        <v>1752</v>
      </c>
      <c r="Y257" s="25" t="s">
        <v>1753</v>
      </c>
      <c r="Z257" s="26">
        <v>39447</v>
      </c>
      <c r="AA257" s="776">
        <v>8.4</v>
      </c>
      <c r="AB257" s="776">
        <v>42.2</v>
      </c>
      <c r="AC257" s="776">
        <v>0</v>
      </c>
      <c r="AD257" s="776">
        <v>0</v>
      </c>
      <c r="AE257" s="777">
        <v>0</v>
      </c>
      <c r="AF257" s="777">
        <v>11.786</v>
      </c>
      <c r="AG257" s="778">
        <v>12.096368392804907</v>
      </c>
    </row>
    <row r="258" spans="1:33" x14ac:dyDescent="0.2">
      <c r="A258" s="15">
        <f t="shared" si="24"/>
        <v>2012</v>
      </c>
      <c r="B258" s="14">
        <f t="shared" si="25"/>
        <v>1</v>
      </c>
      <c r="C258" s="13" t="str">
        <f t="shared" si="26"/>
        <v>Q1</v>
      </c>
      <c r="D258" s="13" t="str">
        <f t="shared" si="27"/>
        <v>2012Q1</v>
      </c>
      <c r="E258" s="13" t="str">
        <f t="shared" si="28"/>
        <v>Brazil</v>
      </c>
      <c r="F258" s="13" t="str">
        <f t="shared" si="30"/>
        <v>Wind</v>
      </c>
      <c r="G258" s="13" t="str">
        <f t="shared" si="31"/>
        <v>Asset finance investments</v>
      </c>
      <c r="H258" s="638">
        <f t="shared" si="29"/>
        <v>12.260268834996548</v>
      </c>
      <c r="I258" s="24" t="s">
        <v>87</v>
      </c>
      <c r="J258" s="25" t="s">
        <v>246</v>
      </c>
      <c r="K258" s="25" t="s">
        <v>1971</v>
      </c>
      <c r="L258" s="25" t="s">
        <v>1972</v>
      </c>
      <c r="M258" s="25" t="s">
        <v>31</v>
      </c>
      <c r="N258" s="25" t="s">
        <v>31</v>
      </c>
      <c r="O258" s="25" t="s">
        <v>92</v>
      </c>
      <c r="P258" s="25" t="s">
        <v>83</v>
      </c>
      <c r="Q258" s="25" t="s">
        <v>82</v>
      </c>
      <c r="R258" s="25" t="s">
        <v>91</v>
      </c>
      <c r="S258" s="25" t="s">
        <v>101</v>
      </c>
      <c r="T258" s="25" t="s">
        <v>101</v>
      </c>
      <c r="U258" s="25" t="s">
        <v>112</v>
      </c>
      <c r="V258" s="25">
        <v>0</v>
      </c>
      <c r="W258" s="25" t="s">
        <v>245</v>
      </c>
      <c r="X258" s="25" t="s">
        <v>1752</v>
      </c>
      <c r="Y258" s="25" t="s">
        <v>1753</v>
      </c>
      <c r="Z258" s="26">
        <v>40920</v>
      </c>
      <c r="AA258" s="776">
        <v>120</v>
      </c>
      <c r="AB258" s="776">
        <v>0</v>
      </c>
      <c r="AC258" s="776">
        <v>0</v>
      </c>
      <c r="AD258" s="776">
        <v>0</v>
      </c>
      <c r="AE258" s="777">
        <v>11.7</v>
      </c>
      <c r="AF258" s="777">
        <v>11.7</v>
      </c>
      <c r="AG258" s="778">
        <v>12.260268834996548</v>
      </c>
    </row>
    <row r="259" spans="1:33" x14ac:dyDescent="0.2">
      <c r="A259" s="15">
        <f t="shared" si="24"/>
        <v>2009</v>
      </c>
      <c r="B259" s="14">
        <f t="shared" si="25"/>
        <v>9</v>
      </c>
      <c r="C259" s="13" t="str">
        <f t="shared" si="26"/>
        <v>Q3</v>
      </c>
      <c r="D259" s="13" t="str">
        <f t="shared" si="27"/>
        <v>2009Q3</v>
      </c>
      <c r="E259" s="13" t="str">
        <f t="shared" si="28"/>
        <v>Costa Rica</v>
      </c>
      <c r="F259" s="13" t="str">
        <f t="shared" si="30"/>
        <v>Wind</v>
      </c>
      <c r="G259" s="13" t="str">
        <f t="shared" si="31"/>
        <v>Asset finance investments</v>
      </c>
      <c r="H259" s="638">
        <f t="shared" si="29"/>
        <v>11.700006303693437</v>
      </c>
      <c r="I259" s="24" t="s">
        <v>87</v>
      </c>
      <c r="J259" s="25" t="s">
        <v>246</v>
      </c>
      <c r="K259" s="25" t="s">
        <v>1973</v>
      </c>
      <c r="L259" s="25" t="s">
        <v>1974</v>
      </c>
      <c r="M259" s="25" t="s">
        <v>10</v>
      </c>
      <c r="N259" s="25" t="s">
        <v>85</v>
      </c>
      <c r="O259" s="25" t="s">
        <v>92</v>
      </c>
      <c r="P259" s="25" t="s">
        <v>83</v>
      </c>
      <c r="Q259" s="25" t="s">
        <v>82</v>
      </c>
      <c r="R259" s="25"/>
      <c r="S259" s="25" t="s">
        <v>101</v>
      </c>
      <c r="T259" s="25" t="s">
        <v>101</v>
      </c>
      <c r="U259" s="25" t="s">
        <v>112</v>
      </c>
      <c r="V259" s="25">
        <v>0</v>
      </c>
      <c r="W259" s="25" t="s">
        <v>249</v>
      </c>
      <c r="X259" s="25" t="s">
        <v>1749</v>
      </c>
      <c r="Y259" s="25" t="s">
        <v>1750</v>
      </c>
      <c r="Z259" s="26">
        <v>40065</v>
      </c>
      <c r="AA259" s="776">
        <v>15.3</v>
      </c>
      <c r="AB259" s="776">
        <v>0</v>
      </c>
      <c r="AC259" s="776">
        <v>0</v>
      </c>
      <c r="AD259" s="776">
        <v>0</v>
      </c>
      <c r="AE259" s="777">
        <v>11.7</v>
      </c>
      <c r="AF259" s="777">
        <v>11.7</v>
      </c>
      <c r="AG259" s="778">
        <v>11.700006303693437</v>
      </c>
    </row>
    <row r="260" spans="1:33" x14ac:dyDescent="0.2">
      <c r="A260" s="15">
        <f t="shared" si="24"/>
        <v>2007</v>
      </c>
      <c r="B260" s="14">
        <f t="shared" si="25"/>
        <v>11</v>
      </c>
      <c r="C260" s="13" t="str">
        <f t="shared" si="26"/>
        <v>Q4</v>
      </c>
      <c r="D260" s="13" t="str">
        <f t="shared" si="27"/>
        <v>2007Q4</v>
      </c>
      <c r="E260" s="13" t="str">
        <f t="shared" si="28"/>
        <v>Brazil</v>
      </c>
      <c r="F260" s="13" t="str">
        <f t="shared" si="30"/>
        <v>Biofuels</v>
      </c>
      <c r="G260" s="13" t="str">
        <f t="shared" si="31"/>
        <v>Asset finance investments</v>
      </c>
      <c r="H260" s="638">
        <f t="shared" si="29"/>
        <v>11.70020360410453</v>
      </c>
      <c r="I260" s="24" t="s">
        <v>87</v>
      </c>
      <c r="J260" s="25" t="s">
        <v>246</v>
      </c>
      <c r="K260" s="25" t="s">
        <v>278</v>
      </c>
      <c r="L260" s="25" t="s">
        <v>1975</v>
      </c>
      <c r="M260" s="25" t="s">
        <v>31</v>
      </c>
      <c r="N260" s="25" t="s">
        <v>31</v>
      </c>
      <c r="O260" s="25" t="s">
        <v>92</v>
      </c>
      <c r="P260" s="25" t="s">
        <v>83</v>
      </c>
      <c r="Q260" s="25" t="s">
        <v>82</v>
      </c>
      <c r="R260" s="25" t="s">
        <v>91</v>
      </c>
      <c r="S260" s="25" t="s">
        <v>96</v>
      </c>
      <c r="T260" s="25" t="s">
        <v>96</v>
      </c>
      <c r="U260" s="25" t="s">
        <v>95</v>
      </c>
      <c r="V260" s="25">
        <v>0</v>
      </c>
      <c r="W260" s="25" t="s">
        <v>245</v>
      </c>
      <c r="X260" s="25" t="s">
        <v>1752</v>
      </c>
      <c r="Y260" s="25" t="s">
        <v>1753</v>
      </c>
      <c r="Z260" s="26">
        <v>39391</v>
      </c>
      <c r="AA260" s="776">
        <v>0</v>
      </c>
      <c r="AB260" s="776">
        <v>95</v>
      </c>
      <c r="AC260" s="776">
        <v>0</v>
      </c>
      <c r="AD260" s="776">
        <v>0</v>
      </c>
      <c r="AE260" s="777">
        <v>11.4</v>
      </c>
      <c r="AF260" s="777">
        <v>11.4</v>
      </c>
      <c r="AG260" s="778">
        <v>11.70020360410453</v>
      </c>
    </row>
    <row r="261" spans="1:33" x14ac:dyDescent="0.2">
      <c r="A261" s="15">
        <f t="shared" si="24"/>
        <v>2010</v>
      </c>
      <c r="B261" s="14">
        <f t="shared" si="25"/>
        <v>5</v>
      </c>
      <c r="C261" s="13" t="str">
        <f t="shared" si="26"/>
        <v>Q2</v>
      </c>
      <c r="D261" s="13" t="str">
        <f t="shared" si="27"/>
        <v>2010Q2</v>
      </c>
      <c r="E261" s="13" t="str">
        <f t="shared" si="28"/>
        <v>Brazil</v>
      </c>
      <c r="F261" s="13" t="str">
        <f t="shared" si="30"/>
        <v>Wind</v>
      </c>
      <c r="G261" s="13" t="str">
        <f t="shared" si="31"/>
        <v>Asset finance investments</v>
      </c>
      <c r="H261" s="638">
        <f t="shared" si="29"/>
        <v>11.208351736557443</v>
      </c>
      <c r="I261" s="24" t="s">
        <v>87</v>
      </c>
      <c r="J261" s="25" t="s">
        <v>246</v>
      </c>
      <c r="K261" s="25" t="s">
        <v>424</v>
      </c>
      <c r="L261" s="25" t="s">
        <v>423</v>
      </c>
      <c r="M261" s="25" t="s">
        <v>31</v>
      </c>
      <c r="N261" s="25" t="s">
        <v>31</v>
      </c>
      <c r="O261" s="25" t="s">
        <v>92</v>
      </c>
      <c r="P261" s="25" t="s">
        <v>83</v>
      </c>
      <c r="Q261" s="25" t="s">
        <v>82</v>
      </c>
      <c r="R261" s="25" t="s">
        <v>91</v>
      </c>
      <c r="S261" s="25" t="s">
        <v>101</v>
      </c>
      <c r="T261" s="25" t="s">
        <v>101</v>
      </c>
      <c r="U261" s="25" t="s">
        <v>112</v>
      </c>
      <c r="V261" s="25">
        <v>0</v>
      </c>
      <c r="W261" s="25" t="s">
        <v>249</v>
      </c>
      <c r="X261" s="25" t="s">
        <v>1752</v>
      </c>
      <c r="Y261" s="25" t="s">
        <v>1753</v>
      </c>
      <c r="Z261" s="26">
        <v>40329</v>
      </c>
      <c r="AA261" s="776">
        <v>8</v>
      </c>
      <c r="AB261" s="776">
        <v>0</v>
      </c>
      <c r="AC261" s="776">
        <v>0</v>
      </c>
      <c r="AD261" s="776">
        <v>0</v>
      </c>
      <c r="AE261" s="777">
        <v>0</v>
      </c>
      <c r="AF261" s="777">
        <v>11.2</v>
      </c>
      <c r="AG261" s="778">
        <v>11.208351736557443</v>
      </c>
    </row>
    <row r="262" spans="1:33" x14ac:dyDescent="0.2">
      <c r="A262" s="15">
        <f t="shared" ref="A262:A325" si="32">IF(K262="","",IF(AND(YEAR(Z262)&lt;2004,YEAR(Z262)&gt;1910),2004,YEAR(Z262)))</f>
        <v>2011</v>
      </c>
      <c r="B262" s="14">
        <f t="shared" ref="B262:B325" si="33">IF(K262="","",IF(ISNUMBER(Z262),MONTH(Z262),0))</f>
        <v>2</v>
      </c>
      <c r="C262" s="13" t="str">
        <f t="shared" ref="C262:C325" si="34">IF(K262="","",IF(AND(B262&gt;=1,B262&lt;=3),"Q1",IF(AND(B262&gt;3,B262&lt;=6),"Q2",IF(AND(B262&gt;6,B262&lt;=9),"Q3",IF(AND(B262&gt;9,B262&lt;=12),"Q4",0)))))</f>
        <v>Q1</v>
      </c>
      <c r="D262" s="13" t="str">
        <f t="shared" ref="D262:D325" si="35">IF(A262&lt;2006, "&lt; 2006", A262&amp;C262)</f>
        <v>2011Q1</v>
      </c>
      <c r="E262" s="13" t="str">
        <f t="shared" ref="E262:E325" si="36">IF(K262="","", M262)</f>
        <v>Brazil</v>
      </c>
      <c r="F262" s="13" t="str">
        <f t="shared" si="30"/>
        <v>Biofuels</v>
      </c>
      <c r="G262" s="13" t="str">
        <f t="shared" si="31"/>
        <v>Asset finance investments</v>
      </c>
      <c r="H262" s="638">
        <f t="shared" ref="H262:H325" si="37">IF(K262="","",AG262)</f>
        <v>11.074642448126543</v>
      </c>
      <c r="I262" s="24" t="s">
        <v>87</v>
      </c>
      <c r="J262" s="25" t="s">
        <v>246</v>
      </c>
      <c r="K262" s="25" t="s">
        <v>470</v>
      </c>
      <c r="L262" s="25" t="s">
        <v>469</v>
      </c>
      <c r="M262" s="25" t="s">
        <v>31</v>
      </c>
      <c r="N262" s="25" t="s">
        <v>31</v>
      </c>
      <c r="O262" s="25" t="s">
        <v>92</v>
      </c>
      <c r="P262" s="25" t="s">
        <v>83</v>
      </c>
      <c r="Q262" s="25" t="s">
        <v>82</v>
      </c>
      <c r="R262" s="25" t="s">
        <v>91</v>
      </c>
      <c r="S262" s="25" t="s">
        <v>96</v>
      </c>
      <c r="T262" s="25" t="s">
        <v>96</v>
      </c>
      <c r="U262" s="25" t="s">
        <v>98</v>
      </c>
      <c r="V262" s="25" t="s">
        <v>230</v>
      </c>
      <c r="W262" s="25" t="s">
        <v>245</v>
      </c>
      <c r="X262" s="25" t="s">
        <v>1752</v>
      </c>
      <c r="Y262" s="25" t="s">
        <v>1753</v>
      </c>
      <c r="Z262" s="26">
        <v>40592</v>
      </c>
      <c r="AA262" s="776">
        <v>1.6</v>
      </c>
      <c r="AB262" s="776">
        <v>120</v>
      </c>
      <c r="AC262" s="776">
        <v>0</v>
      </c>
      <c r="AD262" s="776">
        <v>0</v>
      </c>
      <c r="AE262" s="777">
        <v>11</v>
      </c>
      <c r="AF262" s="777">
        <v>11</v>
      </c>
      <c r="AG262" s="778">
        <v>11.074642448126543</v>
      </c>
    </row>
    <row r="263" spans="1:33" x14ac:dyDescent="0.2">
      <c r="A263" s="15">
        <f t="shared" si="32"/>
        <v>2011</v>
      </c>
      <c r="B263" s="14">
        <f t="shared" si="33"/>
        <v>3</v>
      </c>
      <c r="C263" s="13" t="str">
        <f t="shared" si="34"/>
        <v>Q1</v>
      </c>
      <c r="D263" s="13" t="str">
        <f t="shared" si="35"/>
        <v>2011Q1</v>
      </c>
      <c r="E263" s="13" t="str">
        <f t="shared" si="36"/>
        <v>Brazil</v>
      </c>
      <c r="F263" s="13" t="str">
        <f t="shared" ref="F263:F326" si="38">IF(K263="","",IF(OR(T263="Wind",T263="Solar",T263="Geothermal",T263="Small Hydro",T263="Biofuels",T263="Biomass &amp; Waste"),T263,"Other Clean Energy"))</f>
        <v>Biofuels</v>
      </c>
      <c r="G263" s="13" t="str">
        <f t="shared" ref="G263:G326" si="39">IF(K263="","",IF(OR(J263="PM",J263="MA"), "Corporate finance investments", IF(J263="VCPE", "VC/PE investments", IF(J263="AF", "Asset finance investments"))))</f>
        <v>Asset finance investments</v>
      </c>
      <c r="H263" s="638">
        <f t="shared" si="37"/>
        <v>10.873285312706061</v>
      </c>
      <c r="I263" s="24" t="s">
        <v>87</v>
      </c>
      <c r="J263" s="25" t="s">
        <v>246</v>
      </c>
      <c r="K263" s="25" t="s">
        <v>1976</v>
      </c>
      <c r="L263" s="25" t="s">
        <v>1977</v>
      </c>
      <c r="M263" s="25" t="s">
        <v>31</v>
      </c>
      <c r="N263" s="25" t="s">
        <v>31</v>
      </c>
      <c r="O263" s="25" t="s">
        <v>92</v>
      </c>
      <c r="P263" s="25" t="s">
        <v>83</v>
      </c>
      <c r="Q263" s="25" t="s">
        <v>82</v>
      </c>
      <c r="R263" s="25" t="s">
        <v>91</v>
      </c>
      <c r="S263" s="25" t="s">
        <v>96</v>
      </c>
      <c r="T263" s="25" t="s">
        <v>96</v>
      </c>
      <c r="U263" s="25" t="s">
        <v>95</v>
      </c>
      <c r="V263" s="25" t="s">
        <v>223</v>
      </c>
      <c r="W263" s="25" t="s">
        <v>245</v>
      </c>
      <c r="X263" s="25" t="s">
        <v>1752</v>
      </c>
      <c r="Y263" s="25" t="s">
        <v>1753</v>
      </c>
      <c r="Z263" s="26">
        <v>40633</v>
      </c>
      <c r="AA263" s="776">
        <v>0</v>
      </c>
      <c r="AB263" s="776">
        <v>36</v>
      </c>
      <c r="AC263" s="776">
        <v>0</v>
      </c>
      <c r="AD263" s="776">
        <v>0</v>
      </c>
      <c r="AE263" s="777">
        <v>0</v>
      </c>
      <c r="AF263" s="777">
        <v>10.8</v>
      </c>
      <c r="AG263" s="778">
        <v>10.873285312706061</v>
      </c>
    </row>
    <row r="264" spans="1:33" x14ac:dyDescent="0.2">
      <c r="A264" s="15">
        <f t="shared" si="32"/>
        <v>2011</v>
      </c>
      <c r="B264" s="14">
        <f t="shared" si="33"/>
        <v>10</v>
      </c>
      <c r="C264" s="13" t="str">
        <f t="shared" si="34"/>
        <v>Q4</v>
      </c>
      <c r="D264" s="13" t="str">
        <f t="shared" si="35"/>
        <v>2011Q4</v>
      </c>
      <c r="E264" s="13" t="str">
        <f t="shared" si="36"/>
        <v>Brazil</v>
      </c>
      <c r="F264" s="13" t="str">
        <f t="shared" si="38"/>
        <v>Biofuels</v>
      </c>
      <c r="G264" s="13" t="str">
        <f t="shared" si="39"/>
        <v>Asset finance investments</v>
      </c>
      <c r="H264" s="638">
        <f t="shared" si="37"/>
        <v>10.834020671299067</v>
      </c>
      <c r="I264" s="24" t="s">
        <v>87</v>
      </c>
      <c r="J264" s="25" t="s">
        <v>246</v>
      </c>
      <c r="K264" s="25" t="s">
        <v>451</v>
      </c>
      <c r="L264" s="25" t="s">
        <v>450</v>
      </c>
      <c r="M264" s="25" t="s">
        <v>31</v>
      </c>
      <c r="N264" s="25" t="s">
        <v>31</v>
      </c>
      <c r="O264" s="25" t="s">
        <v>92</v>
      </c>
      <c r="P264" s="25" t="s">
        <v>83</v>
      </c>
      <c r="Q264" s="25" t="s">
        <v>82</v>
      </c>
      <c r="R264" s="25" t="s">
        <v>91</v>
      </c>
      <c r="S264" s="25" t="s">
        <v>96</v>
      </c>
      <c r="T264" s="25" t="s">
        <v>96</v>
      </c>
      <c r="U264" s="25" t="s">
        <v>98</v>
      </c>
      <c r="V264" s="25" t="s">
        <v>230</v>
      </c>
      <c r="W264" s="25" t="s">
        <v>245</v>
      </c>
      <c r="X264" s="25" t="s">
        <v>1752</v>
      </c>
      <c r="Y264" s="25" t="s">
        <v>1753</v>
      </c>
      <c r="Z264" s="26">
        <v>40829</v>
      </c>
      <c r="AA264" s="776">
        <v>8.4</v>
      </c>
      <c r="AB264" s="776">
        <v>42.2</v>
      </c>
      <c r="AC264" s="776">
        <v>0</v>
      </c>
      <c r="AD264" s="776">
        <v>0</v>
      </c>
      <c r="AE264" s="777">
        <v>0</v>
      </c>
      <c r="AF264" s="777">
        <v>10.760999999999999</v>
      </c>
      <c r="AG264" s="778">
        <v>10.834020671299067</v>
      </c>
    </row>
    <row r="265" spans="1:33" x14ac:dyDescent="0.2">
      <c r="A265" s="15">
        <f t="shared" si="32"/>
        <v>2012</v>
      </c>
      <c r="B265" s="14">
        <f t="shared" si="33"/>
        <v>3</v>
      </c>
      <c r="C265" s="13" t="str">
        <f t="shared" si="34"/>
        <v>Q1</v>
      </c>
      <c r="D265" s="13" t="str">
        <f t="shared" si="35"/>
        <v>2012Q1</v>
      </c>
      <c r="E265" s="13" t="str">
        <f t="shared" si="36"/>
        <v>Uruguay</v>
      </c>
      <c r="F265" s="13" t="str">
        <f t="shared" si="38"/>
        <v>Biofuels</v>
      </c>
      <c r="G265" s="13" t="str">
        <f t="shared" si="39"/>
        <v>Asset finance investments</v>
      </c>
      <c r="H265" s="638">
        <f t="shared" si="37"/>
        <v>13.622707713493586</v>
      </c>
      <c r="I265" s="24" t="s">
        <v>87</v>
      </c>
      <c r="J265" s="25" t="s">
        <v>246</v>
      </c>
      <c r="K265" s="25" t="s">
        <v>1978</v>
      </c>
      <c r="L265" s="25" t="s">
        <v>1979</v>
      </c>
      <c r="M265" s="25" t="s">
        <v>22</v>
      </c>
      <c r="N265" s="25" t="s">
        <v>85</v>
      </c>
      <c r="O265" s="25" t="s">
        <v>92</v>
      </c>
      <c r="P265" s="25" t="s">
        <v>83</v>
      </c>
      <c r="Q265" s="25" t="s">
        <v>82</v>
      </c>
      <c r="R265" s="25"/>
      <c r="S265" s="25" t="s">
        <v>96</v>
      </c>
      <c r="T265" s="25" t="s">
        <v>96</v>
      </c>
      <c r="U265" s="25" t="s">
        <v>98</v>
      </c>
      <c r="V265" s="25" t="s">
        <v>230</v>
      </c>
      <c r="W265" s="25" t="s">
        <v>245</v>
      </c>
      <c r="X265" s="25" t="s">
        <v>1752</v>
      </c>
      <c r="Y265" s="25" t="s">
        <v>1753</v>
      </c>
      <c r="Z265" s="26">
        <v>40982</v>
      </c>
      <c r="AA265" s="776">
        <v>8</v>
      </c>
      <c r="AB265" s="776">
        <v>70</v>
      </c>
      <c r="AC265" s="776">
        <v>0</v>
      </c>
      <c r="AD265" s="776">
        <v>0</v>
      </c>
      <c r="AE265" s="777">
        <v>0</v>
      </c>
      <c r="AF265" s="777">
        <v>10.5</v>
      </c>
      <c r="AG265" s="778">
        <v>13.622707713493586</v>
      </c>
    </row>
    <row r="266" spans="1:33" x14ac:dyDescent="0.2">
      <c r="A266" s="15">
        <f t="shared" si="32"/>
        <v>2008</v>
      </c>
      <c r="B266" s="14">
        <f t="shared" si="33"/>
        <v>8</v>
      </c>
      <c r="C266" s="13" t="str">
        <f t="shared" si="34"/>
        <v>Q3</v>
      </c>
      <c r="D266" s="13" t="str">
        <f t="shared" si="35"/>
        <v>2008Q3</v>
      </c>
      <c r="E266" s="13" t="str">
        <f t="shared" si="36"/>
        <v>Brazil</v>
      </c>
      <c r="F266" s="13" t="str">
        <f t="shared" si="38"/>
        <v>Wind</v>
      </c>
      <c r="G266" s="13" t="str">
        <f t="shared" si="39"/>
        <v>Corporate finance investments</v>
      </c>
      <c r="H266" s="638">
        <f t="shared" si="37"/>
        <v>10.681305815446326</v>
      </c>
      <c r="I266" s="24" t="s">
        <v>87</v>
      </c>
      <c r="J266" s="25" t="s">
        <v>86</v>
      </c>
      <c r="K266" s="25" t="s">
        <v>134</v>
      </c>
      <c r="L266" s="25" t="s">
        <v>133</v>
      </c>
      <c r="M266" s="25" t="s">
        <v>31</v>
      </c>
      <c r="N266" s="25" t="s">
        <v>31</v>
      </c>
      <c r="O266" s="25" t="s">
        <v>92</v>
      </c>
      <c r="P266" s="25" t="s">
        <v>83</v>
      </c>
      <c r="Q266" s="25" t="s">
        <v>82</v>
      </c>
      <c r="R266" s="25" t="s">
        <v>91</v>
      </c>
      <c r="S266" s="25" t="s">
        <v>101</v>
      </c>
      <c r="T266" s="25" t="s">
        <v>101</v>
      </c>
      <c r="U266" s="25">
        <v>0</v>
      </c>
      <c r="V266" s="25">
        <v>0</v>
      </c>
      <c r="W266" s="25" t="s">
        <v>94</v>
      </c>
      <c r="X266" s="25" t="s">
        <v>1747</v>
      </c>
      <c r="Y266" s="25" t="e">
        <v>#N/A</v>
      </c>
      <c r="Z266" s="26">
        <v>39687</v>
      </c>
      <c r="AA266" s="776" t="s">
        <v>1748</v>
      </c>
      <c r="AB266" s="776" t="s">
        <v>1748</v>
      </c>
      <c r="AC266" s="776" t="s">
        <v>1748</v>
      </c>
      <c r="AD266" s="776" t="s">
        <v>1748</v>
      </c>
      <c r="AE266" s="777">
        <v>10.1</v>
      </c>
      <c r="AF266" s="777">
        <v>10.1</v>
      </c>
      <c r="AG266" s="778">
        <v>10.681305815446326</v>
      </c>
    </row>
    <row r="267" spans="1:33" x14ac:dyDescent="0.2">
      <c r="A267" s="15">
        <f t="shared" si="32"/>
        <v>2008</v>
      </c>
      <c r="B267" s="14">
        <f t="shared" si="33"/>
        <v>2</v>
      </c>
      <c r="C267" s="13" t="str">
        <f t="shared" si="34"/>
        <v>Q1</v>
      </c>
      <c r="D267" s="13" t="str">
        <f t="shared" si="35"/>
        <v>2008Q1</v>
      </c>
      <c r="E267" s="13" t="str">
        <f t="shared" si="36"/>
        <v>Brazil</v>
      </c>
      <c r="F267" s="13" t="str">
        <f t="shared" si="38"/>
        <v>Wind</v>
      </c>
      <c r="G267" s="13" t="str">
        <f t="shared" si="39"/>
        <v>Asset finance investments</v>
      </c>
      <c r="H267" s="638">
        <f t="shared" si="37"/>
        <v>10.058300620755157</v>
      </c>
      <c r="I267" s="24" t="s">
        <v>87</v>
      </c>
      <c r="J267" s="25" t="s">
        <v>246</v>
      </c>
      <c r="K267" s="25" t="s">
        <v>327</v>
      </c>
      <c r="L267" s="25" t="s">
        <v>1980</v>
      </c>
      <c r="M267" s="25" t="s">
        <v>31</v>
      </c>
      <c r="N267" s="25" t="s">
        <v>31</v>
      </c>
      <c r="O267" s="25" t="s">
        <v>92</v>
      </c>
      <c r="P267" s="25" t="s">
        <v>83</v>
      </c>
      <c r="Q267" s="25" t="s">
        <v>82</v>
      </c>
      <c r="R267" s="25" t="s">
        <v>91</v>
      </c>
      <c r="S267" s="25" t="s">
        <v>101</v>
      </c>
      <c r="T267" s="25" t="s">
        <v>101</v>
      </c>
      <c r="U267" s="25" t="s">
        <v>112</v>
      </c>
      <c r="V267" s="25">
        <v>0</v>
      </c>
      <c r="W267" s="25" t="s">
        <v>245</v>
      </c>
      <c r="X267" s="25" t="s">
        <v>1752</v>
      </c>
      <c r="Y267" s="25" t="s">
        <v>1753</v>
      </c>
      <c r="Z267" s="26">
        <v>39492.752083333296</v>
      </c>
      <c r="AA267" s="776">
        <v>98.6</v>
      </c>
      <c r="AB267" s="776">
        <v>0</v>
      </c>
      <c r="AC267" s="776">
        <v>0</v>
      </c>
      <c r="AD267" s="776">
        <v>0</v>
      </c>
      <c r="AE267" s="777">
        <v>10</v>
      </c>
      <c r="AF267" s="777">
        <v>10</v>
      </c>
      <c r="AG267" s="778">
        <v>10.058300620755157</v>
      </c>
    </row>
    <row r="268" spans="1:33" x14ac:dyDescent="0.2">
      <c r="A268" s="15">
        <f t="shared" si="32"/>
        <v>2010</v>
      </c>
      <c r="B268" s="14">
        <f t="shared" si="33"/>
        <v>1</v>
      </c>
      <c r="C268" s="13" t="str">
        <f t="shared" si="34"/>
        <v>Q1</v>
      </c>
      <c r="D268" s="13" t="str">
        <f t="shared" si="35"/>
        <v>2010Q1</v>
      </c>
      <c r="E268" s="13" t="str">
        <f t="shared" si="36"/>
        <v>Brazil</v>
      </c>
      <c r="F268" s="13" t="str">
        <f t="shared" si="38"/>
        <v>Biomass &amp; Waste</v>
      </c>
      <c r="G268" s="13" t="str">
        <f t="shared" si="39"/>
        <v>Asset finance investments</v>
      </c>
      <c r="H268" s="638">
        <f t="shared" si="37"/>
        <v>10.007456907640575</v>
      </c>
      <c r="I268" s="24" t="s">
        <v>87</v>
      </c>
      <c r="J268" s="25" t="s">
        <v>246</v>
      </c>
      <c r="K268" s="25" t="s">
        <v>422</v>
      </c>
      <c r="L268" s="25" t="s">
        <v>421</v>
      </c>
      <c r="M268" s="25" t="s">
        <v>31</v>
      </c>
      <c r="N268" s="25" t="s">
        <v>31</v>
      </c>
      <c r="O268" s="25" t="s">
        <v>92</v>
      </c>
      <c r="P268" s="25" t="s">
        <v>83</v>
      </c>
      <c r="Q268" s="25" t="s">
        <v>82</v>
      </c>
      <c r="R268" s="25" t="s">
        <v>91</v>
      </c>
      <c r="S268" s="25" t="s">
        <v>114</v>
      </c>
      <c r="T268" s="25" t="s">
        <v>114</v>
      </c>
      <c r="U268" s="25" t="s">
        <v>113</v>
      </c>
      <c r="V268" s="25" t="s">
        <v>347</v>
      </c>
      <c r="W268" s="25" t="s">
        <v>245</v>
      </c>
      <c r="X268" s="25" t="s">
        <v>1752</v>
      </c>
      <c r="Y268" s="25" t="s">
        <v>1753</v>
      </c>
      <c r="Z268" s="26">
        <v>40197</v>
      </c>
      <c r="AA268" s="776">
        <v>12.3</v>
      </c>
      <c r="AB268" s="776">
        <v>0</v>
      </c>
      <c r="AC268" s="776">
        <v>0</v>
      </c>
      <c r="AD268" s="776">
        <v>0</v>
      </c>
      <c r="AE268" s="777">
        <v>0</v>
      </c>
      <c r="AF268" s="777">
        <v>10</v>
      </c>
      <c r="AG268" s="778">
        <v>10.007456907640575</v>
      </c>
    </row>
    <row r="269" spans="1:33" x14ac:dyDescent="0.2">
      <c r="A269" s="15">
        <f t="shared" si="32"/>
        <v>2011</v>
      </c>
      <c r="B269" s="14">
        <f t="shared" si="33"/>
        <v>6</v>
      </c>
      <c r="C269" s="13" t="str">
        <f t="shared" si="34"/>
        <v>Q2</v>
      </c>
      <c r="D269" s="13" t="str">
        <f t="shared" si="35"/>
        <v>2011Q2</v>
      </c>
      <c r="E269" s="13" t="str">
        <f t="shared" si="36"/>
        <v>Brazil</v>
      </c>
      <c r="F269" s="13" t="str">
        <f t="shared" si="38"/>
        <v>Wind</v>
      </c>
      <c r="G269" s="13" t="str">
        <f t="shared" si="39"/>
        <v>Asset finance investments</v>
      </c>
      <c r="H269" s="638">
        <f t="shared" si="37"/>
        <v>10.067856771024131</v>
      </c>
      <c r="I269" s="24" t="s">
        <v>87</v>
      </c>
      <c r="J269" s="25" t="s">
        <v>246</v>
      </c>
      <c r="K269" s="25" t="s">
        <v>468</v>
      </c>
      <c r="L269" s="25" t="s">
        <v>467</v>
      </c>
      <c r="M269" s="25" t="s">
        <v>31</v>
      </c>
      <c r="N269" s="25" t="s">
        <v>31</v>
      </c>
      <c r="O269" s="25" t="s">
        <v>92</v>
      </c>
      <c r="P269" s="25" t="s">
        <v>83</v>
      </c>
      <c r="Q269" s="25" t="s">
        <v>82</v>
      </c>
      <c r="R269" s="25" t="s">
        <v>91</v>
      </c>
      <c r="S269" s="25" t="s">
        <v>101</v>
      </c>
      <c r="T269" s="25" t="s">
        <v>101</v>
      </c>
      <c r="U269" s="25" t="s">
        <v>112</v>
      </c>
      <c r="V269" s="25">
        <v>0</v>
      </c>
      <c r="W269" s="25" t="s">
        <v>245</v>
      </c>
      <c r="X269" s="25" t="s">
        <v>1752</v>
      </c>
      <c r="Y269" s="25" t="s">
        <v>1753</v>
      </c>
      <c r="Z269" s="26">
        <v>40711</v>
      </c>
      <c r="AA269" s="776">
        <v>94</v>
      </c>
      <c r="AB269" s="776">
        <v>0</v>
      </c>
      <c r="AC269" s="776">
        <v>0</v>
      </c>
      <c r="AD269" s="776">
        <v>0</v>
      </c>
      <c r="AE269" s="777">
        <v>0</v>
      </c>
      <c r="AF269" s="777">
        <v>10</v>
      </c>
      <c r="AG269" s="778">
        <v>10.067856771024131</v>
      </c>
    </row>
    <row r="270" spans="1:33" x14ac:dyDescent="0.2">
      <c r="A270" s="15">
        <f t="shared" si="32"/>
        <v>2009</v>
      </c>
      <c r="B270" s="14">
        <f t="shared" si="33"/>
        <v>5</v>
      </c>
      <c r="C270" s="13" t="str">
        <f t="shared" si="34"/>
        <v>Q2</v>
      </c>
      <c r="D270" s="13" t="str">
        <f t="shared" si="35"/>
        <v>2009Q2</v>
      </c>
      <c r="E270" s="13" t="str">
        <f t="shared" si="36"/>
        <v>Brazil</v>
      </c>
      <c r="F270" s="13" t="str">
        <f t="shared" si="38"/>
        <v>Biomass &amp; Waste</v>
      </c>
      <c r="G270" s="13" t="str">
        <f t="shared" si="39"/>
        <v>Asset finance investments</v>
      </c>
      <c r="H270" s="638">
        <f t="shared" si="37"/>
        <v>10.00000538777217</v>
      </c>
      <c r="I270" s="24" t="s">
        <v>87</v>
      </c>
      <c r="J270" s="25" t="s">
        <v>246</v>
      </c>
      <c r="K270" s="25" t="s">
        <v>375</v>
      </c>
      <c r="L270" s="25" t="s">
        <v>374</v>
      </c>
      <c r="M270" s="25" t="s">
        <v>31</v>
      </c>
      <c r="N270" s="25" t="s">
        <v>31</v>
      </c>
      <c r="O270" s="25" t="s">
        <v>92</v>
      </c>
      <c r="P270" s="25" t="s">
        <v>83</v>
      </c>
      <c r="Q270" s="25" t="s">
        <v>82</v>
      </c>
      <c r="R270" s="25" t="s">
        <v>91</v>
      </c>
      <c r="S270" s="25" t="s">
        <v>114</v>
      </c>
      <c r="T270" s="25" t="s">
        <v>114</v>
      </c>
      <c r="U270" s="25" t="s">
        <v>113</v>
      </c>
      <c r="V270" s="25" t="s">
        <v>347</v>
      </c>
      <c r="W270" s="25" t="s">
        <v>245</v>
      </c>
      <c r="X270" s="25" t="s">
        <v>1752</v>
      </c>
      <c r="Y270" s="25" t="s">
        <v>1753</v>
      </c>
      <c r="Z270" s="26">
        <v>39941</v>
      </c>
      <c r="AA270" s="776">
        <v>12.3</v>
      </c>
      <c r="AB270" s="776">
        <v>0</v>
      </c>
      <c r="AC270" s="776">
        <v>0</v>
      </c>
      <c r="AD270" s="776">
        <v>0</v>
      </c>
      <c r="AE270" s="777">
        <v>0</v>
      </c>
      <c r="AF270" s="777">
        <v>10</v>
      </c>
      <c r="AG270" s="778">
        <v>10.00000538777217</v>
      </c>
    </row>
    <row r="271" spans="1:33" x14ac:dyDescent="0.2">
      <c r="A271" s="15">
        <f t="shared" si="32"/>
        <v>2011</v>
      </c>
      <c r="B271" s="14">
        <f t="shared" si="33"/>
        <v>1</v>
      </c>
      <c r="C271" s="13" t="str">
        <f t="shared" si="34"/>
        <v>Q1</v>
      </c>
      <c r="D271" s="13" t="str">
        <f t="shared" si="35"/>
        <v>2011Q1</v>
      </c>
      <c r="E271" s="13" t="str">
        <f t="shared" si="36"/>
        <v>Brazil</v>
      </c>
      <c r="F271" s="13" t="str">
        <f t="shared" si="38"/>
        <v>Small Hydro</v>
      </c>
      <c r="G271" s="13" t="str">
        <f t="shared" si="39"/>
        <v>Corporate finance investments</v>
      </c>
      <c r="H271" s="638">
        <f t="shared" si="37"/>
        <v>9.885628563468595</v>
      </c>
      <c r="I271" s="24" t="s">
        <v>87</v>
      </c>
      <c r="J271" s="25" t="s">
        <v>86</v>
      </c>
      <c r="K271" s="25" t="s">
        <v>191</v>
      </c>
      <c r="L271" s="25" t="s">
        <v>190</v>
      </c>
      <c r="M271" s="25" t="s">
        <v>31</v>
      </c>
      <c r="N271" s="25" t="s">
        <v>31</v>
      </c>
      <c r="O271" s="25" t="s">
        <v>92</v>
      </c>
      <c r="P271" s="25" t="s">
        <v>83</v>
      </c>
      <c r="Q271" s="25" t="s">
        <v>82</v>
      </c>
      <c r="R271" s="25" t="s">
        <v>91</v>
      </c>
      <c r="S271" s="25" t="s">
        <v>126</v>
      </c>
      <c r="T271" s="25" t="s">
        <v>125</v>
      </c>
      <c r="U271" s="25" t="s">
        <v>189</v>
      </c>
      <c r="V271" s="25">
        <v>0</v>
      </c>
      <c r="W271" s="25" t="s">
        <v>94</v>
      </c>
      <c r="X271" s="25" t="s">
        <v>1747</v>
      </c>
      <c r="Y271" s="25" t="e">
        <v>#N/A</v>
      </c>
      <c r="Z271" s="26">
        <v>40561</v>
      </c>
      <c r="AA271" s="776" t="s">
        <v>1748</v>
      </c>
      <c r="AB271" s="776" t="s">
        <v>1748</v>
      </c>
      <c r="AC271" s="776" t="s">
        <v>1748</v>
      </c>
      <c r="AD271" s="776" t="s">
        <v>1748</v>
      </c>
      <c r="AE271" s="777">
        <v>0</v>
      </c>
      <c r="AF271" s="777">
        <v>9.8190000000000008</v>
      </c>
      <c r="AG271" s="778">
        <v>9.885628563468595</v>
      </c>
    </row>
    <row r="272" spans="1:33" x14ac:dyDescent="0.2">
      <c r="A272" s="15">
        <f t="shared" si="32"/>
        <v>2011</v>
      </c>
      <c r="B272" s="14">
        <f t="shared" si="33"/>
        <v>1</v>
      </c>
      <c r="C272" s="13" t="str">
        <f t="shared" si="34"/>
        <v>Q1</v>
      </c>
      <c r="D272" s="13" t="str">
        <f t="shared" si="35"/>
        <v>2011Q1</v>
      </c>
      <c r="E272" s="13" t="str">
        <f t="shared" si="36"/>
        <v>Brazil</v>
      </c>
      <c r="F272" s="13" t="str">
        <f t="shared" si="38"/>
        <v>Wind</v>
      </c>
      <c r="G272" s="13" t="str">
        <f t="shared" si="39"/>
        <v>Corporate finance investments</v>
      </c>
      <c r="H272" s="638">
        <f t="shared" si="37"/>
        <v>9.885628563468595</v>
      </c>
      <c r="I272" s="24" t="s">
        <v>87</v>
      </c>
      <c r="J272" s="25" t="s">
        <v>86</v>
      </c>
      <c r="K272" s="25" t="s">
        <v>188</v>
      </c>
      <c r="L272" s="25" t="s">
        <v>187</v>
      </c>
      <c r="M272" s="25" t="s">
        <v>31</v>
      </c>
      <c r="N272" s="25" t="s">
        <v>31</v>
      </c>
      <c r="O272" s="25" t="s">
        <v>92</v>
      </c>
      <c r="P272" s="25" t="s">
        <v>83</v>
      </c>
      <c r="Q272" s="25" t="s">
        <v>82</v>
      </c>
      <c r="R272" s="25" t="s">
        <v>91</v>
      </c>
      <c r="S272" s="25" t="s">
        <v>101</v>
      </c>
      <c r="T272" s="25" t="s">
        <v>101</v>
      </c>
      <c r="U272" s="25" t="s">
        <v>112</v>
      </c>
      <c r="V272" s="25">
        <v>0</v>
      </c>
      <c r="W272" s="25" t="s">
        <v>94</v>
      </c>
      <c r="X272" s="25" t="s">
        <v>1747</v>
      </c>
      <c r="Y272" s="25" t="e">
        <v>#N/A</v>
      </c>
      <c r="Z272" s="26">
        <v>40561</v>
      </c>
      <c r="AA272" s="776" t="s">
        <v>1748</v>
      </c>
      <c r="AB272" s="776" t="s">
        <v>1748</v>
      </c>
      <c r="AC272" s="776" t="s">
        <v>1748</v>
      </c>
      <c r="AD272" s="776" t="s">
        <v>1748</v>
      </c>
      <c r="AE272" s="777">
        <v>0</v>
      </c>
      <c r="AF272" s="777">
        <v>9.8190000000000008</v>
      </c>
      <c r="AG272" s="778">
        <v>9.885628563468595</v>
      </c>
    </row>
    <row r="273" spans="1:33" x14ac:dyDescent="0.2">
      <c r="A273" s="15">
        <f t="shared" si="32"/>
        <v>2011</v>
      </c>
      <c r="B273" s="14">
        <f t="shared" si="33"/>
        <v>10</v>
      </c>
      <c r="C273" s="13" t="str">
        <f t="shared" si="34"/>
        <v>Q4</v>
      </c>
      <c r="D273" s="13" t="str">
        <f t="shared" si="35"/>
        <v>2011Q4</v>
      </c>
      <c r="E273" s="13" t="str">
        <f t="shared" si="36"/>
        <v>Brazil</v>
      </c>
      <c r="F273" s="13" t="str">
        <f t="shared" si="38"/>
        <v>Small Hydro</v>
      </c>
      <c r="G273" s="13" t="str">
        <f t="shared" si="39"/>
        <v>Corporate finance investments</v>
      </c>
      <c r="H273" s="638">
        <f t="shared" si="37"/>
        <v>9.6651425001831655</v>
      </c>
      <c r="I273" s="24" t="s">
        <v>87</v>
      </c>
      <c r="J273" s="25" t="s">
        <v>86</v>
      </c>
      <c r="K273" s="25" t="s">
        <v>183</v>
      </c>
      <c r="L273" s="25" t="s">
        <v>182</v>
      </c>
      <c r="M273" s="25" t="s">
        <v>31</v>
      </c>
      <c r="N273" s="25" t="s">
        <v>31</v>
      </c>
      <c r="O273" s="25" t="s">
        <v>92</v>
      </c>
      <c r="P273" s="25" t="s">
        <v>83</v>
      </c>
      <c r="Q273" s="25" t="s">
        <v>82</v>
      </c>
      <c r="R273" s="25" t="s">
        <v>91</v>
      </c>
      <c r="S273" s="25" t="s">
        <v>126</v>
      </c>
      <c r="T273" s="25" t="s">
        <v>125</v>
      </c>
      <c r="U273" s="25" t="s">
        <v>342</v>
      </c>
      <c r="V273" s="25">
        <v>0</v>
      </c>
      <c r="W273" s="25" t="s">
        <v>88</v>
      </c>
      <c r="X273" s="25" t="s">
        <v>1747</v>
      </c>
      <c r="Y273" s="25" t="e">
        <v>#N/A</v>
      </c>
      <c r="Z273" s="26">
        <v>40819</v>
      </c>
      <c r="AA273" s="776" t="s">
        <v>1748</v>
      </c>
      <c r="AB273" s="776" t="s">
        <v>1748</v>
      </c>
      <c r="AC273" s="776" t="s">
        <v>1748</v>
      </c>
      <c r="AD273" s="776" t="s">
        <v>1748</v>
      </c>
      <c r="AE273" s="777">
        <v>9.6</v>
      </c>
      <c r="AF273" s="777">
        <v>9.6</v>
      </c>
      <c r="AG273" s="778">
        <v>9.6651425001831655</v>
      </c>
    </row>
    <row r="274" spans="1:33" x14ac:dyDescent="0.2">
      <c r="A274" s="15">
        <f t="shared" si="32"/>
        <v>2010</v>
      </c>
      <c r="B274" s="14">
        <f t="shared" si="33"/>
        <v>2</v>
      </c>
      <c r="C274" s="13" t="str">
        <f t="shared" si="34"/>
        <v>Q1</v>
      </c>
      <c r="D274" s="13" t="str">
        <f t="shared" si="35"/>
        <v>2010Q1</v>
      </c>
      <c r="E274" s="13" t="str">
        <f t="shared" si="36"/>
        <v>Chile</v>
      </c>
      <c r="F274" s="13" t="str">
        <f t="shared" si="38"/>
        <v>Wind</v>
      </c>
      <c r="G274" s="13" t="str">
        <f t="shared" si="39"/>
        <v>Asset finance investments</v>
      </c>
      <c r="H274" s="638">
        <f t="shared" si="37"/>
        <v>9.0067112168765178</v>
      </c>
      <c r="I274" s="24" t="s">
        <v>87</v>
      </c>
      <c r="J274" s="25" t="s">
        <v>246</v>
      </c>
      <c r="K274" s="25" t="s">
        <v>448</v>
      </c>
      <c r="L274" s="25" t="s">
        <v>1981</v>
      </c>
      <c r="M274" s="25" t="s">
        <v>8</v>
      </c>
      <c r="N274" s="25" t="s">
        <v>85</v>
      </c>
      <c r="O274" s="25" t="s">
        <v>92</v>
      </c>
      <c r="P274" s="25" t="s">
        <v>83</v>
      </c>
      <c r="Q274" s="25" t="s">
        <v>129</v>
      </c>
      <c r="R274" s="25"/>
      <c r="S274" s="25" t="s">
        <v>101</v>
      </c>
      <c r="T274" s="25" t="s">
        <v>101</v>
      </c>
      <c r="U274" s="25" t="s">
        <v>112</v>
      </c>
      <c r="V274" s="25">
        <v>0</v>
      </c>
      <c r="W274" s="25" t="s">
        <v>245</v>
      </c>
      <c r="X274" s="25" t="s">
        <v>1752</v>
      </c>
      <c r="Y274" s="25" t="s">
        <v>1753</v>
      </c>
      <c r="Z274" s="26">
        <v>40219</v>
      </c>
      <c r="AA274" s="776">
        <v>500</v>
      </c>
      <c r="AB274" s="776">
        <v>0</v>
      </c>
      <c r="AC274" s="776">
        <v>0</v>
      </c>
      <c r="AD274" s="776">
        <v>0</v>
      </c>
      <c r="AE274" s="777">
        <v>0</v>
      </c>
      <c r="AF274" s="777">
        <v>9</v>
      </c>
      <c r="AG274" s="778">
        <v>9.0067112168765178</v>
      </c>
    </row>
    <row r="275" spans="1:33" x14ac:dyDescent="0.2">
      <c r="A275" s="15">
        <f t="shared" si="32"/>
        <v>2009</v>
      </c>
      <c r="B275" s="14">
        <f t="shared" si="33"/>
        <v>9</v>
      </c>
      <c r="C275" s="13" t="str">
        <f t="shared" si="34"/>
        <v>Q3</v>
      </c>
      <c r="D275" s="13" t="str">
        <f t="shared" si="35"/>
        <v>2009Q3</v>
      </c>
      <c r="E275" s="13" t="str">
        <f t="shared" si="36"/>
        <v>Brazil</v>
      </c>
      <c r="F275" s="13" t="str">
        <f t="shared" si="38"/>
        <v>Biofuels</v>
      </c>
      <c r="G275" s="13" t="str">
        <f t="shared" si="39"/>
        <v>Corporate finance investments</v>
      </c>
      <c r="H275" s="638">
        <f t="shared" si="37"/>
        <v>8.7000046873617869</v>
      </c>
      <c r="I275" s="24" t="s">
        <v>87</v>
      </c>
      <c r="J275" s="25" t="s">
        <v>86</v>
      </c>
      <c r="K275" s="25" t="s">
        <v>149</v>
      </c>
      <c r="L275" s="25" t="s">
        <v>148</v>
      </c>
      <c r="M275" s="25" t="s">
        <v>31</v>
      </c>
      <c r="N275" s="25" t="s">
        <v>31</v>
      </c>
      <c r="O275" s="25" t="s">
        <v>92</v>
      </c>
      <c r="P275" s="25" t="s">
        <v>83</v>
      </c>
      <c r="Q275" s="25" t="s">
        <v>82</v>
      </c>
      <c r="R275" s="25" t="s">
        <v>91</v>
      </c>
      <c r="S275" s="25" t="s">
        <v>96</v>
      </c>
      <c r="T275" s="25" t="s">
        <v>96</v>
      </c>
      <c r="U275" s="25" t="s">
        <v>98</v>
      </c>
      <c r="V275" s="25">
        <v>0</v>
      </c>
      <c r="W275" s="25" t="s">
        <v>97</v>
      </c>
      <c r="X275" s="25" t="s">
        <v>1747</v>
      </c>
      <c r="Y275" s="25" t="e">
        <v>#N/A</v>
      </c>
      <c r="Z275" s="26">
        <v>40058</v>
      </c>
      <c r="AA275" s="776" t="s">
        <v>1748</v>
      </c>
      <c r="AB275" s="776" t="s">
        <v>1748</v>
      </c>
      <c r="AC275" s="776" t="s">
        <v>1748</v>
      </c>
      <c r="AD275" s="776" t="s">
        <v>1748</v>
      </c>
      <c r="AE275" s="777">
        <v>8.6999999999999993</v>
      </c>
      <c r="AF275" s="777">
        <v>8.6999999999999993</v>
      </c>
      <c r="AG275" s="778">
        <v>8.7000046873617869</v>
      </c>
    </row>
    <row r="276" spans="1:33" x14ac:dyDescent="0.2">
      <c r="A276" s="15">
        <f t="shared" si="32"/>
        <v>2008</v>
      </c>
      <c r="B276" s="14">
        <f t="shared" si="33"/>
        <v>9</v>
      </c>
      <c r="C276" s="13" t="str">
        <f t="shared" si="34"/>
        <v>Q3</v>
      </c>
      <c r="D276" s="13" t="str">
        <f t="shared" si="35"/>
        <v>2008Q3</v>
      </c>
      <c r="E276" s="13" t="str">
        <f t="shared" si="36"/>
        <v>Brazil</v>
      </c>
      <c r="F276" s="13" t="str">
        <f t="shared" si="38"/>
        <v>Small Hydro</v>
      </c>
      <c r="G276" s="13" t="str">
        <f t="shared" si="39"/>
        <v>Asset finance investments</v>
      </c>
      <c r="H276" s="638">
        <f t="shared" si="37"/>
        <v>8.6870417858678941</v>
      </c>
      <c r="I276" s="24" t="s">
        <v>87</v>
      </c>
      <c r="J276" s="25" t="s">
        <v>246</v>
      </c>
      <c r="K276" s="25" t="s">
        <v>326</v>
      </c>
      <c r="L276" s="25" t="s">
        <v>325</v>
      </c>
      <c r="M276" s="25" t="s">
        <v>31</v>
      </c>
      <c r="N276" s="25" t="s">
        <v>31</v>
      </c>
      <c r="O276" s="25" t="s">
        <v>92</v>
      </c>
      <c r="P276" s="25" t="s">
        <v>83</v>
      </c>
      <c r="Q276" s="25" t="s">
        <v>82</v>
      </c>
      <c r="R276" s="25" t="s">
        <v>91</v>
      </c>
      <c r="S276" s="25" t="s">
        <v>126</v>
      </c>
      <c r="T276" s="25" t="s">
        <v>125</v>
      </c>
      <c r="U276" s="25" t="s">
        <v>247</v>
      </c>
      <c r="V276" s="25">
        <v>0</v>
      </c>
      <c r="W276" s="25" t="s">
        <v>249</v>
      </c>
      <c r="X276" s="25" t="s">
        <v>1749</v>
      </c>
      <c r="Y276" s="25" t="s">
        <v>1750</v>
      </c>
      <c r="Z276" s="26">
        <v>39715</v>
      </c>
      <c r="AA276" s="776">
        <v>12</v>
      </c>
      <c r="AB276" s="776">
        <v>0</v>
      </c>
      <c r="AC276" s="776">
        <v>0</v>
      </c>
      <c r="AD276" s="776">
        <v>0</v>
      </c>
      <c r="AE276" s="777">
        <v>8.6</v>
      </c>
      <c r="AF276" s="777">
        <v>8.6</v>
      </c>
      <c r="AG276" s="778">
        <v>8.6870417858678941</v>
      </c>
    </row>
    <row r="277" spans="1:33" x14ac:dyDescent="0.2">
      <c r="A277" s="15">
        <f t="shared" si="32"/>
        <v>2006</v>
      </c>
      <c r="B277" s="14">
        <f t="shared" si="33"/>
        <v>6</v>
      </c>
      <c r="C277" s="13" t="str">
        <f t="shared" si="34"/>
        <v>Q2</v>
      </c>
      <c r="D277" s="13" t="str">
        <f t="shared" si="35"/>
        <v>2006Q2</v>
      </c>
      <c r="E277" s="13" t="str">
        <f t="shared" si="36"/>
        <v>Brazil</v>
      </c>
      <c r="F277" s="13" t="str">
        <f t="shared" si="38"/>
        <v>Other Clean Energy</v>
      </c>
      <c r="G277" s="13" t="str">
        <f t="shared" si="39"/>
        <v>Corporate finance investments</v>
      </c>
      <c r="H277" s="638">
        <f t="shared" si="37"/>
        <v>8.4274459999999998</v>
      </c>
      <c r="I277" s="24" t="s">
        <v>87</v>
      </c>
      <c r="J277" s="25" t="s">
        <v>86</v>
      </c>
      <c r="K277" s="25" t="s">
        <v>93</v>
      </c>
      <c r="L277" s="25" t="s">
        <v>1982</v>
      </c>
      <c r="M277" s="25" t="s">
        <v>31</v>
      </c>
      <c r="N277" s="25" t="s">
        <v>31</v>
      </c>
      <c r="O277" s="25" t="s">
        <v>92</v>
      </c>
      <c r="P277" s="25" t="s">
        <v>83</v>
      </c>
      <c r="Q277" s="25" t="s">
        <v>82</v>
      </c>
      <c r="R277" s="25" t="s">
        <v>91</v>
      </c>
      <c r="S277" s="25" t="s">
        <v>90</v>
      </c>
      <c r="T277" s="25" t="s">
        <v>89</v>
      </c>
      <c r="U277" s="25">
        <v>0</v>
      </c>
      <c r="V277" s="25">
        <v>0</v>
      </c>
      <c r="W277" s="25" t="s">
        <v>88</v>
      </c>
      <c r="X277" s="25" t="s">
        <v>1747</v>
      </c>
      <c r="Y277" s="25" t="e">
        <v>#N/A</v>
      </c>
      <c r="Z277" s="26">
        <v>38898</v>
      </c>
      <c r="AA277" s="776" t="s">
        <v>1748</v>
      </c>
      <c r="AB277" s="776" t="s">
        <v>1748</v>
      </c>
      <c r="AC277" s="776" t="s">
        <v>1748</v>
      </c>
      <c r="AD277" s="776" t="s">
        <v>1748</v>
      </c>
      <c r="AE277" s="777">
        <v>8.4</v>
      </c>
      <c r="AF277" s="777">
        <v>8.4</v>
      </c>
      <c r="AG277" s="778">
        <v>8.4274459999999998</v>
      </c>
    </row>
    <row r="278" spans="1:33" x14ac:dyDescent="0.2">
      <c r="A278" s="15">
        <f t="shared" si="32"/>
        <v>2009</v>
      </c>
      <c r="B278" s="14">
        <f t="shared" si="33"/>
        <v>11</v>
      </c>
      <c r="C278" s="13" t="str">
        <f t="shared" si="34"/>
        <v>Q4</v>
      </c>
      <c r="D278" s="13" t="str">
        <f t="shared" si="35"/>
        <v>2009Q4</v>
      </c>
      <c r="E278" s="13" t="str">
        <f t="shared" si="36"/>
        <v>Brazil</v>
      </c>
      <c r="F278" s="13" t="str">
        <f t="shared" si="38"/>
        <v>Biofuels</v>
      </c>
      <c r="G278" s="13" t="str">
        <f t="shared" si="39"/>
        <v>Asset finance investments</v>
      </c>
      <c r="H278" s="638">
        <f t="shared" si="37"/>
        <v>8.2000044179731777</v>
      </c>
      <c r="I278" s="24" t="s">
        <v>87</v>
      </c>
      <c r="J278" s="25" t="s">
        <v>246</v>
      </c>
      <c r="K278" s="25" t="s">
        <v>383</v>
      </c>
      <c r="L278" s="25" t="s">
        <v>382</v>
      </c>
      <c r="M278" s="25" t="s">
        <v>31</v>
      </c>
      <c r="N278" s="25" t="s">
        <v>31</v>
      </c>
      <c r="O278" s="25" t="s">
        <v>92</v>
      </c>
      <c r="P278" s="25" t="s">
        <v>83</v>
      </c>
      <c r="Q278" s="25" t="s">
        <v>82</v>
      </c>
      <c r="R278" s="25" t="s">
        <v>91</v>
      </c>
      <c r="S278" s="25" t="s">
        <v>96</v>
      </c>
      <c r="T278" s="25" t="s">
        <v>96</v>
      </c>
      <c r="U278" s="25" t="s">
        <v>98</v>
      </c>
      <c r="V278" s="25" t="s">
        <v>230</v>
      </c>
      <c r="W278" s="25" t="s">
        <v>249</v>
      </c>
      <c r="X278" s="25" t="s">
        <v>1749</v>
      </c>
      <c r="Y278" s="25" t="s">
        <v>1750</v>
      </c>
      <c r="Z278" s="26">
        <v>40147</v>
      </c>
      <c r="AA278" s="776">
        <v>40</v>
      </c>
      <c r="AB278" s="776">
        <v>89</v>
      </c>
      <c r="AC278" s="776">
        <v>0</v>
      </c>
      <c r="AD278" s="776">
        <v>0</v>
      </c>
      <c r="AE278" s="777">
        <v>8.1999999999999993</v>
      </c>
      <c r="AF278" s="777">
        <v>8.1999999999999993</v>
      </c>
      <c r="AG278" s="778">
        <v>8.2000044179731777</v>
      </c>
    </row>
    <row r="279" spans="1:33" x14ac:dyDescent="0.2">
      <c r="A279" s="15">
        <f t="shared" si="32"/>
        <v>2009</v>
      </c>
      <c r="B279" s="14">
        <f t="shared" si="33"/>
        <v>11</v>
      </c>
      <c r="C279" s="13" t="str">
        <f t="shared" si="34"/>
        <v>Q4</v>
      </c>
      <c r="D279" s="13" t="str">
        <f t="shared" si="35"/>
        <v>2009Q4</v>
      </c>
      <c r="E279" s="13" t="str">
        <f t="shared" si="36"/>
        <v>Brazil</v>
      </c>
      <c r="F279" s="13" t="str">
        <f t="shared" si="38"/>
        <v>Biofuels</v>
      </c>
      <c r="G279" s="13" t="str">
        <f t="shared" si="39"/>
        <v>Asset finance investments</v>
      </c>
      <c r="H279" s="638">
        <f t="shared" si="37"/>
        <v>8.0400043317688237</v>
      </c>
      <c r="I279" s="24" t="s">
        <v>87</v>
      </c>
      <c r="J279" s="25" t="s">
        <v>246</v>
      </c>
      <c r="K279" s="25" t="s">
        <v>378</v>
      </c>
      <c r="L279" s="25" t="s">
        <v>1983</v>
      </c>
      <c r="M279" s="25" t="s">
        <v>31</v>
      </c>
      <c r="N279" s="25" t="s">
        <v>31</v>
      </c>
      <c r="O279" s="25" t="s">
        <v>92</v>
      </c>
      <c r="P279" s="25" t="s">
        <v>83</v>
      </c>
      <c r="Q279" s="25" t="s">
        <v>82</v>
      </c>
      <c r="R279" s="25" t="s">
        <v>91</v>
      </c>
      <c r="S279" s="25" t="s">
        <v>96</v>
      </c>
      <c r="T279" s="25" t="s">
        <v>96</v>
      </c>
      <c r="U279" s="25" t="s">
        <v>98</v>
      </c>
      <c r="V279" s="25" t="s">
        <v>230</v>
      </c>
      <c r="W279" s="25" t="s">
        <v>245</v>
      </c>
      <c r="X279" s="25" t="s">
        <v>1752</v>
      </c>
      <c r="Y279" s="25" t="s">
        <v>1753</v>
      </c>
      <c r="Z279" s="26">
        <v>40147</v>
      </c>
      <c r="AA279" s="776">
        <v>40</v>
      </c>
      <c r="AB279" s="776">
        <v>212</v>
      </c>
      <c r="AC279" s="776">
        <v>0</v>
      </c>
      <c r="AD279" s="776">
        <v>0</v>
      </c>
      <c r="AE279" s="777">
        <v>8.0399999999999991</v>
      </c>
      <c r="AF279" s="777">
        <v>8.0399999999999991</v>
      </c>
      <c r="AG279" s="778">
        <v>8.0400043317688237</v>
      </c>
    </row>
    <row r="280" spans="1:33" x14ac:dyDescent="0.2">
      <c r="A280" s="15">
        <f t="shared" si="32"/>
        <v>2008</v>
      </c>
      <c r="B280" s="14">
        <f t="shared" si="33"/>
        <v>8</v>
      </c>
      <c r="C280" s="13" t="str">
        <f t="shared" si="34"/>
        <v>Q3</v>
      </c>
      <c r="D280" s="13" t="str">
        <f t="shared" si="35"/>
        <v>2008Q3</v>
      </c>
      <c r="E280" s="13" t="str">
        <f t="shared" si="36"/>
        <v>Brazil</v>
      </c>
      <c r="F280" s="13" t="str">
        <f t="shared" si="38"/>
        <v>Small Hydro</v>
      </c>
      <c r="G280" s="13" t="str">
        <f t="shared" si="39"/>
        <v>Asset finance investments</v>
      </c>
      <c r="H280" s="638">
        <f t="shared" si="37"/>
        <v>7.979956989343763</v>
      </c>
      <c r="I280" s="24" t="s">
        <v>87</v>
      </c>
      <c r="J280" s="25" t="s">
        <v>246</v>
      </c>
      <c r="K280" s="25" t="s">
        <v>324</v>
      </c>
      <c r="L280" s="25" t="s">
        <v>323</v>
      </c>
      <c r="M280" s="25" t="s">
        <v>31</v>
      </c>
      <c r="N280" s="25" t="s">
        <v>31</v>
      </c>
      <c r="O280" s="25" t="s">
        <v>92</v>
      </c>
      <c r="P280" s="25" t="s">
        <v>83</v>
      </c>
      <c r="Q280" s="25" t="s">
        <v>82</v>
      </c>
      <c r="R280" s="25" t="s">
        <v>91</v>
      </c>
      <c r="S280" s="25" t="s">
        <v>126</v>
      </c>
      <c r="T280" s="25" t="s">
        <v>125</v>
      </c>
      <c r="U280" s="25" t="s">
        <v>247</v>
      </c>
      <c r="V280" s="25">
        <v>0</v>
      </c>
      <c r="W280" s="25" t="s">
        <v>249</v>
      </c>
      <c r="X280" s="25" t="s">
        <v>1749</v>
      </c>
      <c r="Y280" s="25" t="s">
        <v>1750</v>
      </c>
      <c r="Z280" s="26">
        <v>39671</v>
      </c>
      <c r="AA280" s="776">
        <v>30</v>
      </c>
      <c r="AB280" s="776">
        <v>0</v>
      </c>
      <c r="AC280" s="776">
        <v>0</v>
      </c>
      <c r="AD280" s="776">
        <v>0</v>
      </c>
      <c r="AE280" s="777">
        <v>7.9</v>
      </c>
      <c r="AF280" s="777">
        <v>7.9</v>
      </c>
      <c r="AG280" s="778">
        <v>7.979956989343763</v>
      </c>
    </row>
    <row r="281" spans="1:33" x14ac:dyDescent="0.2">
      <c r="A281" s="15">
        <f t="shared" si="32"/>
        <v>2011</v>
      </c>
      <c r="B281" s="14">
        <f t="shared" si="33"/>
        <v>4</v>
      </c>
      <c r="C281" s="13" t="str">
        <f t="shared" si="34"/>
        <v>Q2</v>
      </c>
      <c r="D281" s="13" t="str">
        <f t="shared" si="35"/>
        <v>2011Q2</v>
      </c>
      <c r="E281" s="13" t="str">
        <f t="shared" si="36"/>
        <v>Mexico</v>
      </c>
      <c r="F281" s="13" t="str">
        <f t="shared" si="38"/>
        <v>Wind</v>
      </c>
      <c r="G281" s="13" t="str">
        <f t="shared" si="39"/>
        <v>Asset finance investments</v>
      </c>
      <c r="H281" s="638">
        <f t="shared" si="37"/>
        <v>7.8645156032547332</v>
      </c>
      <c r="I281" s="24" t="s">
        <v>87</v>
      </c>
      <c r="J281" s="25" t="s">
        <v>246</v>
      </c>
      <c r="K281" s="25" t="s">
        <v>466</v>
      </c>
      <c r="L281" s="25" t="s">
        <v>465</v>
      </c>
      <c r="M281" s="25" t="s">
        <v>18</v>
      </c>
      <c r="N281" s="25" t="s">
        <v>85</v>
      </c>
      <c r="O281" s="25" t="s">
        <v>92</v>
      </c>
      <c r="P281" s="25" t="s">
        <v>83</v>
      </c>
      <c r="Q281" s="25" t="s">
        <v>129</v>
      </c>
      <c r="R281" s="25"/>
      <c r="S281" s="25" t="s">
        <v>101</v>
      </c>
      <c r="T281" s="25" t="s">
        <v>101</v>
      </c>
      <c r="U281" s="25" t="s">
        <v>112</v>
      </c>
      <c r="V281" s="25">
        <v>0</v>
      </c>
      <c r="W281" s="25" t="s">
        <v>245</v>
      </c>
      <c r="X281" s="25" t="s">
        <v>1752</v>
      </c>
      <c r="Y281" s="25" t="s">
        <v>1753</v>
      </c>
      <c r="Z281" s="26">
        <v>40652</v>
      </c>
      <c r="AA281" s="776">
        <v>156</v>
      </c>
      <c r="AB281" s="776">
        <v>0</v>
      </c>
      <c r="AC281" s="776">
        <v>0</v>
      </c>
      <c r="AD281" s="776">
        <v>0</v>
      </c>
      <c r="AE281" s="777">
        <v>0</v>
      </c>
      <c r="AF281" s="777">
        <v>7.8</v>
      </c>
      <c r="AG281" s="778">
        <v>7.8645156032547332</v>
      </c>
    </row>
    <row r="282" spans="1:33" x14ac:dyDescent="0.2">
      <c r="A282" s="15">
        <f t="shared" si="32"/>
        <v>2012</v>
      </c>
      <c r="B282" s="14">
        <f t="shared" si="33"/>
        <v>7</v>
      </c>
      <c r="C282" s="13" t="str">
        <f t="shared" si="34"/>
        <v>Q3</v>
      </c>
      <c r="D282" s="13" t="str">
        <f t="shared" si="35"/>
        <v>2012Q3</v>
      </c>
      <c r="E282" s="13" t="str">
        <f t="shared" si="36"/>
        <v>Brazil</v>
      </c>
      <c r="F282" s="13" t="str">
        <f t="shared" si="38"/>
        <v>Other Clean Energy</v>
      </c>
      <c r="G282" s="13" t="str">
        <f t="shared" si="39"/>
        <v>Corporate finance investments</v>
      </c>
      <c r="H282" s="638">
        <f t="shared" si="37"/>
        <v>7.7578867659047335</v>
      </c>
      <c r="I282" s="24" t="s">
        <v>87</v>
      </c>
      <c r="J282" s="25" t="s">
        <v>86</v>
      </c>
      <c r="K282" s="25" t="s">
        <v>1984</v>
      </c>
      <c r="L282" s="25" t="s">
        <v>1985</v>
      </c>
      <c r="M282" s="25" t="s">
        <v>31</v>
      </c>
      <c r="N282" s="25" t="s">
        <v>31</v>
      </c>
      <c r="O282" s="25" t="s">
        <v>92</v>
      </c>
      <c r="P282" s="25" t="s">
        <v>83</v>
      </c>
      <c r="Q282" s="25" t="s">
        <v>82</v>
      </c>
      <c r="R282" s="25" t="s">
        <v>91</v>
      </c>
      <c r="S282" s="25" t="s">
        <v>90</v>
      </c>
      <c r="T282" s="25" t="s">
        <v>89</v>
      </c>
      <c r="U282" s="25" t="s">
        <v>1966</v>
      </c>
      <c r="V282" s="25">
        <v>0</v>
      </c>
      <c r="W282" s="25" t="s">
        <v>88</v>
      </c>
      <c r="X282" s="25" t="s">
        <v>1747</v>
      </c>
      <c r="Y282" s="25" t="e">
        <v>#N/A</v>
      </c>
      <c r="Z282" s="26">
        <v>41120</v>
      </c>
      <c r="AA282" s="776" t="s">
        <v>1748</v>
      </c>
      <c r="AB282" s="776" t="s">
        <v>1748</v>
      </c>
      <c r="AC282" s="776" t="s">
        <v>1748</v>
      </c>
      <c r="AD282" s="776" t="s">
        <v>1748</v>
      </c>
      <c r="AE282" s="777">
        <v>0</v>
      </c>
      <c r="AF282" s="777">
        <v>7.6109999999999998</v>
      </c>
      <c r="AG282" s="778">
        <v>7.7578867659047335</v>
      </c>
    </row>
    <row r="283" spans="1:33" x14ac:dyDescent="0.2">
      <c r="A283" s="15">
        <f t="shared" si="32"/>
        <v>2007</v>
      </c>
      <c r="B283" s="14">
        <f t="shared" si="33"/>
        <v>12</v>
      </c>
      <c r="C283" s="13" t="str">
        <f t="shared" si="34"/>
        <v>Q4</v>
      </c>
      <c r="D283" s="13" t="str">
        <f t="shared" si="35"/>
        <v>2007Q4</v>
      </c>
      <c r="E283" s="13" t="str">
        <f t="shared" si="36"/>
        <v>Brazil</v>
      </c>
      <c r="F283" s="13" t="str">
        <f t="shared" si="38"/>
        <v>Wind</v>
      </c>
      <c r="G283" s="13" t="str">
        <f t="shared" si="39"/>
        <v>Asset finance investments</v>
      </c>
      <c r="H283" s="638">
        <f t="shared" si="37"/>
        <v>12.704496633474218</v>
      </c>
      <c r="I283" s="24" t="s">
        <v>87</v>
      </c>
      <c r="J283" s="25" t="s">
        <v>246</v>
      </c>
      <c r="K283" s="25" t="s">
        <v>277</v>
      </c>
      <c r="L283" s="25" t="s">
        <v>1986</v>
      </c>
      <c r="M283" s="25" t="s">
        <v>31</v>
      </c>
      <c r="N283" s="25" t="s">
        <v>31</v>
      </c>
      <c r="O283" s="25" t="s">
        <v>92</v>
      </c>
      <c r="P283" s="25" t="s">
        <v>83</v>
      </c>
      <c r="Q283" s="25" t="s">
        <v>82</v>
      </c>
      <c r="R283" s="25" t="s">
        <v>91</v>
      </c>
      <c r="S283" s="25" t="s">
        <v>101</v>
      </c>
      <c r="T283" s="25" t="s">
        <v>101</v>
      </c>
      <c r="U283" s="25" t="s">
        <v>112</v>
      </c>
      <c r="V283" s="25">
        <v>0</v>
      </c>
      <c r="W283" s="25" t="s">
        <v>245</v>
      </c>
      <c r="X283" s="25" t="s">
        <v>1752</v>
      </c>
      <c r="Y283" s="25" t="s">
        <v>1753</v>
      </c>
      <c r="Z283" s="26">
        <v>39426</v>
      </c>
      <c r="AA283" s="776">
        <v>74.8</v>
      </c>
      <c r="AB283" s="776">
        <v>0</v>
      </c>
      <c r="AC283" s="776">
        <v>0</v>
      </c>
      <c r="AD283" s="776">
        <v>0</v>
      </c>
      <c r="AE283" s="777">
        <v>7.5</v>
      </c>
      <c r="AF283" s="777">
        <v>7.5</v>
      </c>
      <c r="AG283" s="778">
        <v>12.704496633474218</v>
      </c>
    </row>
    <row r="284" spans="1:33" x14ac:dyDescent="0.2">
      <c r="A284" s="15">
        <f t="shared" si="32"/>
        <v>2008</v>
      </c>
      <c r="B284" s="14">
        <f t="shared" si="33"/>
        <v>9</v>
      </c>
      <c r="C284" s="13" t="str">
        <f t="shared" si="34"/>
        <v>Q3</v>
      </c>
      <c r="D284" s="13" t="str">
        <f t="shared" si="35"/>
        <v>2008Q3</v>
      </c>
      <c r="E284" s="13" t="str">
        <f t="shared" si="36"/>
        <v>Brazil</v>
      </c>
      <c r="F284" s="13" t="str">
        <f t="shared" si="38"/>
        <v>Small Hydro</v>
      </c>
      <c r="G284" s="13" t="str">
        <f t="shared" si="39"/>
        <v>Asset finance investments</v>
      </c>
      <c r="H284" s="638">
        <f t="shared" si="37"/>
        <v>7.3738843066087929</v>
      </c>
      <c r="I284" s="24" t="s">
        <v>87</v>
      </c>
      <c r="J284" s="25" t="s">
        <v>246</v>
      </c>
      <c r="K284" s="25" t="s">
        <v>322</v>
      </c>
      <c r="L284" s="25" t="s">
        <v>321</v>
      </c>
      <c r="M284" s="25" t="s">
        <v>31</v>
      </c>
      <c r="N284" s="25" t="s">
        <v>31</v>
      </c>
      <c r="O284" s="25" t="s">
        <v>92</v>
      </c>
      <c r="P284" s="25" t="s">
        <v>83</v>
      </c>
      <c r="Q284" s="25" t="s">
        <v>82</v>
      </c>
      <c r="R284" s="25" t="s">
        <v>91</v>
      </c>
      <c r="S284" s="25" t="s">
        <v>126</v>
      </c>
      <c r="T284" s="25" t="s">
        <v>125</v>
      </c>
      <c r="U284" s="25" t="s">
        <v>247</v>
      </c>
      <c r="V284" s="25">
        <v>0</v>
      </c>
      <c r="W284" s="25" t="s">
        <v>249</v>
      </c>
      <c r="X284" s="25" t="s">
        <v>1749</v>
      </c>
      <c r="Y284" s="25" t="s">
        <v>1750</v>
      </c>
      <c r="Z284" s="26">
        <v>39696</v>
      </c>
      <c r="AA284" s="776">
        <v>26</v>
      </c>
      <c r="AB284" s="776">
        <v>0</v>
      </c>
      <c r="AC284" s="776">
        <v>0</v>
      </c>
      <c r="AD284" s="776">
        <v>0</v>
      </c>
      <c r="AE284" s="777">
        <v>7.3</v>
      </c>
      <c r="AF284" s="777">
        <v>7.3</v>
      </c>
      <c r="AG284" s="778">
        <v>7.3738843066087929</v>
      </c>
    </row>
    <row r="285" spans="1:33" x14ac:dyDescent="0.2">
      <c r="A285" s="15">
        <f t="shared" si="32"/>
        <v>2006</v>
      </c>
      <c r="B285" s="14">
        <f t="shared" si="33"/>
        <v>7</v>
      </c>
      <c r="C285" s="13" t="str">
        <f t="shared" si="34"/>
        <v>Q3</v>
      </c>
      <c r="D285" s="13" t="str">
        <f t="shared" si="35"/>
        <v>2006Q3</v>
      </c>
      <c r="E285" s="13" t="str">
        <f t="shared" si="36"/>
        <v>Brazil</v>
      </c>
      <c r="F285" s="13" t="str">
        <f t="shared" si="38"/>
        <v>Biofuels</v>
      </c>
      <c r="G285" s="13" t="str">
        <f t="shared" si="39"/>
        <v>Asset finance investments</v>
      </c>
      <c r="H285" s="638">
        <f t="shared" si="37"/>
        <v>7.3</v>
      </c>
      <c r="I285" s="24" t="s">
        <v>87</v>
      </c>
      <c r="J285" s="25" t="s">
        <v>246</v>
      </c>
      <c r="K285" s="25" t="s">
        <v>1987</v>
      </c>
      <c r="L285" s="25" t="s">
        <v>1988</v>
      </c>
      <c r="M285" s="25" t="s">
        <v>31</v>
      </c>
      <c r="N285" s="25" t="s">
        <v>31</v>
      </c>
      <c r="O285" s="25" t="s">
        <v>92</v>
      </c>
      <c r="P285" s="25" t="s">
        <v>83</v>
      </c>
      <c r="Q285" s="25" t="s">
        <v>82</v>
      </c>
      <c r="R285" s="25" t="s">
        <v>91</v>
      </c>
      <c r="S285" s="25" t="s">
        <v>96</v>
      </c>
      <c r="T285" s="25" t="s">
        <v>96</v>
      </c>
      <c r="U285" s="25" t="s">
        <v>98</v>
      </c>
      <c r="V285" s="25" t="s">
        <v>230</v>
      </c>
      <c r="W285" s="25" t="s">
        <v>245</v>
      </c>
      <c r="X285" s="25" t="s">
        <v>1752</v>
      </c>
      <c r="Y285" s="25" t="s">
        <v>1753</v>
      </c>
      <c r="Z285" s="26">
        <v>38929</v>
      </c>
      <c r="AA285" s="776">
        <v>0</v>
      </c>
      <c r="AB285" s="776">
        <v>10</v>
      </c>
      <c r="AC285" s="776">
        <v>0</v>
      </c>
      <c r="AD285" s="776">
        <v>0</v>
      </c>
      <c r="AE285" s="777">
        <v>0</v>
      </c>
      <c r="AF285" s="777">
        <v>7.3</v>
      </c>
      <c r="AG285" s="778">
        <v>7.3</v>
      </c>
    </row>
    <row r="286" spans="1:33" x14ac:dyDescent="0.2">
      <c r="A286" s="15">
        <f t="shared" si="32"/>
        <v>2009</v>
      </c>
      <c r="B286" s="14">
        <f t="shared" si="33"/>
        <v>11</v>
      </c>
      <c r="C286" s="13" t="str">
        <f t="shared" si="34"/>
        <v>Q4</v>
      </c>
      <c r="D286" s="13" t="str">
        <f t="shared" si="35"/>
        <v>2009Q4</v>
      </c>
      <c r="E286" s="13" t="str">
        <f t="shared" si="36"/>
        <v>Chile</v>
      </c>
      <c r="F286" s="13" t="str">
        <f t="shared" si="38"/>
        <v>Biomass &amp; Waste</v>
      </c>
      <c r="G286" s="13" t="str">
        <f t="shared" si="39"/>
        <v>Asset finance investments</v>
      </c>
      <c r="H286" s="638">
        <f t="shared" si="37"/>
        <v>10.747512790511909</v>
      </c>
      <c r="I286" s="24" t="s">
        <v>87</v>
      </c>
      <c r="J286" s="25" t="s">
        <v>246</v>
      </c>
      <c r="K286" s="25" t="s">
        <v>381</v>
      </c>
      <c r="L286" s="25" t="s">
        <v>380</v>
      </c>
      <c r="M286" s="25" t="s">
        <v>8</v>
      </c>
      <c r="N286" s="25" t="s">
        <v>85</v>
      </c>
      <c r="O286" s="25" t="s">
        <v>92</v>
      </c>
      <c r="P286" s="25" t="s">
        <v>83</v>
      </c>
      <c r="Q286" s="25" t="s">
        <v>129</v>
      </c>
      <c r="R286" s="25"/>
      <c r="S286" s="25" t="s">
        <v>114</v>
      </c>
      <c r="T286" s="25" t="s">
        <v>114</v>
      </c>
      <c r="U286" s="25" t="s">
        <v>379</v>
      </c>
      <c r="V286" s="25" t="s">
        <v>347</v>
      </c>
      <c r="W286" s="25" t="s">
        <v>249</v>
      </c>
      <c r="X286" s="25" t="s">
        <v>1749</v>
      </c>
      <c r="Y286" s="25" t="s">
        <v>1750</v>
      </c>
      <c r="Z286" s="26">
        <v>40122</v>
      </c>
      <c r="AA286" s="776">
        <v>15.6</v>
      </c>
      <c r="AB286" s="776">
        <v>0</v>
      </c>
      <c r="AC286" s="776">
        <v>0</v>
      </c>
      <c r="AD286" s="776">
        <v>0</v>
      </c>
      <c r="AE286" s="777">
        <v>6.5</v>
      </c>
      <c r="AF286" s="777">
        <v>6.5</v>
      </c>
      <c r="AG286" s="778">
        <v>10.747512790511909</v>
      </c>
    </row>
    <row r="287" spans="1:33" x14ac:dyDescent="0.2">
      <c r="A287" s="15">
        <f t="shared" si="32"/>
        <v>2007</v>
      </c>
      <c r="B287" s="14">
        <f t="shared" si="33"/>
        <v>12</v>
      </c>
      <c r="C287" s="13" t="str">
        <f t="shared" si="34"/>
        <v>Q4</v>
      </c>
      <c r="D287" s="13" t="str">
        <f t="shared" si="35"/>
        <v>2007Q4</v>
      </c>
      <c r="E287" s="13" t="str">
        <f t="shared" si="36"/>
        <v>Peru</v>
      </c>
      <c r="F287" s="13" t="str">
        <f t="shared" si="38"/>
        <v>Biofuels</v>
      </c>
      <c r="G287" s="13" t="str">
        <f t="shared" si="39"/>
        <v>Asset finance investments</v>
      </c>
      <c r="H287" s="638">
        <f t="shared" si="37"/>
        <v>6.3790164421166011</v>
      </c>
      <c r="I287" s="24" t="s">
        <v>87</v>
      </c>
      <c r="J287" s="25" t="s">
        <v>246</v>
      </c>
      <c r="K287" s="25" t="s">
        <v>295</v>
      </c>
      <c r="L287" s="25" t="s">
        <v>294</v>
      </c>
      <c r="M287" s="25" t="s">
        <v>20</v>
      </c>
      <c r="N287" s="25" t="s">
        <v>85</v>
      </c>
      <c r="O287" s="25" t="s">
        <v>92</v>
      </c>
      <c r="P287" s="25" t="s">
        <v>83</v>
      </c>
      <c r="Q287" s="25" t="s">
        <v>82</v>
      </c>
      <c r="R287" s="25"/>
      <c r="S287" s="25" t="s">
        <v>96</v>
      </c>
      <c r="T287" s="25" t="s">
        <v>96</v>
      </c>
      <c r="U287" s="25" t="s">
        <v>95</v>
      </c>
      <c r="V287" s="25">
        <v>0</v>
      </c>
      <c r="W287" s="25" t="s">
        <v>245</v>
      </c>
      <c r="X287" s="25" t="s">
        <v>1752</v>
      </c>
      <c r="Y287" s="25" t="s">
        <v>1753</v>
      </c>
      <c r="Z287" s="26">
        <v>39447.480555555601</v>
      </c>
      <c r="AA287" s="776">
        <v>0</v>
      </c>
      <c r="AB287" s="776">
        <v>27.3</v>
      </c>
      <c r="AC287" s="776">
        <v>0</v>
      </c>
      <c r="AD287" s="776">
        <v>0</v>
      </c>
      <c r="AE287" s="777">
        <v>6.3</v>
      </c>
      <c r="AF287" s="777">
        <v>6.3</v>
      </c>
      <c r="AG287" s="778">
        <v>6.3790164421166011</v>
      </c>
    </row>
    <row r="288" spans="1:33" x14ac:dyDescent="0.2">
      <c r="A288" s="15">
        <f t="shared" si="32"/>
        <v>2008</v>
      </c>
      <c r="B288" s="14">
        <f t="shared" si="33"/>
        <v>9</v>
      </c>
      <c r="C288" s="13" t="str">
        <f t="shared" si="34"/>
        <v>Q3</v>
      </c>
      <c r="D288" s="13" t="str">
        <f t="shared" si="35"/>
        <v>2008Q3</v>
      </c>
      <c r="E288" s="13" t="str">
        <f t="shared" si="36"/>
        <v>Brazil</v>
      </c>
      <c r="F288" s="13" t="str">
        <f t="shared" si="38"/>
        <v>Small Hydro</v>
      </c>
      <c r="G288" s="13" t="str">
        <f t="shared" si="39"/>
        <v>Asset finance investments</v>
      </c>
      <c r="H288" s="638">
        <f t="shared" si="37"/>
        <v>6.3637631687171776</v>
      </c>
      <c r="I288" s="24" t="s">
        <v>87</v>
      </c>
      <c r="J288" s="25" t="s">
        <v>246</v>
      </c>
      <c r="K288" s="25" t="s">
        <v>320</v>
      </c>
      <c r="L288" s="25" t="s">
        <v>319</v>
      </c>
      <c r="M288" s="25" t="s">
        <v>31</v>
      </c>
      <c r="N288" s="25" t="s">
        <v>31</v>
      </c>
      <c r="O288" s="25" t="s">
        <v>92</v>
      </c>
      <c r="P288" s="25" t="s">
        <v>83</v>
      </c>
      <c r="Q288" s="25" t="s">
        <v>82</v>
      </c>
      <c r="R288" s="25" t="s">
        <v>91</v>
      </c>
      <c r="S288" s="25" t="s">
        <v>126</v>
      </c>
      <c r="T288" s="25" t="s">
        <v>125</v>
      </c>
      <c r="U288" s="25" t="s">
        <v>247</v>
      </c>
      <c r="V288" s="25">
        <v>0</v>
      </c>
      <c r="W288" s="25" t="s">
        <v>249</v>
      </c>
      <c r="X288" s="25" t="s">
        <v>1749</v>
      </c>
      <c r="Y288" s="25" t="s">
        <v>1750</v>
      </c>
      <c r="Z288" s="26">
        <v>39696</v>
      </c>
      <c r="AA288" s="776">
        <v>28</v>
      </c>
      <c r="AB288" s="776">
        <v>0</v>
      </c>
      <c r="AC288" s="776">
        <v>0</v>
      </c>
      <c r="AD288" s="776">
        <v>0</v>
      </c>
      <c r="AE288" s="777">
        <v>6.3</v>
      </c>
      <c r="AF288" s="777">
        <v>6.3</v>
      </c>
      <c r="AG288" s="778">
        <v>6.3637631687171776</v>
      </c>
    </row>
    <row r="289" spans="1:33" x14ac:dyDescent="0.2">
      <c r="A289" s="15">
        <f t="shared" si="32"/>
        <v>2010</v>
      </c>
      <c r="B289" s="14">
        <f t="shared" si="33"/>
        <v>9</v>
      </c>
      <c r="C289" s="13" t="str">
        <f t="shared" si="34"/>
        <v>Q3</v>
      </c>
      <c r="D289" s="13" t="str">
        <f t="shared" si="35"/>
        <v>2010Q3</v>
      </c>
      <c r="E289" s="13" t="str">
        <f t="shared" si="36"/>
        <v>Brazil</v>
      </c>
      <c r="F289" s="13" t="str">
        <f t="shared" si="38"/>
        <v>Biofuels</v>
      </c>
      <c r="G289" s="13" t="str">
        <f t="shared" si="39"/>
        <v>Asset finance investments</v>
      </c>
      <c r="H289" s="638">
        <f t="shared" si="37"/>
        <v>6.0845337998454694</v>
      </c>
      <c r="I289" s="24" t="s">
        <v>87</v>
      </c>
      <c r="J289" s="25" t="s">
        <v>246</v>
      </c>
      <c r="K289" s="25" t="s">
        <v>420</v>
      </c>
      <c r="L289" s="25" t="s">
        <v>419</v>
      </c>
      <c r="M289" s="25" t="s">
        <v>31</v>
      </c>
      <c r="N289" s="25" t="s">
        <v>31</v>
      </c>
      <c r="O289" s="25" t="s">
        <v>92</v>
      </c>
      <c r="P289" s="25" t="s">
        <v>83</v>
      </c>
      <c r="Q289" s="25" t="s">
        <v>82</v>
      </c>
      <c r="R289" s="25" t="s">
        <v>91</v>
      </c>
      <c r="S289" s="25" t="s">
        <v>96</v>
      </c>
      <c r="T289" s="25" t="s">
        <v>96</v>
      </c>
      <c r="U289" s="25" t="s">
        <v>98</v>
      </c>
      <c r="V289" s="25" t="s">
        <v>230</v>
      </c>
      <c r="W289" s="25" t="s">
        <v>245</v>
      </c>
      <c r="X289" s="25" t="s">
        <v>1752</v>
      </c>
      <c r="Y289" s="25" t="s">
        <v>1753</v>
      </c>
      <c r="Z289" s="26">
        <v>40438</v>
      </c>
      <c r="AA289" s="776">
        <v>7.7</v>
      </c>
      <c r="AB289" s="776">
        <v>38</v>
      </c>
      <c r="AC289" s="776">
        <v>0</v>
      </c>
      <c r="AD289" s="776">
        <v>0</v>
      </c>
      <c r="AE289" s="777">
        <v>0</v>
      </c>
      <c r="AF289" s="777">
        <v>6.08</v>
      </c>
      <c r="AG289" s="778">
        <v>6.0845337998454694</v>
      </c>
    </row>
    <row r="290" spans="1:33" x14ac:dyDescent="0.2">
      <c r="A290" s="15">
        <f t="shared" si="32"/>
        <v>2009</v>
      </c>
      <c r="B290" s="14">
        <f t="shared" si="33"/>
        <v>10</v>
      </c>
      <c r="C290" s="13" t="str">
        <f t="shared" si="34"/>
        <v>Q4</v>
      </c>
      <c r="D290" s="13" t="str">
        <f t="shared" si="35"/>
        <v>2009Q4</v>
      </c>
      <c r="E290" s="13" t="str">
        <f t="shared" si="36"/>
        <v>Brazil</v>
      </c>
      <c r="F290" s="13" t="str">
        <f t="shared" si="38"/>
        <v>Biofuels</v>
      </c>
      <c r="G290" s="13" t="str">
        <f t="shared" si="39"/>
        <v>Asset finance investments</v>
      </c>
      <c r="H290" s="638">
        <f t="shared" si="37"/>
        <v>5.90000317878558</v>
      </c>
      <c r="I290" s="24" t="s">
        <v>87</v>
      </c>
      <c r="J290" s="25" t="s">
        <v>246</v>
      </c>
      <c r="K290" s="25" t="s">
        <v>377</v>
      </c>
      <c r="L290" s="25" t="s">
        <v>376</v>
      </c>
      <c r="M290" s="25" t="s">
        <v>31</v>
      </c>
      <c r="N290" s="25" t="s">
        <v>31</v>
      </c>
      <c r="O290" s="25" t="s">
        <v>92</v>
      </c>
      <c r="P290" s="25" t="s">
        <v>83</v>
      </c>
      <c r="Q290" s="25" t="s">
        <v>82</v>
      </c>
      <c r="R290" s="25" t="s">
        <v>91</v>
      </c>
      <c r="S290" s="25" t="s">
        <v>96</v>
      </c>
      <c r="T290" s="25" t="s">
        <v>96</v>
      </c>
      <c r="U290" s="25" t="s">
        <v>98</v>
      </c>
      <c r="V290" s="25" t="s">
        <v>230</v>
      </c>
      <c r="W290" s="25" t="s">
        <v>249</v>
      </c>
      <c r="X290" s="25" t="s">
        <v>1749</v>
      </c>
      <c r="Y290" s="25" t="s">
        <v>1750</v>
      </c>
      <c r="Z290" s="26">
        <v>40101</v>
      </c>
      <c r="AA290" s="776">
        <v>70</v>
      </c>
      <c r="AB290" s="776">
        <v>170</v>
      </c>
      <c r="AC290" s="776">
        <v>0</v>
      </c>
      <c r="AD290" s="776">
        <v>0</v>
      </c>
      <c r="AE290" s="777">
        <v>5.9</v>
      </c>
      <c r="AF290" s="777">
        <v>5.9</v>
      </c>
      <c r="AG290" s="778">
        <v>5.90000317878558</v>
      </c>
    </row>
    <row r="291" spans="1:33" x14ac:dyDescent="0.2">
      <c r="A291" s="15">
        <f t="shared" si="32"/>
        <v>2007</v>
      </c>
      <c r="B291" s="14">
        <f t="shared" si="33"/>
        <v>12</v>
      </c>
      <c r="C291" s="13" t="str">
        <f t="shared" si="34"/>
        <v>Q4</v>
      </c>
      <c r="D291" s="13" t="str">
        <f t="shared" si="35"/>
        <v>2007Q4</v>
      </c>
      <c r="E291" s="13" t="str">
        <f t="shared" si="36"/>
        <v>Chile</v>
      </c>
      <c r="F291" s="13" t="str">
        <f t="shared" si="38"/>
        <v>Wind</v>
      </c>
      <c r="G291" s="13" t="str">
        <f t="shared" si="39"/>
        <v>Asset finance investments</v>
      </c>
      <c r="H291" s="638">
        <f t="shared" si="37"/>
        <v>6.1064827692646029</v>
      </c>
      <c r="I291" s="24" t="s">
        <v>87</v>
      </c>
      <c r="J291" s="25" t="s">
        <v>246</v>
      </c>
      <c r="K291" s="25" t="s">
        <v>298</v>
      </c>
      <c r="L291" s="25" t="s">
        <v>297</v>
      </c>
      <c r="M291" s="25" t="s">
        <v>8</v>
      </c>
      <c r="N291" s="25" t="s">
        <v>85</v>
      </c>
      <c r="O291" s="25" t="s">
        <v>92</v>
      </c>
      <c r="P291" s="25" t="s">
        <v>83</v>
      </c>
      <c r="Q291" s="25" t="s">
        <v>129</v>
      </c>
      <c r="R291" s="25"/>
      <c r="S291" s="25" t="s">
        <v>101</v>
      </c>
      <c r="T291" s="25" t="s">
        <v>101</v>
      </c>
      <c r="U291" s="25" t="s">
        <v>112</v>
      </c>
      <c r="V291" s="25">
        <v>0</v>
      </c>
      <c r="W291" s="25" t="s">
        <v>245</v>
      </c>
      <c r="X291" s="25" t="s">
        <v>1752</v>
      </c>
      <c r="Y291" s="25" t="s">
        <v>1753</v>
      </c>
      <c r="Z291" s="26">
        <v>39447</v>
      </c>
      <c r="AA291" s="776">
        <v>38</v>
      </c>
      <c r="AB291" s="776">
        <v>0</v>
      </c>
      <c r="AC291" s="776">
        <v>0</v>
      </c>
      <c r="AD291" s="776">
        <v>0</v>
      </c>
      <c r="AE291" s="777">
        <v>0</v>
      </c>
      <c r="AF291" s="777">
        <v>5.7</v>
      </c>
      <c r="AG291" s="778">
        <v>6.1064827692646029</v>
      </c>
    </row>
    <row r="292" spans="1:33" x14ac:dyDescent="0.2">
      <c r="A292" s="15">
        <f t="shared" si="32"/>
        <v>2010</v>
      </c>
      <c r="B292" s="14">
        <f t="shared" si="33"/>
        <v>2</v>
      </c>
      <c r="C292" s="13" t="str">
        <f t="shared" si="34"/>
        <v>Q1</v>
      </c>
      <c r="D292" s="13" t="str">
        <f t="shared" si="35"/>
        <v>2010Q1</v>
      </c>
      <c r="E292" s="13" t="str">
        <f t="shared" si="36"/>
        <v>Brazil</v>
      </c>
      <c r="F292" s="13" t="str">
        <f t="shared" si="38"/>
        <v>Biofuels</v>
      </c>
      <c r="G292" s="13" t="str">
        <f t="shared" si="39"/>
        <v>VC/PE investments</v>
      </c>
      <c r="H292" s="638">
        <f t="shared" si="37"/>
        <v>5.3039521610495042</v>
      </c>
      <c r="I292" s="24" t="s">
        <v>87</v>
      </c>
      <c r="J292" s="25" t="s">
        <v>216</v>
      </c>
      <c r="K292" s="25" t="s">
        <v>238</v>
      </c>
      <c r="L292" s="25" t="s">
        <v>1989</v>
      </c>
      <c r="M292" s="25" t="s">
        <v>31</v>
      </c>
      <c r="N292" s="25" t="s">
        <v>31</v>
      </c>
      <c r="O292" s="25" t="s">
        <v>92</v>
      </c>
      <c r="P292" s="25" t="s">
        <v>83</v>
      </c>
      <c r="Q292" s="25" t="s">
        <v>82</v>
      </c>
      <c r="R292" s="25" t="s">
        <v>91</v>
      </c>
      <c r="S292" s="25" t="s">
        <v>96</v>
      </c>
      <c r="T292" s="25" t="s">
        <v>96</v>
      </c>
      <c r="U292" s="25" t="s">
        <v>95</v>
      </c>
      <c r="V292" s="25" t="s">
        <v>237</v>
      </c>
      <c r="W292" s="25" t="s">
        <v>97</v>
      </c>
      <c r="X292" s="25" t="s">
        <v>213</v>
      </c>
      <c r="Y292" s="25" t="s">
        <v>212</v>
      </c>
      <c r="Z292" s="26">
        <v>40217</v>
      </c>
      <c r="AA292" s="776" t="s">
        <v>1748</v>
      </c>
      <c r="AB292" s="776" t="s">
        <v>1748</v>
      </c>
      <c r="AC292" s="776" t="s">
        <v>1748</v>
      </c>
      <c r="AD292" s="776" t="s">
        <v>1748</v>
      </c>
      <c r="AE292" s="777">
        <v>5.3</v>
      </c>
      <c r="AF292" s="777">
        <v>5.3</v>
      </c>
      <c r="AG292" s="778">
        <v>5.3039521610495042</v>
      </c>
    </row>
    <row r="293" spans="1:33" x14ac:dyDescent="0.2">
      <c r="A293" s="15">
        <f t="shared" si="32"/>
        <v>2007</v>
      </c>
      <c r="B293" s="14">
        <f t="shared" si="33"/>
        <v>12</v>
      </c>
      <c r="C293" s="13" t="str">
        <f t="shared" si="34"/>
        <v>Q4</v>
      </c>
      <c r="D293" s="13" t="str">
        <f t="shared" si="35"/>
        <v>2007Q4</v>
      </c>
      <c r="E293" s="13" t="str">
        <f t="shared" si="36"/>
        <v>Brazil</v>
      </c>
      <c r="F293" s="13" t="str">
        <f t="shared" si="38"/>
        <v>Wind</v>
      </c>
      <c r="G293" s="13" t="str">
        <f t="shared" si="39"/>
        <v>Asset finance investments</v>
      </c>
      <c r="H293" s="638">
        <f t="shared" si="37"/>
        <v>8.4696644223161446</v>
      </c>
      <c r="I293" s="24" t="s">
        <v>87</v>
      </c>
      <c r="J293" s="25" t="s">
        <v>246</v>
      </c>
      <c r="K293" s="25" t="s">
        <v>276</v>
      </c>
      <c r="L293" s="25" t="s">
        <v>1990</v>
      </c>
      <c r="M293" s="25" t="s">
        <v>31</v>
      </c>
      <c r="N293" s="25" t="s">
        <v>31</v>
      </c>
      <c r="O293" s="25" t="s">
        <v>92</v>
      </c>
      <c r="P293" s="25" t="s">
        <v>83</v>
      </c>
      <c r="Q293" s="25" t="s">
        <v>82</v>
      </c>
      <c r="R293" s="25" t="s">
        <v>91</v>
      </c>
      <c r="S293" s="25" t="s">
        <v>101</v>
      </c>
      <c r="T293" s="25" t="s">
        <v>101</v>
      </c>
      <c r="U293" s="25" t="s">
        <v>112</v>
      </c>
      <c r="V293" s="25">
        <v>0</v>
      </c>
      <c r="W293" s="25" t="s">
        <v>245</v>
      </c>
      <c r="X293" s="25" t="s">
        <v>1752</v>
      </c>
      <c r="Y293" s="25" t="s">
        <v>1753</v>
      </c>
      <c r="Z293" s="26">
        <v>39426</v>
      </c>
      <c r="AA293" s="776">
        <v>50.2</v>
      </c>
      <c r="AB293" s="776">
        <v>0</v>
      </c>
      <c r="AC293" s="776">
        <v>0</v>
      </c>
      <c r="AD293" s="776">
        <v>0</v>
      </c>
      <c r="AE293" s="777">
        <v>5</v>
      </c>
      <c r="AF293" s="777">
        <v>5</v>
      </c>
      <c r="AG293" s="778">
        <v>8.4696644223161446</v>
      </c>
    </row>
    <row r="294" spans="1:33" x14ac:dyDescent="0.2">
      <c r="A294" s="15">
        <f t="shared" si="32"/>
        <v>2007</v>
      </c>
      <c r="B294" s="14">
        <f t="shared" si="33"/>
        <v>12</v>
      </c>
      <c r="C294" s="13" t="str">
        <f t="shared" si="34"/>
        <v>Q4</v>
      </c>
      <c r="D294" s="13" t="str">
        <f t="shared" si="35"/>
        <v>2007Q4</v>
      </c>
      <c r="E294" s="13" t="str">
        <f t="shared" si="36"/>
        <v>Uruguay</v>
      </c>
      <c r="F294" s="13" t="str">
        <f t="shared" si="38"/>
        <v>Wind</v>
      </c>
      <c r="G294" s="13" t="str">
        <f t="shared" si="39"/>
        <v>Asset finance investments</v>
      </c>
      <c r="H294" s="638">
        <f t="shared" si="37"/>
        <v>5.3565638326882485</v>
      </c>
      <c r="I294" s="24" t="s">
        <v>87</v>
      </c>
      <c r="J294" s="25" t="s">
        <v>246</v>
      </c>
      <c r="K294" s="25" t="s">
        <v>275</v>
      </c>
      <c r="L294" s="25" t="s">
        <v>1991</v>
      </c>
      <c r="M294" s="25" t="s">
        <v>22</v>
      </c>
      <c r="N294" s="25" t="s">
        <v>85</v>
      </c>
      <c r="O294" s="25" t="s">
        <v>92</v>
      </c>
      <c r="P294" s="25" t="s">
        <v>83</v>
      </c>
      <c r="Q294" s="25" t="s">
        <v>82</v>
      </c>
      <c r="R294" s="25"/>
      <c r="S294" s="25" t="s">
        <v>101</v>
      </c>
      <c r="T294" s="25" t="s">
        <v>101</v>
      </c>
      <c r="U294" s="25" t="s">
        <v>112</v>
      </c>
      <c r="V294" s="25">
        <v>0</v>
      </c>
      <c r="W294" s="25" t="s">
        <v>245</v>
      </c>
      <c r="X294" s="25" t="s">
        <v>1752</v>
      </c>
      <c r="Y294" s="25" t="s">
        <v>1753</v>
      </c>
      <c r="Z294" s="26">
        <v>39426</v>
      </c>
      <c r="AA294" s="776">
        <v>50</v>
      </c>
      <c r="AB294" s="776">
        <v>0</v>
      </c>
      <c r="AC294" s="776">
        <v>0</v>
      </c>
      <c r="AD294" s="776">
        <v>0</v>
      </c>
      <c r="AE294" s="777">
        <v>5</v>
      </c>
      <c r="AF294" s="777">
        <v>5</v>
      </c>
      <c r="AG294" s="778">
        <v>5.3565638326882485</v>
      </c>
    </row>
    <row r="295" spans="1:33" x14ac:dyDescent="0.2">
      <c r="A295" s="15">
        <f t="shared" si="32"/>
        <v>2011</v>
      </c>
      <c r="B295" s="14">
        <f t="shared" si="33"/>
        <v>3</v>
      </c>
      <c r="C295" s="13" t="str">
        <f t="shared" si="34"/>
        <v>Q1</v>
      </c>
      <c r="D295" s="13" t="str">
        <f t="shared" si="35"/>
        <v>2011Q1</v>
      </c>
      <c r="E295" s="13" t="str">
        <f t="shared" si="36"/>
        <v>Brazil</v>
      </c>
      <c r="F295" s="13" t="str">
        <f t="shared" si="38"/>
        <v>Biofuels</v>
      </c>
      <c r="G295" s="13" t="str">
        <f t="shared" si="39"/>
        <v>Asset finance investments</v>
      </c>
      <c r="H295" s="638">
        <f t="shared" si="37"/>
        <v>5.0339283855120653</v>
      </c>
      <c r="I295" s="24" t="s">
        <v>87</v>
      </c>
      <c r="J295" s="25" t="s">
        <v>246</v>
      </c>
      <c r="K295" s="25" t="s">
        <v>1992</v>
      </c>
      <c r="L295" s="25" t="s">
        <v>1993</v>
      </c>
      <c r="M295" s="25" t="s">
        <v>31</v>
      </c>
      <c r="N295" s="25" t="s">
        <v>31</v>
      </c>
      <c r="O295" s="25" t="s">
        <v>92</v>
      </c>
      <c r="P295" s="25" t="s">
        <v>83</v>
      </c>
      <c r="Q295" s="25" t="s">
        <v>82</v>
      </c>
      <c r="R295" s="25" t="s">
        <v>91</v>
      </c>
      <c r="S295" s="25" t="s">
        <v>96</v>
      </c>
      <c r="T295" s="25" t="s">
        <v>96</v>
      </c>
      <c r="U295" s="25" t="s">
        <v>95</v>
      </c>
      <c r="V295" s="25" t="s">
        <v>223</v>
      </c>
      <c r="W295" s="25" t="s">
        <v>249</v>
      </c>
      <c r="X295" s="25" t="s">
        <v>1749</v>
      </c>
      <c r="Y295" s="25" t="s">
        <v>1750</v>
      </c>
      <c r="Z295" s="26">
        <v>40603</v>
      </c>
      <c r="AA295" s="776">
        <v>0</v>
      </c>
      <c r="AB295" s="776">
        <v>315</v>
      </c>
      <c r="AC295" s="776">
        <v>0</v>
      </c>
      <c r="AD295" s="776">
        <v>0</v>
      </c>
      <c r="AE295" s="777">
        <v>5</v>
      </c>
      <c r="AF295" s="777">
        <v>5</v>
      </c>
      <c r="AG295" s="778">
        <v>5.0339283855120653</v>
      </c>
    </row>
    <row r="296" spans="1:33" x14ac:dyDescent="0.2">
      <c r="A296" s="15">
        <f t="shared" si="32"/>
        <v>2010</v>
      </c>
      <c r="B296" s="14">
        <f t="shared" si="33"/>
        <v>11</v>
      </c>
      <c r="C296" s="13" t="str">
        <f t="shared" si="34"/>
        <v>Q4</v>
      </c>
      <c r="D296" s="13" t="str">
        <f t="shared" si="35"/>
        <v>2010Q4</v>
      </c>
      <c r="E296" s="13" t="str">
        <f t="shared" si="36"/>
        <v>Peru</v>
      </c>
      <c r="F296" s="13" t="str">
        <f t="shared" si="38"/>
        <v>Geothermal</v>
      </c>
      <c r="G296" s="13" t="str">
        <f t="shared" si="39"/>
        <v>Corporate finance investments</v>
      </c>
      <c r="H296" s="638">
        <f t="shared" si="37"/>
        <v>4.5033556084382589</v>
      </c>
      <c r="I296" s="24" t="s">
        <v>87</v>
      </c>
      <c r="J296" s="25" t="s">
        <v>86</v>
      </c>
      <c r="K296" s="25" t="s">
        <v>159</v>
      </c>
      <c r="L296" s="25" t="s">
        <v>158</v>
      </c>
      <c r="M296" s="25" t="s">
        <v>20</v>
      </c>
      <c r="N296" s="25" t="s">
        <v>85</v>
      </c>
      <c r="O296" s="25" t="s">
        <v>92</v>
      </c>
      <c r="P296" s="25" t="s">
        <v>83</v>
      </c>
      <c r="Q296" s="25" t="s">
        <v>82</v>
      </c>
      <c r="R296" s="25"/>
      <c r="S296" s="25" t="s">
        <v>157</v>
      </c>
      <c r="T296" s="25" t="s">
        <v>157</v>
      </c>
      <c r="U296" s="25" t="s">
        <v>156</v>
      </c>
      <c r="V296" s="25">
        <v>0</v>
      </c>
      <c r="W296" s="25" t="s">
        <v>94</v>
      </c>
      <c r="X296" s="25" t="s">
        <v>1747</v>
      </c>
      <c r="Y296" s="25" t="e">
        <v>#N/A</v>
      </c>
      <c r="Z296" s="26">
        <v>40490</v>
      </c>
      <c r="AA296" s="776" t="s">
        <v>1748</v>
      </c>
      <c r="AB296" s="776" t="s">
        <v>1748</v>
      </c>
      <c r="AC296" s="776" t="s">
        <v>1748</v>
      </c>
      <c r="AD296" s="776" t="s">
        <v>1748</v>
      </c>
      <c r="AE296" s="777">
        <v>4.5</v>
      </c>
      <c r="AF296" s="777">
        <v>4.5</v>
      </c>
      <c r="AG296" s="778">
        <v>4.5033556084382589</v>
      </c>
    </row>
    <row r="297" spans="1:33" x14ac:dyDescent="0.2">
      <c r="A297" s="15">
        <f t="shared" si="32"/>
        <v>2011</v>
      </c>
      <c r="B297" s="14">
        <f t="shared" si="33"/>
        <v>12</v>
      </c>
      <c r="C297" s="13" t="str">
        <f t="shared" si="34"/>
        <v>Q4</v>
      </c>
      <c r="D297" s="13" t="str">
        <f t="shared" si="35"/>
        <v>2011Q4</v>
      </c>
      <c r="E297" s="13" t="str">
        <f t="shared" si="36"/>
        <v>Chile</v>
      </c>
      <c r="F297" s="13" t="str">
        <f t="shared" si="38"/>
        <v>Wind</v>
      </c>
      <c r="G297" s="13" t="str">
        <f t="shared" si="39"/>
        <v>Asset finance investments</v>
      </c>
      <c r="H297" s="638">
        <f t="shared" si="37"/>
        <v>4.5305355469608593</v>
      </c>
      <c r="I297" s="24" t="s">
        <v>87</v>
      </c>
      <c r="J297" s="25" t="s">
        <v>246</v>
      </c>
      <c r="K297" s="25" t="s">
        <v>1994</v>
      </c>
      <c r="L297" s="25" t="s">
        <v>1995</v>
      </c>
      <c r="M297" s="25" t="s">
        <v>8</v>
      </c>
      <c r="N297" s="25" t="s">
        <v>85</v>
      </c>
      <c r="O297" s="25" t="s">
        <v>92</v>
      </c>
      <c r="P297" s="25" t="s">
        <v>83</v>
      </c>
      <c r="Q297" s="25" t="s">
        <v>129</v>
      </c>
      <c r="R297" s="25"/>
      <c r="S297" s="25" t="s">
        <v>101</v>
      </c>
      <c r="T297" s="25" t="s">
        <v>101</v>
      </c>
      <c r="U297" s="25" t="s">
        <v>112</v>
      </c>
      <c r="V297" s="25">
        <v>0</v>
      </c>
      <c r="W297" s="25" t="s">
        <v>245</v>
      </c>
      <c r="X297" s="25" t="s">
        <v>1752</v>
      </c>
      <c r="Y297" s="25" t="s">
        <v>1753</v>
      </c>
      <c r="Z297" s="26">
        <v>40908</v>
      </c>
      <c r="AA297" s="776">
        <v>101</v>
      </c>
      <c r="AB297" s="776">
        <v>0</v>
      </c>
      <c r="AC297" s="776">
        <v>0</v>
      </c>
      <c r="AD297" s="776">
        <v>0</v>
      </c>
      <c r="AE297" s="777">
        <v>4.5</v>
      </c>
      <c r="AF297" s="777">
        <v>4.5</v>
      </c>
      <c r="AG297" s="778">
        <v>4.5305355469608593</v>
      </c>
    </row>
    <row r="298" spans="1:33" x14ac:dyDescent="0.2">
      <c r="A298" s="15">
        <f t="shared" si="32"/>
        <v>2009</v>
      </c>
      <c r="B298" s="14">
        <f t="shared" si="33"/>
        <v>12</v>
      </c>
      <c r="C298" s="13" t="str">
        <f t="shared" si="34"/>
        <v>Q4</v>
      </c>
      <c r="D298" s="13" t="str">
        <f t="shared" si="35"/>
        <v>2009Q4</v>
      </c>
      <c r="E298" s="13" t="str">
        <f t="shared" si="36"/>
        <v>Brazil</v>
      </c>
      <c r="F298" s="13" t="str">
        <f t="shared" si="38"/>
        <v>Biofuels</v>
      </c>
      <c r="G298" s="13" t="str">
        <f t="shared" si="39"/>
        <v>Asset finance investments</v>
      </c>
      <c r="H298" s="638">
        <f t="shared" si="37"/>
        <v>4.3000023167420318</v>
      </c>
      <c r="I298" s="24" t="s">
        <v>87</v>
      </c>
      <c r="J298" s="25" t="s">
        <v>246</v>
      </c>
      <c r="K298" s="25" t="s">
        <v>373</v>
      </c>
      <c r="L298" s="25" t="s">
        <v>372</v>
      </c>
      <c r="M298" s="25" t="s">
        <v>31</v>
      </c>
      <c r="N298" s="25" t="s">
        <v>31</v>
      </c>
      <c r="O298" s="25" t="s">
        <v>92</v>
      </c>
      <c r="P298" s="25" t="s">
        <v>83</v>
      </c>
      <c r="Q298" s="25" t="s">
        <v>82</v>
      </c>
      <c r="R298" s="25" t="s">
        <v>91</v>
      </c>
      <c r="S298" s="25" t="s">
        <v>96</v>
      </c>
      <c r="T298" s="25" t="s">
        <v>96</v>
      </c>
      <c r="U298" s="25" t="s">
        <v>98</v>
      </c>
      <c r="V298" s="25" t="s">
        <v>230</v>
      </c>
      <c r="W298" s="25" t="s">
        <v>249</v>
      </c>
      <c r="X298" s="25" t="s">
        <v>1749</v>
      </c>
      <c r="Y298" s="25" t="s">
        <v>1750</v>
      </c>
      <c r="Z298" s="26">
        <v>40155</v>
      </c>
      <c r="AA298" s="776">
        <v>48</v>
      </c>
      <c r="AB298" s="776">
        <v>200</v>
      </c>
      <c r="AC298" s="776">
        <v>0</v>
      </c>
      <c r="AD298" s="776">
        <v>0</v>
      </c>
      <c r="AE298" s="777">
        <v>4.3</v>
      </c>
      <c r="AF298" s="777">
        <v>4.3</v>
      </c>
      <c r="AG298" s="778">
        <v>4.3000023167420318</v>
      </c>
    </row>
    <row r="299" spans="1:33" x14ac:dyDescent="0.2">
      <c r="A299" s="15">
        <f t="shared" si="32"/>
        <v>2007</v>
      </c>
      <c r="B299" s="14">
        <f t="shared" si="33"/>
        <v>8</v>
      </c>
      <c r="C299" s="13" t="str">
        <f t="shared" si="34"/>
        <v>Q3</v>
      </c>
      <c r="D299" s="13" t="str">
        <f t="shared" si="35"/>
        <v>2007Q3</v>
      </c>
      <c r="E299" s="13" t="str">
        <f t="shared" si="36"/>
        <v>Brazil</v>
      </c>
      <c r="F299" s="13" t="str">
        <f t="shared" si="38"/>
        <v>Wind</v>
      </c>
      <c r="G299" s="13" t="str">
        <f t="shared" si="39"/>
        <v>Asset finance investments</v>
      </c>
      <c r="H299" s="638">
        <f t="shared" si="37"/>
        <v>4.1573554290133048</v>
      </c>
      <c r="I299" s="24" t="s">
        <v>87</v>
      </c>
      <c r="J299" s="25" t="s">
        <v>246</v>
      </c>
      <c r="K299" s="25" t="s">
        <v>274</v>
      </c>
      <c r="L299" s="25" t="s">
        <v>273</v>
      </c>
      <c r="M299" s="25" t="s">
        <v>31</v>
      </c>
      <c r="N299" s="25" t="s">
        <v>31</v>
      </c>
      <c r="O299" s="25" t="s">
        <v>92</v>
      </c>
      <c r="P299" s="25" t="s">
        <v>83</v>
      </c>
      <c r="Q299" s="25" t="s">
        <v>82</v>
      </c>
      <c r="R299" s="25" t="s">
        <v>91</v>
      </c>
      <c r="S299" s="25" t="s">
        <v>101</v>
      </c>
      <c r="T299" s="25" t="s">
        <v>101</v>
      </c>
      <c r="U299" s="25" t="s">
        <v>112</v>
      </c>
      <c r="V299" s="25">
        <v>0</v>
      </c>
      <c r="W299" s="25" t="s">
        <v>245</v>
      </c>
      <c r="X299" s="25" t="s">
        <v>1752</v>
      </c>
      <c r="Y299" s="25" t="s">
        <v>1753</v>
      </c>
      <c r="Z299" s="26">
        <v>39309</v>
      </c>
      <c r="AA299" s="776">
        <v>18</v>
      </c>
      <c r="AB299" s="776">
        <v>0</v>
      </c>
      <c r="AC299" s="776">
        <v>0</v>
      </c>
      <c r="AD299" s="776">
        <v>0</v>
      </c>
      <c r="AE299" s="777">
        <v>3.8570000000000002</v>
      </c>
      <c r="AF299" s="777">
        <v>3.8570000000000002</v>
      </c>
      <c r="AG299" s="778">
        <v>4.1573554290133048</v>
      </c>
    </row>
    <row r="300" spans="1:33" x14ac:dyDescent="0.2">
      <c r="A300" s="15">
        <f t="shared" si="32"/>
        <v>2012</v>
      </c>
      <c r="B300" s="14">
        <f t="shared" si="33"/>
        <v>10</v>
      </c>
      <c r="C300" s="13" t="str">
        <f t="shared" si="34"/>
        <v>Q4</v>
      </c>
      <c r="D300" s="13" t="str">
        <f t="shared" si="35"/>
        <v>2012Q4</v>
      </c>
      <c r="E300" s="13" t="str">
        <f t="shared" si="36"/>
        <v>Brazil</v>
      </c>
      <c r="F300" s="13" t="str">
        <f t="shared" si="38"/>
        <v>Wind</v>
      </c>
      <c r="G300" s="13" t="str">
        <f t="shared" si="39"/>
        <v>Asset finance investments</v>
      </c>
      <c r="H300" s="638">
        <f t="shared" si="37"/>
        <v>4.8571666713462012</v>
      </c>
      <c r="I300" s="24" t="s">
        <v>87</v>
      </c>
      <c r="J300" s="25" t="s">
        <v>246</v>
      </c>
      <c r="K300" s="25" t="s">
        <v>1996</v>
      </c>
      <c r="L300" s="25" t="s">
        <v>1997</v>
      </c>
      <c r="M300" s="25" t="s">
        <v>31</v>
      </c>
      <c r="N300" s="25" t="s">
        <v>31</v>
      </c>
      <c r="O300" s="25" t="s">
        <v>92</v>
      </c>
      <c r="P300" s="25" t="s">
        <v>83</v>
      </c>
      <c r="Q300" s="25" t="s">
        <v>82</v>
      </c>
      <c r="R300" s="25" t="s">
        <v>91</v>
      </c>
      <c r="S300" s="25" t="s">
        <v>101</v>
      </c>
      <c r="T300" s="25" t="s">
        <v>101</v>
      </c>
      <c r="U300" s="25" t="s">
        <v>112</v>
      </c>
      <c r="V300" s="25">
        <v>0</v>
      </c>
      <c r="W300" s="25" t="s">
        <v>245</v>
      </c>
      <c r="X300" s="25" t="s">
        <v>1752</v>
      </c>
      <c r="Y300" s="25" t="s">
        <v>1753</v>
      </c>
      <c r="Z300" s="26">
        <v>41192</v>
      </c>
      <c r="AA300" s="776">
        <v>117.2</v>
      </c>
      <c r="AB300" s="776">
        <v>0</v>
      </c>
      <c r="AC300" s="776">
        <v>0</v>
      </c>
      <c r="AD300" s="776">
        <v>0</v>
      </c>
      <c r="AE300" s="777">
        <v>0</v>
      </c>
      <c r="AF300" s="777">
        <v>3.516</v>
      </c>
      <c r="AG300" s="778">
        <v>4.8571666713462012</v>
      </c>
    </row>
    <row r="301" spans="1:33" x14ac:dyDescent="0.2">
      <c r="A301" s="15">
        <f t="shared" si="32"/>
        <v>2012</v>
      </c>
      <c r="B301" s="14">
        <f t="shared" si="33"/>
        <v>9</v>
      </c>
      <c r="C301" s="13" t="str">
        <f t="shared" si="34"/>
        <v>Q3</v>
      </c>
      <c r="D301" s="13" t="str">
        <f t="shared" si="35"/>
        <v>2012Q3</v>
      </c>
      <c r="E301" s="13" t="str">
        <f t="shared" si="36"/>
        <v>Brazil</v>
      </c>
      <c r="F301" s="13" t="str">
        <f t="shared" si="38"/>
        <v>Solar</v>
      </c>
      <c r="G301" s="13" t="str">
        <f t="shared" si="39"/>
        <v>Asset finance investments</v>
      </c>
      <c r="H301" s="638">
        <f t="shared" si="37"/>
        <v>3.5675474550869226</v>
      </c>
      <c r="I301" s="24" t="s">
        <v>87</v>
      </c>
      <c r="J301" s="25" t="s">
        <v>246</v>
      </c>
      <c r="K301" s="25" t="s">
        <v>1998</v>
      </c>
      <c r="L301" s="25" t="s">
        <v>1999</v>
      </c>
      <c r="M301" s="25" t="s">
        <v>31</v>
      </c>
      <c r="N301" s="25" t="s">
        <v>31</v>
      </c>
      <c r="O301" s="25" t="s">
        <v>92</v>
      </c>
      <c r="P301" s="25" t="s">
        <v>83</v>
      </c>
      <c r="Q301" s="25" t="s">
        <v>82</v>
      </c>
      <c r="R301" s="25" t="s">
        <v>91</v>
      </c>
      <c r="S301" s="25" t="s">
        <v>80</v>
      </c>
      <c r="T301" s="25" t="s">
        <v>80</v>
      </c>
      <c r="U301" s="25" t="s">
        <v>181</v>
      </c>
      <c r="V301" s="25">
        <v>0</v>
      </c>
      <c r="W301" s="25" t="s">
        <v>245</v>
      </c>
      <c r="X301" s="25" t="s">
        <v>1752</v>
      </c>
      <c r="Y301" s="25" t="s">
        <v>1753</v>
      </c>
      <c r="Z301" s="26">
        <v>41177</v>
      </c>
      <c r="AA301" s="776">
        <v>1</v>
      </c>
      <c r="AB301" s="776">
        <v>0</v>
      </c>
      <c r="AC301" s="776">
        <v>0</v>
      </c>
      <c r="AD301" s="776">
        <v>0</v>
      </c>
      <c r="AE301" s="777">
        <v>3.5</v>
      </c>
      <c r="AF301" s="777">
        <v>3.5</v>
      </c>
      <c r="AG301" s="778">
        <v>3.5675474550869226</v>
      </c>
    </row>
    <row r="302" spans="1:33" x14ac:dyDescent="0.2">
      <c r="A302" s="15">
        <f t="shared" si="32"/>
        <v>2009</v>
      </c>
      <c r="B302" s="14">
        <f t="shared" si="33"/>
        <v>7</v>
      </c>
      <c r="C302" s="13" t="str">
        <f t="shared" si="34"/>
        <v>Q3</v>
      </c>
      <c r="D302" s="13" t="str">
        <f t="shared" si="35"/>
        <v>2009Q3</v>
      </c>
      <c r="E302" s="13" t="str">
        <f t="shared" si="36"/>
        <v>Brazil</v>
      </c>
      <c r="F302" s="13" t="str">
        <f t="shared" si="38"/>
        <v>Wind</v>
      </c>
      <c r="G302" s="13" t="str">
        <f t="shared" si="39"/>
        <v>Corporate finance investments</v>
      </c>
      <c r="H302" s="638">
        <f t="shared" si="37"/>
        <v>3.3000017779648152</v>
      </c>
      <c r="I302" s="24" t="s">
        <v>87</v>
      </c>
      <c r="J302" s="25" t="s">
        <v>86</v>
      </c>
      <c r="K302" s="25" t="s">
        <v>147</v>
      </c>
      <c r="L302" s="25" t="s">
        <v>146</v>
      </c>
      <c r="M302" s="25" t="s">
        <v>31</v>
      </c>
      <c r="N302" s="25" t="s">
        <v>31</v>
      </c>
      <c r="O302" s="25" t="s">
        <v>92</v>
      </c>
      <c r="P302" s="25" t="s">
        <v>83</v>
      </c>
      <c r="Q302" s="25" t="s">
        <v>82</v>
      </c>
      <c r="R302" s="25" t="s">
        <v>91</v>
      </c>
      <c r="S302" s="25" t="s">
        <v>101</v>
      </c>
      <c r="T302" s="25" t="s">
        <v>101</v>
      </c>
      <c r="U302" s="25">
        <v>0</v>
      </c>
      <c r="V302" s="25">
        <v>0</v>
      </c>
      <c r="W302" s="25" t="s">
        <v>94</v>
      </c>
      <c r="X302" s="25" t="s">
        <v>1747</v>
      </c>
      <c r="Y302" s="25" t="e">
        <v>#N/A</v>
      </c>
      <c r="Z302" s="26">
        <v>40025</v>
      </c>
      <c r="AA302" s="776" t="s">
        <v>1748</v>
      </c>
      <c r="AB302" s="776" t="s">
        <v>1748</v>
      </c>
      <c r="AC302" s="776" t="s">
        <v>1748</v>
      </c>
      <c r="AD302" s="776" t="s">
        <v>1748</v>
      </c>
      <c r="AE302" s="777">
        <v>3.3</v>
      </c>
      <c r="AF302" s="777">
        <v>3.3</v>
      </c>
      <c r="AG302" s="778">
        <v>3.3000017779648152</v>
      </c>
    </row>
    <row r="303" spans="1:33" x14ac:dyDescent="0.2">
      <c r="A303" s="15">
        <f t="shared" si="32"/>
        <v>2007</v>
      </c>
      <c r="B303" s="14">
        <f t="shared" si="33"/>
        <v>9</v>
      </c>
      <c r="C303" s="13" t="str">
        <f t="shared" si="34"/>
        <v>Q3</v>
      </c>
      <c r="D303" s="13" t="str">
        <f t="shared" si="35"/>
        <v>2007Q3</v>
      </c>
      <c r="E303" s="13" t="str">
        <f t="shared" si="36"/>
        <v>Guatemala</v>
      </c>
      <c r="F303" s="13" t="str">
        <f t="shared" si="38"/>
        <v>Biofuels</v>
      </c>
      <c r="G303" s="13" t="str">
        <f t="shared" si="39"/>
        <v>Corporate finance investments</v>
      </c>
      <c r="H303" s="638">
        <f t="shared" si="37"/>
        <v>3.4193214245298531</v>
      </c>
      <c r="I303" s="24" t="s">
        <v>87</v>
      </c>
      <c r="J303" s="25" t="s">
        <v>86</v>
      </c>
      <c r="K303" s="25" t="s">
        <v>111</v>
      </c>
      <c r="L303" s="25" t="s">
        <v>110</v>
      </c>
      <c r="M303" s="25" t="s">
        <v>13</v>
      </c>
      <c r="N303" s="25" t="s">
        <v>85</v>
      </c>
      <c r="O303" s="25" t="s">
        <v>92</v>
      </c>
      <c r="P303" s="25" t="s">
        <v>83</v>
      </c>
      <c r="Q303" s="25" t="s">
        <v>82</v>
      </c>
      <c r="R303" s="25"/>
      <c r="S303" s="25" t="s">
        <v>96</v>
      </c>
      <c r="T303" s="25" t="s">
        <v>96</v>
      </c>
      <c r="U303" s="25">
        <v>0</v>
      </c>
      <c r="V303" s="25">
        <v>0</v>
      </c>
      <c r="W303" s="25" t="s">
        <v>109</v>
      </c>
      <c r="X303" s="25" t="s">
        <v>1747</v>
      </c>
      <c r="Y303" s="25" t="e">
        <v>#N/A</v>
      </c>
      <c r="Z303" s="26">
        <v>39350</v>
      </c>
      <c r="AA303" s="776" t="s">
        <v>1748</v>
      </c>
      <c r="AB303" s="776" t="s">
        <v>1748</v>
      </c>
      <c r="AC303" s="776" t="s">
        <v>1748</v>
      </c>
      <c r="AD303" s="776" t="s">
        <v>1748</v>
      </c>
      <c r="AE303" s="777">
        <v>3.2</v>
      </c>
      <c r="AF303" s="777">
        <v>3.2</v>
      </c>
      <c r="AG303" s="778">
        <v>3.4193214245298531</v>
      </c>
    </row>
    <row r="304" spans="1:33" x14ac:dyDescent="0.2">
      <c r="A304" s="15">
        <f t="shared" si="32"/>
        <v>2009</v>
      </c>
      <c r="B304" s="14">
        <f t="shared" si="33"/>
        <v>12</v>
      </c>
      <c r="C304" s="13" t="str">
        <f t="shared" si="34"/>
        <v>Q4</v>
      </c>
      <c r="D304" s="13" t="str">
        <f t="shared" si="35"/>
        <v>2009Q4</v>
      </c>
      <c r="E304" s="13" t="str">
        <f t="shared" si="36"/>
        <v>Brazil</v>
      </c>
      <c r="F304" s="13" t="str">
        <f t="shared" si="38"/>
        <v>Biofuels</v>
      </c>
      <c r="G304" s="13" t="str">
        <f t="shared" si="39"/>
        <v>Asset finance investments</v>
      </c>
      <c r="H304" s="638">
        <f t="shared" si="37"/>
        <v>3.1000016702093731</v>
      </c>
      <c r="I304" s="24" t="s">
        <v>87</v>
      </c>
      <c r="J304" s="25" t="s">
        <v>246</v>
      </c>
      <c r="K304" s="25" t="s">
        <v>371</v>
      </c>
      <c r="L304" s="25" t="s">
        <v>370</v>
      </c>
      <c r="M304" s="25" t="s">
        <v>31</v>
      </c>
      <c r="N304" s="25" t="s">
        <v>31</v>
      </c>
      <c r="O304" s="25" t="s">
        <v>92</v>
      </c>
      <c r="P304" s="25" t="s">
        <v>83</v>
      </c>
      <c r="Q304" s="25" t="s">
        <v>82</v>
      </c>
      <c r="R304" s="25" t="s">
        <v>91</v>
      </c>
      <c r="S304" s="25" t="s">
        <v>96</v>
      </c>
      <c r="T304" s="25" t="s">
        <v>96</v>
      </c>
      <c r="U304" s="25" t="s">
        <v>98</v>
      </c>
      <c r="V304" s="25" t="s">
        <v>230</v>
      </c>
      <c r="W304" s="25" t="s">
        <v>249</v>
      </c>
      <c r="X304" s="25" t="s">
        <v>1749</v>
      </c>
      <c r="Y304" s="25" t="s">
        <v>1750</v>
      </c>
      <c r="Z304" s="26">
        <v>40148</v>
      </c>
      <c r="AA304" s="776">
        <v>51.5</v>
      </c>
      <c r="AB304" s="776">
        <v>150</v>
      </c>
      <c r="AC304" s="776">
        <v>0</v>
      </c>
      <c r="AD304" s="776">
        <v>0</v>
      </c>
      <c r="AE304" s="777">
        <v>3.1</v>
      </c>
      <c r="AF304" s="777">
        <v>3.1</v>
      </c>
      <c r="AG304" s="778">
        <v>3.1000016702093731</v>
      </c>
    </row>
    <row r="305" spans="1:33" x14ac:dyDescent="0.2">
      <c r="A305" s="15">
        <f t="shared" si="32"/>
        <v>2008</v>
      </c>
      <c r="B305" s="14">
        <f t="shared" si="33"/>
        <v>9</v>
      </c>
      <c r="C305" s="13" t="str">
        <f t="shared" si="34"/>
        <v>Q3</v>
      </c>
      <c r="D305" s="13" t="str">
        <f t="shared" si="35"/>
        <v>2008Q3</v>
      </c>
      <c r="E305" s="13" t="str">
        <f t="shared" si="36"/>
        <v>Brazil</v>
      </c>
      <c r="F305" s="13" t="str">
        <f t="shared" si="38"/>
        <v>Biofuels</v>
      </c>
      <c r="G305" s="13" t="str">
        <f t="shared" si="39"/>
        <v>Asset finance investments</v>
      </c>
      <c r="H305" s="638">
        <f t="shared" si="37"/>
        <v>3.0188479346942194</v>
      </c>
      <c r="I305" s="24" t="s">
        <v>87</v>
      </c>
      <c r="J305" s="25" t="s">
        <v>246</v>
      </c>
      <c r="K305" s="25" t="s">
        <v>318</v>
      </c>
      <c r="L305" s="25" t="s">
        <v>2000</v>
      </c>
      <c r="M305" s="25" t="s">
        <v>31</v>
      </c>
      <c r="N305" s="25" t="s">
        <v>31</v>
      </c>
      <c r="O305" s="25" t="s">
        <v>92</v>
      </c>
      <c r="P305" s="25" t="s">
        <v>83</v>
      </c>
      <c r="Q305" s="25" t="s">
        <v>82</v>
      </c>
      <c r="R305" s="25" t="s">
        <v>91</v>
      </c>
      <c r="S305" s="25" t="s">
        <v>96</v>
      </c>
      <c r="T305" s="25" t="s">
        <v>96</v>
      </c>
      <c r="U305" s="25" t="s">
        <v>98</v>
      </c>
      <c r="V305" s="25" t="s">
        <v>230</v>
      </c>
      <c r="W305" s="25" t="s">
        <v>245</v>
      </c>
      <c r="X305" s="25" t="s">
        <v>1752</v>
      </c>
      <c r="Y305" s="25" t="s">
        <v>1753</v>
      </c>
      <c r="Z305" s="26">
        <v>39714</v>
      </c>
      <c r="AA305" s="776">
        <v>1.2</v>
      </c>
      <c r="AB305" s="776">
        <v>26.4</v>
      </c>
      <c r="AC305" s="776">
        <v>0</v>
      </c>
      <c r="AD305" s="776">
        <v>0</v>
      </c>
      <c r="AE305" s="777">
        <v>0</v>
      </c>
      <c r="AF305" s="777">
        <v>3.01</v>
      </c>
      <c r="AG305" s="778">
        <v>3.0188479346942194</v>
      </c>
    </row>
    <row r="306" spans="1:33" x14ac:dyDescent="0.2">
      <c r="A306" s="15">
        <f t="shared" si="32"/>
        <v>2011</v>
      </c>
      <c r="B306" s="14">
        <f t="shared" si="33"/>
        <v>1</v>
      </c>
      <c r="C306" s="13" t="str">
        <f t="shared" si="34"/>
        <v>Q1</v>
      </c>
      <c r="D306" s="13" t="str">
        <f t="shared" si="35"/>
        <v>2011Q1</v>
      </c>
      <c r="E306" s="13" t="str">
        <f t="shared" si="36"/>
        <v>Honduras</v>
      </c>
      <c r="F306" s="13" t="str">
        <f t="shared" si="38"/>
        <v>Wind</v>
      </c>
      <c r="G306" s="13" t="str">
        <f t="shared" si="39"/>
        <v>Asset finance investments</v>
      </c>
      <c r="H306" s="638">
        <f t="shared" si="37"/>
        <v>3.0248133389246754</v>
      </c>
      <c r="I306" s="24" t="s">
        <v>87</v>
      </c>
      <c r="J306" s="25" t="s">
        <v>246</v>
      </c>
      <c r="K306" s="25" t="s">
        <v>464</v>
      </c>
      <c r="L306" s="25" t="s">
        <v>463</v>
      </c>
      <c r="M306" s="25" t="s">
        <v>16</v>
      </c>
      <c r="N306" s="25" t="s">
        <v>85</v>
      </c>
      <c r="O306" s="25" t="s">
        <v>92</v>
      </c>
      <c r="P306" s="25" t="s">
        <v>83</v>
      </c>
      <c r="Q306" s="25" t="s">
        <v>82</v>
      </c>
      <c r="R306" s="25"/>
      <c r="S306" s="25" t="s">
        <v>101</v>
      </c>
      <c r="T306" s="25" t="s">
        <v>101</v>
      </c>
      <c r="U306" s="25" t="s">
        <v>112</v>
      </c>
      <c r="V306" s="25">
        <v>0</v>
      </c>
      <c r="W306" s="25" t="s">
        <v>245</v>
      </c>
      <c r="X306" s="25" t="s">
        <v>1752</v>
      </c>
      <c r="Y306" s="25" t="s">
        <v>1753</v>
      </c>
      <c r="Z306" s="26">
        <v>40563</v>
      </c>
      <c r="AA306" s="776">
        <v>100</v>
      </c>
      <c r="AB306" s="776">
        <v>0</v>
      </c>
      <c r="AC306" s="776">
        <v>0</v>
      </c>
      <c r="AD306" s="776">
        <v>0</v>
      </c>
      <c r="AE306" s="777">
        <v>0</v>
      </c>
      <c r="AF306" s="777">
        <v>3</v>
      </c>
      <c r="AG306" s="778">
        <v>3.0248133389246754</v>
      </c>
    </row>
    <row r="307" spans="1:33" x14ac:dyDescent="0.2">
      <c r="A307" s="15">
        <f t="shared" si="32"/>
        <v>2006</v>
      </c>
      <c r="B307" s="14">
        <f t="shared" si="33"/>
        <v>6</v>
      </c>
      <c r="C307" s="13" t="str">
        <f t="shared" si="34"/>
        <v>Q2</v>
      </c>
      <c r="D307" s="13" t="str">
        <f t="shared" si="35"/>
        <v>2006Q2</v>
      </c>
      <c r="E307" s="13" t="str">
        <f t="shared" si="36"/>
        <v>Guatemala</v>
      </c>
      <c r="F307" s="13" t="str">
        <f t="shared" si="38"/>
        <v>Geothermal</v>
      </c>
      <c r="G307" s="13" t="str">
        <f t="shared" si="39"/>
        <v>Asset finance investments</v>
      </c>
      <c r="H307" s="638">
        <f t="shared" si="37"/>
        <v>2.8809999999999998</v>
      </c>
      <c r="I307" s="24" t="s">
        <v>87</v>
      </c>
      <c r="J307" s="25" t="s">
        <v>246</v>
      </c>
      <c r="K307" s="25" t="s">
        <v>254</v>
      </c>
      <c r="L307" s="25" t="s">
        <v>253</v>
      </c>
      <c r="M307" s="25" t="s">
        <v>13</v>
      </c>
      <c r="N307" s="25" t="s">
        <v>85</v>
      </c>
      <c r="O307" s="25" t="s">
        <v>92</v>
      </c>
      <c r="P307" s="25" t="s">
        <v>83</v>
      </c>
      <c r="Q307" s="25" t="s">
        <v>82</v>
      </c>
      <c r="R307" s="25"/>
      <c r="S307" s="25" t="s">
        <v>157</v>
      </c>
      <c r="T307" s="25" t="s">
        <v>157</v>
      </c>
      <c r="U307" s="25" t="s">
        <v>156</v>
      </c>
      <c r="V307" s="25" t="s">
        <v>252</v>
      </c>
      <c r="W307" s="25" t="s">
        <v>245</v>
      </c>
      <c r="X307" s="25" t="s">
        <v>1752</v>
      </c>
      <c r="Y307" s="25" t="s">
        <v>1753</v>
      </c>
      <c r="Z307" s="26">
        <v>38894</v>
      </c>
      <c r="AA307" s="776">
        <v>24</v>
      </c>
      <c r="AB307" s="776">
        <v>0</v>
      </c>
      <c r="AC307" s="776">
        <v>0</v>
      </c>
      <c r="AD307" s="776">
        <v>0</v>
      </c>
      <c r="AE307" s="777">
        <v>2.8</v>
      </c>
      <c r="AF307" s="777">
        <v>2.8</v>
      </c>
      <c r="AG307" s="778">
        <v>2.8809999999999998</v>
      </c>
    </row>
    <row r="308" spans="1:33" x14ac:dyDescent="0.2">
      <c r="A308" s="15">
        <f t="shared" si="32"/>
        <v>2006</v>
      </c>
      <c r="B308" s="14">
        <f t="shared" si="33"/>
        <v>6</v>
      </c>
      <c r="C308" s="13" t="str">
        <f t="shared" si="34"/>
        <v>Q2</v>
      </c>
      <c r="D308" s="13" t="str">
        <f t="shared" si="35"/>
        <v>2006Q2</v>
      </c>
      <c r="E308" s="13" t="str">
        <f t="shared" si="36"/>
        <v>Brazil</v>
      </c>
      <c r="F308" s="13" t="str">
        <f t="shared" si="38"/>
        <v>Biofuels</v>
      </c>
      <c r="G308" s="13" t="str">
        <f t="shared" si="39"/>
        <v>Asset finance investments</v>
      </c>
      <c r="H308" s="638">
        <f t="shared" si="37"/>
        <v>2</v>
      </c>
      <c r="I308" s="24" t="s">
        <v>87</v>
      </c>
      <c r="J308" s="25" t="s">
        <v>246</v>
      </c>
      <c r="K308" s="25" t="s">
        <v>251</v>
      </c>
      <c r="L308" s="25" t="s">
        <v>2001</v>
      </c>
      <c r="M308" s="25" t="s">
        <v>31</v>
      </c>
      <c r="N308" s="25" t="s">
        <v>31</v>
      </c>
      <c r="O308" s="25" t="s">
        <v>92</v>
      </c>
      <c r="P308" s="25" t="s">
        <v>83</v>
      </c>
      <c r="Q308" s="25" t="s">
        <v>82</v>
      </c>
      <c r="R308" s="25" t="s">
        <v>91</v>
      </c>
      <c r="S308" s="25" t="s">
        <v>96</v>
      </c>
      <c r="T308" s="25" t="s">
        <v>96</v>
      </c>
      <c r="U308" s="25" t="s">
        <v>95</v>
      </c>
      <c r="V308" s="25" t="s">
        <v>223</v>
      </c>
      <c r="W308" s="25" t="s">
        <v>249</v>
      </c>
      <c r="X308" s="25" t="s">
        <v>1752</v>
      </c>
      <c r="Y308" s="25" t="s">
        <v>1753</v>
      </c>
      <c r="Z308" s="26">
        <v>38888</v>
      </c>
      <c r="AA308" s="776">
        <v>0</v>
      </c>
      <c r="AB308" s="776">
        <v>30</v>
      </c>
      <c r="AC308" s="776">
        <v>0</v>
      </c>
      <c r="AD308" s="776">
        <v>0</v>
      </c>
      <c r="AE308" s="777">
        <v>2</v>
      </c>
      <c r="AF308" s="777">
        <v>2</v>
      </c>
      <c r="AG308" s="778">
        <v>2</v>
      </c>
    </row>
    <row r="309" spans="1:33" x14ac:dyDescent="0.2">
      <c r="A309" s="15">
        <f t="shared" si="32"/>
        <v>2011</v>
      </c>
      <c r="B309" s="14">
        <f t="shared" si="33"/>
        <v>9</v>
      </c>
      <c r="C309" s="13" t="str">
        <f t="shared" si="34"/>
        <v>Q3</v>
      </c>
      <c r="D309" s="13" t="str">
        <f t="shared" si="35"/>
        <v>2011Q3</v>
      </c>
      <c r="E309" s="13" t="str">
        <f t="shared" si="36"/>
        <v>Brazil</v>
      </c>
      <c r="F309" s="13" t="str">
        <f t="shared" si="38"/>
        <v>Wind</v>
      </c>
      <c r="G309" s="13" t="str">
        <f t="shared" si="39"/>
        <v>Asset finance investments</v>
      </c>
      <c r="H309" s="638">
        <f t="shared" si="37"/>
        <v>1.8122142187843435</v>
      </c>
      <c r="I309" s="24" t="s">
        <v>87</v>
      </c>
      <c r="J309" s="25" t="s">
        <v>246</v>
      </c>
      <c r="K309" s="25" t="s">
        <v>462</v>
      </c>
      <c r="L309" s="25" t="s">
        <v>461</v>
      </c>
      <c r="M309" s="25" t="s">
        <v>31</v>
      </c>
      <c r="N309" s="25" t="s">
        <v>31</v>
      </c>
      <c r="O309" s="25" t="s">
        <v>92</v>
      </c>
      <c r="P309" s="25" t="s">
        <v>83</v>
      </c>
      <c r="Q309" s="25" t="s">
        <v>82</v>
      </c>
      <c r="R309" s="25" t="s">
        <v>91</v>
      </c>
      <c r="S309" s="25" t="s">
        <v>101</v>
      </c>
      <c r="T309" s="25" t="s">
        <v>101</v>
      </c>
      <c r="U309" s="25" t="s">
        <v>112</v>
      </c>
      <c r="V309" s="25">
        <v>0</v>
      </c>
      <c r="W309" s="25" t="s">
        <v>245</v>
      </c>
      <c r="X309" s="25" t="s">
        <v>1752</v>
      </c>
      <c r="Y309" s="25" t="s">
        <v>1753</v>
      </c>
      <c r="Z309" s="26">
        <v>40800</v>
      </c>
      <c r="AA309" s="776">
        <v>73.599999999999994</v>
      </c>
      <c r="AB309" s="776">
        <v>0</v>
      </c>
      <c r="AC309" s="776">
        <v>0</v>
      </c>
      <c r="AD309" s="776">
        <v>0</v>
      </c>
      <c r="AE309" s="777">
        <v>0</v>
      </c>
      <c r="AF309" s="777">
        <v>1.8</v>
      </c>
      <c r="AG309" s="778">
        <v>1.8122142187843435</v>
      </c>
    </row>
    <row r="310" spans="1:33" x14ac:dyDescent="0.2">
      <c r="A310" s="15">
        <f t="shared" si="32"/>
        <v>2010</v>
      </c>
      <c r="B310" s="14">
        <f t="shared" si="33"/>
        <v>9</v>
      </c>
      <c r="C310" s="13" t="str">
        <f t="shared" si="34"/>
        <v>Q3</v>
      </c>
      <c r="D310" s="13" t="str">
        <f t="shared" si="35"/>
        <v>2010Q3</v>
      </c>
      <c r="E310" s="13" t="str">
        <f t="shared" si="36"/>
        <v>Mexico</v>
      </c>
      <c r="F310" s="13" t="str">
        <f t="shared" si="38"/>
        <v>Small Hydro</v>
      </c>
      <c r="G310" s="13" t="str">
        <f t="shared" si="39"/>
        <v>Asset finance investments</v>
      </c>
      <c r="H310" s="638">
        <f t="shared" si="37"/>
        <v>1.6011931052224921</v>
      </c>
      <c r="I310" s="24" t="s">
        <v>87</v>
      </c>
      <c r="J310" s="25" t="s">
        <v>246</v>
      </c>
      <c r="K310" s="25" t="s">
        <v>2002</v>
      </c>
      <c r="L310" s="25" t="s">
        <v>2003</v>
      </c>
      <c r="M310" s="25" t="s">
        <v>18</v>
      </c>
      <c r="N310" s="25" t="s">
        <v>85</v>
      </c>
      <c r="O310" s="25" t="s">
        <v>92</v>
      </c>
      <c r="P310" s="25" t="s">
        <v>83</v>
      </c>
      <c r="Q310" s="25" t="s">
        <v>129</v>
      </c>
      <c r="R310" s="25"/>
      <c r="S310" s="25" t="s">
        <v>126</v>
      </c>
      <c r="T310" s="25" t="s">
        <v>125</v>
      </c>
      <c r="U310" s="25" t="s">
        <v>247</v>
      </c>
      <c r="V310" s="25">
        <v>0</v>
      </c>
      <c r="W310" s="25" t="s">
        <v>249</v>
      </c>
      <c r="X310" s="25" t="s">
        <v>1749</v>
      </c>
      <c r="Y310" s="25" t="s">
        <v>1750</v>
      </c>
      <c r="Z310" s="26">
        <v>40431</v>
      </c>
      <c r="AA310" s="776">
        <v>1.2</v>
      </c>
      <c r="AB310" s="776">
        <v>0</v>
      </c>
      <c r="AC310" s="776">
        <v>0</v>
      </c>
      <c r="AD310" s="776">
        <v>0</v>
      </c>
      <c r="AE310" s="777">
        <v>1.6</v>
      </c>
      <c r="AF310" s="777">
        <v>1.6</v>
      </c>
      <c r="AG310" s="778">
        <v>1.6011931052224921</v>
      </c>
    </row>
    <row r="311" spans="1:33" x14ac:dyDescent="0.2">
      <c r="A311" s="15">
        <f t="shared" si="32"/>
        <v>2012</v>
      </c>
      <c r="B311" s="14">
        <f t="shared" si="33"/>
        <v>5</v>
      </c>
      <c r="C311" s="13" t="str">
        <f t="shared" si="34"/>
        <v>Q2</v>
      </c>
      <c r="D311" s="13" t="str">
        <f t="shared" si="35"/>
        <v>2012Q2</v>
      </c>
      <c r="E311" s="13" t="str">
        <f t="shared" si="36"/>
        <v>Brazil</v>
      </c>
      <c r="F311" s="13" t="str">
        <f t="shared" si="38"/>
        <v>Biofuels</v>
      </c>
      <c r="G311" s="13" t="str">
        <f t="shared" si="39"/>
        <v>Asset finance investments</v>
      </c>
      <c r="H311" s="638">
        <f t="shared" si="37"/>
        <v>1.6204443063436196</v>
      </c>
      <c r="I311" s="24" t="s">
        <v>87</v>
      </c>
      <c r="J311" s="25" t="s">
        <v>246</v>
      </c>
      <c r="K311" s="25" t="s">
        <v>2004</v>
      </c>
      <c r="L311" s="25" t="s">
        <v>2005</v>
      </c>
      <c r="M311" s="25" t="s">
        <v>31</v>
      </c>
      <c r="N311" s="25" t="s">
        <v>31</v>
      </c>
      <c r="O311" s="25" t="s">
        <v>92</v>
      </c>
      <c r="P311" s="25" t="s">
        <v>83</v>
      </c>
      <c r="Q311" s="25" t="s">
        <v>82</v>
      </c>
      <c r="R311" s="25" t="s">
        <v>91</v>
      </c>
      <c r="S311" s="25" t="s">
        <v>96</v>
      </c>
      <c r="T311" s="25" t="s">
        <v>96</v>
      </c>
      <c r="U311" s="25" t="s">
        <v>98</v>
      </c>
      <c r="V311" s="25" t="s">
        <v>230</v>
      </c>
      <c r="W311" s="25" t="s">
        <v>245</v>
      </c>
      <c r="X311" s="25" t="s">
        <v>1752</v>
      </c>
      <c r="Y311" s="25" t="s">
        <v>1753</v>
      </c>
      <c r="Z311" s="26">
        <v>41037</v>
      </c>
      <c r="AA311" s="776">
        <v>56</v>
      </c>
      <c r="AB311" s="776">
        <v>153</v>
      </c>
      <c r="AC311" s="776">
        <v>0</v>
      </c>
      <c r="AD311" s="776">
        <v>0</v>
      </c>
      <c r="AE311" s="777">
        <v>0</v>
      </c>
      <c r="AF311" s="777">
        <v>1.59</v>
      </c>
      <c r="AG311" s="778">
        <v>1.6204443063436196</v>
      </c>
    </row>
    <row r="312" spans="1:33" x14ac:dyDescent="0.2">
      <c r="A312" s="15">
        <f t="shared" si="32"/>
        <v>2011</v>
      </c>
      <c r="B312" s="14">
        <f t="shared" si="33"/>
        <v>11</v>
      </c>
      <c r="C312" s="13" t="str">
        <f t="shared" si="34"/>
        <v>Q4</v>
      </c>
      <c r="D312" s="13" t="str">
        <f t="shared" si="35"/>
        <v>2011Q4</v>
      </c>
      <c r="E312" s="13" t="str">
        <f t="shared" si="36"/>
        <v>Brazil</v>
      </c>
      <c r="F312" s="13" t="str">
        <f t="shared" si="38"/>
        <v>Biofuels</v>
      </c>
      <c r="G312" s="13" t="str">
        <f t="shared" si="39"/>
        <v>Asset finance investments</v>
      </c>
      <c r="H312" s="638">
        <f t="shared" si="37"/>
        <v>1.4094999479433783</v>
      </c>
      <c r="I312" s="24" t="s">
        <v>87</v>
      </c>
      <c r="J312" s="25" t="s">
        <v>246</v>
      </c>
      <c r="K312" s="25" t="s">
        <v>2006</v>
      </c>
      <c r="L312" s="25" t="s">
        <v>2007</v>
      </c>
      <c r="M312" s="25" t="s">
        <v>31</v>
      </c>
      <c r="N312" s="25" t="s">
        <v>31</v>
      </c>
      <c r="O312" s="25" t="s">
        <v>92</v>
      </c>
      <c r="P312" s="25" t="s">
        <v>83</v>
      </c>
      <c r="Q312" s="25" t="s">
        <v>82</v>
      </c>
      <c r="R312" s="25" t="s">
        <v>91</v>
      </c>
      <c r="S312" s="25" t="s">
        <v>96</v>
      </c>
      <c r="T312" s="25" t="s">
        <v>96</v>
      </c>
      <c r="U312" s="25" t="s">
        <v>98</v>
      </c>
      <c r="V312" s="25" t="s">
        <v>230</v>
      </c>
      <c r="W312" s="25" t="s">
        <v>245</v>
      </c>
      <c r="X312" s="25" t="s">
        <v>1752</v>
      </c>
      <c r="Y312" s="25" t="s">
        <v>1753</v>
      </c>
      <c r="Z312" s="26">
        <v>40877</v>
      </c>
      <c r="AA312" s="776">
        <v>25</v>
      </c>
      <c r="AB312" s="776">
        <v>100</v>
      </c>
      <c r="AC312" s="776">
        <v>0</v>
      </c>
      <c r="AD312" s="776">
        <v>0</v>
      </c>
      <c r="AE312" s="777">
        <v>1.4</v>
      </c>
      <c r="AF312" s="777">
        <v>1.4</v>
      </c>
      <c r="AG312" s="778">
        <v>1.4094999479433783</v>
      </c>
    </row>
    <row r="313" spans="1:33" x14ac:dyDescent="0.2">
      <c r="A313" s="15">
        <f t="shared" si="32"/>
        <v>2009</v>
      </c>
      <c r="B313" s="14">
        <f t="shared" si="33"/>
        <v>11</v>
      </c>
      <c r="C313" s="13" t="str">
        <f t="shared" si="34"/>
        <v>Q4</v>
      </c>
      <c r="D313" s="13" t="str">
        <f t="shared" si="35"/>
        <v>2009Q4</v>
      </c>
      <c r="E313" s="13" t="str">
        <f t="shared" si="36"/>
        <v>Brazil</v>
      </c>
      <c r="F313" s="13" t="str">
        <f t="shared" si="38"/>
        <v>Biofuels</v>
      </c>
      <c r="G313" s="13" t="str">
        <f t="shared" si="39"/>
        <v>Asset finance investments</v>
      </c>
      <c r="H313" s="638">
        <f t="shared" si="37"/>
        <v>1.300000700410382</v>
      </c>
      <c r="I313" s="24" t="s">
        <v>87</v>
      </c>
      <c r="J313" s="25" t="s">
        <v>246</v>
      </c>
      <c r="K313" s="25" t="s">
        <v>369</v>
      </c>
      <c r="L313" s="25" t="s">
        <v>368</v>
      </c>
      <c r="M313" s="25" t="s">
        <v>31</v>
      </c>
      <c r="N313" s="25" t="s">
        <v>31</v>
      </c>
      <c r="O313" s="25" t="s">
        <v>92</v>
      </c>
      <c r="P313" s="25" t="s">
        <v>83</v>
      </c>
      <c r="Q313" s="25" t="s">
        <v>82</v>
      </c>
      <c r="R313" s="25" t="s">
        <v>91</v>
      </c>
      <c r="S313" s="25" t="s">
        <v>96</v>
      </c>
      <c r="T313" s="25" t="s">
        <v>96</v>
      </c>
      <c r="U313" s="25" t="s">
        <v>98</v>
      </c>
      <c r="V313" s="25" t="s">
        <v>230</v>
      </c>
      <c r="W313" s="25" t="s">
        <v>249</v>
      </c>
      <c r="X313" s="25" t="s">
        <v>1749</v>
      </c>
      <c r="Y313" s="25" t="s">
        <v>1750</v>
      </c>
      <c r="Z313" s="26">
        <v>40134</v>
      </c>
      <c r="AA313" s="776">
        <v>0</v>
      </c>
      <c r="AB313" s="776">
        <v>72</v>
      </c>
      <c r="AC313" s="776">
        <v>0</v>
      </c>
      <c r="AD313" s="776">
        <v>0</v>
      </c>
      <c r="AE313" s="777">
        <v>1.3</v>
      </c>
      <c r="AF313" s="777">
        <v>1.3</v>
      </c>
      <c r="AG313" s="778">
        <v>1.300000700410382</v>
      </c>
    </row>
    <row r="314" spans="1:33" x14ac:dyDescent="0.2">
      <c r="A314" s="15">
        <f t="shared" si="32"/>
        <v>2010</v>
      </c>
      <c r="B314" s="14">
        <f t="shared" si="33"/>
        <v>5</v>
      </c>
      <c r="C314" s="13" t="str">
        <f t="shared" si="34"/>
        <v>Q2</v>
      </c>
      <c r="D314" s="13" t="str">
        <f t="shared" si="35"/>
        <v>2010Q2</v>
      </c>
      <c r="E314" s="13" t="str">
        <f t="shared" si="36"/>
        <v>Honduras</v>
      </c>
      <c r="F314" s="13" t="str">
        <f t="shared" si="38"/>
        <v>Small Hydro</v>
      </c>
      <c r="G314" s="13" t="str">
        <f t="shared" si="39"/>
        <v>Asset finance investments</v>
      </c>
      <c r="H314" s="638">
        <f t="shared" si="37"/>
        <v>0.90067112168765173</v>
      </c>
      <c r="I314" s="24" t="s">
        <v>87</v>
      </c>
      <c r="J314" s="25" t="s">
        <v>246</v>
      </c>
      <c r="K314" s="25" t="s">
        <v>418</v>
      </c>
      <c r="L314" s="25" t="s">
        <v>417</v>
      </c>
      <c r="M314" s="25" t="s">
        <v>16</v>
      </c>
      <c r="N314" s="25" t="s">
        <v>85</v>
      </c>
      <c r="O314" s="25" t="s">
        <v>92</v>
      </c>
      <c r="P314" s="25" t="s">
        <v>83</v>
      </c>
      <c r="Q314" s="25" t="s">
        <v>82</v>
      </c>
      <c r="R314" s="25"/>
      <c r="S314" s="25" t="s">
        <v>126</v>
      </c>
      <c r="T314" s="25" t="s">
        <v>125</v>
      </c>
      <c r="U314" s="25" t="s">
        <v>247</v>
      </c>
      <c r="V314" s="25">
        <v>0</v>
      </c>
      <c r="W314" s="25" t="s">
        <v>245</v>
      </c>
      <c r="X314" s="25" t="s">
        <v>1752</v>
      </c>
      <c r="Y314" s="25" t="s">
        <v>1753</v>
      </c>
      <c r="Z314" s="26">
        <v>40325</v>
      </c>
      <c r="AA314" s="776">
        <v>6</v>
      </c>
      <c r="AB314" s="776">
        <v>0</v>
      </c>
      <c r="AC314" s="776">
        <v>0</v>
      </c>
      <c r="AD314" s="776">
        <v>0</v>
      </c>
      <c r="AE314" s="777">
        <v>0.9</v>
      </c>
      <c r="AF314" s="777">
        <v>0.9</v>
      </c>
      <c r="AG314" s="778">
        <v>0.90067112168765173</v>
      </c>
    </row>
    <row r="315" spans="1:33" x14ac:dyDescent="0.2">
      <c r="A315" s="15">
        <f t="shared" si="32"/>
        <v>2009</v>
      </c>
      <c r="B315" s="14">
        <f t="shared" si="33"/>
        <v>12</v>
      </c>
      <c r="C315" s="13" t="str">
        <f t="shared" si="34"/>
        <v>Q4</v>
      </c>
      <c r="D315" s="13" t="str">
        <f t="shared" si="35"/>
        <v>2009Q4</v>
      </c>
      <c r="E315" s="13" t="str">
        <f t="shared" si="36"/>
        <v>Brazil</v>
      </c>
      <c r="F315" s="13" t="str">
        <f t="shared" si="38"/>
        <v>Biofuels</v>
      </c>
      <c r="G315" s="13" t="str">
        <f t="shared" si="39"/>
        <v>Asset finance investments</v>
      </c>
      <c r="H315" s="638">
        <f t="shared" si="37"/>
        <v>0.85000045796063428</v>
      </c>
      <c r="I315" s="24" t="s">
        <v>87</v>
      </c>
      <c r="J315" s="25" t="s">
        <v>246</v>
      </c>
      <c r="K315" s="25" t="s">
        <v>2008</v>
      </c>
      <c r="L315" s="25" t="s">
        <v>2009</v>
      </c>
      <c r="M315" s="25" t="s">
        <v>31</v>
      </c>
      <c r="N315" s="25" t="s">
        <v>31</v>
      </c>
      <c r="O315" s="25" t="s">
        <v>92</v>
      </c>
      <c r="P315" s="25" t="s">
        <v>83</v>
      </c>
      <c r="Q315" s="25" t="s">
        <v>82</v>
      </c>
      <c r="R315" s="25" t="s">
        <v>91</v>
      </c>
      <c r="S315" s="25" t="s">
        <v>96</v>
      </c>
      <c r="T315" s="25" t="s">
        <v>96</v>
      </c>
      <c r="U315" s="25" t="s">
        <v>98</v>
      </c>
      <c r="V315" s="25" t="s">
        <v>230</v>
      </c>
      <c r="W315" s="25" t="s">
        <v>249</v>
      </c>
      <c r="X315" s="25" t="s">
        <v>1749</v>
      </c>
      <c r="Y315" s="25" t="s">
        <v>1750</v>
      </c>
      <c r="Z315" s="26">
        <v>40157</v>
      </c>
      <c r="AA315" s="776">
        <v>3.6</v>
      </c>
      <c r="AB315" s="776">
        <v>65</v>
      </c>
      <c r="AC315" s="776">
        <v>0</v>
      </c>
      <c r="AD315" s="776">
        <v>0</v>
      </c>
      <c r="AE315" s="777">
        <v>0.85</v>
      </c>
      <c r="AF315" s="777">
        <v>0.85</v>
      </c>
      <c r="AG315" s="778">
        <v>0.85000045796063428</v>
      </c>
    </row>
    <row r="316" spans="1:33" x14ac:dyDescent="0.2">
      <c r="A316" s="15">
        <f t="shared" si="32"/>
        <v>2007</v>
      </c>
      <c r="B316" s="14">
        <f t="shared" si="33"/>
        <v>4</v>
      </c>
      <c r="C316" s="13" t="str">
        <f t="shared" si="34"/>
        <v>Q2</v>
      </c>
      <c r="D316" s="13" t="str">
        <f t="shared" si="35"/>
        <v>2007Q2</v>
      </c>
      <c r="E316" s="13" t="str">
        <f t="shared" si="36"/>
        <v>Brazil</v>
      </c>
      <c r="F316" s="13" t="str">
        <f t="shared" si="38"/>
        <v>Biofuels</v>
      </c>
      <c r="G316" s="13" t="str">
        <f t="shared" si="39"/>
        <v>Corporate finance investments</v>
      </c>
      <c r="H316" s="638">
        <f t="shared" si="37"/>
        <v>0.53704591421220704</v>
      </c>
      <c r="I316" s="24" t="s">
        <v>87</v>
      </c>
      <c r="J316" s="25" t="s">
        <v>86</v>
      </c>
      <c r="K316" s="25" t="s">
        <v>108</v>
      </c>
      <c r="L316" s="25" t="s">
        <v>107</v>
      </c>
      <c r="M316" s="25" t="s">
        <v>31</v>
      </c>
      <c r="N316" s="25" t="s">
        <v>31</v>
      </c>
      <c r="O316" s="25" t="s">
        <v>92</v>
      </c>
      <c r="P316" s="25" t="s">
        <v>83</v>
      </c>
      <c r="Q316" s="25" t="s">
        <v>82</v>
      </c>
      <c r="R316" s="25" t="s">
        <v>91</v>
      </c>
      <c r="S316" s="25" t="s">
        <v>96</v>
      </c>
      <c r="T316" s="25" t="s">
        <v>96</v>
      </c>
      <c r="U316" s="25" t="s">
        <v>98</v>
      </c>
      <c r="V316" s="25">
        <v>0</v>
      </c>
      <c r="W316" s="25" t="s">
        <v>94</v>
      </c>
      <c r="X316" s="25" t="s">
        <v>1747</v>
      </c>
      <c r="Y316" s="25" t="e">
        <v>#N/A</v>
      </c>
      <c r="Z316" s="26">
        <v>39177</v>
      </c>
      <c r="AA316" s="776" t="s">
        <v>1748</v>
      </c>
      <c r="AB316" s="776" t="s">
        <v>1748</v>
      </c>
      <c r="AC316" s="776" t="s">
        <v>1748</v>
      </c>
      <c r="AD316" s="776" t="s">
        <v>1748</v>
      </c>
      <c r="AE316" s="777">
        <v>0.5</v>
      </c>
      <c r="AF316" s="777">
        <v>0.5</v>
      </c>
      <c r="AG316" s="778">
        <v>0.53704591421220704</v>
      </c>
    </row>
    <row r="317" spans="1:33" x14ac:dyDescent="0.2">
      <c r="A317" s="15">
        <f t="shared" si="32"/>
        <v>2011</v>
      </c>
      <c r="B317" s="14">
        <f t="shared" si="33"/>
        <v>8</v>
      </c>
      <c r="C317" s="13" t="str">
        <f t="shared" si="34"/>
        <v>Q3</v>
      </c>
      <c r="D317" s="13" t="str">
        <f t="shared" si="35"/>
        <v>2011Q3</v>
      </c>
      <c r="E317" s="13" t="str">
        <f t="shared" si="36"/>
        <v>Uruguay</v>
      </c>
      <c r="F317" s="13" t="str">
        <f t="shared" si="38"/>
        <v>Wind</v>
      </c>
      <c r="G317" s="13" t="str">
        <f t="shared" si="39"/>
        <v>Asset finance investments</v>
      </c>
      <c r="H317" s="638">
        <f t="shared" si="37"/>
        <v>0.44464750982868717</v>
      </c>
      <c r="I317" s="24" t="s">
        <v>87</v>
      </c>
      <c r="J317" s="25" t="s">
        <v>246</v>
      </c>
      <c r="K317" s="25" t="s">
        <v>2010</v>
      </c>
      <c r="L317" s="25" t="s">
        <v>2011</v>
      </c>
      <c r="M317" s="25" t="s">
        <v>22</v>
      </c>
      <c r="N317" s="25" t="s">
        <v>85</v>
      </c>
      <c r="O317" s="25" t="s">
        <v>92</v>
      </c>
      <c r="P317" s="25" t="s">
        <v>83</v>
      </c>
      <c r="Q317" s="25" t="s">
        <v>82</v>
      </c>
      <c r="R317" s="25"/>
      <c r="S317" s="25" t="s">
        <v>101</v>
      </c>
      <c r="T317" s="25" t="s">
        <v>101</v>
      </c>
      <c r="U317" s="25" t="s">
        <v>112</v>
      </c>
      <c r="V317" s="25">
        <v>0</v>
      </c>
      <c r="W317" s="25" t="s">
        <v>245</v>
      </c>
      <c r="X317" s="25" t="s">
        <v>1752</v>
      </c>
      <c r="Y317" s="25" t="s">
        <v>1753</v>
      </c>
      <c r="Z317" s="26">
        <v>40786</v>
      </c>
      <c r="AA317" s="776">
        <v>14.7</v>
      </c>
      <c r="AB317" s="776">
        <v>0</v>
      </c>
      <c r="AC317" s="776">
        <v>0</v>
      </c>
      <c r="AD317" s="776">
        <v>0</v>
      </c>
      <c r="AE317" s="777">
        <v>0</v>
      </c>
      <c r="AF317" s="777">
        <v>0.441</v>
      </c>
      <c r="AG317" s="778">
        <v>0.44464750982868717</v>
      </c>
    </row>
    <row r="318" spans="1:33" x14ac:dyDescent="0.2">
      <c r="A318" s="15">
        <f t="shared" si="32"/>
        <v>2011</v>
      </c>
      <c r="B318" s="14">
        <f t="shared" si="33"/>
        <v>9</v>
      </c>
      <c r="C318" s="13" t="str">
        <f t="shared" si="34"/>
        <v>Q3</v>
      </c>
      <c r="D318" s="13" t="str">
        <f t="shared" si="35"/>
        <v>2011Q3</v>
      </c>
      <c r="E318" s="13" t="str">
        <f t="shared" si="36"/>
        <v>Brazil</v>
      </c>
      <c r="F318" s="13" t="str">
        <f t="shared" si="38"/>
        <v>Small Hydro</v>
      </c>
      <c r="G318" s="13" t="str">
        <f t="shared" si="39"/>
        <v>Asset finance investments</v>
      </c>
      <c r="H318" s="638">
        <f t="shared" si="37"/>
        <v>0.31713748828726013</v>
      </c>
      <c r="I318" s="24" t="s">
        <v>87</v>
      </c>
      <c r="J318" s="25" t="s">
        <v>246</v>
      </c>
      <c r="K318" s="25" t="s">
        <v>460</v>
      </c>
      <c r="L318" s="25" t="s">
        <v>459</v>
      </c>
      <c r="M318" s="25" t="s">
        <v>31</v>
      </c>
      <c r="N318" s="25" t="s">
        <v>31</v>
      </c>
      <c r="O318" s="25" t="s">
        <v>92</v>
      </c>
      <c r="P318" s="25" t="s">
        <v>83</v>
      </c>
      <c r="Q318" s="25" t="s">
        <v>82</v>
      </c>
      <c r="R318" s="25" t="s">
        <v>91</v>
      </c>
      <c r="S318" s="25" t="s">
        <v>126</v>
      </c>
      <c r="T318" s="25" t="s">
        <v>125</v>
      </c>
      <c r="U318" s="25" t="s">
        <v>247</v>
      </c>
      <c r="V318" s="25">
        <v>0</v>
      </c>
      <c r="W318" s="25" t="s">
        <v>245</v>
      </c>
      <c r="X318" s="25" t="s">
        <v>1752</v>
      </c>
      <c r="Y318" s="25" t="s">
        <v>1753</v>
      </c>
      <c r="Z318" s="26">
        <v>40793</v>
      </c>
      <c r="AA318" s="776">
        <v>4.2</v>
      </c>
      <c r="AB318" s="776">
        <v>0</v>
      </c>
      <c r="AC318" s="776">
        <v>0</v>
      </c>
      <c r="AD318" s="776">
        <v>0</v>
      </c>
      <c r="AE318" s="777">
        <v>0</v>
      </c>
      <c r="AF318" s="777">
        <v>0.315</v>
      </c>
      <c r="AG318" s="778">
        <v>0.31713748828726013</v>
      </c>
    </row>
    <row r="319" spans="1:33" x14ac:dyDescent="0.2">
      <c r="A319" s="15">
        <f t="shared" si="32"/>
        <v>2012</v>
      </c>
      <c r="B319" s="14">
        <f t="shared" si="33"/>
        <v>10</v>
      </c>
      <c r="C319" s="13" t="str">
        <f t="shared" si="34"/>
        <v>Q4</v>
      </c>
      <c r="D319" s="13" t="str">
        <f t="shared" si="35"/>
        <v>2012Q4</v>
      </c>
      <c r="E319" s="13" t="str">
        <f t="shared" si="36"/>
        <v>Peru</v>
      </c>
      <c r="F319" s="13" t="str">
        <f t="shared" si="38"/>
        <v>Wind</v>
      </c>
      <c r="G319" s="13" t="str">
        <f t="shared" si="39"/>
        <v>Asset finance investments</v>
      </c>
      <c r="H319" s="638">
        <f t="shared" si="37"/>
        <v>355.91522508980552</v>
      </c>
      <c r="I319" s="24" t="s">
        <v>506</v>
      </c>
      <c r="J319" s="25" t="s">
        <v>246</v>
      </c>
      <c r="K319" s="25" t="s">
        <v>2012</v>
      </c>
      <c r="L319" s="25" t="s">
        <v>2013</v>
      </c>
      <c r="M319" s="25" t="s">
        <v>20</v>
      </c>
      <c r="N319" s="25" t="s">
        <v>85</v>
      </c>
      <c r="O319" s="25" t="s">
        <v>92</v>
      </c>
      <c r="P319" s="25" t="s">
        <v>83</v>
      </c>
      <c r="Q319" s="25" t="s">
        <v>82</v>
      </c>
      <c r="R319" s="25"/>
      <c r="S319" s="25" t="s">
        <v>101</v>
      </c>
      <c r="T319" s="25" t="s">
        <v>101</v>
      </c>
      <c r="U319" s="25" t="s">
        <v>112</v>
      </c>
      <c r="V319" s="25">
        <v>0</v>
      </c>
      <c r="W319" s="25" t="s">
        <v>553</v>
      </c>
      <c r="X319" s="25" t="s">
        <v>1752</v>
      </c>
      <c r="Y319" s="25" t="s">
        <v>1753</v>
      </c>
      <c r="Z319" s="26">
        <v>41185</v>
      </c>
      <c r="AA319" s="776">
        <v>111.6</v>
      </c>
      <c r="AB319" s="776">
        <v>0</v>
      </c>
      <c r="AC319" s="776">
        <v>0</v>
      </c>
      <c r="AD319" s="776">
        <v>0</v>
      </c>
      <c r="AE319" s="777">
        <v>250</v>
      </c>
      <c r="AF319" s="777">
        <v>250</v>
      </c>
      <c r="AG319" s="778">
        <v>355.91522508980552</v>
      </c>
    </row>
    <row r="320" spans="1:33" x14ac:dyDescent="0.2">
      <c r="A320" s="15">
        <f t="shared" si="32"/>
        <v>2012</v>
      </c>
      <c r="B320" s="14">
        <f t="shared" si="33"/>
        <v>11</v>
      </c>
      <c r="C320" s="13" t="str">
        <f t="shared" si="34"/>
        <v>Q4</v>
      </c>
      <c r="D320" s="13" t="str">
        <f t="shared" si="35"/>
        <v>2012Q4</v>
      </c>
      <c r="E320" s="13" t="str">
        <f t="shared" si="36"/>
        <v>Mexico</v>
      </c>
      <c r="F320" s="13" t="str">
        <f t="shared" si="38"/>
        <v>Biomass &amp; Waste</v>
      </c>
      <c r="G320" s="13" t="str">
        <f t="shared" si="39"/>
        <v>Asset finance investments</v>
      </c>
      <c r="H320" s="638">
        <f t="shared" si="37"/>
        <v>242.49118699701862</v>
      </c>
      <c r="I320" s="24" t="s">
        <v>506</v>
      </c>
      <c r="J320" s="25" t="s">
        <v>246</v>
      </c>
      <c r="K320" s="25" t="s">
        <v>2014</v>
      </c>
      <c r="L320" s="25" t="s">
        <v>2015</v>
      </c>
      <c r="M320" s="25" t="s">
        <v>18</v>
      </c>
      <c r="N320" s="25" t="s">
        <v>85</v>
      </c>
      <c r="O320" s="25" t="s">
        <v>92</v>
      </c>
      <c r="P320" s="25" t="s">
        <v>83</v>
      </c>
      <c r="Q320" s="25" t="s">
        <v>129</v>
      </c>
      <c r="R320" s="25"/>
      <c r="S320" s="25" t="s">
        <v>114</v>
      </c>
      <c r="T320" s="25" t="s">
        <v>114</v>
      </c>
      <c r="U320" s="25" t="s">
        <v>113</v>
      </c>
      <c r="V320" s="25" t="s">
        <v>722</v>
      </c>
      <c r="W320" s="25" t="s">
        <v>553</v>
      </c>
      <c r="X320" s="25" t="s">
        <v>1752</v>
      </c>
      <c r="Y320" s="25" t="s">
        <v>1753</v>
      </c>
      <c r="Z320" s="26">
        <v>41214</v>
      </c>
      <c r="AA320" s="776">
        <v>58</v>
      </c>
      <c r="AB320" s="776">
        <v>0</v>
      </c>
      <c r="AC320" s="776">
        <v>0</v>
      </c>
      <c r="AD320" s="776">
        <v>0</v>
      </c>
      <c r="AE320" s="777">
        <v>0</v>
      </c>
      <c r="AF320" s="777">
        <v>161.82</v>
      </c>
      <c r="AG320" s="778">
        <v>242.49118699701862</v>
      </c>
    </row>
    <row r="321" spans="1:33" x14ac:dyDescent="0.2">
      <c r="A321" s="15">
        <f t="shared" si="32"/>
        <v>2012</v>
      </c>
      <c r="B321" s="14">
        <f t="shared" si="33"/>
        <v>12</v>
      </c>
      <c r="C321" s="13" t="str">
        <f t="shared" si="34"/>
        <v>Q4</v>
      </c>
      <c r="D321" s="13" t="str">
        <f t="shared" si="35"/>
        <v>2012Q4</v>
      </c>
      <c r="E321" s="13" t="str">
        <f t="shared" si="36"/>
        <v>Chile</v>
      </c>
      <c r="F321" s="13" t="str">
        <f t="shared" si="38"/>
        <v>Wind</v>
      </c>
      <c r="G321" s="13" t="str">
        <f t="shared" si="39"/>
        <v>Asset finance investments</v>
      </c>
      <c r="H321" s="638">
        <f t="shared" si="37"/>
        <v>200.91233557243805</v>
      </c>
      <c r="I321" s="24" t="s">
        <v>506</v>
      </c>
      <c r="J321" s="25" t="s">
        <v>246</v>
      </c>
      <c r="K321" s="25" t="s">
        <v>2016</v>
      </c>
      <c r="L321" s="25" t="s">
        <v>2017</v>
      </c>
      <c r="M321" s="25" t="s">
        <v>8</v>
      </c>
      <c r="N321" s="25" t="s">
        <v>85</v>
      </c>
      <c r="O321" s="25" t="s">
        <v>92</v>
      </c>
      <c r="P321" s="25" t="s">
        <v>83</v>
      </c>
      <c r="Q321" s="25" t="s">
        <v>129</v>
      </c>
      <c r="R321" s="25"/>
      <c r="S321" s="25" t="s">
        <v>101</v>
      </c>
      <c r="T321" s="25" t="s">
        <v>101</v>
      </c>
      <c r="U321" s="25" t="s">
        <v>112</v>
      </c>
      <c r="V321" s="25">
        <v>0</v>
      </c>
      <c r="W321" s="25" t="s">
        <v>553</v>
      </c>
      <c r="X321" s="25" t="s">
        <v>1752</v>
      </c>
      <c r="Y321" s="25" t="s">
        <v>1753</v>
      </c>
      <c r="Z321" s="26">
        <v>41264</v>
      </c>
      <c r="AA321" s="776">
        <v>90</v>
      </c>
      <c r="AB321" s="776">
        <v>0</v>
      </c>
      <c r="AC321" s="776">
        <v>0</v>
      </c>
      <c r="AD321" s="776">
        <v>0</v>
      </c>
      <c r="AE321" s="777">
        <v>140</v>
      </c>
      <c r="AF321" s="777">
        <v>140</v>
      </c>
      <c r="AG321" s="778">
        <v>200.91233557243805</v>
      </c>
    </row>
    <row r="322" spans="1:33" x14ac:dyDescent="0.2">
      <c r="A322" s="15">
        <f t="shared" si="32"/>
        <v>2012</v>
      </c>
      <c r="B322" s="14">
        <f t="shared" si="33"/>
        <v>11</v>
      </c>
      <c r="C322" s="13" t="str">
        <f t="shared" si="34"/>
        <v>Q4</v>
      </c>
      <c r="D322" s="13" t="str">
        <f t="shared" si="35"/>
        <v>2012Q4</v>
      </c>
      <c r="E322" s="13" t="str">
        <f t="shared" si="36"/>
        <v>Brazil</v>
      </c>
      <c r="F322" s="13" t="str">
        <f t="shared" si="38"/>
        <v>Biomass &amp; Waste</v>
      </c>
      <c r="G322" s="13" t="str">
        <f t="shared" si="39"/>
        <v>Asset finance investments</v>
      </c>
      <c r="H322" s="638">
        <f t="shared" si="37"/>
        <v>206.24762713929778</v>
      </c>
      <c r="I322" s="24" t="s">
        <v>506</v>
      </c>
      <c r="J322" s="25" t="s">
        <v>246</v>
      </c>
      <c r="K322" s="25" t="s">
        <v>2018</v>
      </c>
      <c r="L322" s="25" t="s">
        <v>2019</v>
      </c>
      <c r="M322" s="25" t="s">
        <v>31</v>
      </c>
      <c r="N322" s="25" t="s">
        <v>31</v>
      </c>
      <c r="O322" s="25" t="s">
        <v>92</v>
      </c>
      <c r="P322" s="25" t="s">
        <v>83</v>
      </c>
      <c r="Q322" s="25" t="s">
        <v>82</v>
      </c>
      <c r="R322" s="25" t="s">
        <v>91</v>
      </c>
      <c r="S322" s="25" t="s">
        <v>114</v>
      </c>
      <c r="T322" s="25" t="s">
        <v>114</v>
      </c>
      <c r="U322" s="25" t="s">
        <v>113</v>
      </c>
      <c r="V322" s="25" t="s">
        <v>347</v>
      </c>
      <c r="W322" s="25" t="s">
        <v>553</v>
      </c>
      <c r="X322" s="25" t="s">
        <v>1749</v>
      </c>
      <c r="Y322" s="25" t="s">
        <v>1750</v>
      </c>
      <c r="Z322" s="26">
        <v>41214</v>
      </c>
      <c r="AA322" s="776">
        <v>50</v>
      </c>
      <c r="AB322" s="776">
        <v>96</v>
      </c>
      <c r="AC322" s="776">
        <v>0</v>
      </c>
      <c r="AD322" s="776">
        <v>0</v>
      </c>
      <c r="AE322" s="777">
        <v>0</v>
      </c>
      <c r="AF322" s="777">
        <v>139.5</v>
      </c>
      <c r="AG322" s="778">
        <v>206.24762713929778</v>
      </c>
    </row>
    <row r="323" spans="1:33" x14ac:dyDescent="0.2">
      <c r="A323" s="15">
        <f t="shared" si="32"/>
        <v>2012</v>
      </c>
      <c r="B323" s="14">
        <f t="shared" si="33"/>
        <v>11</v>
      </c>
      <c r="C323" s="13" t="str">
        <f t="shared" si="34"/>
        <v>Q4</v>
      </c>
      <c r="D323" s="13" t="str">
        <f t="shared" si="35"/>
        <v>2012Q4</v>
      </c>
      <c r="E323" s="13" t="str">
        <f t="shared" si="36"/>
        <v>Brazil</v>
      </c>
      <c r="F323" s="13" t="str">
        <f t="shared" si="38"/>
        <v>Wind</v>
      </c>
      <c r="G323" s="13" t="str">
        <f t="shared" si="39"/>
        <v>Asset finance investments</v>
      </c>
      <c r="H323" s="638">
        <f t="shared" si="37"/>
        <v>182.31488099045029</v>
      </c>
      <c r="I323" s="24" t="s">
        <v>506</v>
      </c>
      <c r="J323" s="25" t="s">
        <v>246</v>
      </c>
      <c r="K323" s="25" t="s">
        <v>2020</v>
      </c>
      <c r="L323" s="25" t="s">
        <v>2021</v>
      </c>
      <c r="M323" s="25" t="s">
        <v>31</v>
      </c>
      <c r="N323" s="25" t="s">
        <v>31</v>
      </c>
      <c r="O323" s="25" t="s">
        <v>92</v>
      </c>
      <c r="P323" s="25" t="s">
        <v>83</v>
      </c>
      <c r="Q323" s="25" t="s">
        <v>82</v>
      </c>
      <c r="R323" s="25" t="s">
        <v>91</v>
      </c>
      <c r="S323" s="25" t="s">
        <v>101</v>
      </c>
      <c r="T323" s="25" t="s">
        <v>101</v>
      </c>
      <c r="U323" s="25" t="s">
        <v>112</v>
      </c>
      <c r="V323" s="25">
        <v>0</v>
      </c>
      <c r="W323" s="25" t="s">
        <v>553</v>
      </c>
      <c r="X323" s="25" t="s">
        <v>1806</v>
      </c>
      <c r="Y323" s="25" t="s">
        <v>1750</v>
      </c>
      <c r="Z323" s="26">
        <v>41214</v>
      </c>
      <c r="AA323" s="776">
        <v>54</v>
      </c>
      <c r="AB323" s="776">
        <v>0</v>
      </c>
      <c r="AC323" s="776">
        <v>0</v>
      </c>
      <c r="AD323" s="776">
        <v>0</v>
      </c>
      <c r="AE323" s="777">
        <v>128.5</v>
      </c>
      <c r="AF323" s="777">
        <v>128.5</v>
      </c>
      <c r="AG323" s="778">
        <v>182.31488099045029</v>
      </c>
    </row>
    <row r="324" spans="1:33" x14ac:dyDescent="0.2">
      <c r="A324" s="15">
        <f t="shared" si="32"/>
        <v>2012</v>
      </c>
      <c r="B324" s="14">
        <f t="shared" si="33"/>
        <v>11</v>
      </c>
      <c r="C324" s="13" t="str">
        <f t="shared" si="34"/>
        <v>Q4</v>
      </c>
      <c r="D324" s="13" t="str">
        <f t="shared" si="35"/>
        <v>2012Q4</v>
      </c>
      <c r="E324" s="13" t="str">
        <f t="shared" si="36"/>
        <v>Brazil</v>
      </c>
      <c r="F324" s="13" t="str">
        <f t="shared" si="38"/>
        <v>Small Hydro</v>
      </c>
      <c r="G324" s="13" t="str">
        <f t="shared" si="39"/>
        <v>Asset finance investments</v>
      </c>
      <c r="H324" s="638">
        <f t="shared" si="37"/>
        <v>174.76485496209469</v>
      </c>
      <c r="I324" s="24" t="s">
        <v>506</v>
      </c>
      <c r="J324" s="25" t="s">
        <v>246</v>
      </c>
      <c r="K324" s="25" t="s">
        <v>2022</v>
      </c>
      <c r="L324" s="25" t="s">
        <v>2023</v>
      </c>
      <c r="M324" s="25" t="s">
        <v>31</v>
      </c>
      <c r="N324" s="25" t="s">
        <v>31</v>
      </c>
      <c r="O324" s="25" t="s">
        <v>92</v>
      </c>
      <c r="P324" s="25" t="s">
        <v>83</v>
      </c>
      <c r="Q324" s="25" t="s">
        <v>82</v>
      </c>
      <c r="R324" s="25" t="s">
        <v>91</v>
      </c>
      <c r="S324" s="25" t="s">
        <v>126</v>
      </c>
      <c r="T324" s="25" t="s">
        <v>125</v>
      </c>
      <c r="U324" s="25" t="s">
        <v>247</v>
      </c>
      <c r="V324" s="25">
        <v>0</v>
      </c>
      <c r="W324" s="25" t="s">
        <v>553</v>
      </c>
      <c r="X324" s="25" t="s">
        <v>1752</v>
      </c>
      <c r="Y324" s="25" t="s">
        <v>1753</v>
      </c>
      <c r="Z324" s="26">
        <v>41243</v>
      </c>
      <c r="AA324" s="776">
        <v>44</v>
      </c>
      <c r="AB324" s="776">
        <v>0</v>
      </c>
      <c r="AC324" s="776">
        <v>0</v>
      </c>
      <c r="AD324" s="776">
        <v>0</v>
      </c>
      <c r="AE324" s="777">
        <v>128</v>
      </c>
      <c r="AF324" s="777">
        <v>128</v>
      </c>
      <c r="AG324" s="778">
        <v>174.76485496209469</v>
      </c>
    </row>
    <row r="325" spans="1:33" x14ac:dyDescent="0.2">
      <c r="A325" s="15">
        <f t="shared" si="32"/>
        <v>2012</v>
      </c>
      <c r="B325" s="14">
        <f t="shared" si="33"/>
        <v>11</v>
      </c>
      <c r="C325" s="13" t="str">
        <f t="shared" si="34"/>
        <v>Q4</v>
      </c>
      <c r="D325" s="13" t="str">
        <f t="shared" si="35"/>
        <v>2012Q4</v>
      </c>
      <c r="E325" s="13" t="str">
        <f t="shared" si="36"/>
        <v>Brazil</v>
      </c>
      <c r="F325" s="13" t="str">
        <f t="shared" si="38"/>
        <v>Wind</v>
      </c>
      <c r="G325" s="13" t="str">
        <f t="shared" si="39"/>
        <v>Asset finance investments</v>
      </c>
      <c r="H325" s="638">
        <f t="shared" si="37"/>
        <v>177.77474387629121</v>
      </c>
      <c r="I325" s="24" t="s">
        <v>506</v>
      </c>
      <c r="J325" s="25" t="s">
        <v>246</v>
      </c>
      <c r="K325" s="25" t="s">
        <v>2024</v>
      </c>
      <c r="L325" s="25" t="s">
        <v>2025</v>
      </c>
      <c r="M325" s="25" t="s">
        <v>31</v>
      </c>
      <c r="N325" s="25" t="s">
        <v>31</v>
      </c>
      <c r="O325" s="25" t="s">
        <v>92</v>
      </c>
      <c r="P325" s="25" t="s">
        <v>83</v>
      </c>
      <c r="Q325" s="25" t="s">
        <v>82</v>
      </c>
      <c r="R325" s="25" t="s">
        <v>91</v>
      </c>
      <c r="S325" s="25" t="s">
        <v>101</v>
      </c>
      <c r="T325" s="25" t="s">
        <v>101</v>
      </c>
      <c r="U325" s="25" t="s">
        <v>112</v>
      </c>
      <c r="V325" s="25">
        <v>0</v>
      </c>
      <c r="W325" s="25" t="s">
        <v>2026</v>
      </c>
      <c r="X325" s="25" t="s">
        <v>1814</v>
      </c>
      <c r="Y325" s="25" t="s">
        <v>1750</v>
      </c>
      <c r="Z325" s="26">
        <v>41219</v>
      </c>
      <c r="AA325" s="776">
        <v>69</v>
      </c>
      <c r="AB325" s="776">
        <v>0</v>
      </c>
      <c r="AC325" s="776">
        <v>0</v>
      </c>
      <c r="AD325" s="776">
        <v>0</v>
      </c>
      <c r="AE325" s="777">
        <v>125.3</v>
      </c>
      <c r="AF325" s="777">
        <v>125.3</v>
      </c>
      <c r="AG325" s="778">
        <v>177.77474387629121</v>
      </c>
    </row>
    <row r="326" spans="1:33" x14ac:dyDescent="0.2">
      <c r="A326" s="15">
        <f t="shared" ref="A326:A389" si="40">IF(K326="","",IF(AND(YEAR(Z326)&lt;2004,YEAR(Z326)&gt;1910),2004,YEAR(Z326)))</f>
        <v>2012</v>
      </c>
      <c r="B326" s="14">
        <f t="shared" ref="B326:B389" si="41">IF(K326="","",IF(ISNUMBER(Z326),MONTH(Z326),0))</f>
        <v>12</v>
      </c>
      <c r="C326" s="13" t="str">
        <f t="shared" ref="C326:C389" si="42">IF(K326="","",IF(AND(B326&gt;=1,B326&lt;=3),"Q1",IF(AND(B326&gt;3,B326&lt;=6),"Q2",IF(AND(B326&gt;6,B326&lt;=9),"Q3",IF(AND(B326&gt;9,B326&lt;=12),"Q4",0)))))</f>
        <v>Q4</v>
      </c>
      <c r="D326" s="13" t="str">
        <f t="shared" ref="D326:D389" si="43">IF(A326&lt;2006, "&lt; 2006", A326&amp;C326)</f>
        <v>2012Q4</v>
      </c>
      <c r="E326" s="13" t="str">
        <f t="shared" ref="E326:E389" si="44">IF(K326="","", M326)</f>
        <v>Argentina</v>
      </c>
      <c r="F326" s="13" t="str">
        <f t="shared" si="38"/>
        <v>Wind</v>
      </c>
      <c r="G326" s="13" t="str">
        <f t="shared" si="39"/>
        <v>Asset finance investments</v>
      </c>
      <c r="H326" s="638">
        <f t="shared" ref="H326:H389" si="45">IF(K326="","",AG326)</f>
        <v>142.36609003592221</v>
      </c>
      <c r="I326" s="24" t="s">
        <v>506</v>
      </c>
      <c r="J326" s="25" t="s">
        <v>246</v>
      </c>
      <c r="K326" s="25" t="s">
        <v>2027</v>
      </c>
      <c r="L326" s="25" t="s">
        <v>2028</v>
      </c>
      <c r="M326" s="25" t="s">
        <v>4</v>
      </c>
      <c r="N326" s="25" t="s">
        <v>85</v>
      </c>
      <c r="O326" s="25" t="s">
        <v>92</v>
      </c>
      <c r="P326" s="25" t="s">
        <v>83</v>
      </c>
      <c r="Q326" s="25" t="s">
        <v>82</v>
      </c>
      <c r="R326" s="25"/>
      <c r="S326" s="25" t="s">
        <v>101</v>
      </c>
      <c r="T326" s="25" t="s">
        <v>101</v>
      </c>
      <c r="U326" s="25" t="s">
        <v>112</v>
      </c>
      <c r="V326" s="25">
        <v>0</v>
      </c>
      <c r="W326" s="25" t="s">
        <v>553</v>
      </c>
      <c r="X326" s="25" t="s">
        <v>1749</v>
      </c>
      <c r="Y326" s="25" t="s">
        <v>1750</v>
      </c>
      <c r="Z326" s="26">
        <v>41271</v>
      </c>
      <c r="AA326" s="776">
        <v>50</v>
      </c>
      <c r="AB326" s="776">
        <v>0</v>
      </c>
      <c r="AC326" s="776">
        <v>0</v>
      </c>
      <c r="AD326" s="776">
        <v>0</v>
      </c>
      <c r="AE326" s="777">
        <v>0</v>
      </c>
      <c r="AF326" s="777">
        <v>100</v>
      </c>
      <c r="AG326" s="778">
        <v>142.36609003592221</v>
      </c>
    </row>
    <row r="327" spans="1:33" x14ac:dyDescent="0.2">
      <c r="A327" s="15">
        <f t="shared" si="40"/>
        <v>2012</v>
      </c>
      <c r="B327" s="14">
        <f t="shared" si="41"/>
        <v>11</v>
      </c>
      <c r="C327" s="13" t="str">
        <f t="shared" si="42"/>
        <v>Q4</v>
      </c>
      <c r="D327" s="13" t="str">
        <f t="shared" si="43"/>
        <v>2012Q4</v>
      </c>
      <c r="E327" s="13" t="str">
        <f t="shared" si="44"/>
        <v>Brazil</v>
      </c>
      <c r="F327" s="13" t="str">
        <f t="shared" ref="F327:F390" si="46">IF(K327="","",IF(OR(T327="Wind",T327="Solar",T327="Geothermal",T327="Small Hydro",T327="Biofuels",T327="Biomass &amp; Waste"),T327,"Other Clean Energy"))</f>
        <v>Biofuels</v>
      </c>
      <c r="G327" s="13" t="str">
        <f t="shared" ref="G327:G390" si="47">IF(K327="","",IF(OR(J327="PM",J327="MA"), "Corporate finance investments", IF(J327="VCPE", "VC/PE investments", IF(J327="AF", "Asset finance investments"))))</f>
        <v>Asset finance investments</v>
      </c>
      <c r="H327" s="638">
        <f t="shared" si="45"/>
        <v>129.88370161417177</v>
      </c>
      <c r="I327" s="24" t="s">
        <v>506</v>
      </c>
      <c r="J327" s="25" t="s">
        <v>246</v>
      </c>
      <c r="K327" s="25" t="s">
        <v>2029</v>
      </c>
      <c r="L327" s="25" t="s">
        <v>2030</v>
      </c>
      <c r="M327" s="25" t="s">
        <v>31</v>
      </c>
      <c r="N327" s="25" t="s">
        <v>31</v>
      </c>
      <c r="O327" s="25" t="s">
        <v>92</v>
      </c>
      <c r="P327" s="25" t="s">
        <v>83</v>
      </c>
      <c r="Q327" s="25" t="s">
        <v>82</v>
      </c>
      <c r="R327" s="25" t="s">
        <v>91</v>
      </c>
      <c r="S327" s="25" t="s">
        <v>96</v>
      </c>
      <c r="T327" s="25" t="s">
        <v>96</v>
      </c>
      <c r="U327" s="25" t="s">
        <v>98</v>
      </c>
      <c r="V327" s="25" t="s">
        <v>237</v>
      </c>
      <c r="W327" s="25" t="s">
        <v>553</v>
      </c>
      <c r="X327" s="25" t="s">
        <v>1752</v>
      </c>
      <c r="Y327" s="25" t="s">
        <v>1753</v>
      </c>
      <c r="Z327" s="26">
        <v>41227</v>
      </c>
      <c r="AA327" s="776">
        <v>0</v>
      </c>
      <c r="AB327" s="776">
        <v>0</v>
      </c>
      <c r="AC327" s="776">
        <v>0</v>
      </c>
      <c r="AD327" s="776">
        <v>0</v>
      </c>
      <c r="AE327" s="777">
        <v>0</v>
      </c>
      <c r="AF327" s="777">
        <v>85.522999999999996</v>
      </c>
      <c r="AG327" s="778">
        <v>129.88370161417177</v>
      </c>
    </row>
    <row r="328" spans="1:33" x14ac:dyDescent="0.2">
      <c r="A328" s="15">
        <f t="shared" si="40"/>
        <v>2012</v>
      </c>
      <c r="B328" s="14">
        <f t="shared" si="41"/>
        <v>12</v>
      </c>
      <c r="C328" s="13" t="str">
        <f t="shared" si="42"/>
        <v>Q4</v>
      </c>
      <c r="D328" s="13" t="str">
        <f t="shared" si="43"/>
        <v>2012Q4</v>
      </c>
      <c r="E328" s="13" t="str">
        <f t="shared" si="44"/>
        <v>Chile</v>
      </c>
      <c r="F328" s="13" t="str">
        <f t="shared" si="46"/>
        <v>Wind</v>
      </c>
      <c r="G328" s="13" t="str">
        <f t="shared" si="47"/>
        <v>Asset finance investments</v>
      </c>
      <c r="H328" s="638">
        <f t="shared" si="45"/>
        <v>110.50178456484093</v>
      </c>
      <c r="I328" s="24" t="s">
        <v>506</v>
      </c>
      <c r="J328" s="25" t="s">
        <v>246</v>
      </c>
      <c r="K328" s="25" t="s">
        <v>2031</v>
      </c>
      <c r="L328" s="25" t="s">
        <v>2032</v>
      </c>
      <c r="M328" s="25" t="s">
        <v>8</v>
      </c>
      <c r="N328" s="25" t="s">
        <v>85</v>
      </c>
      <c r="O328" s="25" t="s">
        <v>92</v>
      </c>
      <c r="P328" s="25" t="s">
        <v>83</v>
      </c>
      <c r="Q328" s="25" t="s">
        <v>129</v>
      </c>
      <c r="R328" s="25"/>
      <c r="S328" s="25" t="s">
        <v>101</v>
      </c>
      <c r="T328" s="25" t="s">
        <v>101</v>
      </c>
      <c r="U328" s="25" t="s">
        <v>112</v>
      </c>
      <c r="V328" s="25">
        <v>0</v>
      </c>
      <c r="W328" s="25" t="s">
        <v>553</v>
      </c>
      <c r="X328" s="25" t="s">
        <v>1749</v>
      </c>
      <c r="Y328" s="25" t="s">
        <v>1750</v>
      </c>
      <c r="Z328" s="26">
        <v>41274</v>
      </c>
      <c r="AA328" s="776">
        <v>36</v>
      </c>
      <c r="AB328" s="776">
        <v>0</v>
      </c>
      <c r="AC328" s="776">
        <v>0</v>
      </c>
      <c r="AD328" s="776">
        <v>0</v>
      </c>
      <c r="AE328" s="777">
        <v>77</v>
      </c>
      <c r="AF328" s="777">
        <v>77</v>
      </c>
      <c r="AG328" s="778">
        <v>110.50178456484093</v>
      </c>
    </row>
    <row r="329" spans="1:33" x14ac:dyDescent="0.2">
      <c r="A329" s="15">
        <f t="shared" si="40"/>
        <v>2012</v>
      </c>
      <c r="B329" s="14">
        <f t="shared" si="41"/>
        <v>12</v>
      </c>
      <c r="C329" s="13" t="str">
        <f t="shared" si="42"/>
        <v>Q4</v>
      </c>
      <c r="D329" s="13" t="str">
        <f t="shared" si="43"/>
        <v>2012Q4</v>
      </c>
      <c r="E329" s="13" t="str">
        <f t="shared" si="44"/>
        <v>Uruguay</v>
      </c>
      <c r="F329" s="13" t="str">
        <f t="shared" si="46"/>
        <v>Wind</v>
      </c>
      <c r="G329" s="13" t="str">
        <f t="shared" si="47"/>
        <v>Asset finance investments</v>
      </c>
      <c r="H329" s="638">
        <f t="shared" si="45"/>
        <v>104.78144226643873</v>
      </c>
      <c r="I329" s="24" t="s">
        <v>506</v>
      </c>
      <c r="J329" s="25" t="s">
        <v>246</v>
      </c>
      <c r="K329" s="25" t="s">
        <v>2033</v>
      </c>
      <c r="L329" s="25" t="s">
        <v>2034</v>
      </c>
      <c r="M329" s="25" t="s">
        <v>22</v>
      </c>
      <c r="N329" s="25" t="s">
        <v>85</v>
      </c>
      <c r="O329" s="25" t="s">
        <v>92</v>
      </c>
      <c r="P329" s="25" t="s">
        <v>83</v>
      </c>
      <c r="Q329" s="25" t="s">
        <v>82</v>
      </c>
      <c r="R329" s="25"/>
      <c r="S329" s="25" t="s">
        <v>101</v>
      </c>
      <c r="T329" s="25" t="s">
        <v>101</v>
      </c>
      <c r="U329" s="25" t="s">
        <v>112</v>
      </c>
      <c r="V329" s="25">
        <v>0</v>
      </c>
      <c r="W329" s="25" t="s">
        <v>553</v>
      </c>
      <c r="X329" s="25" t="s">
        <v>1749</v>
      </c>
      <c r="Y329" s="25" t="s">
        <v>1750</v>
      </c>
      <c r="Z329" s="26">
        <v>41261</v>
      </c>
      <c r="AA329" s="776">
        <v>50</v>
      </c>
      <c r="AB329" s="776">
        <v>0</v>
      </c>
      <c r="AC329" s="776">
        <v>0</v>
      </c>
      <c r="AD329" s="776">
        <v>0</v>
      </c>
      <c r="AE329" s="777">
        <v>0</v>
      </c>
      <c r="AF329" s="777">
        <v>73.599999999999994</v>
      </c>
      <c r="AG329" s="778">
        <v>104.78144226643873</v>
      </c>
    </row>
    <row r="330" spans="1:33" x14ac:dyDescent="0.2">
      <c r="A330" s="15">
        <f t="shared" si="40"/>
        <v>2012</v>
      </c>
      <c r="B330" s="14">
        <f t="shared" si="41"/>
        <v>11</v>
      </c>
      <c r="C330" s="13" t="str">
        <f t="shared" si="42"/>
        <v>Q4</v>
      </c>
      <c r="D330" s="13" t="str">
        <f t="shared" si="43"/>
        <v>2012Q4</v>
      </c>
      <c r="E330" s="13" t="str">
        <f t="shared" si="44"/>
        <v>Chile</v>
      </c>
      <c r="F330" s="13" t="str">
        <f t="shared" si="46"/>
        <v>Solar</v>
      </c>
      <c r="G330" s="13" t="str">
        <f t="shared" si="47"/>
        <v>Asset finance investments</v>
      </c>
      <c r="H330" s="638">
        <f t="shared" si="45"/>
        <v>91.915591173091755</v>
      </c>
      <c r="I330" s="24" t="s">
        <v>506</v>
      </c>
      <c r="J330" s="25" t="s">
        <v>246</v>
      </c>
      <c r="K330" s="25" t="s">
        <v>2035</v>
      </c>
      <c r="L330" s="25" t="s">
        <v>2036</v>
      </c>
      <c r="M330" s="25" t="s">
        <v>8</v>
      </c>
      <c r="N330" s="25" t="s">
        <v>85</v>
      </c>
      <c r="O330" s="25" t="s">
        <v>92</v>
      </c>
      <c r="P330" s="25" t="s">
        <v>83</v>
      </c>
      <c r="Q330" s="25" t="s">
        <v>129</v>
      </c>
      <c r="R330" s="25"/>
      <c r="S330" s="25" t="s">
        <v>80</v>
      </c>
      <c r="T330" s="25" t="s">
        <v>80</v>
      </c>
      <c r="U330" s="25" t="s">
        <v>181</v>
      </c>
      <c r="V330" s="25" t="s">
        <v>232</v>
      </c>
      <c r="W330" s="25" t="s">
        <v>553</v>
      </c>
      <c r="X330" s="25" t="s">
        <v>1752</v>
      </c>
      <c r="Y330" s="25" t="s">
        <v>1753</v>
      </c>
      <c r="Z330" s="26">
        <v>41225</v>
      </c>
      <c r="AA330" s="776">
        <v>18</v>
      </c>
      <c r="AB330" s="776">
        <v>0</v>
      </c>
      <c r="AC330" s="776">
        <v>0</v>
      </c>
      <c r="AD330" s="776">
        <v>0</v>
      </c>
      <c r="AE330" s="777">
        <v>60</v>
      </c>
      <c r="AF330" s="777">
        <v>60</v>
      </c>
      <c r="AG330" s="778">
        <v>91.915591173091755</v>
      </c>
    </row>
    <row r="331" spans="1:33" x14ac:dyDescent="0.2">
      <c r="A331" s="15">
        <f t="shared" si="40"/>
        <v>2012</v>
      </c>
      <c r="B331" s="14">
        <f t="shared" si="41"/>
        <v>11</v>
      </c>
      <c r="C331" s="13" t="str">
        <f t="shared" si="42"/>
        <v>Q4</v>
      </c>
      <c r="D331" s="13" t="str">
        <f t="shared" si="43"/>
        <v>2012Q4</v>
      </c>
      <c r="E331" s="13" t="str">
        <f t="shared" si="44"/>
        <v>Brazil</v>
      </c>
      <c r="F331" s="13" t="str">
        <f t="shared" si="46"/>
        <v>Small Hydro</v>
      </c>
      <c r="G331" s="13" t="str">
        <f t="shared" si="47"/>
        <v>Asset finance investments</v>
      </c>
      <c r="H331" s="638">
        <f t="shared" si="45"/>
        <v>75.094273616525058</v>
      </c>
      <c r="I331" s="24" t="s">
        <v>506</v>
      </c>
      <c r="J331" s="25" t="s">
        <v>246</v>
      </c>
      <c r="K331" s="25" t="s">
        <v>2037</v>
      </c>
      <c r="L331" s="25" t="s">
        <v>2038</v>
      </c>
      <c r="M331" s="25" t="s">
        <v>31</v>
      </c>
      <c r="N331" s="25" t="s">
        <v>31</v>
      </c>
      <c r="O331" s="25" t="s">
        <v>92</v>
      </c>
      <c r="P331" s="25" t="s">
        <v>83</v>
      </c>
      <c r="Q331" s="25" t="s">
        <v>82</v>
      </c>
      <c r="R331" s="25" t="s">
        <v>91</v>
      </c>
      <c r="S331" s="25" t="s">
        <v>126</v>
      </c>
      <c r="T331" s="25" t="s">
        <v>125</v>
      </c>
      <c r="U331" s="25" t="s">
        <v>247</v>
      </c>
      <c r="V331" s="25">
        <v>0</v>
      </c>
      <c r="W331" s="25" t="s">
        <v>553</v>
      </c>
      <c r="X331" s="25" t="s">
        <v>1752</v>
      </c>
      <c r="Y331" s="25" t="s">
        <v>1753</v>
      </c>
      <c r="Z331" s="26">
        <v>41243</v>
      </c>
      <c r="AA331" s="776">
        <v>22</v>
      </c>
      <c r="AB331" s="776">
        <v>0</v>
      </c>
      <c r="AC331" s="776">
        <v>0</v>
      </c>
      <c r="AD331" s="776">
        <v>0</v>
      </c>
      <c r="AE331" s="777">
        <v>0</v>
      </c>
      <c r="AF331" s="777">
        <v>55</v>
      </c>
      <c r="AG331" s="778">
        <v>75.094273616525058</v>
      </c>
    </row>
    <row r="332" spans="1:33" x14ac:dyDescent="0.2">
      <c r="A332" s="15">
        <f t="shared" si="40"/>
        <v>2012</v>
      </c>
      <c r="B332" s="14">
        <f t="shared" si="41"/>
        <v>11</v>
      </c>
      <c r="C332" s="13" t="str">
        <f t="shared" si="42"/>
        <v>Q4</v>
      </c>
      <c r="D332" s="13" t="str">
        <f t="shared" si="43"/>
        <v>2012Q4</v>
      </c>
      <c r="E332" s="13" t="str">
        <f t="shared" si="44"/>
        <v>Brazil</v>
      </c>
      <c r="F332" s="13" t="str">
        <f t="shared" si="46"/>
        <v>Biomass &amp; Waste</v>
      </c>
      <c r="G332" s="13" t="str">
        <f t="shared" si="47"/>
        <v>Asset finance investments</v>
      </c>
      <c r="H332" s="638">
        <f t="shared" si="45"/>
        <v>76.437292638721829</v>
      </c>
      <c r="I332" s="24" t="s">
        <v>506</v>
      </c>
      <c r="J332" s="25" t="s">
        <v>246</v>
      </c>
      <c r="K332" s="25" t="s">
        <v>2039</v>
      </c>
      <c r="L332" s="25" t="s">
        <v>2040</v>
      </c>
      <c r="M332" s="25" t="s">
        <v>31</v>
      </c>
      <c r="N332" s="25" t="s">
        <v>31</v>
      </c>
      <c r="O332" s="25" t="s">
        <v>92</v>
      </c>
      <c r="P332" s="25" t="s">
        <v>83</v>
      </c>
      <c r="Q332" s="25" t="s">
        <v>82</v>
      </c>
      <c r="R332" s="25" t="s">
        <v>91</v>
      </c>
      <c r="S332" s="25" t="s">
        <v>114</v>
      </c>
      <c r="T332" s="25" t="s">
        <v>114</v>
      </c>
      <c r="U332" s="25" t="s">
        <v>113</v>
      </c>
      <c r="V332" s="25" t="s">
        <v>347</v>
      </c>
      <c r="W332" s="25" t="s">
        <v>553</v>
      </c>
      <c r="X332" s="25" t="s">
        <v>1749</v>
      </c>
      <c r="Y332" s="25" t="s">
        <v>1750</v>
      </c>
      <c r="Z332" s="26">
        <v>41214</v>
      </c>
      <c r="AA332" s="776">
        <v>50</v>
      </c>
      <c r="AB332" s="776">
        <v>0</v>
      </c>
      <c r="AC332" s="776">
        <v>0</v>
      </c>
      <c r="AD332" s="776">
        <v>0</v>
      </c>
      <c r="AE332" s="777">
        <v>51.7</v>
      </c>
      <c r="AF332" s="777">
        <v>51.7</v>
      </c>
      <c r="AG332" s="778">
        <v>76.437292638721829</v>
      </c>
    </row>
    <row r="333" spans="1:33" x14ac:dyDescent="0.2">
      <c r="A333" s="15">
        <f t="shared" si="40"/>
        <v>2012</v>
      </c>
      <c r="B333" s="14">
        <f t="shared" si="41"/>
        <v>11</v>
      </c>
      <c r="C333" s="13" t="str">
        <f t="shared" si="42"/>
        <v>Q4</v>
      </c>
      <c r="D333" s="13" t="str">
        <f t="shared" si="43"/>
        <v>2012Q4</v>
      </c>
      <c r="E333" s="13" t="str">
        <f t="shared" si="44"/>
        <v>Chile</v>
      </c>
      <c r="F333" s="13" t="str">
        <f t="shared" si="46"/>
        <v>Wind</v>
      </c>
      <c r="G333" s="13" t="str">
        <f t="shared" si="47"/>
        <v>Asset finance investments</v>
      </c>
      <c r="H333" s="638">
        <f t="shared" si="45"/>
        <v>51.663172004341213</v>
      </c>
      <c r="I333" s="24" t="s">
        <v>506</v>
      </c>
      <c r="J333" s="25" t="s">
        <v>246</v>
      </c>
      <c r="K333" s="25" t="s">
        <v>2041</v>
      </c>
      <c r="L333" s="25" t="s">
        <v>2042</v>
      </c>
      <c r="M333" s="25" t="s">
        <v>8</v>
      </c>
      <c r="N333" s="25" t="s">
        <v>85</v>
      </c>
      <c r="O333" s="25" t="s">
        <v>92</v>
      </c>
      <c r="P333" s="25" t="s">
        <v>83</v>
      </c>
      <c r="Q333" s="25" t="s">
        <v>129</v>
      </c>
      <c r="R333" s="25"/>
      <c r="S333" s="25" t="s">
        <v>101</v>
      </c>
      <c r="T333" s="25" t="s">
        <v>101</v>
      </c>
      <c r="U333" s="25" t="s">
        <v>112</v>
      </c>
      <c r="V333" s="25">
        <v>0</v>
      </c>
      <c r="W333" s="25" t="s">
        <v>553</v>
      </c>
      <c r="X333" s="25" t="s">
        <v>1752</v>
      </c>
      <c r="Y333" s="25" t="s">
        <v>1753</v>
      </c>
      <c r="Z333" s="26">
        <v>41243</v>
      </c>
      <c r="AA333" s="776">
        <v>7</v>
      </c>
      <c r="AB333" s="776">
        <v>0</v>
      </c>
      <c r="AC333" s="776">
        <v>0</v>
      </c>
      <c r="AD333" s="776">
        <v>0</v>
      </c>
      <c r="AE333" s="777">
        <v>36</v>
      </c>
      <c r="AF333" s="777">
        <v>36</v>
      </c>
      <c r="AG333" s="778">
        <v>51.663172004341213</v>
      </c>
    </row>
    <row r="334" spans="1:33" x14ac:dyDescent="0.2">
      <c r="A334" s="15">
        <f t="shared" si="40"/>
        <v>2012</v>
      </c>
      <c r="B334" s="14">
        <f t="shared" si="41"/>
        <v>11</v>
      </c>
      <c r="C334" s="13" t="str">
        <f t="shared" si="42"/>
        <v>Q4</v>
      </c>
      <c r="D334" s="13" t="str">
        <f t="shared" si="43"/>
        <v>2012Q4</v>
      </c>
      <c r="E334" s="13" t="str">
        <f t="shared" si="44"/>
        <v>Brazil</v>
      </c>
      <c r="F334" s="13" t="str">
        <f t="shared" si="46"/>
        <v>Small Hydro</v>
      </c>
      <c r="G334" s="13" t="str">
        <f t="shared" si="47"/>
        <v>Asset finance investments</v>
      </c>
      <c r="H334" s="638">
        <f t="shared" si="45"/>
        <v>37.547136808262529</v>
      </c>
      <c r="I334" s="24" t="s">
        <v>506</v>
      </c>
      <c r="J334" s="25" t="s">
        <v>246</v>
      </c>
      <c r="K334" s="25" t="s">
        <v>2043</v>
      </c>
      <c r="L334" s="25" t="s">
        <v>2044</v>
      </c>
      <c r="M334" s="25" t="s">
        <v>31</v>
      </c>
      <c r="N334" s="25" t="s">
        <v>31</v>
      </c>
      <c r="O334" s="25" t="s">
        <v>92</v>
      </c>
      <c r="P334" s="25" t="s">
        <v>83</v>
      </c>
      <c r="Q334" s="25" t="s">
        <v>82</v>
      </c>
      <c r="R334" s="25" t="s">
        <v>91</v>
      </c>
      <c r="S334" s="25" t="s">
        <v>126</v>
      </c>
      <c r="T334" s="25" t="s">
        <v>125</v>
      </c>
      <c r="U334" s="25" t="s">
        <v>247</v>
      </c>
      <c r="V334" s="25">
        <v>0</v>
      </c>
      <c r="W334" s="25" t="s">
        <v>553</v>
      </c>
      <c r="X334" s="25" t="s">
        <v>1752</v>
      </c>
      <c r="Y334" s="25" t="s">
        <v>1753</v>
      </c>
      <c r="Z334" s="26">
        <v>41243</v>
      </c>
      <c r="AA334" s="776">
        <v>11</v>
      </c>
      <c r="AB334" s="776">
        <v>0</v>
      </c>
      <c r="AC334" s="776">
        <v>0</v>
      </c>
      <c r="AD334" s="776">
        <v>0</v>
      </c>
      <c r="AE334" s="777">
        <v>0</v>
      </c>
      <c r="AF334" s="777">
        <v>27.5</v>
      </c>
      <c r="AG334" s="778">
        <v>37.547136808262529</v>
      </c>
    </row>
    <row r="335" spans="1:33" x14ac:dyDescent="0.2">
      <c r="A335" s="15">
        <f t="shared" si="40"/>
        <v>2012</v>
      </c>
      <c r="B335" s="14">
        <f t="shared" si="41"/>
        <v>11</v>
      </c>
      <c r="C335" s="13" t="str">
        <f t="shared" si="42"/>
        <v>Q4</v>
      </c>
      <c r="D335" s="13" t="str">
        <f t="shared" si="43"/>
        <v>2012Q4</v>
      </c>
      <c r="E335" s="13" t="str">
        <f t="shared" si="44"/>
        <v>Brazil</v>
      </c>
      <c r="F335" s="13" t="str">
        <f t="shared" si="46"/>
        <v>Small Hydro</v>
      </c>
      <c r="G335" s="13" t="str">
        <f t="shared" si="47"/>
        <v>Asset finance investments</v>
      </c>
      <c r="H335" s="638">
        <f t="shared" si="45"/>
        <v>34.133760734784119</v>
      </c>
      <c r="I335" s="24" t="s">
        <v>506</v>
      </c>
      <c r="J335" s="25" t="s">
        <v>246</v>
      </c>
      <c r="K335" s="25" t="s">
        <v>2045</v>
      </c>
      <c r="L335" s="25" t="s">
        <v>2046</v>
      </c>
      <c r="M335" s="25" t="s">
        <v>31</v>
      </c>
      <c r="N335" s="25" t="s">
        <v>31</v>
      </c>
      <c r="O335" s="25" t="s">
        <v>92</v>
      </c>
      <c r="P335" s="25" t="s">
        <v>83</v>
      </c>
      <c r="Q335" s="25" t="s">
        <v>82</v>
      </c>
      <c r="R335" s="25" t="s">
        <v>91</v>
      </c>
      <c r="S335" s="25" t="s">
        <v>125</v>
      </c>
      <c r="T335" s="25" t="s">
        <v>125</v>
      </c>
      <c r="U335" s="25" t="s">
        <v>247</v>
      </c>
      <c r="V335" s="25">
        <v>0</v>
      </c>
      <c r="W335" s="25" t="s">
        <v>2026</v>
      </c>
      <c r="X335" s="25" t="s">
        <v>1814</v>
      </c>
      <c r="Y335" s="25" t="s">
        <v>1750</v>
      </c>
      <c r="Z335" s="26">
        <v>41219</v>
      </c>
      <c r="AA335" s="776">
        <v>8.6999999999999993</v>
      </c>
      <c r="AB335" s="776">
        <v>0</v>
      </c>
      <c r="AC335" s="776">
        <v>0</v>
      </c>
      <c r="AD335" s="776">
        <v>0</v>
      </c>
      <c r="AE335" s="777">
        <v>25</v>
      </c>
      <c r="AF335" s="777">
        <v>25</v>
      </c>
      <c r="AG335" s="778">
        <v>34.133760734784119</v>
      </c>
    </row>
    <row r="336" spans="1:33" x14ac:dyDescent="0.2">
      <c r="A336" s="15">
        <f t="shared" si="40"/>
        <v>2012</v>
      </c>
      <c r="B336" s="14">
        <f t="shared" si="41"/>
        <v>12</v>
      </c>
      <c r="C336" s="13" t="str">
        <f t="shared" si="42"/>
        <v>Q4</v>
      </c>
      <c r="D336" s="13" t="str">
        <f t="shared" si="43"/>
        <v>2012Q4</v>
      </c>
      <c r="E336" s="13" t="str">
        <f t="shared" si="44"/>
        <v>Honduras</v>
      </c>
      <c r="F336" s="13" t="str">
        <f t="shared" si="46"/>
        <v>Small Hydro</v>
      </c>
      <c r="G336" s="13" t="str">
        <f t="shared" si="47"/>
        <v>Asset finance investments</v>
      </c>
      <c r="H336" s="638">
        <f t="shared" si="45"/>
        <v>33.432043853073978</v>
      </c>
      <c r="I336" s="24" t="s">
        <v>506</v>
      </c>
      <c r="J336" s="25" t="s">
        <v>246</v>
      </c>
      <c r="K336" s="25" t="s">
        <v>2047</v>
      </c>
      <c r="L336" s="25" t="s">
        <v>2048</v>
      </c>
      <c r="M336" s="25" t="s">
        <v>16</v>
      </c>
      <c r="N336" s="25" t="s">
        <v>85</v>
      </c>
      <c r="O336" s="25" t="s">
        <v>92</v>
      </c>
      <c r="P336" s="25" t="s">
        <v>83</v>
      </c>
      <c r="Q336" s="25" t="s">
        <v>82</v>
      </c>
      <c r="R336" s="25"/>
      <c r="S336" s="25" t="s">
        <v>126</v>
      </c>
      <c r="T336" s="25" t="s">
        <v>125</v>
      </c>
      <c r="U336" s="25" t="s">
        <v>247</v>
      </c>
      <c r="V336" s="25">
        <v>0</v>
      </c>
      <c r="W336" s="25" t="s">
        <v>553</v>
      </c>
      <c r="X336" s="25" t="s">
        <v>1749</v>
      </c>
      <c r="Y336" s="25" t="s">
        <v>1750</v>
      </c>
      <c r="Z336" s="26">
        <v>41274</v>
      </c>
      <c r="AA336" s="776">
        <v>21.3</v>
      </c>
      <c r="AB336" s="776">
        <v>0</v>
      </c>
      <c r="AC336" s="776">
        <v>0</v>
      </c>
      <c r="AD336" s="776">
        <v>0</v>
      </c>
      <c r="AE336" s="777">
        <v>24.4</v>
      </c>
      <c r="AF336" s="777">
        <v>24.4</v>
      </c>
      <c r="AG336" s="778">
        <v>33.432043853073978</v>
      </c>
    </row>
    <row r="337" spans="1:33" x14ac:dyDescent="0.2">
      <c r="A337" s="15">
        <f t="shared" si="40"/>
        <v>2012</v>
      </c>
      <c r="B337" s="14">
        <f t="shared" si="41"/>
        <v>10</v>
      </c>
      <c r="C337" s="13" t="str">
        <f t="shared" si="42"/>
        <v>Q4</v>
      </c>
      <c r="D337" s="13" t="str">
        <f t="shared" si="43"/>
        <v>2012Q4</v>
      </c>
      <c r="E337" s="13" t="str">
        <f t="shared" si="44"/>
        <v>Brazil</v>
      </c>
      <c r="F337" s="13" t="str">
        <f t="shared" si="46"/>
        <v>Small Hydro</v>
      </c>
      <c r="G337" s="13" t="str">
        <f t="shared" si="47"/>
        <v>Asset finance investments</v>
      </c>
      <c r="H337" s="638">
        <f t="shared" si="45"/>
        <v>32.768410305392756</v>
      </c>
      <c r="I337" s="24" t="s">
        <v>506</v>
      </c>
      <c r="J337" s="25" t="s">
        <v>246</v>
      </c>
      <c r="K337" s="25" t="s">
        <v>2049</v>
      </c>
      <c r="L337" s="25" t="s">
        <v>2050</v>
      </c>
      <c r="M337" s="25" t="s">
        <v>31</v>
      </c>
      <c r="N337" s="25" t="s">
        <v>31</v>
      </c>
      <c r="O337" s="25" t="s">
        <v>92</v>
      </c>
      <c r="P337" s="25" t="s">
        <v>83</v>
      </c>
      <c r="Q337" s="25" t="s">
        <v>82</v>
      </c>
      <c r="R337" s="25" t="s">
        <v>91</v>
      </c>
      <c r="S337" s="25" t="s">
        <v>126</v>
      </c>
      <c r="T337" s="25" t="s">
        <v>125</v>
      </c>
      <c r="U337" s="25" t="s">
        <v>247</v>
      </c>
      <c r="V337" s="25">
        <v>0</v>
      </c>
      <c r="W337" s="25" t="s">
        <v>553</v>
      </c>
      <c r="X337" s="25" t="s">
        <v>1752</v>
      </c>
      <c r="Y337" s="25" t="s">
        <v>1753</v>
      </c>
      <c r="Z337" s="26">
        <v>41212</v>
      </c>
      <c r="AA337" s="776">
        <v>9.6</v>
      </c>
      <c r="AB337" s="776">
        <v>0</v>
      </c>
      <c r="AC337" s="776">
        <v>0</v>
      </c>
      <c r="AD337" s="776">
        <v>0</v>
      </c>
      <c r="AE337" s="777">
        <v>0</v>
      </c>
      <c r="AF337" s="777">
        <v>24</v>
      </c>
      <c r="AG337" s="778">
        <v>32.768410305392756</v>
      </c>
    </row>
    <row r="338" spans="1:33" x14ac:dyDescent="0.2">
      <c r="A338" s="15">
        <f t="shared" si="40"/>
        <v>2012</v>
      </c>
      <c r="B338" s="14">
        <f t="shared" si="41"/>
        <v>12</v>
      </c>
      <c r="C338" s="13" t="str">
        <f t="shared" si="42"/>
        <v>Q4</v>
      </c>
      <c r="D338" s="13" t="str">
        <f t="shared" si="43"/>
        <v>2012Q4</v>
      </c>
      <c r="E338" s="13" t="str">
        <f t="shared" si="44"/>
        <v>Brazil</v>
      </c>
      <c r="F338" s="13" t="str">
        <f t="shared" si="46"/>
        <v>Wind</v>
      </c>
      <c r="G338" s="13" t="str">
        <f t="shared" si="47"/>
        <v>Asset finance investments</v>
      </c>
      <c r="H338" s="638">
        <f t="shared" si="45"/>
        <v>28.233977678676737</v>
      </c>
      <c r="I338" s="24" t="s">
        <v>506</v>
      </c>
      <c r="J338" s="25" t="s">
        <v>246</v>
      </c>
      <c r="K338" s="25" t="s">
        <v>2051</v>
      </c>
      <c r="L338" s="25" t="s">
        <v>2052</v>
      </c>
      <c r="M338" s="25" t="s">
        <v>31</v>
      </c>
      <c r="N338" s="25" t="s">
        <v>31</v>
      </c>
      <c r="O338" s="25" t="s">
        <v>92</v>
      </c>
      <c r="P338" s="25" t="s">
        <v>83</v>
      </c>
      <c r="Q338" s="25" t="s">
        <v>82</v>
      </c>
      <c r="R338" s="25" t="s">
        <v>91</v>
      </c>
      <c r="S338" s="25" t="s">
        <v>101</v>
      </c>
      <c r="T338" s="25" t="s">
        <v>101</v>
      </c>
      <c r="U338" s="25" t="s">
        <v>112</v>
      </c>
      <c r="V338" s="25">
        <v>0</v>
      </c>
      <c r="W338" s="25" t="s">
        <v>2026</v>
      </c>
      <c r="X338" s="25" t="s">
        <v>1814</v>
      </c>
      <c r="Y338" s="25" t="s">
        <v>1750</v>
      </c>
      <c r="Z338" s="26">
        <v>41254</v>
      </c>
      <c r="AA338" s="776">
        <v>30</v>
      </c>
      <c r="AB338" s="776">
        <v>0</v>
      </c>
      <c r="AC338" s="776">
        <v>0</v>
      </c>
      <c r="AD338" s="776">
        <v>0</v>
      </c>
      <c r="AE338" s="777">
        <v>19.899999999999999</v>
      </c>
      <c r="AF338" s="777">
        <v>19.899999999999999</v>
      </c>
      <c r="AG338" s="778">
        <v>28.233977678676737</v>
      </c>
    </row>
    <row r="339" spans="1:33" x14ac:dyDescent="0.2">
      <c r="A339" s="15">
        <f t="shared" si="40"/>
        <v>2012</v>
      </c>
      <c r="B339" s="14">
        <f t="shared" si="41"/>
        <v>12</v>
      </c>
      <c r="C339" s="13" t="str">
        <f t="shared" si="42"/>
        <v>Q4</v>
      </c>
      <c r="D339" s="13" t="str">
        <f t="shared" si="43"/>
        <v>2012Q4</v>
      </c>
      <c r="E339" s="13" t="str">
        <f t="shared" si="44"/>
        <v>Brazil</v>
      </c>
      <c r="F339" s="13" t="str">
        <f t="shared" si="46"/>
        <v>Solar</v>
      </c>
      <c r="G339" s="13" t="str">
        <f t="shared" si="47"/>
        <v>Asset finance investments</v>
      </c>
      <c r="H339" s="638">
        <f t="shared" si="45"/>
        <v>28.794682144307135</v>
      </c>
      <c r="I339" s="24" t="s">
        <v>506</v>
      </c>
      <c r="J339" s="25" t="s">
        <v>246</v>
      </c>
      <c r="K339" s="25" t="s">
        <v>2053</v>
      </c>
      <c r="L339" s="25" t="s">
        <v>2054</v>
      </c>
      <c r="M339" s="25" t="s">
        <v>31</v>
      </c>
      <c r="N339" s="25" t="s">
        <v>31</v>
      </c>
      <c r="O339" s="25" t="s">
        <v>92</v>
      </c>
      <c r="P339" s="25" t="s">
        <v>83</v>
      </c>
      <c r="Q339" s="25" t="s">
        <v>82</v>
      </c>
      <c r="R339" s="25" t="s">
        <v>91</v>
      </c>
      <c r="S339" s="25" t="s">
        <v>80</v>
      </c>
      <c r="T339" s="25" t="s">
        <v>80</v>
      </c>
      <c r="U339" s="25" t="s">
        <v>181</v>
      </c>
      <c r="V339" s="25">
        <v>0</v>
      </c>
      <c r="W339" s="25" t="s">
        <v>553</v>
      </c>
      <c r="X339" s="25" t="s">
        <v>1752</v>
      </c>
      <c r="Y339" s="25" t="s">
        <v>1753</v>
      </c>
      <c r="Z339" s="26">
        <v>41257</v>
      </c>
      <c r="AA339" s="776">
        <v>2.6</v>
      </c>
      <c r="AB339" s="776">
        <v>0</v>
      </c>
      <c r="AC339" s="776">
        <v>0</v>
      </c>
      <c r="AD339" s="776">
        <v>0</v>
      </c>
      <c r="AE339" s="777">
        <v>18.63</v>
      </c>
      <c r="AF339" s="777">
        <v>18.63</v>
      </c>
      <c r="AG339" s="778">
        <v>28.794682144307135</v>
      </c>
    </row>
    <row r="340" spans="1:33" x14ac:dyDescent="0.2">
      <c r="A340" s="15">
        <f t="shared" si="40"/>
        <v>2012</v>
      </c>
      <c r="B340" s="14">
        <f t="shared" si="41"/>
        <v>11</v>
      </c>
      <c r="C340" s="13" t="str">
        <f t="shared" si="42"/>
        <v>Q4</v>
      </c>
      <c r="D340" s="13" t="str">
        <f t="shared" si="43"/>
        <v>2012Q4</v>
      </c>
      <c r="E340" s="13" t="str">
        <f t="shared" si="44"/>
        <v>Chile</v>
      </c>
      <c r="F340" s="13" t="str">
        <f t="shared" si="46"/>
        <v>Biomass &amp; Waste</v>
      </c>
      <c r="G340" s="13" t="str">
        <f t="shared" si="47"/>
        <v>Asset finance investments</v>
      </c>
      <c r="H340" s="638">
        <f t="shared" si="45"/>
        <v>22.477863088340623</v>
      </c>
      <c r="I340" s="24" t="s">
        <v>506</v>
      </c>
      <c r="J340" s="25" t="s">
        <v>246</v>
      </c>
      <c r="K340" s="25" t="s">
        <v>2055</v>
      </c>
      <c r="L340" s="25" t="s">
        <v>2056</v>
      </c>
      <c r="M340" s="25" t="s">
        <v>8</v>
      </c>
      <c r="N340" s="25" t="s">
        <v>85</v>
      </c>
      <c r="O340" s="25" t="s">
        <v>92</v>
      </c>
      <c r="P340" s="25" t="s">
        <v>83</v>
      </c>
      <c r="Q340" s="25" t="s">
        <v>129</v>
      </c>
      <c r="R340" s="25"/>
      <c r="S340" s="25" t="s">
        <v>114</v>
      </c>
      <c r="T340" s="25" t="s">
        <v>114</v>
      </c>
      <c r="U340" s="25" t="s">
        <v>113</v>
      </c>
      <c r="V340" s="25" t="s">
        <v>347</v>
      </c>
      <c r="W340" s="25" t="s">
        <v>553</v>
      </c>
      <c r="X340" s="25" t="s">
        <v>1752</v>
      </c>
      <c r="Y340" s="25" t="s">
        <v>1753</v>
      </c>
      <c r="Z340" s="26">
        <v>41240</v>
      </c>
      <c r="AA340" s="776">
        <v>7</v>
      </c>
      <c r="AB340" s="776">
        <v>0</v>
      </c>
      <c r="AC340" s="776">
        <v>0</v>
      </c>
      <c r="AD340" s="776">
        <v>0</v>
      </c>
      <c r="AE340" s="777">
        <v>15</v>
      </c>
      <c r="AF340" s="777">
        <v>15</v>
      </c>
      <c r="AG340" s="778">
        <v>22.477863088340623</v>
      </c>
    </row>
    <row r="341" spans="1:33" x14ac:dyDescent="0.2">
      <c r="A341" s="15">
        <f t="shared" si="40"/>
        <v>2012</v>
      </c>
      <c r="B341" s="14">
        <f t="shared" si="41"/>
        <v>12</v>
      </c>
      <c r="C341" s="13" t="str">
        <f t="shared" si="42"/>
        <v>Q4</v>
      </c>
      <c r="D341" s="13" t="str">
        <f t="shared" si="43"/>
        <v>2012Q4</v>
      </c>
      <c r="E341" s="13" t="str">
        <f t="shared" si="44"/>
        <v>Argentina</v>
      </c>
      <c r="F341" s="13" t="str">
        <f t="shared" si="46"/>
        <v>Solar</v>
      </c>
      <c r="G341" s="13" t="str">
        <f t="shared" si="47"/>
        <v>Asset finance investments</v>
      </c>
      <c r="H341" s="638">
        <f t="shared" si="45"/>
        <v>23.320124801654369</v>
      </c>
      <c r="I341" s="24" t="s">
        <v>506</v>
      </c>
      <c r="J341" s="25" t="s">
        <v>246</v>
      </c>
      <c r="K341" s="25" t="s">
        <v>2057</v>
      </c>
      <c r="L341" s="25" t="s">
        <v>2058</v>
      </c>
      <c r="M341" s="25" t="s">
        <v>4</v>
      </c>
      <c r="N341" s="25" t="s">
        <v>85</v>
      </c>
      <c r="O341" s="25" t="s">
        <v>92</v>
      </c>
      <c r="P341" s="25" t="s">
        <v>83</v>
      </c>
      <c r="Q341" s="25" t="s">
        <v>82</v>
      </c>
      <c r="R341" s="25"/>
      <c r="S341" s="25" t="s">
        <v>80</v>
      </c>
      <c r="T341" s="25" t="s">
        <v>80</v>
      </c>
      <c r="U341" s="25" t="s">
        <v>181</v>
      </c>
      <c r="V341" s="25">
        <v>0</v>
      </c>
      <c r="W341" s="25" t="s">
        <v>553</v>
      </c>
      <c r="X341" s="25" t="s">
        <v>1749</v>
      </c>
      <c r="Y341" s="25" t="s">
        <v>1750</v>
      </c>
      <c r="Z341" s="26">
        <v>41263</v>
      </c>
      <c r="AA341" s="776">
        <v>3</v>
      </c>
      <c r="AB341" s="776">
        <v>0</v>
      </c>
      <c r="AC341" s="776">
        <v>0</v>
      </c>
      <c r="AD341" s="776">
        <v>0</v>
      </c>
      <c r="AE341" s="777">
        <v>15</v>
      </c>
      <c r="AF341" s="777">
        <v>15</v>
      </c>
      <c r="AG341" s="778">
        <v>23.320124801654369</v>
      </c>
    </row>
    <row r="342" spans="1:33" x14ac:dyDescent="0.2">
      <c r="A342" s="15">
        <f t="shared" si="40"/>
        <v>2012</v>
      </c>
      <c r="B342" s="14">
        <f t="shared" si="41"/>
        <v>12</v>
      </c>
      <c r="C342" s="13" t="str">
        <f t="shared" si="42"/>
        <v>Q4</v>
      </c>
      <c r="D342" s="13" t="str">
        <f t="shared" si="43"/>
        <v>2012Q4</v>
      </c>
      <c r="E342" s="13" t="str">
        <f t="shared" si="44"/>
        <v>Peru</v>
      </c>
      <c r="F342" s="13" t="str">
        <f t="shared" si="46"/>
        <v>Small Hydro</v>
      </c>
      <c r="G342" s="13" t="str">
        <f t="shared" si="47"/>
        <v>Asset finance investments</v>
      </c>
      <c r="H342" s="638">
        <f t="shared" si="45"/>
        <v>15.071823048516958</v>
      </c>
      <c r="I342" s="24" t="s">
        <v>506</v>
      </c>
      <c r="J342" s="25" t="s">
        <v>246</v>
      </c>
      <c r="K342" s="25" t="s">
        <v>2059</v>
      </c>
      <c r="L342" s="25" t="s">
        <v>2060</v>
      </c>
      <c r="M342" s="25" t="s">
        <v>20</v>
      </c>
      <c r="N342" s="25" t="s">
        <v>85</v>
      </c>
      <c r="O342" s="25" t="s">
        <v>92</v>
      </c>
      <c r="P342" s="25" t="s">
        <v>83</v>
      </c>
      <c r="Q342" s="25" t="s">
        <v>82</v>
      </c>
      <c r="R342" s="25"/>
      <c r="S342" s="25" t="s">
        <v>126</v>
      </c>
      <c r="T342" s="25" t="s">
        <v>125</v>
      </c>
      <c r="U342" s="25" t="s">
        <v>247</v>
      </c>
      <c r="V342" s="25">
        <v>0</v>
      </c>
      <c r="W342" s="25" t="s">
        <v>553</v>
      </c>
      <c r="X342" s="25" t="s">
        <v>1749</v>
      </c>
      <c r="Y342" s="25" t="s">
        <v>1750</v>
      </c>
      <c r="Z342" s="26">
        <v>41248</v>
      </c>
      <c r="AA342" s="776">
        <v>5.26</v>
      </c>
      <c r="AB342" s="776">
        <v>0</v>
      </c>
      <c r="AC342" s="776">
        <v>0</v>
      </c>
      <c r="AD342" s="776">
        <v>0</v>
      </c>
      <c r="AE342" s="777">
        <v>11</v>
      </c>
      <c r="AF342" s="777">
        <v>11</v>
      </c>
      <c r="AG342" s="778">
        <v>15.071823048516958</v>
      </c>
    </row>
    <row r="343" spans="1:33" x14ac:dyDescent="0.2">
      <c r="A343" s="15">
        <f t="shared" si="40"/>
        <v>2012</v>
      </c>
      <c r="B343" s="14">
        <f t="shared" si="41"/>
        <v>12</v>
      </c>
      <c r="C343" s="13" t="str">
        <f t="shared" si="42"/>
        <v>Q4</v>
      </c>
      <c r="D343" s="13" t="str">
        <f t="shared" si="43"/>
        <v>2012Q4</v>
      </c>
      <c r="E343" s="13" t="str">
        <f t="shared" si="44"/>
        <v>Argentina</v>
      </c>
      <c r="F343" s="13" t="str">
        <f t="shared" si="46"/>
        <v>Solar</v>
      </c>
      <c r="G343" s="13" t="str">
        <f t="shared" si="47"/>
        <v>Asset finance investments</v>
      </c>
      <c r="H343" s="638">
        <f t="shared" si="45"/>
        <v>15.546749867769581</v>
      </c>
      <c r="I343" s="24" t="s">
        <v>506</v>
      </c>
      <c r="J343" s="25" t="s">
        <v>246</v>
      </c>
      <c r="K343" s="25" t="s">
        <v>2061</v>
      </c>
      <c r="L343" s="25" t="s">
        <v>2062</v>
      </c>
      <c r="M343" s="25" t="s">
        <v>4</v>
      </c>
      <c r="N343" s="25" t="s">
        <v>85</v>
      </c>
      <c r="O343" s="25" t="s">
        <v>92</v>
      </c>
      <c r="P343" s="25" t="s">
        <v>83</v>
      </c>
      <c r="Q343" s="25" t="s">
        <v>82</v>
      </c>
      <c r="R343" s="25"/>
      <c r="S343" s="25" t="s">
        <v>80</v>
      </c>
      <c r="T343" s="25" t="s">
        <v>80</v>
      </c>
      <c r="U343" s="25" t="s">
        <v>181</v>
      </c>
      <c r="V343" s="25">
        <v>0</v>
      </c>
      <c r="W343" s="25" t="s">
        <v>553</v>
      </c>
      <c r="X343" s="25" t="s">
        <v>1749</v>
      </c>
      <c r="Y343" s="25" t="s">
        <v>1750</v>
      </c>
      <c r="Z343" s="26">
        <v>41263</v>
      </c>
      <c r="AA343" s="776">
        <v>2</v>
      </c>
      <c r="AB343" s="776">
        <v>0</v>
      </c>
      <c r="AC343" s="776">
        <v>0</v>
      </c>
      <c r="AD343" s="776">
        <v>0</v>
      </c>
      <c r="AE343" s="777">
        <v>10</v>
      </c>
      <c r="AF343" s="777">
        <v>10</v>
      </c>
      <c r="AG343" s="778">
        <v>15.546749867769581</v>
      </c>
    </row>
    <row r="344" spans="1:33" x14ac:dyDescent="0.2">
      <c r="A344" s="15">
        <f t="shared" si="40"/>
        <v>2012</v>
      </c>
      <c r="B344" s="14">
        <f t="shared" si="41"/>
        <v>12</v>
      </c>
      <c r="C344" s="13" t="str">
        <f t="shared" si="42"/>
        <v>Q4</v>
      </c>
      <c r="D344" s="13" t="str">
        <f t="shared" si="43"/>
        <v>2012Q4</v>
      </c>
      <c r="E344" s="13" t="str">
        <f t="shared" si="44"/>
        <v>Chile</v>
      </c>
      <c r="F344" s="13" t="str">
        <f t="shared" si="46"/>
        <v>Solar</v>
      </c>
      <c r="G344" s="13" t="str">
        <f t="shared" si="47"/>
        <v>Asset finance investments</v>
      </c>
      <c r="H344" s="638">
        <f t="shared" si="45"/>
        <v>12.255412156412234</v>
      </c>
      <c r="I344" s="24" t="s">
        <v>506</v>
      </c>
      <c r="J344" s="25" t="s">
        <v>246</v>
      </c>
      <c r="K344" s="25" t="s">
        <v>2063</v>
      </c>
      <c r="L344" s="25" t="s">
        <v>2064</v>
      </c>
      <c r="M344" s="25" t="s">
        <v>8</v>
      </c>
      <c r="N344" s="25" t="s">
        <v>85</v>
      </c>
      <c r="O344" s="25" t="s">
        <v>92</v>
      </c>
      <c r="P344" s="25" t="s">
        <v>83</v>
      </c>
      <c r="Q344" s="25" t="s">
        <v>129</v>
      </c>
      <c r="R344" s="25"/>
      <c r="S344" s="25" t="s">
        <v>80</v>
      </c>
      <c r="T344" s="25" t="s">
        <v>80</v>
      </c>
      <c r="U344" s="25" t="s">
        <v>181</v>
      </c>
      <c r="V344" s="25" t="s">
        <v>232</v>
      </c>
      <c r="W344" s="25" t="s">
        <v>553</v>
      </c>
      <c r="X344" s="25" t="s">
        <v>1752</v>
      </c>
      <c r="Y344" s="25" t="s">
        <v>1753</v>
      </c>
      <c r="Z344" s="26">
        <v>41263</v>
      </c>
      <c r="AA344" s="776">
        <v>2</v>
      </c>
      <c r="AB344" s="776">
        <v>0</v>
      </c>
      <c r="AC344" s="776">
        <v>0</v>
      </c>
      <c r="AD344" s="776">
        <v>0</v>
      </c>
      <c r="AE344" s="777">
        <v>0</v>
      </c>
      <c r="AF344" s="777">
        <v>8</v>
      </c>
      <c r="AG344" s="778">
        <v>12.255412156412234</v>
      </c>
    </row>
    <row r="345" spans="1:33" x14ac:dyDescent="0.2">
      <c r="A345" s="15">
        <f t="shared" si="40"/>
        <v>2012</v>
      </c>
      <c r="B345" s="14">
        <f t="shared" si="41"/>
        <v>11</v>
      </c>
      <c r="C345" s="13" t="str">
        <f t="shared" si="42"/>
        <v>Q4</v>
      </c>
      <c r="D345" s="13" t="str">
        <f t="shared" si="43"/>
        <v>2012Q4</v>
      </c>
      <c r="E345" s="13" t="str">
        <f t="shared" si="44"/>
        <v>Brazil</v>
      </c>
      <c r="F345" s="13" t="str">
        <f t="shared" si="46"/>
        <v>Small Hydro</v>
      </c>
      <c r="G345" s="13" t="str">
        <f t="shared" si="47"/>
        <v>Asset finance investments</v>
      </c>
      <c r="H345" s="638">
        <f t="shared" si="45"/>
        <v>10.786268392191783</v>
      </c>
      <c r="I345" s="24" t="s">
        <v>506</v>
      </c>
      <c r="J345" s="25" t="s">
        <v>246</v>
      </c>
      <c r="K345" s="25" t="s">
        <v>2065</v>
      </c>
      <c r="L345" s="25" t="s">
        <v>2066</v>
      </c>
      <c r="M345" s="25" t="s">
        <v>31</v>
      </c>
      <c r="N345" s="25" t="s">
        <v>31</v>
      </c>
      <c r="O345" s="25" t="s">
        <v>92</v>
      </c>
      <c r="P345" s="25" t="s">
        <v>83</v>
      </c>
      <c r="Q345" s="25" t="s">
        <v>82</v>
      </c>
      <c r="R345" s="25" t="s">
        <v>91</v>
      </c>
      <c r="S345" s="25" t="s">
        <v>126</v>
      </c>
      <c r="T345" s="25" t="s">
        <v>125</v>
      </c>
      <c r="U345" s="25" t="s">
        <v>247</v>
      </c>
      <c r="V345" s="25">
        <v>0</v>
      </c>
      <c r="W345" s="25" t="s">
        <v>553</v>
      </c>
      <c r="X345" s="25" t="s">
        <v>1752</v>
      </c>
      <c r="Y345" s="25" t="s">
        <v>1753</v>
      </c>
      <c r="Z345" s="26">
        <v>41243</v>
      </c>
      <c r="AA345" s="776">
        <v>3.13</v>
      </c>
      <c r="AB345" s="776">
        <v>0</v>
      </c>
      <c r="AC345" s="776">
        <v>0</v>
      </c>
      <c r="AD345" s="776">
        <v>0</v>
      </c>
      <c r="AE345" s="777">
        <v>0</v>
      </c>
      <c r="AF345" s="777">
        <v>7.9</v>
      </c>
      <c r="AG345" s="778">
        <v>10.786268392191783</v>
      </c>
    </row>
    <row r="346" spans="1:33" x14ac:dyDescent="0.2">
      <c r="A346" s="15">
        <f t="shared" si="40"/>
        <v>2012</v>
      </c>
      <c r="B346" s="14">
        <f t="shared" si="41"/>
        <v>10</v>
      </c>
      <c r="C346" s="13" t="str">
        <f t="shared" si="42"/>
        <v>Q4</v>
      </c>
      <c r="D346" s="13" t="str">
        <f t="shared" si="43"/>
        <v>2012Q4</v>
      </c>
      <c r="E346" s="13" t="str">
        <f t="shared" si="44"/>
        <v>Brazil</v>
      </c>
      <c r="F346" s="13" t="str">
        <f t="shared" si="46"/>
        <v>Small Hydro</v>
      </c>
      <c r="G346" s="13" t="str">
        <f t="shared" si="47"/>
        <v>Asset finance investments</v>
      </c>
      <c r="H346" s="638">
        <f t="shared" si="45"/>
        <v>9.1478478769221443</v>
      </c>
      <c r="I346" s="24" t="s">
        <v>506</v>
      </c>
      <c r="J346" s="25" t="s">
        <v>246</v>
      </c>
      <c r="K346" s="25" t="s">
        <v>2067</v>
      </c>
      <c r="L346" s="25" t="s">
        <v>2068</v>
      </c>
      <c r="M346" s="25" t="s">
        <v>31</v>
      </c>
      <c r="N346" s="25" t="s">
        <v>31</v>
      </c>
      <c r="O346" s="25" t="s">
        <v>92</v>
      </c>
      <c r="P346" s="25" t="s">
        <v>83</v>
      </c>
      <c r="Q346" s="25" t="s">
        <v>82</v>
      </c>
      <c r="R346" s="25" t="s">
        <v>91</v>
      </c>
      <c r="S346" s="25" t="s">
        <v>126</v>
      </c>
      <c r="T346" s="25" t="s">
        <v>125</v>
      </c>
      <c r="U346" s="25" t="s">
        <v>247</v>
      </c>
      <c r="V346" s="25">
        <v>0</v>
      </c>
      <c r="W346" s="25" t="s">
        <v>553</v>
      </c>
      <c r="X346" s="25" t="s">
        <v>1749</v>
      </c>
      <c r="Y346" s="25" t="s">
        <v>1750</v>
      </c>
      <c r="Z346" s="26">
        <v>41212</v>
      </c>
      <c r="AA346" s="776">
        <v>2.25</v>
      </c>
      <c r="AB346" s="776">
        <v>0</v>
      </c>
      <c r="AC346" s="776">
        <v>0</v>
      </c>
      <c r="AD346" s="776">
        <v>0</v>
      </c>
      <c r="AE346" s="777">
        <v>0</v>
      </c>
      <c r="AF346" s="777">
        <v>6.7</v>
      </c>
      <c r="AG346" s="778">
        <v>9.1478478769221443</v>
      </c>
    </row>
    <row r="347" spans="1:33" x14ac:dyDescent="0.2">
      <c r="A347" s="15">
        <f t="shared" si="40"/>
        <v>2011</v>
      </c>
      <c r="B347" s="14">
        <f t="shared" si="41"/>
        <v>12</v>
      </c>
      <c r="C347" s="13" t="str">
        <f t="shared" si="42"/>
        <v>Q4</v>
      </c>
      <c r="D347" s="13" t="str">
        <f t="shared" si="43"/>
        <v>2011Q4</v>
      </c>
      <c r="E347" s="13" t="str">
        <f t="shared" si="44"/>
        <v>Brazil</v>
      </c>
      <c r="F347" s="13" t="str">
        <f t="shared" si="46"/>
        <v>Wind</v>
      </c>
      <c r="G347" s="13" t="str">
        <f t="shared" si="47"/>
        <v>Asset finance investments</v>
      </c>
      <c r="H347" s="638">
        <f t="shared" si="45"/>
        <v>440.43245908028359</v>
      </c>
      <c r="I347" s="24" t="s">
        <v>506</v>
      </c>
      <c r="J347" s="25" t="s">
        <v>246</v>
      </c>
      <c r="K347" s="25" t="s">
        <v>2069</v>
      </c>
      <c r="L347" s="25" t="s">
        <v>701</v>
      </c>
      <c r="M347" s="25" t="s">
        <v>31</v>
      </c>
      <c r="N347" s="25" t="s">
        <v>31</v>
      </c>
      <c r="O347" s="25" t="s">
        <v>92</v>
      </c>
      <c r="P347" s="25" t="s">
        <v>83</v>
      </c>
      <c r="Q347" s="25" t="s">
        <v>82</v>
      </c>
      <c r="R347" s="25" t="s">
        <v>91</v>
      </c>
      <c r="S347" s="25" t="s">
        <v>101</v>
      </c>
      <c r="T347" s="25" t="s">
        <v>101</v>
      </c>
      <c r="U347" s="25" t="s">
        <v>112</v>
      </c>
      <c r="V347" s="25">
        <v>0</v>
      </c>
      <c r="W347" s="25" t="s">
        <v>553</v>
      </c>
      <c r="X347" s="25" t="s">
        <v>1749</v>
      </c>
      <c r="Y347" s="25" t="s">
        <v>1750</v>
      </c>
      <c r="Z347" s="26">
        <v>40890</v>
      </c>
      <c r="AA347" s="776">
        <v>169.6</v>
      </c>
      <c r="AB347" s="776">
        <v>0</v>
      </c>
      <c r="AC347" s="776">
        <v>0</v>
      </c>
      <c r="AD347" s="776">
        <v>0</v>
      </c>
      <c r="AE347" s="777">
        <v>404.7</v>
      </c>
      <c r="AF347" s="777">
        <v>404.7</v>
      </c>
      <c r="AG347" s="778">
        <v>440.43245908028359</v>
      </c>
    </row>
    <row r="348" spans="1:33" x14ac:dyDescent="0.2">
      <c r="A348" s="15">
        <f t="shared" si="40"/>
        <v>2011</v>
      </c>
      <c r="B348" s="14">
        <f t="shared" si="41"/>
        <v>12</v>
      </c>
      <c r="C348" s="13" t="str">
        <f t="shared" si="42"/>
        <v>Q4</v>
      </c>
      <c r="D348" s="13" t="str">
        <f t="shared" si="43"/>
        <v>2011Q4</v>
      </c>
      <c r="E348" s="13" t="str">
        <f t="shared" si="44"/>
        <v>Brazil</v>
      </c>
      <c r="F348" s="13" t="str">
        <f t="shared" si="46"/>
        <v>Wind</v>
      </c>
      <c r="G348" s="13" t="str">
        <f t="shared" si="47"/>
        <v>Asset finance investments</v>
      </c>
      <c r="H348" s="638">
        <f t="shared" si="45"/>
        <v>348.90695918245348</v>
      </c>
      <c r="I348" s="24" t="s">
        <v>506</v>
      </c>
      <c r="J348" s="25" t="s">
        <v>246</v>
      </c>
      <c r="K348" s="25" t="s">
        <v>2070</v>
      </c>
      <c r="L348" s="25" t="s">
        <v>699</v>
      </c>
      <c r="M348" s="25" t="s">
        <v>31</v>
      </c>
      <c r="N348" s="25" t="s">
        <v>31</v>
      </c>
      <c r="O348" s="25" t="s">
        <v>92</v>
      </c>
      <c r="P348" s="25" t="s">
        <v>83</v>
      </c>
      <c r="Q348" s="25" t="s">
        <v>82</v>
      </c>
      <c r="R348" s="25" t="s">
        <v>91</v>
      </c>
      <c r="S348" s="25" t="s">
        <v>101</v>
      </c>
      <c r="T348" s="25" t="s">
        <v>101</v>
      </c>
      <c r="U348" s="25" t="s">
        <v>112</v>
      </c>
      <c r="V348" s="25">
        <v>0</v>
      </c>
      <c r="W348" s="25" t="s">
        <v>553</v>
      </c>
      <c r="X348" s="25" t="s">
        <v>1749</v>
      </c>
      <c r="Y348" s="25" t="s">
        <v>1750</v>
      </c>
      <c r="Z348" s="26">
        <v>40890</v>
      </c>
      <c r="AA348" s="776">
        <v>150</v>
      </c>
      <c r="AB348" s="776">
        <v>0</v>
      </c>
      <c r="AC348" s="776">
        <v>0</v>
      </c>
      <c r="AD348" s="776">
        <v>0</v>
      </c>
      <c r="AE348" s="777">
        <v>320.60000000000002</v>
      </c>
      <c r="AF348" s="777">
        <v>320.60000000000002</v>
      </c>
      <c r="AG348" s="778">
        <v>348.90695918245348</v>
      </c>
    </row>
    <row r="349" spans="1:33" x14ac:dyDescent="0.2">
      <c r="A349" s="15">
        <f t="shared" si="40"/>
        <v>2011</v>
      </c>
      <c r="B349" s="14">
        <f t="shared" si="41"/>
        <v>10</v>
      </c>
      <c r="C349" s="13" t="str">
        <f t="shared" si="42"/>
        <v>Q4</v>
      </c>
      <c r="D349" s="13" t="str">
        <f t="shared" si="43"/>
        <v>2011Q4</v>
      </c>
      <c r="E349" s="13" t="str">
        <f t="shared" si="44"/>
        <v>Brazil</v>
      </c>
      <c r="F349" s="13" t="str">
        <f t="shared" si="46"/>
        <v>Wind</v>
      </c>
      <c r="G349" s="13" t="str">
        <f t="shared" si="47"/>
        <v>Asset finance investments</v>
      </c>
      <c r="H349" s="638">
        <f t="shared" si="45"/>
        <v>247.91330412277887</v>
      </c>
      <c r="I349" s="24" t="s">
        <v>506</v>
      </c>
      <c r="J349" s="25" t="s">
        <v>246</v>
      </c>
      <c r="K349" s="25" t="s">
        <v>2071</v>
      </c>
      <c r="L349" s="25" t="s">
        <v>718</v>
      </c>
      <c r="M349" s="25" t="s">
        <v>31</v>
      </c>
      <c r="N349" s="25" t="s">
        <v>31</v>
      </c>
      <c r="O349" s="25" t="s">
        <v>92</v>
      </c>
      <c r="P349" s="25" t="s">
        <v>83</v>
      </c>
      <c r="Q349" s="25" t="s">
        <v>82</v>
      </c>
      <c r="R349" s="25" t="s">
        <v>91</v>
      </c>
      <c r="S349" s="25" t="s">
        <v>101</v>
      </c>
      <c r="T349" s="25" t="s">
        <v>101</v>
      </c>
      <c r="U349" s="25" t="s">
        <v>112</v>
      </c>
      <c r="V349" s="25">
        <v>0</v>
      </c>
      <c r="W349" s="25" t="s">
        <v>553</v>
      </c>
      <c r="X349" s="25" t="s">
        <v>1749</v>
      </c>
      <c r="Y349" s="25" t="s">
        <v>1750</v>
      </c>
      <c r="Z349" s="26">
        <v>40820</v>
      </c>
      <c r="AA349" s="776">
        <v>99.2</v>
      </c>
      <c r="AB349" s="776">
        <v>0</v>
      </c>
      <c r="AC349" s="776">
        <v>0</v>
      </c>
      <c r="AD349" s="776">
        <v>0</v>
      </c>
      <c r="AE349" s="777">
        <v>227.8</v>
      </c>
      <c r="AF349" s="777">
        <v>227.8</v>
      </c>
      <c r="AG349" s="778">
        <v>247.91330412277887</v>
      </c>
    </row>
    <row r="350" spans="1:33" x14ac:dyDescent="0.2">
      <c r="A350" s="15">
        <f t="shared" si="40"/>
        <v>2011</v>
      </c>
      <c r="B350" s="14">
        <f t="shared" si="41"/>
        <v>12</v>
      </c>
      <c r="C350" s="13" t="str">
        <f t="shared" si="42"/>
        <v>Q4</v>
      </c>
      <c r="D350" s="13" t="str">
        <f t="shared" si="43"/>
        <v>2011Q4</v>
      </c>
      <c r="E350" s="13" t="str">
        <f t="shared" si="44"/>
        <v>Brazil</v>
      </c>
      <c r="F350" s="13" t="str">
        <f t="shared" si="46"/>
        <v>Biofuels</v>
      </c>
      <c r="G350" s="13" t="str">
        <f t="shared" si="47"/>
        <v>Asset finance investments</v>
      </c>
      <c r="H350" s="638">
        <f t="shared" si="45"/>
        <v>239.42461328802173</v>
      </c>
      <c r="I350" s="24" t="s">
        <v>506</v>
      </c>
      <c r="J350" s="25" t="s">
        <v>246</v>
      </c>
      <c r="K350" s="25" t="s">
        <v>2072</v>
      </c>
      <c r="L350" s="25" t="s">
        <v>2073</v>
      </c>
      <c r="M350" s="25" t="s">
        <v>31</v>
      </c>
      <c r="N350" s="25" t="s">
        <v>31</v>
      </c>
      <c r="O350" s="25" t="s">
        <v>92</v>
      </c>
      <c r="P350" s="25" t="s">
        <v>83</v>
      </c>
      <c r="Q350" s="25" t="s">
        <v>82</v>
      </c>
      <c r="R350" s="25" t="s">
        <v>91</v>
      </c>
      <c r="S350" s="25" t="s">
        <v>96</v>
      </c>
      <c r="T350" s="25" t="s">
        <v>96</v>
      </c>
      <c r="U350" s="25" t="s">
        <v>98</v>
      </c>
      <c r="V350" s="25" t="s">
        <v>230</v>
      </c>
      <c r="W350" s="25" t="s">
        <v>553</v>
      </c>
      <c r="X350" s="25" t="s">
        <v>1752</v>
      </c>
      <c r="Y350" s="25" t="s">
        <v>1753</v>
      </c>
      <c r="Z350" s="26">
        <v>40908</v>
      </c>
      <c r="AA350" s="776">
        <v>40</v>
      </c>
      <c r="AB350" s="776">
        <v>170</v>
      </c>
      <c r="AC350" s="776">
        <v>0</v>
      </c>
      <c r="AD350" s="776">
        <v>0</v>
      </c>
      <c r="AE350" s="777">
        <v>0</v>
      </c>
      <c r="AF350" s="777">
        <v>220</v>
      </c>
      <c r="AG350" s="778">
        <v>239.42461328802173</v>
      </c>
    </row>
    <row r="351" spans="1:33" x14ac:dyDescent="0.2">
      <c r="A351" s="15">
        <f t="shared" si="40"/>
        <v>2011</v>
      </c>
      <c r="B351" s="14">
        <f t="shared" si="41"/>
        <v>12</v>
      </c>
      <c r="C351" s="13" t="str">
        <f t="shared" si="42"/>
        <v>Q4</v>
      </c>
      <c r="D351" s="13" t="str">
        <f t="shared" si="43"/>
        <v>2011Q4</v>
      </c>
      <c r="E351" s="13" t="str">
        <f t="shared" si="44"/>
        <v>Brazil</v>
      </c>
      <c r="F351" s="13" t="str">
        <f t="shared" si="46"/>
        <v>Wind</v>
      </c>
      <c r="G351" s="13" t="str">
        <f t="shared" si="47"/>
        <v>Asset finance investments</v>
      </c>
      <c r="H351" s="638">
        <f t="shared" si="45"/>
        <v>235.94207345837779</v>
      </c>
      <c r="I351" s="24" t="s">
        <v>506</v>
      </c>
      <c r="J351" s="25" t="s">
        <v>246</v>
      </c>
      <c r="K351" s="25" t="s">
        <v>2074</v>
      </c>
      <c r="L351" s="25" t="s">
        <v>776</v>
      </c>
      <c r="M351" s="25" t="s">
        <v>31</v>
      </c>
      <c r="N351" s="25" t="s">
        <v>31</v>
      </c>
      <c r="O351" s="25" t="s">
        <v>92</v>
      </c>
      <c r="P351" s="25" t="s">
        <v>83</v>
      </c>
      <c r="Q351" s="25" t="s">
        <v>82</v>
      </c>
      <c r="R351" s="25" t="s">
        <v>91</v>
      </c>
      <c r="S351" s="25" t="s">
        <v>101</v>
      </c>
      <c r="T351" s="25" t="s">
        <v>101</v>
      </c>
      <c r="U351" s="25" t="s">
        <v>112</v>
      </c>
      <c r="V351" s="25">
        <v>0</v>
      </c>
      <c r="W351" s="25" t="s">
        <v>553</v>
      </c>
      <c r="X351" s="25" t="s">
        <v>1749</v>
      </c>
      <c r="Y351" s="25" t="s">
        <v>1750</v>
      </c>
      <c r="Z351" s="26">
        <v>40890</v>
      </c>
      <c r="AA351" s="776">
        <v>94</v>
      </c>
      <c r="AB351" s="776">
        <v>0</v>
      </c>
      <c r="AC351" s="776">
        <v>0</v>
      </c>
      <c r="AD351" s="776">
        <v>0</v>
      </c>
      <c r="AE351" s="777">
        <v>216.8</v>
      </c>
      <c r="AF351" s="777">
        <v>216.8</v>
      </c>
      <c r="AG351" s="778">
        <v>235.94207345837779</v>
      </c>
    </row>
    <row r="352" spans="1:33" x14ac:dyDescent="0.2">
      <c r="A352" s="15">
        <f t="shared" si="40"/>
        <v>2011</v>
      </c>
      <c r="B352" s="14">
        <f t="shared" si="41"/>
        <v>11</v>
      </c>
      <c r="C352" s="13" t="str">
        <f t="shared" si="42"/>
        <v>Q4</v>
      </c>
      <c r="D352" s="13" t="str">
        <f t="shared" si="43"/>
        <v>2011Q4</v>
      </c>
      <c r="E352" s="13" t="str">
        <f t="shared" si="44"/>
        <v>Brazil</v>
      </c>
      <c r="F352" s="13" t="str">
        <f t="shared" si="46"/>
        <v>Wind</v>
      </c>
      <c r="G352" s="13" t="str">
        <f t="shared" si="47"/>
        <v>Asset finance investments</v>
      </c>
      <c r="H352" s="638">
        <f t="shared" si="45"/>
        <v>137.12500579223058</v>
      </c>
      <c r="I352" s="24" t="s">
        <v>506</v>
      </c>
      <c r="J352" s="25" t="s">
        <v>246</v>
      </c>
      <c r="K352" s="25" t="s">
        <v>2075</v>
      </c>
      <c r="L352" s="25" t="s">
        <v>2076</v>
      </c>
      <c r="M352" s="25" t="s">
        <v>31</v>
      </c>
      <c r="N352" s="25" t="s">
        <v>31</v>
      </c>
      <c r="O352" s="25" t="s">
        <v>92</v>
      </c>
      <c r="P352" s="25" t="s">
        <v>83</v>
      </c>
      <c r="Q352" s="25" t="s">
        <v>82</v>
      </c>
      <c r="R352" s="25" t="s">
        <v>91</v>
      </c>
      <c r="S352" s="25" t="s">
        <v>101</v>
      </c>
      <c r="T352" s="25" t="s">
        <v>101</v>
      </c>
      <c r="U352" s="25" t="s">
        <v>112</v>
      </c>
      <c r="V352" s="25">
        <v>0</v>
      </c>
      <c r="W352" s="25" t="s">
        <v>553</v>
      </c>
      <c r="X352" s="25" t="s">
        <v>1752</v>
      </c>
      <c r="Y352" s="25" t="s">
        <v>1753</v>
      </c>
      <c r="Z352" s="26">
        <v>40877</v>
      </c>
      <c r="AA352" s="776">
        <v>90</v>
      </c>
      <c r="AB352" s="776">
        <v>0</v>
      </c>
      <c r="AC352" s="776">
        <v>0</v>
      </c>
      <c r="AD352" s="776">
        <v>0</v>
      </c>
      <c r="AE352" s="777">
        <v>0</v>
      </c>
      <c r="AF352" s="777">
        <v>125.99999999999999</v>
      </c>
      <c r="AG352" s="778">
        <v>137.12500579223058</v>
      </c>
    </row>
    <row r="353" spans="1:33" x14ac:dyDescent="0.2">
      <c r="A353" s="15">
        <f t="shared" si="40"/>
        <v>2011</v>
      </c>
      <c r="B353" s="14">
        <f t="shared" si="41"/>
        <v>12</v>
      </c>
      <c r="C353" s="13" t="str">
        <f t="shared" si="42"/>
        <v>Q4</v>
      </c>
      <c r="D353" s="13" t="str">
        <f t="shared" si="43"/>
        <v>2011Q4</v>
      </c>
      <c r="E353" s="13" t="str">
        <f t="shared" si="44"/>
        <v>Brazil</v>
      </c>
      <c r="F353" s="13" t="str">
        <f t="shared" si="46"/>
        <v>Wind</v>
      </c>
      <c r="G353" s="13" t="str">
        <f t="shared" si="47"/>
        <v>Asset finance investments</v>
      </c>
      <c r="H353" s="638">
        <f t="shared" si="45"/>
        <v>136.25437083481964</v>
      </c>
      <c r="I353" s="24" t="s">
        <v>506</v>
      </c>
      <c r="J353" s="25" t="s">
        <v>246</v>
      </c>
      <c r="K353" s="25" t="s">
        <v>2077</v>
      </c>
      <c r="L353" s="25" t="s">
        <v>784</v>
      </c>
      <c r="M353" s="25" t="s">
        <v>31</v>
      </c>
      <c r="N353" s="25" t="s">
        <v>31</v>
      </c>
      <c r="O353" s="25" t="s">
        <v>92</v>
      </c>
      <c r="P353" s="25" t="s">
        <v>83</v>
      </c>
      <c r="Q353" s="25" t="s">
        <v>82</v>
      </c>
      <c r="R353" s="25" t="s">
        <v>91</v>
      </c>
      <c r="S353" s="25" t="s">
        <v>101</v>
      </c>
      <c r="T353" s="25" t="s">
        <v>101</v>
      </c>
      <c r="U353" s="25" t="s">
        <v>112</v>
      </c>
      <c r="V353" s="25">
        <v>0</v>
      </c>
      <c r="W353" s="25" t="s">
        <v>553</v>
      </c>
      <c r="X353" s="25" t="s">
        <v>1749</v>
      </c>
      <c r="Y353" s="25" t="s">
        <v>1750</v>
      </c>
      <c r="Z353" s="26">
        <v>40890</v>
      </c>
      <c r="AA353" s="776">
        <v>60</v>
      </c>
      <c r="AB353" s="776">
        <v>0</v>
      </c>
      <c r="AC353" s="776">
        <v>0</v>
      </c>
      <c r="AD353" s="776">
        <v>0</v>
      </c>
      <c r="AE353" s="777">
        <v>125.2</v>
      </c>
      <c r="AF353" s="777">
        <v>125.2</v>
      </c>
      <c r="AG353" s="778">
        <v>136.25437083481964</v>
      </c>
    </row>
    <row r="354" spans="1:33" x14ac:dyDescent="0.2">
      <c r="A354" s="15">
        <f t="shared" si="40"/>
        <v>2011</v>
      </c>
      <c r="B354" s="14">
        <f t="shared" si="41"/>
        <v>11</v>
      </c>
      <c r="C354" s="13" t="str">
        <f t="shared" si="42"/>
        <v>Q4</v>
      </c>
      <c r="D354" s="13" t="str">
        <f t="shared" si="43"/>
        <v>2011Q4</v>
      </c>
      <c r="E354" s="13" t="str">
        <f t="shared" si="44"/>
        <v>Costa Rica</v>
      </c>
      <c r="F354" s="13" t="str">
        <f t="shared" si="46"/>
        <v>Wind</v>
      </c>
      <c r="G354" s="13" t="str">
        <f t="shared" si="47"/>
        <v>Asset finance investments</v>
      </c>
      <c r="H354" s="638">
        <f t="shared" si="45"/>
        <v>136.03671209546687</v>
      </c>
      <c r="I354" s="24" t="s">
        <v>506</v>
      </c>
      <c r="J354" s="25" t="s">
        <v>246</v>
      </c>
      <c r="K354" s="25" t="s">
        <v>2078</v>
      </c>
      <c r="L354" s="25" t="s">
        <v>709</v>
      </c>
      <c r="M354" s="25" t="s">
        <v>10</v>
      </c>
      <c r="N354" s="25" t="s">
        <v>85</v>
      </c>
      <c r="O354" s="25" t="s">
        <v>92</v>
      </c>
      <c r="P354" s="25" t="s">
        <v>83</v>
      </c>
      <c r="Q354" s="25" t="s">
        <v>82</v>
      </c>
      <c r="R354" s="25"/>
      <c r="S354" s="25" t="s">
        <v>101</v>
      </c>
      <c r="T354" s="25" t="s">
        <v>101</v>
      </c>
      <c r="U354" s="25" t="s">
        <v>112</v>
      </c>
      <c r="V354" s="25">
        <v>0</v>
      </c>
      <c r="W354" s="25" t="s">
        <v>553</v>
      </c>
      <c r="X354" s="25" t="s">
        <v>1752</v>
      </c>
      <c r="Y354" s="25" t="s">
        <v>1753</v>
      </c>
      <c r="Z354" s="26">
        <v>40849</v>
      </c>
      <c r="AA354" s="776">
        <v>49.5</v>
      </c>
      <c r="AB354" s="776">
        <v>0</v>
      </c>
      <c r="AC354" s="776">
        <v>0</v>
      </c>
      <c r="AD354" s="776">
        <v>0</v>
      </c>
      <c r="AE354" s="777">
        <v>125</v>
      </c>
      <c r="AF354" s="777">
        <v>125</v>
      </c>
      <c r="AG354" s="778">
        <v>136.03671209546687</v>
      </c>
    </row>
    <row r="355" spans="1:33" x14ac:dyDescent="0.2">
      <c r="A355" s="15">
        <f t="shared" si="40"/>
        <v>2011</v>
      </c>
      <c r="B355" s="14">
        <f t="shared" si="41"/>
        <v>11</v>
      </c>
      <c r="C355" s="13" t="str">
        <f t="shared" si="42"/>
        <v>Q4</v>
      </c>
      <c r="D355" s="13" t="str">
        <f t="shared" si="43"/>
        <v>2011Q4</v>
      </c>
      <c r="E355" s="13" t="str">
        <f t="shared" si="44"/>
        <v>Brazil</v>
      </c>
      <c r="F355" s="13" t="str">
        <f t="shared" si="46"/>
        <v>Small Hydro</v>
      </c>
      <c r="G355" s="13" t="str">
        <f t="shared" si="47"/>
        <v>Asset finance investments</v>
      </c>
      <c r="H355" s="638">
        <f t="shared" si="45"/>
        <v>119.05933042595262</v>
      </c>
      <c r="I355" s="24" t="s">
        <v>506</v>
      </c>
      <c r="J355" s="25" t="s">
        <v>246</v>
      </c>
      <c r="K355" s="25" t="s">
        <v>2079</v>
      </c>
      <c r="L355" s="25" t="s">
        <v>771</v>
      </c>
      <c r="M355" s="25" t="s">
        <v>31</v>
      </c>
      <c r="N355" s="25" t="s">
        <v>31</v>
      </c>
      <c r="O355" s="25" t="s">
        <v>92</v>
      </c>
      <c r="P355" s="25" t="s">
        <v>83</v>
      </c>
      <c r="Q355" s="25" t="s">
        <v>82</v>
      </c>
      <c r="R355" s="25" t="s">
        <v>91</v>
      </c>
      <c r="S355" s="25" t="s">
        <v>126</v>
      </c>
      <c r="T355" s="25" t="s">
        <v>125</v>
      </c>
      <c r="U355" s="25" t="s">
        <v>247</v>
      </c>
      <c r="V355" s="25">
        <v>0</v>
      </c>
      <c r="W355" s="25" t="s">
        <v>553</v>
      </c>
      <c r="X355" s="25" t="s">
        <v>1749</v>
      </c>
      <c r="Y355" s="25" t="s">
        <v>1750</v>
      </c>
      <c r="Z355" s="26">
        <v>40877</v>
      </c>
      <c r="AA355" s="776">
        <v>29</v>
      </c>
      <c r="AB355" s="776">
        <v>0</v>
      </c>
      <c r="AC355" s="776">
        <v>0</v>
      </c>
      <c r="AD355" s="776">
        <v>0</v>
      </c>
      <c r="AE355" s="777">
        <v>109.4</v>
      </c>
      <c r="AF355" s="777">
        <v>109.4</v>
      </c>
      <c r="AG355" s="778">
        <v>119.05933042595262</v>
      </c>
    </row>
    <row r="356" spans="1:33" x14ac:dyDescent="0.2">
      <c r="A356" s="15">
        <f t="shared" si="40"/>
        <v>2011</v>
      </c>
      <c r="B356" s="14">
        <f t="shared" si="41"/>
        <v>10</v>
      </c>
      <c r="C356" s="13" t="str">
        <f t="shared" si="42"/>
        <v>Q4</v>
      </c>
      <c r="D356" s="13" t="str">
        <f t="shared" si="43"/>
        <v>2011Q4</v>
      </c>
      <c r="E356" s="13" t="str">
        <f t="shared" si="44"/>
        <v>Brazil</v>
      </c>
      <c r="F356" s="13" t="str">
        <f t="shared" si="46"/>
        <v>Biomass &amp; Waste</v>
      </c>
      <c r="G356" s="13" t="str">
        <f t="shared" si="47"/>
        <v>Asset finance investments</v>
      </c>
      <c r="H356" s="638">
        <f t="shared" si="45"/>
        <v>106.27187948897874</v>
      </c>
      <c r="I356" s="24" t="s">
        <v>506</v>
      </c>
      <c r="J356" s="25" t="s">
        <v>246</v>
      </c>
      <c r="K356" s="25" t="s">
        <v>2080</v>
      </c>
      <c r="L356" s="25" t="s">
        <v>2081</v>
      </c>
      <c r="M356" s="25" t="s">
        <v>31</v>
      </c>
      <c r="N356" s="25" t="s">
        <v>31</v>
      </c>
      <c r="O356" s="25" t="s">
        <v>92</v>
      </c>
      <c r="P356" s="25" t="s">
        <v>83</v>
      </c>
      <c r="Q356" s="25" t="s">
        <v>82</v>
      </c>
      <c r="R356" s="25" t="s">
        <v>91</v>
      </c>
      <c r="S356" s="25" t="s">
        <v>114</v>
      </c>
      <c r="T356" s="25" t="s">
        <v>114</v>
      </c>
      <c r="U356" s="25" t="s">
        <v>113</v>
      </c>
      <c r="V356" s="25" t="s">
        <v>347</v>
      </c>
      <c r="W356" s="25" t="s">
        <v>553</v>
      </c>
      <c r="X356" s="25" t="s">
        <v>1752</v>
      </c>
      <c r="Y356" s="25" t="s">
        <v>1753</v>
      </c>
      <c r="Z356" s="26">
        <v>40827</v>
      </c>
      <c r="AA356" s="776">
        <v>35</v>
      </c>
      <c r="AB356" s="776">
        <v>0</v>
      </c>
      <c r="AC356" s="776">
        <v>0</v>
      </c>
      <c r="AD356" s="776">
        <v>0</v>
      </c>
      <c r="AE356" s="777">
        <v>0</v>
      </c>
      <c r="AF356" s="777">
        <v>97.65</v>
      </c>
      <c r="AG356" s="778">
        <v>106.27187948897874</v>
      </c>
    </row>
    <row r="357" spans="1:33" x14ac:dyDescent="0.2">
      <c r="A357" s="15">
        <f t="shared" si="40"/>
        <v>2011</v>
      </c>
      <c r="B357" s="14">
        <f t="shared" si="41"/>
        <v>11</v>
      </c>
      <c r="C357" s="13" t="str">
        <f t="shared" si="42"/>
        <v>Q4</v>
      </c>
      <c r="D357" s="13" t="str">
        <f t="shared" si="43"/>
        <v>2011Q4</v>
      </c>
      <c r="E357" s="13" t="str">
        <f t="shared" si="44"/>
        <v>Brazil</v>
      </c>
      <c r="F357" s="13" t="str">
        <f t="shared" si="46"/>
        <v>Small Hydro</v>
      </c>
      <c r="G357" s="13" t="str">
        <f t="shared" si="47"/>
        <v>Asset finance investments</v>
      </c>
      <c r="H357" s="638">
        <f t="shared" si="45"/>
        <v>86.410519523040563</v>
      </c>
      <c r="I357" s="24" t="s">
        <v>506</v>
      </c>
      <c r="J357" s="25" t="s">
        <v>246</v>
      </c>
      <c r="K357" s="25" t="s">
        <v>2082</v>
      </c>
      <c r="L357" s="25" t="s">
        <v>772</v>
      </c>
      <c r="M357" s="25" t="s">
        <v>31</v>
      </c>
      <c r="N357" s="25" t="s">
        <v>31</v>
      </c>
      <c r="O357" s="25" t="s">
        <v>92</v>
      </c>
      <c r="P357" s="25" t="s">
        <v>83</v>
      </c>
      <c r="Q357" s="25" t="s">
        <v>82</v>
      </c>
      <c r="R357" s="25" t="s">
        <v>91</v>
      </c>
      <c r="S357" s="25" t="s">
        <v>126</v>
      </c>
      <c r="T357" s="25" t="s">
        <v>125</v>
      </c>
      <c r="U357" s="25" t="s">
        <v>247</v>
      </c>
      <c r="V357" s="25">
        <v>0</v>
      </c>
      <c r="W357" s="25" t="s">
        <v>553</v>
      </c>
      <c r="X357" s="25" t="s">
        <v>1749</v>
      </c>
      <c r="Y357" s="25" t="s">
        <v>1750</v>
      </c>
      <c r="Z357" s="26">
        <v>40877</v>
      </c>
      <c r="AA357" s="776">
        <v>20</v>
      </c>
      <c r="AB357" s="776">
        <v>0</v>
      </c>
      <c r="AC357" s="776">
        <v>0</v>
      </c>
      <c r="AD357" s="776">
        <v>0</v>
      </c>
      <c r="AE357" s="777">
        <v>79.400000000000006</v>
      </c>
      <c r="AF357" s="777">
        <v>79.400000000000006</v>
      </c>
      <c r="AG357" s="778">
        <v>86.410519523040563</v>
      </c>
    </row>
    <row r="358" spans="1:33" x14ac:dyDescent="0.2">
      <c r="A358" s="15">
        <f t="shared" si="40"/>
        <v>2011</v>
      </c>
      <c r="B358" s="14">
        <f t="shared" si="41"/>
        <v>11</v>
      </c>
      <c r="C358" s="13" t="str">
        <f t="shared" si="42"/>
        <v>Q4</v>
      </c>
      <c r="D358" s="13" t="str">
        <f t="shared" si="43"/>
        <v>2011Q4</v>
      </c>
      <c r="E358" s="13" t="str">
        <f t="shared" si="44"/>
        <v>Brazil</v>
      </c>
      <c r="F358" s="13" t="str">
        <f t="shared" si="46"/>
        <v>Biomass &amp; Waste</v>
      </c>
      <c r="G358" s="13" t="str">
        <f t="shared" si="47"/>
        <v>Asset finance investments</v>
      </c>
      <c r="H358" s="638">
        <f t="shared" si="45"/>
        <v>85.213396456600449</v>
      </c>
      <c r="I358" s="24" t="s">
        <v>506</v>
      </c>
      <c r="J358" s="25" t="s">
        <v>246</v>
      </c>
      <c r="K358" s="25" t="s">
        <v>2083</v>
      </c>
      <c r="L358" s="25" t="s">
        <v>783</v>
      </c>
      <c r="M358" s="25" t="s">
        <v>31</v>
      </c>
      <c r="N358" s="25" t="s">
        <v>31</v>
      </c>
      <c r="O358" s="25" t="s">
        <v>92</v>
      </c>
      <c r="P358" s="25" t="s">
        <v>83</v>
      </c>
      <c r="Q358" s="25" t="s">
        <v>82</v>
      </c>
      <c r="R358" s="25" t="s">
        <v>91</v>
      </c>
      <c r="S358" s="25" t="s">
        <v>114</v>
      </c>
      <c r="T358" s="25" t="s">
        <v>114</v>
      </c>
      <c r="U358" s="25" t="s">
        <v>379</v>
      </c>
      <c r="V358" s="25" t="s">
        <v>347</v>
      </c>
      <c r="W358" s="25" t="s">
        <v>553</v>
      </c>
      <c r="X358" s="25" t="s">
        <v>1749</v>
      </c>
      <c r="Y358" s="25" t="s">
        <v>1750</v>
      </c>
      <c r="Z358" s="26">
        <v>40871</v>
      </c>
      <c r="AA358" s="776">
        <v>70</v>
      </c>
      <c r="AB358" s="776">
        <v>0</v>
      </c>
      <c r="AC358" s="776">
        <v>0</v>
      </c>
      <c r="AD358" s="776">
        <v>0</v>
      </c>
      <c r="AE358" s="777">
        <v>78.3</v>
      </c>
      <c r="AF358" s="777">
        <v>78.3</v>
      </c>
      <c r="AG358" s="778">
        <v>85.213396456600449</v>
      </c>
    </row>
    <row r="359" spans="1:33" x14ac:dyDescent="0.2">
      <c r="A359" s="15">
        <f t="shared" si="40"/>
        <v>2011</v>
      </c>
      <c r="B359" s="14">
        <f t="shared" si="41"/>
        <v>12</v>
      </c>
      <c r="C359" s="13" t="str">
        <f t="shared" si="42"/>
        <v>Q4</v>
      </c>
      <c r="D359" s="13" t="str">
        <f t="shared" si="43"/>
        <v>2011Q4</v>
      </c>
      <c r="E359" s="13" t="str">
        <f t="shared" si="44"/>
        <v>Ecuador</v>
      </c>
      <c r="F359" s="13" t="str">
        <f t="shared" si="46"/>
        <v>Small Hydro</v>
      </c>
      <c r="G359" s="13" t="str">
        <f t="shared" si="47"/>
        <v>Asset finance investments</v>
      </c>
      <c r="H359" s="638">
        <f t="shared" si="45"/>
        <v>55.720637274303243</v>
      </c>
      <c r="I359" s="24" t="s">
        <v>506</v>
      </c>
      <c r="J359" s="25" t="s">
        <v>246</v>
      </c>
      <c r="K359" s="25" t="s">
        <v>2084</v>
      </c>
      <c r="L359" s="25" t="s">
        <v>2085</v>
      </c>
      <c r="M359" s="25" t="s">
        <v>12</v>
      </c>
      <c r="N359" s="25" t="s">
        <v>85</v>
      </c>
      <c r="O359" s="25" t="s">
        <v>92</v>
      </c>
      <c r="P359" s="25" t="s">
        <v>83</v>
      </c>
      <c r="Q359" s="25" t="s">
        <v>82</v>
      </c>
      <c r="R359" s="25"/>
      <c r="S359" s="25" t="s">
        <v>126</v>
      </c>
      <c r="T359" s="25" t="s">
        <v>125</v>
      </c>
      <c r="U359" s="25" t="s">
        <v>247</v>
      </c>
      <c r="V359" s="25">
        <v>0</v>
      </c>
      <c r="W359" s="25" t="s">
        <v>553</v>
      </c>
      <c r="X359" s="25" t="s">
        <v>1752</v>
      </c>
      <c r="Y359" s="25" t="s">
        <v>1753</v>
      </c>
      <c r="Z359" s="26">
        <v>40908</v>
      </c>
      <c r="AA359" s="776">
        <v>21</v>
      </c>
      <c r="AB359" s="776">
        <v>0</v>
      </c>
      <c r="AC359" s="776">
        <v>0</v>
      </c>
      <c r="AD359" s="776">
        <v>0</v>
      </c>
      <c r="AE359" s="777">
        <v>51.2</v>
      </c>
      <c r="AF359" s="777">
        <v>51.2</v>
      </c>
      <c r="AG359" s="778">
        <v>55.720637274303243</v>
      </c>
    </row>
    <row r="360" spans="1:33" x14ac:dyDescent="0.2">
      <c r="A360" s="15">
        <f t="shared" si="40"/>
        <v>2011</v>
      </c>
      <c r="B360" s="14">
        <f t="shared" si="41"/>
        <v>10</v>
      </c>
      <c r="C360" s="13" t="str">
        <f t="shared" si="42"/>
        <v>Q4</v>
      </c>
      <c r="D360" s="13" t="str">
        <f t="shared" si="43"/>
        <v>2011Q4</v>
      </c>
      <c r="E360" s="13" t="str">
        <f t="shared" si="44"/>
        <v>Brazil</v>
      </c>
      <c r="F360" s="13" t="str">
        <f t="shared" si="46"/>
        <v>Small Hydro</v>
      </c>
      <c r="G360" s="13" t="str">
        <f t="shared" si="47"/>
        <v>Asset finance investments</v>
      </c>
      <c r="H360" s="638">
        <f t="shared" si="45"/>
        <v>48.973216354368077</v>
      </c>
      <c r="I360" s="24" t="s">
        <v>506</v>
      </c>
      <c r="J360" s="25" t="s">
        <v>246</v>
      </c>
      <c r="K360" s="25" t="s">
        <v>2086</v>
      </c>
      <c r="L360" s="25" t="s">
        <v>707</v>
      </c>
      <c r="M360" s="25" t="s">
        <v>31</v>
      </c>
      <c r="N360" s="25" t="s">
        <v>31</v>
      </c>
      <c r="O360" s="25" t="s">
        <v>92</v>
      </c>
      <c r="P360" s="25" t="s">
        <v>83</v>
      </c>
      <c r="Q360" s="25" t="s">
        <v>82</v>
      </c>
      <c r="R360" s="25" t="s">
        <v>91</v>
      </c>
      <c r="S360" s="25" t="s">
        <v>126</v>
      </c>
      <c r="T360" s="25" t="s">
        <v>125</v>
      </c>
      <c r="U360" s="25" t="s">
        <v>247</v>
      </c>
      <c r="V360" s="25">
        <v>0</v>
      </c>
      <c r="W360" s="25" t="s">
        <v>553</v>
      </c>
      <c r="X360" s="25" t="s">
        <v>1752</v>
      </c>
      <c r="Y360" s="25" t="s">
        <v>1753</v>
      </c>
      <c r="Z360" s="26">
        <v>40847</v>
      </c>
      <c r="AA360" s="776">
        <v>20</v>
      </c>
      <c r="AB360" s="776">
        <v>0</v>
      </c>
      <c r="AC360" s="776">
        <v>0</v>
      </c>
      <c r="AD360" s="776">
        <v>0</v>
      </c>
      <c r="AE360" s="777">
        <v>0</v>
      </c>
      <c r="AF360" s="777">
        <v>45</v>
      </c>
      <c r="AG360" s="778">
        <v>48.973216354368077</v>
      </c>
    </row>
    <row r="361" spans="1:33" x14ac:dyDescent="0.2">
      <c r="A361" s="15">
        <f t="shared" si="40"/>
        <v>2011</v>
      </c>
      <c r="B361" s="14">
        <f t="shared" si="41"/>
        <v>11</v>
      </c>
      <c r="C361" s="13" t="str">
        <f t="shared" si="42"/>
        <v>Q4</v>
      </c>
      <c r="D361" s="13" t="str">
        <f t="shared" si="43"/>
        <v>2011Q4</v>
      </c>
      <c r="E361" s="13" t="str">
        <f t="shared" si="44"/>
        <v>Brazil</v>
      </c>
      <c r="F361" s="13" t="str">
        <f t="shared" si="46"/>
        <v>Small Hydro</v>
      </c>
      <c r="G361" s="13" t="str">
        <f t="shared" si="47"/>
        <v>Asset finance investments</v>
      </c>
      <c r="H361" s="638">
        <f t="shared" si="45"/>
        <v>47.340775809222478</v>
      </c>
      <c r="I361" s="24" t="s">
        <v>506</v>
      </c>
      <c r="J361" s="25" t="s">
        <v>246</v>
      </c>
      <c r="K361" s="25" t="s">
        <v>2087</v>
      </c>
      <c r="L361" s="25" t="s">
        <v>728</v>
      </c>
      <c r="M361" s="25" t="s">
        <v>31</v>
      </c>
      <c r="N361" s="25" t="s">
        <v>31</v>
      </c>
      <c r="O361" s="25" t="s">
        <v>92</v>
      </c>
      <c r="P361" s="25" t="s">
        <v>83</v>
      </c>
      <c r="Q361" s="25" t="s">
        <v>82</v>
      </c>
      <c r="R361" s="25" t="s">
        <v>91</v>
      </c>
      <c r="S361" s="25" t="s">
        <v>126</v>
      </c>
      <c r="T361" s="25" t="s">
        <v>125</v>
      </c>
      <c r="U361" s="25" t="s">
        <v>247</v>
      </c>
      <c r="V361" s="25">
        <v>0</v>
      </c>
      <c r="W361" s="25" t="s">
        <v>553</v>
      </c>
      <c r="X361" s="25" t="s">
        <v>1749</v>
      </c>
      <c r="Y361" s="25" t="s">
        <v>1750</v>
      </c>
      <c r="Z361" s="26">
        <v>40877</v>
      </c>
      <c r="AA361" s="776">
        <v>11</v>
      </c>
      <c r="AB361" s="776">
        <v>0</v>
      </c>
      <c r="AC361" s="776">
        <v>0</v>
      </c>
      <c r="AD361" s="776">
        <v>0</v>
      </c>
      <c r="AE361" s="777">
        <v>43.5</v>
      </c>
      <c r="AF361" s="777">
        <v>43.5</v>
      </c>
      <c r="AG361" s="778">
        <v>47.340775809222478</v>
      </c>
    </row>
    <row r="362" spans="1:33" x14ac:dyDescent="0.2">
      <c r="A362" s="15">
        <f t="shared" si="40"/>
        <v>2011</v>
      </c>
      <c r="B362" s="14">
        <f t="shared" si="41"/>
        <v>11</v>
      </c>
      <c r="C362" s="13" t="str">
        <f t="shared" si="42"/>
        <v>Q4</v>
      </c>
      <c r="D362" s="13" t="str">
        <f t="shared" si="43"/>
        <v>2011Q4</v>
      </c>
      <c r="E362" s="13" t="str">
        <f t="shared" si="44"/>
        <v>Dominican Republic</v>
      </c>
      <c r="F362" s="13" t="str">
        <f t="shared" si="46"/>
        <v>Wind</v>
      </c>
      <c r="G362" s="13" t="str">
        <f t="shared" si="47"/>
        <v>Asset finance investments</v>
      </c>
      <c r="H362" s="638">
        <f t="shared" si="45"/>
        <v>46.62250196935841</v>
      </c>
      <c r="I362" s="24" t="s">
        <v>506</v>
      </c>
      <c r="J362" s="25" t="s">
        <v>246</v>
      </c>
      <c r="K362" s="25" t="s">
        <v>2088</v>
      </c>
      <c r="L362" s="25" t="s">
        <v>2089</v>
      </c>
      <c r="M362" s="25" t="s">
        <v>11</v>
      </c>
      <c r="N362" s="25" t="s">
        <v>85</v>
      </c>
      <c r="O362" s="25" t="s">
        <v>84</v>
      </c>
      <c r="P362" s="25" t="s">
        <v>83</v>
      </c>
      <c r="Q362" s="25" t="s">
        <v>82</v>
      </c>
      <c r="R362" s="25"/>
      <c r="S362" s="25" t="s">
        <v>101</v>
      </c>
      <c r="T362" s="25" t="s">
        <v>101</v>
      </c>
      <c r="U362" s="25" t="s">
        <v>112</v>
      </c>
      <c r="V362" s="25">
        <v>0</v>
      </c>
      <c r="W362" s="25" t="s">
        <v>553</v>
      </c>
      <c r="X362" s="25" t="s">
        <v>1749</v>
      </c>
      <c r="Y362" s="25" t="s">
        <v>1750</v>
      </c>
      <c r="Z362" s="26">
        <v>40862</v>
      </c>
      <c r="AA362" s="776">
        <v>30.6</v>
      </c>
      <c r="AB362" s="776">
        <v>0</v>
      </c>
      <c r="AC362" s="776">
        <v>0</v>
      </c>
      <c r="AD362" s="776">
        <v>0</v>
      </c>
      <c r="AE362" s="777">
        <v>0</v>
      </c>
      <c r="AF362" s="777">
        <v>42.839999999999996</v>
      </c>
      <c r="AG362" s="778">
        <v>46.62250196935841</v>
      </c>
    </row>
    <row r="363" spans="1:33" x14ac:dyDescent="0.2">
      <c r="A363" s="15">
        <f t="shared" si="40"/>
        <v>2011</v>
      </c>
      <c r="B363" s="14">
        <f t="shared" si="41"/>
        <v>10</v>
      </c>
      <c r="C363" s="13" t="str">
        <f t="shared" si="42"/>
        <v>Q4</v>
      </c>
      <c r="D363" s="13" t="str">
        <f t="shared" si="43"/>
        <v>2011Q4</v>
      </c>
      <c r="E363" s="13" t="str">
        <f t="shared" si="44"/>
        <v>Brazil</v>
      </c>
      <c r="F363" s="13" t="str">
        <f t="shared" si="46"/>
        <v>Small Hydro</v>
      </c>
      <c r="G363" s="13" t="str">
        <f t="shared" si="47"/>
        <v>Asset finance investments</v>
      </c>
      <c r="H363" s="638">
        <f t="shared" si="45"/>
        <v>46.252482112458743</v>
      </c>
      <c r="I363" s="24" t="s">
        <v>506</v>
      </c>
      <c r="J363" s="25" t="s">
        <v>246</v>
      </c>
      <c r="K363" s="25" t="s">
        <v>2090</v>
      </c>
      <c r="L363" s="25" t="s">
        <v>708</v>
      </c>
      <c r="M363" s="25" t="s">
        <v>31</v>
      </c>
      <c r="N363" s="25" t="s">
        <v>31</v>
      </c>
      <c r="O363" s="25" t="s">
        <v>92</v>
      </c>
      <c r="P363" s="25" t="s">
        <v>83</v>
      </c>
      <c r="Q363" s="25" t="s">
        <v>82</v>
      </c>
      <c r="R363" s="25" t="s">
        <v>91</v>
      </c>
      <c r="S363" s="25" t="s">
        <v>126</v>
      </c>
      <c r="T363" s="25" t="s">
        <v>125</v>
      </c>
      <c r="U363" s="25" t="s">
        <v>247</v>
      </c>
      <c r="V363" s="25">
        <v>0</v>
      </c>
      <c r="W363" s="25" t="s">
        <v>553</v>
      </c>
      <c r="X363" s="25" t="s">
        <v>1752</v>
      </c>
      <c r="Y363" s="25" t="s">
        <v>1753</v>
      </c>
      <c r="Z363" s="26">
        <v>40847</v>
      </c>
      <c r="AA363" s="776">
        <v>17</v>
      </c>
      <c r="AB363" s="776">
        <v>0</v>
      </c>
      <c r="AC363" s="776">
        <v>0</v>
      </c>
      <c r="AD363" s="776">
        <v>0</v>
      </c>
      <c r="AE363" s="777">
        <v>0</v>
      </c>
      <c r="AF363" s="777">
        <v>42.5</v>
      </c>
      <c r="AG363" s="778">
        <v>46.252482112458743</v>
      </c>
    </row>
    <row r="364" spans="1:33" x14ac:dyDescent="0.2">
      <c r="A364" s="15">
        <f t="shared" si="40"/>
        <v>2011</v>
      </c>
      <c r="B364" s="14">
        <f t="shared" si="41"/>
        <v>10</v>
      </c>
      <c r="C364" s="13" t="str">
        <f t="shared" si="42"/>
        <v>Q4</v>
      </c>
      <c r="D364" s="13" t="str">
        <f t="shared" si="43"/>
        <v>2011Q4</v>
      </c>
      <c r="E364" s="13" t="str">
        <f t="shared" si="44"/>
        <v>Brazil</v>
      </c>
      <c r="F364" s="13" t="str">
        <f t="shared" si="46"/>
        <v>Biofuels</v>
      </c>
      <c r="G364" s="13" t="str">
        <f t="shared" si="47"/>
        <v>Asset finance investments</v>
      </c>
      <c r="H364" s="638">
        <f t="shared" si="45"/>
        <v>37.654961908025236</v>
      </c>
      <c r="I364" s="24" t="s">
        <v>506</v>
      </c>
      <c r="J364" s="25" t="s">
        <v>246</v>
      </c>
      <c r="K364" s="25" t="s">
        <v>2091</v>
      </c>
      <c r="L364" s="25" t="s">
        <v>2092</v>
      </c>
      <c r="M364" s="25" t="s">
        <v>31</v>
      </c>
      <c r="N364" s="25" t="s">
        <v>31</v>
      </c>
      <c r="O364" s="25" t="s">
        <v>92</v>
      </c>
      <c r="P364" s="25" t="s">
        <v>83</v>
      </c>
      <c r="Q364" s="25" t="s">
        <v>82</v>
      </c>
      <c r="R364" s="25" t="s">
        <v>91</v>
      </c>
      <c r="S364" s="25" t="s">
        <v>96</v>
      </c>
      <c r="T364" s="25" t="s">
        <v>96</v>
      </c>
      <c r="U364" s="25" t="s">
        <v>95</v>
      </c>
      <c r="V364" s="25" t="s">
        <v>223</v>
      </c>
      <c r="W364" s="25" t="s">
        <v>553</v>
      </c>
      <c r="X364" s="25" t="s">
        <v>1752</v>
      </c>
      <c r="Y364" s="25" t="s">
        <v>1753</v>
      </c>
      <c r="Z364" s="26">
        <v>40832</v>
      </c>
      <c r="AA364" s="776">
        <v>0</v>
      </c>
      <c r="AB364" s="776">
        <v>149</v>
      </c>
      <c r="AC364" s="776">
        <v>0</v>
      </c>
      <c r="AD364" s="776">
        <v>0</v>
      </c>
      <c r="AE364" s="777">
        <v>34.6</v>
      </c>
      <c r="AF364" s="777">
        <v>34.6</v>
      </c>
      <c r="AG364" s="778">
        <v>37.654961908025236</v>
      </c>
    </row>
    <row r="365" spans="1:33" x14ac:dyDescent="0.2">
      <c r="A365" s="15">
        <f t="shared" si="40"/>
        <v>2011</v>
      </c>
      <c r="B365" s="14">
        <f t="shared" si="41"/>
        <v>12</v>
      </c>
      <c r="C365" s="13" t="str">
        <f t="shared" si="42"/>
        <v>Q4</v>
      </c>
      <c r="D365" s="13" t="str">
        <f t="shared" si="43"/>
        <v>2011Q4</v>
      </c>
      <c r="E365" s="13" t="str">
        <f t="shared" si="44"/>
        <v>Nicaragua</v>
      </c>
      <c r="F365" s="13" t="str">
        <f t="shared" si="46"/>
        <v>Small Hydro</v>
      </c>
      <c r="G365" s="13" t="str">
        <f t="shared" si="47"/>
        <v>Asset finance investments</v>
      </c>
      <c r="H365" s="638">
        <f t="shared" si="45"/>
        <v>35.913691993203258</v>
      </c>
      <c r="I365" s="24" t="s">
        <v>506</v>
      </c>
      <c r="J365" s="25" t="s">
        <v>246</v>
      </c>
      <c r="K365" s="25" t="s">
        <v>2093</v>
      </c>
      <c r="L365" s="25" t="s">
        <v>2094</v>
      </c>
      <c r="M365" s="25" t="s">
        <v>2</v>
      </c>
      <c r="N365" s="25" t="s">
        <v>85</v>
      </c>
      <c r="O365" s="25" t="s">
        <v>92</v>
      </c>
      <c r="P365" s="25" t="s">
        <v>83</v>
      </c>
      <c r="Q365" s="25" t="s">
        <v>82</v>
      </c>
      <c r="R365" s="25"/>
      <c r="S365" s="25" t="s">
        <v>126</v>
      </c>
      <c r="T365" s="25" t="s">
        <v>125</v>
      </c>
      <c r="U365" s="25" t="s">
        <v>247</v>
      </c>
      <c r="V365" s="25">
        <v>0</v>
      </c>
      <c r="W365" s="25" t="s">
        <v>553</v>
      </c>
      <c r="X365" s="25" t="s">
        <v>1749</v>
      </c>
      <c r="Y365" s="25" t="s">
        <v>1750</v>
      </c>
      <c r="Z365" s="26">
        <v>40908</v>
      </c>
      <c r="AA365" s="776">
        <v>12.5</v>
      </c>
      <c r="AB365" s="776">
        <v>0</v>
      </c>
      <c r="AC365" s="776">
        <v>0</v>
      </c>
      <c r="AD365" s="776">
        <v>0</v>
      </c>
      <c r="AE365" s="777">
        <v>33</v>
      </c>
      <c r="AF365" s="777">
        <v>33</v>
      </c>
      <c r="AG365" s="778">
        <v>35.913691993203258</v>
      </c>
    </row>
    <row r="366" spans="1:33" x14ac:dyDescent="0.2">
      <c r="A366" s="15">
        <f t="shared" si="40"/>
        <v>2011</v>
      </c>
      <c r="B366" s="14">
        <f t="shared" si="41"/>
        <v>12</v>
      </c>
      <c r="C366" s="13" t="str">
        <f t="shared" si="42"/>
        <v>Q4</v>
      </c>
      <c r="D366" s="13" t="str">
        <f t="shared" si="43"/>
        <v>2011Q4</v>
      </c>
      <c r="E366" s="13" t="str">
        <f t="shared" si="44"/>
        <v>Brazil</v>
      </c>
      <c r="F366" s="13" t="str">
        <f t="shared" si="46"/>
        <v>Wind</v>
      </c>
      <c r="G366" s="13" t="str">
        <f t="shared" si="47"/>
        <v>VC/PE investments</v>
      </c>
      <c r="H366" s="638">
        <f t="shared" si="45"/>
        <v>33.737104599675789</v>
      </c>
      <c r="I366" s="24" t="s">
        <v>506</v>
      </c>
      <c r="J366" s="25" t="s">
        <v>216</v>
      </c>
      <c r="K366" s="25" t="s">
        <v>510</v>
      </c>
      <c r="L366" s="25" t="s">
        <v>509</v>
      </c>
      <c r="M366" s="25" t="s">
        <v>31</v>
      </c>
      <c r="N366" s="25" t="s">
        <v>31</v>
      </c>
      <c r="O366" s="25" t="s">
        <v>92</v>
      </c>
      <c r="P366" s="25" t="s">
        <v>83</v>
      </c>
      <c r="Q366" s="25" t="s">
        <v>82</v>
      </c>
      <c r="R366" s="25" t="s">
        <v>91</v>
      </c>
      <c r="S366" s="25" t="s">
        <v>101</v>
      </c>
      <c r="T366" s="25" t="s">
        <v>101</v>
      </c>
      <c r="U366" s="25" t="s">
        <v>112</v>
      </c>
      <c r="V366" s="25">
        <v>0</v>
      </c>
      <c r="W366" s="25" t="s">
        <v>94</v>
      </c>
      <c r="X366" s="25" t="s">
        <v>508</v>
      </c>
      <c r="Y366" s="25" t="s">
        <v>507</v>
      </c>
      <c r="Z366" s="26">
        <v>40892</v>
      </c>
      <c r="AA366" s="776" t="s">
        <v>1748</v>
      </c>
      <c r="AB366" s="776" t="s">
        <v>1748</v>
      </c>
      <c r="AC366" s="776" t="s">
        <v>1748</v>
      </c>
      <c r="AD366" s="776" t="s">
        <v>1748</v>
      </c>
      <c r="AE366" s="777">
        <v>31</v>
      </c>
      <c r="AF366" s="777">
        <v>31</v>
      </c>
      <c r="AG366" s="778">
        <v>33.737104599675789</v>
      </c>
    </row>
    <row r="367" spans="1:33" x14ac:dyDescent="0.2">
      <c r="A367" s="15">
        <f t="shared" si="40"/>
        <v>2011</v>
      </c>
      <c r="B367" s="14">
        <f t="shared" si="41"/>
        <v>12</v>
      </c>
      <c r="C367" s="13" t="str">
        <f t="shared" si="42"/>
        <v>Q4</v>
      </c>
      <c r="D367" s="13" t="str">
        <f t="shared" si="43"/>
        <v>2011Q4</v>
      </c>
      <c r="E367" s="13" t="str">
        <f t="shared" si="44"/>
        <v>Chile</v>
      </c>
      <c r="F367" s="13" t="str">
        <f t="shared" si="46"/>
        <v>Small Hydro</v>
      </c>
      <c r="G367" s="13" t="str">
        <f t="shared" si="47"/>
        <v>Asset finance investments</v>
      </c>
      <c r="H367" s="638">
        <f t="shared" si="45"/>
        <v>32.648810902912054</v>
      </c>
      <c r="I367" s="24" t="s">
        <v>506</v>
      </c>
      <c r="J367" s="25" t="s">
        <v>246</v>
      </c>
      <c r="K367" s="25" t="s">
        <v>2095</v>
      </c>
      <c r="L367" s="25" t="s">
        <v>2096</v>
      </c>
      <c r="M367" s="25" t="s">
        <v>8</v>
      </c>
      <c r="N367" s="25" t="s">
        <v>85</v>
      </c>
      <c r="O367" s="25" t="s">
        <v>92</v>
      </c>
      <c r="P367" s="25" t="s">
        <v>83</v>
      </c>
      <c r="Q367" s="25" t="s">
        <v>129</v>
      </c>
      <c r="R367" s="25"/>
      <c r="S367" s="25" t="s">
        <v>126</v>
      </c>
      <c r="T367" s="25" t="s">
        <v>125</v>
      </c>
      <c r="U367" s="25" t="s">
        <v>247</v>
      </c>
      <c r="V367" s="25">
        <v>0</v>
      </c>
      <c r="W367" s="25" t="s">
        <v>553</v>
      </c>
      <c r="X367" s="25" t="s">
        <v>1752</v>
      </c>
      <c r="Y367" s="25" t="s">
        <v>1753</v>
      </c>
      <c r="Z367" s="26">
        <v>40908</v>
      </c>
      <c r="AA367" s="776">
        <v>12.7</v>
      </c>
      <c r="AB367" s="776">
        <v>0</v>
      </c>
      <c r="AC367" s="776">
        <v>0</v>
      </c>
      <c r="AD367" s="776">
        <v>0</v>
      </c>
      <c r="AE367" s="777">
        <v>30</v>
      </c>
      <c r="AF367" s="777">
        <v>30</v>
      </c>
      <c r="AG367" s="778">
        <v>32.648810902912054</v>
      </c>
    </row>
    <row r="368" spans="1:33" x14ac:dyDescent="0.2">
      <c r="A368" s="15">
        <f t="shared" si="40"/>
        <v>2011</v>
      </c>
      <c r="B368" s="14">
        <f t="shared" si="41"/>
        <v>10</v>
      </c>
      <c r="C368" s="13" t="str">
        <f t="shared" si="42"/>
        <v>Q4</v>
      </c>
      <c r="D368" s="13" t="str">
        <f t="shared" si="43"/>
        <v>2011Q4</v>
      </c>
      <c r="E368" s="13" t="str">
        <f t="shared" si="44"/>
        <v>Brazil</v>
      </c>
      <c r="F368" s="13" t="str">
        <f t="shared" si="46"/>
        <v>Small Hydro</v>
      </c>
      <c r="G368" s="13" t="str">
        <f t="shared" si="47"/>
        <v>Asset finance investments</v>
      </c>
      <c r="H368" s="638">
        <f t="shared" si="45"/>
        <v>28.622124224886235</v>
      </c>
      <c r="I368" s="24" t="s">
        <v>506</v>
      </c>
      <c r="J368" s="25" t="s">
        <v>246</v>
      </c>
      <c r="K368" s="25" t="s">
        <v>2097</v>
      </c>
      <c r="L368" s="25" t="s">
        <v>710</v>
      </c>
      <c r="M368" s="25" t="s">
        <v>31</v>
      </c>
      <c r="N368" s="25" t="s">
        <v>31</v>
      </c>
      <c r="O368" s="25" t="s">
        <v>92</v>
      </c>
      <c r="P368" s="25" t="s">
        <v>83</v>
      </c>
      <c r="Q368" s="25" t="s">
        <v>82</v>
      </c>
      <c r="R368" s="25" t="s">
        <v>91</v>
      </c>
      <c r="S368" s="25" t="s">
        <v>126</v>
      </c>
      <c r="T368" s="25" t="s">
        <v>125</v>
      </c>
      <c r="U368" s="25" t="s">
        <v>247</v>
      </c>
      <c r="V368" s="25">
        <v>0</v>
      </c>
      <c r="W368" s="25" t="s">
        <v>553</v>
      </c>
      <c r="X368" s="25" t="s">
        <v>1752</v>
      </c>
      <c r="Y368" s="25" t="s">
        <v>1753</v>
      </c>
      <c r="Z368" s="26">
        <v>40847</v>
      </c>
      <c r="AA368" s="776">
        <v>10.5</v>
      </c>
      <c r="AB368" s="776">
        <v>0</v>
      </c>
      <c r="AC368" s="776">
        <v>0</v>
      </c>
      <c r="AD368" s="776">
        <v>0</v>
      </c>
      <c r="AE368" s="777">
        <v>0</v>
      </c>
      <c r="AF368" s="777">
        <v>26.3</v>
      </c>
      <c r="AG368" s="778">
        <v>28.622124224886235</v>
      </c>
    </row>
    <row r="369" spans="1:33" x14ac:dyDescent="0.2">
      <c r="A369" s="15">
        <f t="shared" si="40"/>
        <v>2011</v>
      </c>
      <c r="B369" s="14">
        <f t="shared" si="41"/>
        <v>12</v>
      </c>
      <c r="C369" s="13" t="str">
        <f t="shared" si="42"/>
        <v>Q4</v>
      </c>
      <c r="D369" s="13" t="str">
        <f t="shared" si="43"/>
        <v>2011Q4</v>
      </c>
      <c r="E369" s="13" t="str">
        <f t="shared" si="44"/>
        <v>Brazil</v>
      </c>
      <c r="F369" s="13" t="str">
        <f t="shared" si="46"/>
        <v>Biofuels</v>
      </c>
      <c r="G369" s="13" t="str">
        <f t="shared" si="47"/>
        <v>Asset finance investments</v>
      </c>
      <c r="H369" s="638">
        <f t="shared" si="45"/>
        <v>20.67758023851097</v>
      </c>
      <c r="I369" s="24" t="s">
        <v>506</v>
      </c>
      <c r="J369" s="25" t="s">
        <v>246</v>
      </c>
      <c r="K369" s="25" t="s">
        <v>2098</v>
      </c>
      <c r="L369" s="25" t="s">
        <v>2099</v>
      </c>
      <c r="M369" s="25" t="s">
        <v>31</v>
      </c>
      <c r="N369" s="25" t="s">
        <v>31</v>
      </c>
      <c r="O369" s="25" t="s">
        <v>92</v>
      </c>
      <c r="P369" s="25" t="s">
        <v>83</v>
      </c>
      <c r="Q369" s="25" t="s">
        <v>82</v>
      </c>
      <c r="R369" s="25" t="s">
        <v>91</v>
      </c>
      <c r="S369" s="25" t="s">
        <v>96</v>
      </c>
      <c r="T369" s="25" t="s">
        <v>96</v>
      </c>
      <c r="U369" s="25" t="s">
        <v>1930</v>
      </c>
      <c r="V369" s="25" t="s">
        <v>1931</v>
      </c>
      <c r="W369" s="25" t="s">
        <v>553</v>
      </c>
      <c r="X369" s="25" t="s">
        <v>1771</v>
      </c>
      <c r="Y369" s="25" t="s">
        <v>1750</v>
      </c>
      <c r="Z369" s="26">
        <v>40899</v>
      </c>
      <c r="AA369" s="776">
        <v>0</v>
      </c>
      <c r="AB369" s="776">
        <v>45</v>
      </c>
      <c r="AC369" s="776">
        <v>0</v>
      </c>
      <c r="AD369" s="776">
        <v>0</v>
      </c>
      <c r="AE369" s="777">
        <v>19</v>
      </c>
      <c r="AF369" s="777">
        <v>19</v>
      </c>
      <c r="AG369" s="778">
        <v>20.67758023851097</v>
      </c>
    </row>
    <row r="370" spans="1:33" x14ac:dyDescent="0.2">
      <c r="A370" s="15">
        <f t="shared" si="40"/>
        <v>2011</v>
      </c>
      <c r="B370" s="14">
        <f t="shared" si="41"/>
        <v>11</v>
      </c>
      <c r="C370" s="13" t="str">
        <f t="shared" si="42"/>
        <v>Q4</v>
      </c>
      <c r="D370" s="13" t="str">
        <f t="shared" si="43"/>
        <v>2011Q4</v>
      </c>
      <c r="E370" s="13" t="str">
        <f t="shared" si="44"/>
        <v>Brazil</v>
      </c>
      <c r="F370" s="13" t="str">
        <f t="shared" si="46"/>
        <v>Small Hydro</v>
      </c>
      <c r="G370" s="13" t="str">
        <f t="shared" si="47"/>
        <v>Asset finance investments</v>
      </c>
      <c r="H370" s="638">
        <f t="shared" si="45"/>
        <v>17.630357887572504</v>
      </c>
      <c r="I370" s="24" t="s">
        <v>506</v>
      </c>
      <c r="J370" s="25" t="s">
        <v>246</v>
      </c>
      <c r="K370" s="25" t="s">
        <v>2100</v>
      </c>
      <c r="L370" s="25" t="s">
        <v>716</v>
      </c>
      <c r="M370" s="25" t="s">
        <v>31</v>
      </c>
      <c r="N370" s="25" t="s">
        <v>31</v>
      </c>
      <c r="O370" s="25" t="s">
        <v>92</v>
      </c>
      <c r="P370" s="25" t="s">
        <v>83</v>
      </c>
      <c r="Q370" s="25" t="s">
        <v>82</v>
      </c>
      <c r="R370" s="25" t="s">
        <v>91</v>
      </c>
      <c r="S370" s="25" t="s">
        <v>126</v>
      </c>
      <c r="T370" s="25" t="s">
        <v>125</v>
      </c>
      <c r="U370" s="25" t="s">
        <v>247</v>
      </c>
      <c r="V370" s="25">
        <v>0</v>
      </c>
      <c r="W370" s="25" t="s">
        <v>553</v>
      </c>
      <c r="X370" s="25" t="s">
        <v>1749</v>
      </c>
      <c r="Y370" s="25" t="s">
        <v>1750</v>
      </c>
      <c r="Z370" s="26">
        <v>40877</v>
      </c>
      <c r="AA370" s="776">
        <v>5.94</v>
      </c>
      <c r="AB370" s="776">
        <v>0</v>
      </c>
      <c r="AC370" s="776">
        <v>0</v>
      </c>
      <c r="AD370" s="776">
        <v>0</v>
      </c>
      <c r="AE370" s="777">
        <v>16.2</v>
      </c>
      <c r="AF370" s="777">
        <v>16.2</v>
      </c>
      <c r="AG370" s="778">
        <v>17.630357887572504</v>
      </c>
    </row>
    <row r="371" spans="1:33" x14ac:dyDescent="0.2">
      <c r="A371" s="15">
        <f t="shared" si="40"/>
        <v>2011</v>
      </c>
      <c r="B371" s="14">
        <f t="shared" si="41"/>
        <v>12</v>
      </c>
      <c r="C371" s="13" t="str">
        <f t="shared" si="42"/>
        <v>Q4</v>
      </c>
      <c r="D371" s="13" t="str">
        <f t="shared" si="43"/>
        <v>2011Q4</v>
      </c>
      <c r="E371" s="13" t="str">
        <f t="shared" si="44"/>
        <v>Argentina</v>
      </c>
      <c r="F371" s="13" t="str">
        <f t="shared" si="46"/>
        <v>Wind</v>
      </c>
      <c r="G371" s="13" t="str">
        <f t="shared" si="47"/>
        <v>Asset finance investments</v>
      </c>
      <c r="H371" s="638">
        <f t="shared" si="45"/>
        <v>17.086211039190641</v>
      </c>
      <c r="I371" s="24" t="s">
        <v>506</v>
      </c>
      <c r="J371" s="25" t="s">
        <v>246</v>
      </c>
      <c r="K371" s="25" t="s">
        <v>2101</v>
      </c>
      <c r="L371" s="25" t="s">
        <v>2102</v>
      </c>
      <c r="M371" s="25" t="s">
        <v>4</v>
      </c>
      <c r="N371" s="25" t="s">
        <v>85</v>
      </c>
      <c r="O371" s="25" t="s">
        <v>92</v>
      </c>
      <c r="P371" s="25" t="s">
        <v>83</v>
      </c>
      <c r="Q371" s="25" t="s">
        <v>82</v>
      </c>
      <c r="R371" s="25"/>
      <c r="S371" s="25" t="s">
        <v>101</v>
      </c>
      <c r="T371" s="25" t="s">
        <v>101</v>
      </c>
      <c r="U371" s="25" t="s">
        <v>112</v>
      </c>
      <c r="V371" s="25">
        <v>0</v>
      </c>
      <c r="W371" s="25" t="s">
        <v>553</v>
      </c>
      <c r="X371" s="25" t="s">
        <v>1749</v>
      </c>
      <c r="Y371" s="25" t="s">
        <v>1750</v>
      </c>
      <c r="Z371" s="26">
        <v>40883</v>
      </c>
      <c r="AA371" s="776">
        <v>6.3</v>
      </c>
      <c r="AB371" s="776">
        <v>0</v>
      </c>
      <c r="AC371" s="776">
        <v>0</v>
      </c>
      <c r="AD371" s="776">
        <v>0</v>
      </c>
      <c r="AE371" s="777">
        <v>0</v>
      </c>
      <c r="AF371" s="777">
        <v>15.7</v>
      </c>
      <c r="AG371" s="778">
        <v>17.086211039190641</v>
      </c>
    </row>
    <row r="372" spans="1:33" x14ac:dyDescent="0.2">
      <c r="A372" s="15">
        <f t="shared" si="40"/>
        <v>2011</v>
      </c>
      <c r="B372" s="14">
        <f t="shared" si="41"/>
        <v>11</v>
      </c>
      <c r="C372" s="13" t="str">
        <f t="shared" si="42"/>
        <v>Q4</v>
      </c>
      <c r="D372" s="13" t="str">
        <f t="shared" si="43"/>
        <v>2011Q4</v>
      </c>
      <c r="E372" s="13" t="str">
        <f t="shared" si="44"/>
        <v>Brazil</v>
      </c>
      <c r="F372" s="13" t="str">
        <f t="shared" si="46"/>
        <v>Biofuels</v>
      </c>
      <c r="G372" s="13" t="str">
        <f t="shared" si="47"/>
        <v>Asset finance investments</v>
      </c>
      <c r="H372" s="638">
        <f t="shared" si="45"/>
        <v>8.7063495741098809</v>
      </c>
      <c r="I372" s="24" t="s">
        <v>506</v>
      </c>
      <c r="J372" s="25" t="s">
        <v>246</v>
      </c>
      <c r="K372" s="25" t="s">
        <v>2103</v>
      </c>
      <c r="L372" s="25" t="s">
        <v>2104</v>
      </c>
      <c r="M372" s="25" t="s">
        <v>31</v>
      </c>
      <c r="N372" s="25" t="s">
        <v>31</v>
      </c>
      <c r="O372" s="25" t="s">
        <v>92</v>
      </c>
      <c r="P372" s="25" t="s">
        <v>83</v>
      </c>
      <c r="Q372" s="25" t="s">
        <v>82</v>
      </c>
      <c r="R372" s="25" t="s">
        <v>91</v>
      </c>
      <c r="S372" s="25" t="s">
        <v>96</v>
      </c>
      <c r="T372" s="25" t="s">
        <v>96</v>
      </c>
      <c r="U372" s="25" t="s">
        <v>98</v>
      </c>
      <c r="V372" s="25" t="s">
        <v>230</v>
      </c>
      <c r="W372" s="25" t="s">
        <v>553</v>
      </c>
      <c r="X372" s="25" t="s">
        <v>1752</v>
      </c>
      <c r="Y372" s="25" t="s">
        <v>1753</v>
      </c>
      <c r="Z372" s="26">
        <v>40877</v>
      </c>
      <c r="AA372" s="776">
        <v>0</v>
      </c>
      <c r="AB372" s="776">
        <v>0</v>
      </c>
      <c r="AC372" s="776">
        <v>0</v>
      </c>
      <c r="AD372" s="776">
        <v>0</v>
      </c>
      <c r="AE372" s="777">
        <v>8</v>
      </c>
      <c r="AF372" s="777">
        <v>8</v>
      </c>
      <c r="AG372" s="778">
        <v>8.7063495741098809</v>
      </c>
    </row>
    <row r="373" spans="1:33" x14ac:dyDescent="0.2">
      <c r="A373" s="15">
        <f t="shared" si="40"/>
        <v>2011</v>
      </c>
      <c r="B373" s="14">
        <f t="shared" si="41"/>
        <v>11</v>
      </c>
      <c r="C373" s="13" t="str">
        <f t="shared" si="42"/>
        <v>Q4</v>
      </c>
      <c r="D373" s="13" t="str">
        <f t="shared" si="43"/>
        <v>2011Q4</v>
      </c>
      <c r="E373" s="13" t="str">
        <f t="shared" si="44"/>
        <v>Peru</v>
      </c>
      <c r="F373" s="13" t="str">
        <f t="shared" si="46"/>
        <v>Biofuels</v>
      </c>
      <c r="G373" s="13" t="str">
        <f t="shared" si="47"/>
        <v>Asset finance investments</v>
      </c>
      <c r="H373" s="638">
        <f t="shared" si="45"/>
        <v>7.3655717396969589</v>
      </c>
      <c r="I373" s="24" t="s">
        <v>506</v>
      </c>
      <c r="J373" s="25" t="s">
        <v>246</v>
      </c>
      <c r="K373" s="25" t="s">
        <v>2105</v>
      </c>
      <c r="L373" s="25" t="s">
        <v>2106</v>
      </c>
      <c r="M373" s="25" t="s">
        <v>20</v>
      </c>
      <c r="N373" s="25" t="s">
        <v>85</v>
      </c>
      <c r="O373" s="25" t="s">
        <v>92</v>
      </c>
      <c r="P373" s="25" t="s">
        <v>83</v>
      </c>
      <c r="Q373" s="25" t="s">
        <v>82</v>
      </c>
      <c r="R373" s="25"/>
      <c r="S373" s="25" t="s">
        <v>96</v>
      </c>
      <c r="T373" s="25" t="s">
        <v>96</v>
      </c>
      <c r="U373" s="25" t="s">
        <v>98</v>
      </c>
      <c r="V373" s="25" t="s">
        <v>230</v>
      </c>
      <c r="W373" s="25" t="s">
        <v>553</v>
      </c>
      <c r="X373" s="25" t="s">
        <v>1752</v>
      </c>
      <c r="Y373" s="25" t="s">
        <v>1753</v>
      </c>
      <c r="Z373" s="26">
        <v>40877</v>
      </c>
      <c r="AA373" s="776">
        <v>0</v>
      </c>
      <c r="AB373" s="776">
        <v>14.4</v>
      </c>
      <c r="AC373" s="776">
        <v>0</v>
      </c>
      <c r="AD373" s="776">
        <v>0</v>
      </c>
      <c r="AE373" s="777">
        <v>0</v>
      </c>
      <c r="AF373" s="777">
        <v>6.7679999999999998</v>
      </c>
      <c r="AG373" s="778">
        <v>7.3655717396969589</v>
      </c>
    </row>
    <row r="374" spans="1:33" x14ac:dyDescent="0.2">
      <c r="A374" s="15">
        <f t="shared" si="40"/>
        <v>2011</v>
      </c>
      <c r="B374" s="14">
        <f t="shared" si="41"/>
        <v>10</v>
      </c>
      <c r="C374" s="13" t="str">
        <f t="shared" si="42"/>
        <v>Q4</v>
      </c>
      <c r="D374" s="13" t="str">
        <f t="shared" si="43"/>
        <v>2011Q4</v>
      </c>
      <c r="E374" s="13" t="str">
        <f t="shared" si="44"/>
        <v>Brazil</v>
      </c>
      <c r="F374" s="13" t="str">
        <f t="shared" si="46"/>
        <v>Small Hydro</v>
      </c>
      <c r="G374" s="13" t="str">
        <f t="shared" si="47"/>
        <v>Asset finance investments</v>
      </c>
      <c r="H374" s="638">
        <f t="shared" si="45"/>
        <v>3.9178573083494466</v>
      </c>
      <c r="I374" s="24" t="s">
        <v>506</v>
      </c>
      <c r="J374" s="25" t="s">
        <v>246</v>
      </c>
      <c r="K374" s="25" t="s">
        <v>2107</v>
      </c>
      <c r="L374" s="25" t="s">
        <v>706</v>
      </c>
      <c r="M374" s="25" t="s">
        <v>31</v>
      </c>
      <c r="N374" s="25" t="s">
        <v>31</v>
      </c>
      <c r="O374" s="25" t="s">
        <v>92</v>
      </c>
      <c r="P374" s="25" t="s">
        <v>83</v>
      </c>
      <c r="Q374" s="25" t="s">
        <v>82</v>
      </c>
      <c r="R374" s="25" t="s">
        <v>91</v>
      </c>
      <c r="S374" s="25" t="s">
        <v>126</v>
      </c>
      <c r="T374" s="25" t="s">
        <v>125</v>
      </c>
      <c r="U374" s="25" t="s">
        <v>247</v>
      </c>
      <c r="V374" s="25">
        <v>0</v>
      </c>
      <c r="W374" s="25" t="s">
        <v>553</v>
      </c>
      <c r="X374" s="25" t="s">
        <v>1752</v>
      </c>
      <c r="Y374" s="25" t="s">
        <v>1753</v>
      </c>
      <c r="Z374" s="26">
        <v>40847</v>
      </c>
      <c r="AA374" s="776">
        <v>1.44</v>
      </c>
      <c r="AB374" s="776">
        <v>0</v>
      </c>
      <c r="AC374" s="776">
        <v>0</v>
      </c>
      <c r="AD374" s="776">
        <v>0</v>
      </c>
      <c r="AE374" s="777">
        <v>0</v>
      </c>
      <c r="AF374" s="777">
        <v>3.6</v>
      </c>
      <c r="AG374" s="778">
        <v>3.9178573083494466</v>
      </c>
    </row>
    <row r="375" spans="1:33" x14ac:dyDescent="0.2">
      <c r="A375" s="15">
        <f t="shared" si="40"/>
        <v>2011</v>
      </c>
      <c r="B375" s="14">
        <f t="shared" si="41"/>
        <v>10</v>
      </c>
      <c r="C375" s="13" t="str">
        <f t="shared" si="42"/>
        <v>Q4</v>
      </c>
      <c r="D375" s="13" t="str">
        <f t="shared" si="43"/>
        <v>2011Q4</v>
      </c>
      <c r="E375" s="13" t="str">
        <f t="shared" si="44"/>
        <v>Peru</v>
      </c>
      <c r="F375" s="13" t="str">
        <f t="shared" si="46"/>
        <v>Small Hydro</v>
      </c>
      <c r="G375" s="13" t="str">
        <f t="shared" si="47"/>
        <v>Asset finance investments</v>
      </c>
      <c r="H375" s="638">
        <f t="shared" si="45"/>
        <v>2.7207342419093377</v>
      </c>
      <c r="I375" s="24" t="s">
        <v>506</v>
      </c>
      <c r="J375" s="25" t="s">
        <v>246</v>
      </c>
      <c r="K375" s="25" t="s">
        <v>2108</v>
      </c>
      <c r="L375" s="25" t="s">
        <v>2109</v>
      </c>
      <c r="M375" s="25" t="s">
        <v>20</v>
      </c>
      <c r="N375" s="25" t="s">
        <v>85</v>
      </c>
      <c r="O375" s="25" t="s">
        <v>92</v>
      </c>
      <c r="P375" s="25" t="s">
        <v>83</v>
      </c>
      <c r="Q375" s="25" t="s">
        <v>82</v>
      </c>
      <c r="R375" s="25"/>
      <c r="S375" s="25" t="s">
        <v>126</v>
      </c>
      <c r="T375" s="25" t="s">
        <v>125</v>
      </c>
      <c r="U375" s="25" t="s">
        <v>247</v>
      </c>
      <c r="V375" s="25">
        <v>0</v>
      </c>
      <c r="W375" s="25" t="s">
        <v>553</v>
      </c>
      <c r="X375" s="25" t="s">
        <v>1771</v>
      </c>
      <c r="Y375" s="25" t="s">
        <v>1750</v>
      </c>
      <c r="Z375" s="26">
        <v>40834</v>
      </c>
      <c r="AA375" s="776">
        <v>1</v>
      </c>
      <c r="AB375" s="776">
        <v>0</v>
      </c>
      <c r="AC375" s="776">
        <v>0</v>
      </c>
      <c r="AD375" s="776">
        <v>0</v>
      </c>
      <c r="AE375" s="777">
        <v>0</v>
      </c>
      <c r="AF375" s="777">
        <v>2.5</v>
      </c>
      <c r="AG375" s="778">
        <v>2.7207342419093377</v>
      </c>
    </row>
    <row r="376" spans="1:33" x14ac:dyDescent="0.2">
      <c r="A376" s="15">
        <f t="shared" si="40"/>
        <v>2010</v>
      </c>
      <c r="B376" s="14">
        <f t="shared" si="41"/>
        <v>11</v>
      </c>
      <c r="C376" s="13" t="str">
        <f t="shared" si="42"/>
        <v>Q4</v>
      </c>
      <c r="D376" s="13" t="str">
        <f t="shared" si="43"/>
        <v>2010Q4</v>
      </c>
      <c r="E376" s="13" t="str">
        <f t="shared" si="44"/>
        <v>Mexico</v>
      </c>
      <c r="F376" s="13" t="str">
        <f t="shared" si="46"/>
        <v>Wind</v>
      </c>
      <c r="G376" s="13" t="str">
        <f t="shared" si="47"/>
        <v>Asset finance investments</v>
      </c>
      <c r="H376" s="638">
        <f t="shared" si="45"/>
        <v>781.53133849996243</v>
      </c>
      <c r="I376" s="24" t="s">
        <v>506</v>
      </c>
      <c r="J376" s="25" t="s">
        <v>246</v>
      </c>
      <c r="K376" s="25" t="s">
        <v>2110</v>
      </c>
      <c r="L376" s="25" t="s">
        <v>893</v>
      </c>
      <c r="M376" s="25" t="s">
        <v>18</v>
      </c>
      <c r="N376" s="25" t="s">
        <v>85</v>
      </c>
      <c r="O376" s="25" t="s">
        <v>92</v>
      </c>
      <c r="P376" s="25" t="s">
        <v>83</v>
      </c>
      <c r="Q376" s="25" t="s">
        <v>129</v>
      </c>
      <c r="R376" s="25"/>
      <c r="S376" s="25" t="s">
        <v>101</v>
      </c>
      <c r="T376" s="25" t="s">
        <v>101</v>
      </c>
      <c r="U376" s="25" t="s">
        <v>112</v>
      </c>
      <c r="V376" s="25">
        <v>0</v>
      </c>
      <c r="W376" s="25" t="s">
        <v>553</v>
      </c>
      <c r="X376" s="25" t="s">
        <v>1752</v>
      </c>
      <c r="Y376" s="25" t="s">
        <v>1753</v>
      </c>
      <c r="Z376" s="26">
        <v>40500</v>
      </c>
      <c r="AA376" s="776">
        <v>324</v>
      </c>
      <c r="AB376" s="776">
        <v>0</v>
      </c>
      <c r="AC376" s="776">
        <v>0</v>
      </c>
      <c r="AD376" s="776">
        <v>0</v>
      </c>
      <c r="AE376" s="777">
        <v>750</v>
      </c>
      <c r="AF376" s="777">
        <v>750</v>
      </c>
      <c r="AG376" s="778">
        <v>781.53133849996243</v>
      </c>
    </row>
    <row r="377" spans="1:33" x14ac:dyDescent="0.2">
      <c r="A377" s="15">
        <f t="shared" si="40"/>
        <v>2010</v>
      </c>
      <c r="B377" s="14">
        <f t="shared" si="41"/>
        <v>12</v>
      </c>
      <c r="C377" s="13" t="str">
        <f t="shared" si="42"/>
        <v>Q4</v>
      </c>
      <c r="D377" s="13" t="str">
        <f t="shared" si="43"/>
        <v>2010Q4</v>
      </c>
      <c r="E377" s="13" t="str">
        <f t="shared" si="44"/>
        <v>Mexico</v>
      </c>
      <c r="F377" s="13" t="str">
        <f t="shared" si="46"/>
        <v>Wind</v>
      </c>
      <c r="G377" s="13" t="str">
        <f t="shared" si="47"/>
        <v>Asset finance investments</v>
      </c>
      <c r="H377" s="638">
        <f t="shared" si="45"/>
        <v>637.83377639443597</v>
      </c>
      <c r="I377" s="24" t="s">
        <v>506</v>
      </c>
      <c r="J377" s="25" t="s">
        <v>246</v>
      </c>
      <c r="K377" s="25" t="s">
        <v>2111</v>
      </c>
      <c r="L377" s="25" t="s">
        <v>2112</v>
      </c>
      <c r="M377" s="25" t="s">
        <v>18</v>
      </c>
      <c r="N377" s="25" t="s">
        <v>85</v>
      </c>
      <c r="O377" s="25" t="s">
        <v>92</v>
      </c>
      <c r="P377" s="25" t="s">
        <v>83</v>
      </c>
      <c r="Q377" s="25" t="s">
        <v>129</v>
      </c>
      <c r="R377" s="25"/>
      <c r="S377" s="25" t="s">
        <v>101</v>
      </c>
      <c r="T377" s="25" t="s">
        <v>101</v>
      </c>
      <c r="U377" s="25" t="s">
        <v>112</v>
      </c>
      <c r="V377" s="25">
        <v>0</v>
      </c>
      <c r="W377" s="25" t="s">
        <v>553</v>
      </c>
      <c r="X377" s="25" t="s">
        <v>1752</v>
      </c>
      <c r="Y377" s="25" t="s">
        <v>1753</v>
      </c>
      <c r="Z377" s="26">
        <v>40543</v>
      </c>
      <c r="AA377" s="776">
        <v>306</v>
      </c>
      <c r="AB377" s="776">
        <v>0</v>
      </c>
      <c r="AC377" s="776">
        <v>0</v>
      </c>
      <c r="AD377" s="776">
        <v>0</v>
      </c>
      <c r="AE377" s="777">
        <v>612.1</v>
      </c>
      <c r="AF377" s="777">
        <v>612.1</v>
      </c>
      <c r="AG377" s="778">
        <v>637.83377639443597</v>
      </c>
    </row>
    <row r="378" spans="1:33" x14ac:dyDescent="0.2">
      <c r="A378" s="15">
        <f t="shared" si="40"/>
        <v>2010</v>
      </c>
      <c r="B378" s="14">
        <f t="shared" si="41"/>
        <v>12</v>
      </c>
      <c r="C378" s="13" t="str">
        <f t="shared" si="42"/>
        <v>Q4</v>
      </c>
      <c r="D378" s="13" t="str">
        <f t="shared" si="43"/>
        <v>2010Q4</v>
      </c>
      <c r="E378" s="13" t="str">
        <f t="shared" si="44"/>
        <v>Brazil</v>
      </c>
      <c r="F378" s="13" t="str">
        <f t="shared" si="46"/>
        <v>Wind</v>
      </c>
      <c r="G378" s="13" t="str">
        <f t="shared" si="47"/>
        <v>Asset finance investments</v>
      </c>
      <c r="H378" s="638">
        <f t="shared" si="45"/>
        <v>312.61253539998495</v>
      </c>
      <c r="I378" s="24" t="s">
        <v>506</v>
      </c>
      <c r="J378" s="25" t="s">
        <v>246</v>
      </c>
      <c r="K378" s="25" t="s">
        <v>2113</v>
      </c>
      <c r="L378" s="25" t="s">
        <v>786</v>
      </c>
      <c r="M378" s="25" t="s">
        <v>31</v>
      </c>
      <c r="N378" s="25" t="s">
        <v>31</v>
      </c>
      <c r="O378" s="25" t="s">
        <v>92</v>
      </c>
      <c r="P378" s="25" t="s">
        <v>83</v>
      </c>
      <c r="Q378" s="25" t="s">
        <v>82</v>
      </c>
      <c r="R378" s="25" t="s">
        <v>91</v>
      </c>
      <c r="S378" s="25" t="s">
        <v>101</v>
      </c>
      <c r="T378" s="25" t="s">
        <v>101</v>
      </c>
      <c r="U378" s="25" t="s">
        <v>112</v>
      </c>
      <c r="V378" s="25">
        <v>0</v>
      </c>
      <c r="W378" s="25" t="s">
        <v>553</v>
      </c>
      <c r="X378" s="25" t="s">
        <v>1749</v>
      </c>
      <c r="Y378" s="25" t="s">
        <v>1750</v>
      </c>
      <c r="Z378" s="26">
        <v>40518</v>
      </c>
      <c r="AA378" s="776">
        <v>153</v>
      </c>
      <c r="AB378" s="776">
        <v>0</v>
      </c>
      <c r="AC378" s="776">
        <v>0</v>
      </c>
      <c r="AD378" s="776">
        <v>0</v>
      </c>
      <c r="AE378" s="777">
        <v>0</v>
      </c>
      <c r="AF378" s="777">
        <v>300</v>
      </c>
      <c r="AG378" s="778">
        <v>312.61253539998495</v>
      </c>
    </row>
    <row r="379" spans="1:33" x14ac:dyDescent="0.2">
      <c r="A379" s="15">
        <f t="shared" si="40"/>
        <v>2010</v>
      </c>
      <c r="B379" s="14">
        <f t="shared" si="41"/>
        <v>11</v>
      </c>
      <c r="C379" s="13" t="str">
        <f t="shared" si="42"/>
        <v>Q4</v>
      </c>
      <c r="D379" s="13" t="str">
        <f t="shared" si="43"/>
        <v>2010Q4</v>
      </c>
      <c r="E379" s="13" t="str">
        <f t="shared" si="44"/>
        <v>Honduras</v>
      </c>
      <c r="F379" s="13" t="str">
        <f t="shared" si="46"/>
        <v>Wind</v>
      </c>
      <c r="G379" s="13" t="str">
        <f t="shared" si="47"/>
        <v>Asset finance investments</v>
      </c>
      <c r="H379" s="638">
        <f t="shared" si="45"/>
        <v>302.19211755331878</v>
      </c>
      <c r="I379" s="24" t="s">
        <v>506</v>
      </c>
      <c r="J379" s="25" t="s">
        <v>246</v>
      </c>
      <c r="K379" s="25" t="s">
        <v>2114</v>
      </c>
      <c r="L379" s="25" t="s">
        <v>1069</v>
      </c>
      <c r="M379" s="25" t="s">
        <v>16</v>
      </c>
      <c r="N379" s="25" t="s">
        <v>85</v>
      </c>
      <c r="O379" s="25" t="s">
        <v>92</v>
      </c>
      <c r="P379" s="25" t="s">
        <v>83</v>
      </c>
      <c r="Q379" s="25" t="s">
        <v>82</v>
      </c>
      <c r="R379" s="25"/>
      <c r="S379" s="25" t="s">
        <v>101</v>
      </c>
      <c r="T379" s="25" t="s">
        <v>101</v>
      </c>
      <c r="U379" s="25" t="s">
        <v>112</v>
      </c>
      <c r="V379" s="25">
        <v>0</v>
      </c>
      <c r="W379" s="25" t="s">
        <v>553</v>
      </c>
      <c r="X379" s="25" t="s">
        <v>1749</v>
      </c>
      <c r="Y379" s="25" t="s">
        <v>1750</v>
      </c>
      <c r="Z379" s="26">
        <v>40490</v>
      </c>
      <c r="AA379" s="776">
        <v>102</v>
      </c>
      <c r="AB379" s="776">
        <v>0</v>
      </c>
      <c r="AC379" s="776">
        <v>0</v>
      </c>
      <c r="AD379" s="776">
        <v>0</v>
      </c>
      <c r="AE379" s="777">
        <v>290</v>
      </c>
      <c r="AF379" s="777">
        <v>290</v>
      </c>
      <c r="AG379" s="778">
        <v>302.19211755331878</v>
      </c>
    </row>
    <row r="380" spans="1:33" x14ac:dyDescent="0.2">
      <c r="A380" s="15">
        <f t="shared" si="40"/>
        <v>2010</v>
      </c>
      <c r="B380" s="14">
        <f t="shared" si="41"/>
        <v>12</v>
      </c>
      <c r="C380" s="13" t="str">
        <f t="shared" si="42"/>
        <v>Q4</v>
      </c>
      <c r="D380" s="13" t="str">
        <f t="shared" si="43"/>
        <v>2010Q4</v>
      </c>
      <c r="E380" s="13" t="str">
        <f t="shared" si="44"/>
        <v>Brazil</v>
      </c>
      <c r="F380" s="13" t="str">
        <f t="shared" si="46"/>
        <v>Wind</v>
      </c>
      <c r="G380" s="13" t="str">
        <f t="shared" si="47"/>
        <v>Asset finance investments</v>
      </c>
      <c r="H380" s="638">
        <f t="shared" si="45"/>
        <v>295.21043759605249</v>
      </c>
      <c r="I380" s="24" t="s">
        <v>506</v>
      </c>
      <c r="J380" s="25" t="s">
        <v>246</v>
      </c>
      <c r="K380" s="25" t="s">
        <v>2115</v>
      </c>
      <c r="L380" s="25" t="s">
        <v>887</v>
      </c>
      <c r="M380" s="25" t="s">
        <v>31</v>
      </c>
      <c r="N380" s="25" t="s">
        <v>31</v>
      </c>
      <c r="O380" s="25" t="s">
        <v>92</v>
      </c>
      <c r="P380" s="25" t="s">
        <v>83</v>
      </c>
      <c r="Q380" s="25" t="s">
        <v>82</v>
      </c>
      <c r="R380" s="25" t="s">
        <v>91</v>
      </c>
      <c r="S380" s="25" t="s">
        <v>101</v>
      </c>
      <c r="T380" s="25" t="s">
        <v>101</v>
      </c>
      <c r="U380" s="25" t="s">
        <v>112</v>
      </c>
      <c r="V380" s="25">
        <v>0</v>
      </c>
      <c r="W380" s="25" t="s">
        <v>553</v>
      </c>
      <c r="X380" s="25" t="s">
        <v>1749</v>
      </c>
      <c r="Y380" s="25" t="s">
        <v>1750</v>
      </c>
      <c r="Z380" s="26">
        <v>40536</v>
      </c>
      <c r="AA380" s="776">
        <v>100.8</v>
      </c>
      <c r="AB380" s="776">
        <v>0</v>
      </c>
      <c r="AC380" s="776">
        <v>0</v>
      </c>
      <c r="AD380" s="776">
        <v>0</v>
      </c>
      <c r="AE380" s="777">
        <v>283.3</v>
      </c>
      <c r="AF380" s="777">
        <v>283.3</v>
      </c>
      <c r="AG380" s="778">
        <v>295.21043759605249</v>
      </c>
    </row>
    <row r="381" spans="1:33" x14ac:dyDescent="0.2">
      <c r="A381" s="15">
        <f t="shared" si="40"/>
        <v>2010</v>
      </c>
      <c r="B381" s="14">
        <f t="shared" si="41"/>
        <v>12</v>
      </c>
      <c r="C381" s="13" t="str">
        <f t="shared" si="42"/>
        <v>Q4</v>
      </c>
      <c r="D381" s="13" t="str">
        <f t="shared" si="43"/>
        <v>2010Q4</v>
      </c>
      <c r="E381" s="13" t="str">
        <f t="shared" si="44"/>
        <v>Mexico</v>
      </c>
      <c r="F381" s="13" t="str">
        <f t="shared" si="46"/>
        <v>Wind</v>
      </c>
      <c r="G381" s="13" t="str">
        <f t="shared" si="47"/>
        <v>Asset finance investments</v>
      </c>
      <c r="H381" s="638">
        <f t="shared" si="45"/>
        <v>261.0314670589874</v>
      </c>
      <c r="I381" s="24" t="s">
        <v>506</v>
      </c>
      <c r="J381" s="25" t="s">
        <v>246</v>
      </c>
      <c r="K381" s="25" t="s">
        <v>2116</v>
      </c>
      <c r="L381" s="25" t="s">
        <v>2117</v>
      </c>
      <c r="M381" s="25" t="s">
        <v>18</v>
      </c>
      <c r="N381" s="25" t="s">
        <v>85</v>
      </c>
      <c r="O381" s="25" t="s">
        <v>92</v>
      </c>
      <c r="P381" s="25" t="s">
        <v>83</v>
      </c>
      <c r="Q381" s="25" t="s">
        <v>129</v>
      </c>
      <c r="R381" s="25"/>
      <c r="S381" s="25" t="s">
        <v>101</v>
      </c>
      <c r="T381" s="25" t="s">
        <v>101</v>
      </c>
      <c r="U381" s="25" t="s">
        <v>112</v>
      </c>
      <c r="V381" s="25">
        <v>0</v>
      </c>
      <c r="W381" s="25" t="s">
        <v>553</v>
      </c>
      <c r="X381" s="25" t="s">
        <v>1749</v>
      </c>
      <c r="Y381" s="25" t="s">
        <v>1750</v>
      </c>
      <c r="Z381" s="26">
        <v>40534</v>
      </c>
      <c r="AA381" s="776">
        <v>90</v>
      </c>
      <c r="AB381" s="776">
        <v>0</v>
      </c>
      <c r="AC381" s="776">
        <v>0</v>
      </c>
      <c r="AD381" s="776">
        <v>0</v>
      </c>
      <c r="AE381" s="777">
        <v>250.5</v>
      </c>
      <c r="AF381" s="777">
        <v>250.5</v>
      </c>
      <c r="AG381" s="778">
        <v>261.0314670589874</v>
      </c>
    </row>
    <row r="382" spans="1:33" x14ac:dyDescent="0.2">
      <c r="A382" s="15">
        <f t="shared" si="40"/>
        <v>2010</v>
      </c>
      <c r="B382" s="14">
        <f t="shared" si="41"/>
        <v>11</v>
      </c>
      <c r="C382" s="13" t="str">
        <f t="shared" si="42"/>
        <v>Q4</v>
      </c>
      <c r="D382" s="13" t="str">
        <f t="shared" si="43"/>
        <v>2010Q4</v>
      </c>
      <c r="E382" s="13" t="str">
        <f t="shared" si="44"/>
        <v>Nicaragua</v>
      </c>
      <c r="F382" s="13" t="str">
        <f t="shared" si="46"/>
        <v>Geothermal</v>
      </c>
      <c r="G382" s="13" t="str">
        <f t="shared" si="47"/>
        <v>Asset finance investments</v>
      </c>
      <c r="H382" s="638">
        <f t="shared" si="45"/>
        <v>233.41735976532212</v>
      </c>
      <c r="I382" s="24" t="s">
        <v>506</v>
      </c>
      <c r="J382" s="25" t="s">
        <v>246</v>
      </c>
      <c r="K382" s="25" t="s">
        <v>2118</v>
      </c>
      <c r="L382" s="25" t="s">
        <v>2119</v>
      </c>
      <c r="M382" s="25" t="s">
        <v>2</v>
      </c>
      <c r="N382" s="25" t="s">
        <v>85</v>
      </c>
      <c r="O382" s="25" t="s">
        <v>92</v>
      </c>
      <c r="P382" s="25" t="s">
        <v>83</v>
      </c>
      <c r="Q382" s="25" t="s">
        <v>82</v>
      </c>
      <c r="R382" s="25"/>
      <c r="S382" s="25" t="s">
        <v>157</v>
      </c>
      <c r="T382" s="25" t="s">
        <v>157</v>
      </c>
      <c r="U382" s="25" t="s">
        <v>156</v>
      </c>
      <c r="V382" s="25" t="s">
        <v>248</v>
      </c>
      <c r="W382" s="25" t="s">
        <v>553</v>
      </c>
      <c r="X382" s="25" t="s">
        <v>1749</v>
      </c>
      <c r="Y382" s="25" t="s">
        <v>1750</v>
      </c>
      <c r="Z382" s="26">
        <v>40486</v>
      </c>
      <c r="AA382" s="776">
        <v>36</v>
      </c>
      <c r="AB382" s="776">
        <v>0</v>
      </c>
      <c r="AC382" s="776">
        <v>0</v>
      </c>
      <c r="AD382" s="776">
        <v>0</v>
      </c>
      <c r="AE382" s="777">
        <v>224</v>
      </c>
      <c r="AF382" s="777">
        <v>224</v>
      </c>
      <c r="AG382" s="778">
        <v>233.41735976532212</v>
      </c>
    </row>
    <row r="383" spans="1:33" x14ac:dyDescent="0.2">
      <c r="A383" s="15">
        <f t="shared" si="40"/>
        <v>2010</v>
      </c>
      <c r="B383" s="14">
        <f t="shared" si="41"/>
        <v>11</v>
      </c>
      <c r="C383" s="13" t="str">
        <f t="shared" si="42"/>
        <v>Q4</v>
      </c>
      <c r="D383" s="13" t="str">
        <f t="shared" si="43"/>
        <v>2010Q4</v>
      </c>
      <c r="E383" s="13" t="str">
        <f t="shared" si="44"/>
        <v>Argentina</v>
      </c>
      <c r="F383" s="13" t="str">
        <f t="shared" si="46"/>
        <v>Wind</v>
      </c>
      <c r="G383" s="13" t="str">
        <f t="shared" si="47"/>
        <v>Asset finance investments</v>
      </c>
      <c r="H383" s="638">
        <f t="shared" si="45"/>
        <v>150.3666295273928</v>
      </c>
      <c r="I383" s="24" t="s">
        <v>506</v>
      </c>
      <c r="J383" s="25" t="s">
        <v>246</v>
      </c>
      <c r="K383" s="25" t="s">
        <v>2120</v>
      </c>
      <c r="L383" s="25" t="s">
        <v>2121</v>
      </c>
      <c r="M383" s="25" t="s">
        <v>4</v>
      </c>
      <c r="N383" s="25" t="s">
        <v>85</v>
      </c>
      <c r="O383" s="25" t="s">
        <v>92</v>
      </c>
      <c r="P383" s="25" t="s">
        <v>83</v>
      </c>
      <c r="Q383" s="25" t="s">
        <v>82</v>
      </c>
      <c r="R383" s="25"/>
      <c r="S383" s="25" t="s">
        <v>101</v>
      </c>
      <c r="T383" s="25" t="s">
        <v>101</v>
      </c>
      <c r="U383" s="25" t="s">
        <v>112</v>
      </c>
      <c r="V383" s="25">
        <v>0</v>
      </c>
      <c r="W383" s="25" t="s">
        <v>553</v>
      </c>
      <c r="X383" s="25" t="s">
        <v>1752</v>
      </c>
      <c r="Y383" s="25" t="s">
        <v>1753</v>
      </c>
      <c r="Z383" s="26">
        <v>40504</v>
      </c>
      <c r="AA383" s="776">
        <v>80</v>
      </c>
      <c r="AB383" s="776">
        <v>0</v>
      </c>
      <c r="AC383" s="776">
        <v>0</v>
      </c>
      <c r="AD383" s="776">
        <v>0</v>
      </c>
      <c r="AE383" s="777">
        <v>144.30000000000001</v>
      </c>
      <c r="AF383" s="777">
        <v>144.30000000000001</v>
      </c>
      <c r="AG383" s="778">
        <v>150.3666295273928</v>
      </c>
    </row>
    <row r="384" spans="1:33" x14ac:dyDescent="0.2">
      <c r="A384" s="15">
        <f t="shared" si="40"/>
        <v>2010</v>
      </c>
      <c r="B384" s="14">
        <f t="shared" si="41"/>
        <v>12</v>
      </c>
      <c r="C384" s="13" t="str">
        <f t="shared" si="42"/>
        <v>Q4</v>
      </c>
      <c r="D384" s="13" t="str">
        <f t="shared" si="43"/>
        <v>2010Q4</v>
      </c>
      <c r="E384" s="13" t="str">
        <f t="shared" si="44"/>
        <v>Chile</v>
      </c>
      <c r="F384" s="13" t="str">
        <f t="shared" si="46"/>
        <v>Small Hydro</v>
      </c>
      <c r="G384" s="13" t="str">
        <f t="shared" si="47"/>
        <v>Asset finance investments</v>
      </c>
      <c r="H384" s="638">
        <f t="shared" si="45"/>
        <v>126.60807683699392</v>
      </c>
      <c r="I384" s="24" t="s">
        <v>506</v>
      </c>
      <c r="J384" s="25" t="s">
        <v>246</v>
      </c>
      <c r="K384" s="25" t="s">
        <v>2122</v>
      </c>
      <c r="L384" s="25" t="s">
        <v>1050</v>
      </c>
      <c r="M384" s="25" t="s">
        <v>8</v>
      </c>
      <c r="N384" s="25" t="s">
        <v>85</v>
      </c>
      <c r="O384" s="25" t="s">
        <v>92</v>
      </c>
      <c r="P384" s="25" t="s">
        <v>83</v>
      </c>
      <c r="Q384" s="25" t="s">
        <v>129</v>
      </c>
      <c r="R384" s="25"/>
      <c r="S384" s="25" t="s">
        <v>126</v>
      </c>
      <c r="T384" s="25" t="s">
        <v>125</v>
      </c>
      <c r="U384" s="25" t="s">
        <v>247</v>
      </c>
      <c r="V384" s="25">
        <v>0</v>
      </c>
      <c r="W384" s="25" t="s">
        <v>553</v>
      </c>
      <c r="X384" s="25" t="s">
        <v>1749</v>
      </c>
      <c r="Y384" s="25" t="s">
        <v>1750</v>
      </c>
      <c r="Z384" s="26">
        <v>40529</v>
      </c>
      <c r="AA384" s="776">
        <v>30</v>
      </c>
      <c r="AB384" s="776">
        <v>0</v>
      </c>
      <c r="AC384" s="776">
        <v>0</v>
      </c>
      <c r="AD384" s="776">
        <v>0</v>
      </c>
      <c r="AE384" s="777">
        <v>121.5</v>
      </c>
      <c r="AF384" s="777">
        <v>121.5</v>
      </c>
      <c r="AG384" s="778">
        <v>126.60807683699392</v>
      </c>
    </row>
    <row r="385" spans="1:33" x14ac:dyDescent="0.2">
      <c r="A385" s="15">
        <f t="shared" si="40"/>
        <v>2010</v>
      </c>
      <c r="B385" s="14">
        <f t="shared" si="41"/>
        <v>12</v>
      </c>
      <c r="C385" s="13" t="str">
        <f t="shared" si="42"/>
        <v>Q4</v>
      </c>
      <c r="D385" s="13" t="str">
        <f t="shared" si="43"/>
        <v>2010Q4</v>
      </c>
      <c r="E385" s="13" t="str">
        <f t="shared" si="44"/>
        <v>Chile</v>
      </c>
      <c r="F385" s="13" t="str">
        <f t="shared" si="46"/>
        <v>Small Hydro</v>
      </c>
      <c r="G385" s="13" t="str">
        <f t="shared" si="47"/>
        <v>Asset finance investments</v>
      </c>
      <c r="H385" s="638">
        <f t="shared" si="45"/>
        <v>126.60807683699392</v>
      </c>
      <c r="I385" s="24" t="s">
        <v>506</v>
      </c>
      <c r="J385" s="25" t="s">
        <v>246</v>
      </c>
      <c r="K385" s="25" t="s">
        <v>2123</v>
      </c>
      <c r="L385" s="25" t="s">
        <v>1031</v>
      </c>
      <c r="M385" s="25" t="s">
        <v>8</v>
      </c>
      <c r="N385" s="25" t="s">
        <v>85</v>
      </c>
      <c r="O385" s="25" t="s">
        <v>92</v>
      </c>
      <c r="P385" s="25" t="s">
        <v>83</v>
      </c>
      <c r="Q385" s="25" t="s">
        <v>129</v>
      </c>
      <c r="R385" s="25"/>
      <c r="S385" s="25" t="s">
        <v>126</v>
      </c>
      <c r="T385" s="25" t="s">
        <v>125</v>
      </c>
      <c r="U385" s="25" t="s">
        <v>247</v>
      </c>
      <c r="V385" s="25">
        <v>0</v>
      </c>
      <c r="W385" s="25" t="s">
        <v>553</v>
      </c>
      <c r="X385" s="25" t="s">
        <v>1749</v>
      </c>
      <c r="Y385" s="25" t="s">
        <v>1750</v>
      </c>
      <c r="Z385" s="26">
        <v>40529</v>
      </c>
      <c r="AA385" s="776">
        <v>30</v>
      </c>
      <c r="AB385" s="776">
        <v>0</v>
      </c>
      <c r="AC385" s="776">
        <v>0</v>
      </c>
      <c r="AD385" s="776">
        <v>0</v>
      </c>
      <c r="AE385" s="777">
        <v>121.5</v>
      </c>
      <c r="AF385" s="777">
        <v>121.5</v>
      </c>
      <c r="AG385" s="778">
        <v>126.60807683699392</v>
      </c>
    </row>
    <row r="386" spans="1:33" x14ac:dyDescent="0.2">
      <c r="A386" s="15">
        <f t="shared" si="40"/>
        <v>2010</v>
      </c>
      <c r="B386" s="14">
        <f t="shared" si="41"/>
        <v>11</v>
      </c>
      <c r="C386" s="13" t="str">
        <f t="shared" si="42"/>
        <v>Q4</v>
      </c>
      <c r="D386" s="13" t="str">
        <f t="shared" si="43"/>
        <v>2010Q4</v>
      </c>
      <c r="E386" s="13" t="str">
        <f t="shared" si="44"/>
        <v>Brazil</v>
      </c>
      <c r="F386" s="13" t="str">
        <f t="shared" si="46"/>
        <v>Wind</v>
      </c>
      <c r="G386" s="13" t="str">
        <f t="shared" si="47"/>
        <v>Asset finance investments</v>
      </c>
      <c r="H386" s="638">
        <f t="shared" si="45"/>
        <v>87.531509911995798</v>
      </c>
      <c r="I386" s="24" t="s">
        <v>506</v>
      </c>
      <c r="J386" s="25" t="s">
        <v>246</v>
      </c>
      <c r="K386" s="25" t="s">
        <v>2124</v>
      </c>
      <c r="L386" s="25" t="s">
        <v>790</v>
      </c>
      <c r="M386" s="25" t="s">
        <v>31</v>
      </c>
      <c r="N386" s="25" t="s">
        <v>31</v>
      </c>
      <c r="O386" s="25" t="s">
        <v>92</v>
      </c>
      <c r="P386" s="25" t="s">
        <v>83</v>
      </c>
      <c r="Q386" s="25" t="s">
        <v>82</v>
      </c>
      <c r="R386" s="25" t="s">
        <v>91</v>
      </c>
      <c r="S386" s="25" t="s">
        <v>101</v>
      </c>
      <c r="T386" s="25" t="s">
        <v>101</v>
      </c>
      <c r="U386" s="25" t="s">
        <v>112</v>
      </c>
      <c r="V386" s="25">
        <v>0</v>
      </c>
      <c r="W386" s="25" t="s">
        <v>553</v>
      </c>
      <c r="X386" s="25" t="s">
        <v>1752</v>
      </c>
      <c r="Y386" s="25" t="s">
        <v>1753</v>
      </c>
      <c r="Z386" s="26">
        <v>40511</v>
      </c>
      <c r="AA386" s="776">
        <v>42</v>
      </c>
      <c r="AB386" s="776">
        <v>0</v>
      </c>
      <c r="AC386" s="776">
        <v>0</v>
      </c>
      <c r="AD386" s="776">
        <v>0</v>
      </c>
      <c r="AE386" s="777">
        <v>0</v>
      </c>
      <c r="AF386" s="777">
        <v>84</v>
      </c>
      <c r="AG386" s="778">
        <v>87.531509911995798</v>
      </c>
    </row>
    <row r="387" spans="1:33" x14ac:dyDescent="0.2">
      <c r="A387" s="15">
        <f t="shared" si="40"/>
        <v>2010</v>
      </c>
      <c r="B387" s="14">
        <f t="shared" si="41"/>
        <v>10</v>
      </c>
      <c r="C387" s="13" t="str">
        <f t="shared" si="42"/>
        <v>Q4</v>
      </c>
      <c r="D387" s="13" t="str">
        <f t="shared" si="43"/>
        <v>2010Q4</v>
      </c>
      <c r="E387" s="13" t="str">
        <f t="shared" si="44"/>
        <v>Brazil</v>
      </c>
      <c r="F387" s="13" t="str">
        <f t="shared" si="46"/>
        <v>Biofuels</v>
      </c>
      <c r="G387" s="13" t="str">
        <f t="shared" si="47"/>
        <v>Asset finance investments</v>
      </c>
      <c r="H387" s="638">
        <f t="shared" si="45"/>
        <v>79.403583991596179</v>
      </c>
      <c r="I387" s="24" t="s">
        <v>506</v>
      </c>
      <c r="J387" s="25" t="s">
        <v>246</v>
      </c>
      <c r="K387" s="25" t="s">
        <v>2125</v>
      </c>
      <c r="L387" s="25" t="s">
        <v>794</v>
      </c>
      <c r="M387" s="25" t="s">
        <v>31</v>
      </c>
      <c r="N387" s="25" t="s">
        <v>31</v>
      </c>
      <c r="O387" s="25" t="s">
        <v>92</v>
      </c>
      <c r="P387" s="25" t="s">
        <v>83</v>
      </c>
      <c r="Q387" s="25" t="s">
        <v>82</v>
      </c>
      <c r="R387" s="25" t="s">
        <v>91</v>
      </c>
      <c r="S387" s="25" t="s">
        <v>96</v>
      </c>
      <c r="T387" s="25" t="s">
        <v>96</v>
      </c>
      <c r="U387" s="25" t="s">
        <v>95</v>
      </c>
      <c r="V387" s="25" t="s">
        <v>223</v>
      </c>
      <c r="W387" s="25" t="s">
        <v>553</v>
      </c>
      <c r="X387" s="25" t="s">
        <v>1752</v>
      </c>
      <c r="Y387" s="25" t="s">
        <v>1753</v>
      </c>
      <c r="Z387" s="26">
        <v>40473</v>
      </c>
      <c r="AA387" s="776">
        <v>0</v>
      </c>
      <c r="AB387" s="776">
        <v>252</v>
      </c>
      <c r="AC387" s="776">
        <v>0</v>
      </c>
      <c r="AD387" s="776">
        <v>0</v>
      </c>
      <c r="AE387" s="777">
        <v>76.2</v>
      </c>
      <c r="AF387" s="777">
        <v>76.2</v>
      </c>
      <c r="AG387" s="778">
        <v>79.403583991596179</v>
      </c>
    </row>
    <row r="388" spans="1:33" x14ac:dyDescent="0.2">
      <c r="A388" s="15">
        <f t="shared" si="40"/>
        <v>2010</v>
      </c>
      <c r="B388" s="14">
        <f t="shared" si="41"/>
        <v>12</v>
      </c>
      <c r="C388" s="13" t="str">
        <f t="shared" si="42"/>
        <v>Q4</v>
      </c>
      <c r="D388" s="13" t="str">
        <f t="shared" si="43"/>
        <v>2010Q4</v>
      </c>
      <c r="E388" s="13" t="str">
        <f t="shared" si="44"/>
        <v>Brazil</v>
      </c>
      <c r="F388" s="13" t="str">
        <f t="shared" si="46"/>
        <v>Biofuels</v>
      </c>
      <c r="G388" s="13" t="str">
        <f t="shared" si="47"/>
        <v>Asset finance investments</v>
      </c>
      <c r="H388" s="638">
        <f t="shared" si="45"/>
        <v>78.153133849996237</v>
      </c>
      <c r="I388" s="24" t="s">
        <v>506</v>
      </c>
      <c r="J388" s="25" t="s">
        <v>246</v>
      </c>
      <c r="K388" s="25" t="s">
        <v>2126</v>
      </c>
      <c r="L388" s="25" t="s">
        <v>2127</v>
      </c>
      <c r="M388" s="25" t="s">
        <v>31</v>
      </c>
      <c r="N388" s="25" t="s">
        <v>31</v>
      </c>
      <c r="O388" s="25" t="s">
        <v>92</v>
      </c>
      <c r="P388" s="25" t="s">
        <v>83</v>
      </c>
      <c r="Q388" s="25" t="s">
        <v>82</v>
      </c>
      <c r="R388" s="25" t="s">
        <v>91</v>
      </c>
      <c r="S388" s="25" t="s">
        <v>96</v>
      </c>
      <c r="T388" s="25" t="s">
        <v>96</v>
      </c>
      <c r="U388" s="25" t="s">
        <v>98</v>
      </c>
      <c r="V388" s="25" t="s">
        <v>230</v>
      </c>
      <c r="W388" s="25" t="s">
        <v>553</v>
      </c>
      <c r="X388" s="25" t="s">
        <v>1752</v>
      </c>
      <c r="Y388" s="25" t="s">
        <v>1753</v>
      </c>
      <c r="Z388" s="26">
        <v>40543</v>
      </c>
      <c r="AA388" s="776">
        <v>0</v>
      </c>
      <c r="AB388" s="776">
        <v>100</v>
      </c>
      <c r="AC388" s="776">
        <v>0</v>
      </c>
      <c r="AD388" s="776">
        <v>0</v>
      </c>
      <c r="AE388" s="777">
        <v>75</v>
      </c>
      <c r="AF388" s="777">
        <v>75</v>
      </c>
      <c r="AG388" s="778">
        <v>78.153133849996237</v>
      </c>
    </row>
    <row r="389" spans="1:33" x14ac:dyDescent="0.2">
      <c r="A389" s="15">
        <f t="shared" si="40"/>
        <v>2010</v>
      </c>
      <c r="B389" s="14">
        <f t="shared" si="41"/>
        <v>12</v>
      </c>
      <c r="C389" s="13" t="str">
        <f t="shared" si="42"/>
        <v>Q4</v>
      </c>
      <c r="D389" s="13" t="str">
        <f t="shared" si="43"/>
        <v>2010Q4</v>
      </c>
      <c r="E389" s="13" t="str">
        <f t="shared" si="44"/>
        <v>Brazil</v>
      </c>
      <c r="F389" s="13" t="str">
        <f t="shared" si="46"/>
        <v>Biomass &amp; Waste</v>
      </c>
      <c r="G389" s="13" t="str">
        <f t="shared" si="47"/>
        <v>Asset finance investments</v>
      </c>
      <c r="H389" s="638">
        <f t="shared" si="45"/>
        <v>77.319500422262948</v>
      </c>
      <c r="I389" s="24" t="s">
        <v>506</v>
      </c>
      <c r="J389" s="25" t="s">
        <v>246</v>
      </c>
      <c r="K389" s="25" t="s">
        <v>2128</v>
      </c>
      <c r="L389" s="25" t="s">
        <v>872</v>
      </c>
      <c r="M389" s="25" t="s">
        <v>31</v>
      </c>
      <c r="N389" s="25" t="s">
        <v>31</v>
      </c>
      <c r="O389" s="25" t="s">
        <v>92</v>
      </c>
      <c r="P389" s="25" t="s">
        <v>83</v>
      </c>
      <c r="Q389" s="25" t="s">
        <v>82</v>
      </c>
      <c r="R389" s="25" t="s">
        <v>91</v>
      </c>
      <c r="S389" s="25" t="s">
        <v>114</v>
      </c>
      <c r="T389" s="25" t="s">
        <v>114</v>
      </c>
      <c r="U389" s="25" t="s">
        <v>113</v>
      </c>
      <c r="V389" s="25" t="s">
        <v>347</v>
      </c>
      <c r="W389" s="25" t="s">
        <v>553</v>
      </c>
      <c r="X389" s="25" t="s">
        <v>1749</v>
      </c>
      <c r="Y389" s="25" t="s">
        <v>1750</v>
      </c>
      <c r="Z389" s="26">
        <v>40527</v>
      </c>
      <c r="AA389" s="776">
        <v>32</v>
      </c>
      <c r="AB389" s="776">
        <v>70</v>
      </c>
      <c r="AC389" s="776">
        <v>0</v>
      </c>
      <c r="AD389" s="776">
        <v>0</v>
      </c>
      <c r="AE389" s="777">
        <v>74.2</v>
      </c>
      <c r="AF389" s="777">
        <v>74.2</v>
      </c>
      <c r="AG389" s="778">
        <v>77.319500422262948</v>
      </c>
    </row>
    <row r="390" spans="1:33" x14ac:dyDescent="0.2">
      <c r="A390" s="15">
        <f t="shared" ref="A390:A453" si="48">IF(K390="","",IF(AND(YEAR(Z390)&lt;2004,YEAR(Z390)&gt;1910),2004,YEAR(Z390)))</f>
        <v>2010</v>
      </c>
      <c r="B390" s="14">
        <f t="shared" ref="B390:B453" si="49">IF(K390="","",IF(ISNUMBER(Z390),MONTH(Z390),0))</f>
        <v>12</v>
      </c>
      <c r="C390" s="13" t="str">
        <f t="shared" ref="C390:C453" si="50">IF(K390="","",IF(AND(B390&gt;=1,B390&lt;=3),"Q1",IF(AND(B390&gt;3,B390&lt;=6),"Q2",IF(AND(B390&gt;6,B390&lt;=9),"Q3",IF(AND(B390&gt;9,B390&lt;=12),"Q4",0)))))</f>
        <v>Q4</v>
      </c>
      <c r="D390" s="13" t="str">
        <f t="shared" ref="D390:D453" si="51">IF(A390&lt;2006, "&lt; 2006", A390&amp;C390)</f>
        <v>2010Q4</v>
      </c>
      <c r="E390" s="13" t="str">
        <f t="shared" ref="E390:E453" si="52">IF(K390="","", M390)</f>
        <v>Costa Rica</v>
      </c>
      <c r="F390" s="13" t="str">
        <f t="shared" si="46"/>
        <v>Small Hydro</v>
      </c>
      <c r="G390" s="13" t="str">
        <f t="shared" si="47"/>
        <v>Asset finance investments</v>
      </c>
      <c r="H390" s="638">
        <f t="shared" ref="H390:H453" si="53">IF(K390="","",AG390)</f>
        <v>75.235416852929717</v>
      </c>
      <c r="I390" s="24" t="s">
        <v>506</v>
      </c>
      <c r="J390" s="25" t="s">
        <v>246</v>
      </c>
      <c r="K390" s="25" t="s">
        <v>2129</v>
      </c>
      <c r="L390" s="25" t="s">
        <v>704</v>
      </c>
      <c r="M390" s="25" t="s">
        <v>10</v>
      </c>
      <c r="N390" s="25" t="s">
        <v>85</v>
      </c>
      <c r="O390" s="25" t="s">
        <v>92</v>
      </c>
      <c r="P390" s="25" t="s">
        <v>83</v>
      </c>
      <c r="Q390" s="25" t="s">
        <v>82</v>
      </c>
      <c r="R390" s="25"/>
      <c r="S390" s="25" t="s">
        <v>126</v>
      </c>
      <c r="T390" s="25" t="s">
        <v>125</v>
      </c>
      <c r="U390" s="25" t="s">
        <v>247</v>
      </c>
      <c r="V390" s="25">
        <v>0</v>
      </c>
      <c r="W390" s="25" t="s">
        <v>553</v>
      </c>
      <c r="X390" s="25" t="s">
        <v>1749</v>
      </c>
      <c r="Y390" s="25" t="s">
        <v>1750</v>
      </c>
      <c r="Z390" s="26">
        <v>40543</v>
      </c>
      <c r="AA390" s="776">
        <v>26</v>
      </c>
      <c r="AB390" s="776">
        <v>0</v>
      </c>
      <c r="AC390" s="776">
        <v>0</v>
      </c>
      <c r="AD390" s="776">
        <v>0</v>
      </c>
      <c r="AE390" s="777">
        <v>72.2</v>
      </c>
      <c r="AF390" s="777">
        <v>72.2</v>
      </c>
      <c r="AG390" s="778">
        <v>75.235416852929717</v>
      </c>
    </row>
    <row r="391" spans="1:33" x14ac:dyDescent="0.2">
      <c r="A391" s="15">
        <f t="shared" si="48"/>
        <v>2010</v>
      </c>
      <c r="B391" s="14">
        <f t="shared" si="49"/>
        <v>11</v>
      </c>
      <c r="C391" s="13" t="str">
        <f t="shared" si="50"/>
        <v>Q4</v>
      </c>
      <c r="D391" s="13" t="str">
        <f t="shared" si="51"/>
        <v>2010Q4</v>
      </c>
      <c r="E391" s="13" t="str">
        <f t="shared" si="52"/>
        <v>Brazil</v>
      </c>
      <c r="F391" s="13" t="str">
        <f t="shared" ref="F391:F454" si="54">IF(K391="","",IF(OR(T391="Wind",T391="Solar",T391="Geothermal",T391="Small Hydro",T391="Biofuels",T391="Biomass &amp; Waste"),T391,"Other Clean Energy"))</f>
        <v>Small Hydro</v>
      </c>
      <c r="G391" s="13" t="str">
        <f t="shared" ref="G391:G454" si="55">IF(K391="","",IF(OR(J391="PM",J391="MA"), "Corporate finance investments", IF(J391="VCPE", "VC/PE investments", IF(J391="AF", "Asset finance investments"))))</f>
        <v>Asset finance investments</v>
      </c>
      <c r="H391" s="638">
        <f t="shared" si="53"/>
        <v>70.963045535796581</v>
      </c>
      <c r="I391" s="24" t="s">
        <v>506</v>
      </c>
      <c r="J391" s="25" t="s">
        <v>246</v>
      </c>
      <c r="K391" s="25" t="s">
        <v>2130</v>
      </c>
      <c r="L391" s="25" t="s">
        <v>789</v>
      </c>
      <c r="M391" s="25" t="s">
        <v>31</v>
      </c>
      <c r="N391" s="25" t="s">
        <v>31</v>
      </c>
      <c r="O391" s="25" t="s">
        <v>92</v>
      </c>
      <c r="P391" s="25" t="s">
        <v>83</v>
      </c>
      <c r="Q391" s="25" t="s">
        <v>82</v>
      </c>
      <c r="R391" s="25" t="s">
        <v>91</v>
      </c>
      <c r="S391" s="25" t="s">
        <v>126</v>
      </c>
      <c r="T391" s="25" t="s">
        <v>125</v>
      </c>
      <c r="U391" s="25" t="s">
        <v>247</v>
      </c>
      <c r="V391" s="25">
        <v>0</v>
      </c>
      <c r="W391" s="25" t="s">
        <v>553</v>
      </c>
      <c r="X391" s="25" t="s">
        <v>1752</v>
      </c>
      <c r="Y391" s="25" t="s">
        <v>1753</v>
      </c>
      <c r="Z391" s="26">
        <v>40512</v>
      </c>
      <c r="AA391" s="776">
        <v>21</v>
      </c>
      <c r="AB391" s="776">
        <v>0</v>
      </c>
      <c r="AC391" s="776">
        <v>0</v>
      </c>
      <c r="AD391" s="776">
        <v>0</v>
      </c>
      <c r="AE391" s="777">
        <v>68.099999999999994</v>
      </c>
      <c r="AF391" s="777">
        <v>68.099999999999994</v>
      </c>
      <c r="AG391" s="778">
        <v>70.963045535796581</v>
      </c>
    </row>
    <row r="392" spans="1:33" x14ac:dyDescent="0.2">
      <c r="A392" s="15">
        <f t="shared" si="48"/>
        <v>2010</v>
      </c>
      <c r="B392" s="14">
        <f t="shared" si="49"/>
        <v>12</v>
      </c>
      <c r="C392" s="13" t="str">
        <f t="shared" si="50"/>
        <v>Q4</v>
      </c>
      <c r="D392" s="13" t="str">
        <f t="shared" si="51"/>
        <v>2010Q4</v>
      </c>
      <c r="E392" s="13" t="str">
        <f t="shared" si="52"/>
        <v>Chile</v>
      </c>
      <c r="F392" s="13" t="str">
        <f t="shared" si="54"/>
        <v>Small Hydro</v>
      </c>
      <c r="G392" s="13" t="str">
        <f t="shared" si="55"/>
        <v>Asset finance investments</v>
      </c>
      <c r="H392" s="638">
        <f t="shared" si="53"/>
        <v>67.732716003330083</v>
      </c>
      <c r="I392" s="24" t="s">
        <v>506</v>
      </c>
      <c r="J392" s="25" t="s">
        <v>246</v>
      </c>
      <c r="K392" s="25" t="s">
        <v>2131</v>
      </c>
      <c r="L392" s="25" t="s">
        <v>1046</v>
      </c>
      <c r="M392" s="25" t="s">
        <v>8</v>
      </c>
      <c r="N392" s="25" t="s">
        <v>85</v>
      </c>
      <c r="O392" s="25" t="s">
        <v>92</v>
      </c>
      <c r="P392" s="25" t="s">
        <v>83</v>
      </c>
      <c r="Q392" s="25" t="s">
        <v>129</v>
      </c>
      <c r="R392" s="25"/>
      <c r="S392" s="25" t="s">
        <v>126</v>
      </c>
      <c r="T392" s="25" t="s">
        <v>125</v>
      </c>
      <c r="U392" s="25" t="s">
        <v>247</v>
      </c>
      <c r="V392" s="25">
        <v>0</v>
      </c>
      <c r="W392" s="25" t="s">
        <v>553</v>
      </c>
      <c r="X392" s="25" t="s">
        <v>1752</v>
      </c>
      <c r="Y392" s="25" t="s">
        <v>1753</v>
      </c>
      <c r="Z392" s="26">
        <v>40543</v>
      </c>
      <c r="AA392" s="776">
        <v>19.850000000000001</v>
      </c>
      <c r="AB392" s="776">
        <v>0</v>
      </c>
      <c r="AC392" s="776">
        <v>0</v>
      </c>
      <c r="AD392" s="776">
        <v>0</v>
      </c>
      <c r="AE392" s="777">
        <v>65</v>
      </c>
      <c r="AF392" s="777">
        <v>65</v>
      </c>
      <c r="AG392" s="778">
        <v>67.732716003330083</v>
      </c>
    </row>
    <row r="393" spans="1:33" x14ac:dyDescent="0.2">
      <c r="A393" s="15">
        <f t="shared" si="48"/>
        <v>2010</v>
      </c>
      <c r="B393" s="14">
        <f t="shared" si="49"/>
        <v>12</v>
      </c>
      <c r="C393" s="13" t="str">
        <f t="shared" si="50"/>
        <v>Q4</v>
      </c>
      <c r="D393" s="13" t="str">
        <f t="shared" si="51"/>
        <v>2010Q4</v>
      </c>
      <c r="E393" s="13" t="str">
        <f t="shared" si="52"/>
        <v>Brazil</v>
      </c>
      <c r="F393" s="13" t="str">
        <f t="shared" si="54"/>
        <v>Wind</v>
      </c>
      <c r="G393" s="13" t="str">
        <f t="shared" si="55"/>
        <v>Asset finance investments</v>
      </c>
      <c r="H393" s="638">
        <f t="shared" si="53"/>
        <v>58.354339941330529</v>
      </c>
      <c r="I393" s="24" t="s">
        <v>506</v>
      </c>
      <c r="J393" s="25" t="s">
        <v>246</v>
      </c>
      <c r="K393" s="25" t="s">
        <v>2132</v>
      </c>
      <c r="L393" s="25" t="s">
        <v>785</v>
      </c>
      <c r="M393" s="25" t="s">
        <v>31</v>
      </c>
      <c r="N393" s="25" t="s">
        <v>31</v>
      </c>
      <c r="O393" s="25" t="s">
        <v>92</v>
      </c>
      <c r="P393" s="25" t="s">
        <v>83</v>
      </c>
      <c r="Q393" s="25" t="s">
        <v>82</v>
      </c>
      <c r="R393" s="25" t="s">
        <v>91</v>
      </c>
      <c r="S393" s="25" t="s">
        <v>101</v>
      </c>
      <c r="T393" s="25" t="s">
        <v>101</v>
      </c>
      <c r="U393" s="25" t="s">
        <v>112</v>
      </c>
      <c r="V393" s="25">
        <v>0</v>
      </c>
      <c r="W393" s="25" t="s">
        <v>553</v>
      </c>
      <c r="X393" s="25" t="s">
        <v>1752</v>
      </c>
      <c r="Y393" s="25" t="s">
        <v>1753</v>
      </c>
      <c r="Z393" s="26">
        <v>40518</v>
      </c>
      <c r="AA393" s="776">
        <v>28.8</v>
      </c>
      <c r="AB393" s="776">
        <v>0</v>
      </c>
      <c r="AC393" s="776">
        <v>0</v>
      </c>
      <c r="AD393" s="776">
        <v>0</v>
      </c>
      <c r="AE393" s="777">
        <v>0</v>
      </c>
      <c r="AF393" s="777">
        <v>56</v>
      </c>
      <c r="AG393" s="778">
        <v>58.354339941330529</v>
      </c>
    </row>
    <row r="394" spans="1:33" x14ac:dyDescent="0.2">
      <c r="A394" s="15">
        <f t="shared" si="48"/>
        <v>2010</v>
      </c>
      <c r="B394" s="14">
        <f t="shared" si="49"/>
        <v>11</v>
      </c>
      <c r="C394" s="13" t="str">
        <f t="shared" si="50"/>
        <v>Q4</v>
      </c>
      <c r="D394" s="13" t="str">
        <f t="shared" si="51"/>
        <v>2010Q4</v>
      </c>
      <c r="E394" s="13" t="str">
        <f t="shared" si="52"/>
        <v>Brazil</v>
      </c>
      <c r="F394" s="13" t="str">
        <f t="shared" si="54"/>
        <v>Small Hydro</v>
      </c>
      <c r="G394" s="13" t="str">
        <f t="shared" si="55"/>
        <v>Asset finance investments</v>
      </c>
      <c r="H394" s="638">
        <f t="shared" si="53"/>
        <v>54.707193694997372</v>
      </c>
      <c r="I394" s="24" t="s">
        <v>506</v>
      </c>
      <c r="J394" s="25" t="s">
        <v>246</v>
      </c>
      <c r="K394" s="25" t="s">
        <v>2133</v>
      </c>
      <c r="L394" s="25" t="s">
        <v>788</v>
      </c>
      <c r="M394" s="25" t="s">
        <v>31</v>
      </c>
      <c r="N394" s="25" t="s">
        <v>31</v>
      </c>
      <c r="O394" s="25" t="s">
        <v>92</v>
      </c>
      <c r="P394" s="25" t="s">
        <v>83</v>
      </c>
      <c r="Q394" s="25" t="s">
        <v>82</v>
      </c>
      <c r="R394" s="25" t="s">
        <v>91</v>
      </c>
      <c r="S394" s="25" t="s">
        <v>126</v>
      </c>
      <c r="T394" s="25" t="s">
        <v>125</v>
      </c>
      <c r="U394" s="25" t="s">
        <v>247</v>
      </c>
      <c r="V394" s="25">
        <v>0</v>
      </c>
      <c r="W394" s="25" t="s">
        <v>553</v>
      </c>
      <c r="X394" s="25" t="s">
        <v>1752</v>
      </c>
      <c r="Y394" s="25" t="s">
        <v>1753</v>
      </c>
      <c r="Z394" s="26">
        <v>40512</v>
      </c>
      <c r="AA394" s="776">
        <v>21</v>
      </c>
      <c r="AB394" s="776">
        <v>0</v>
      </c>
      <c r="AC394" s="776">
        <v>0</v>
      </c>
      <c r="AD394" s="776">
        <v>0</v>
      </c>
      <c r="AE394" s="777">
        <v>0</v>
      </c>
      <c r="AF394" s="777">
        <v>52.5</v>
      </c>
      <c r="AG394" s="778">
        <v>54.707193694997372</v>
      </c>
    </row>
    <row r="395" spans="1:33" x14ac:dyDescent="0.2">
      <c r="A395" s="15">
        <f t="shared" si="48"/>
        <v>2010</v>
      </c>
      <c r="B395" s="14">
        <f t="shared" si="49"/>
        <v>11</v>
      </c>
      <c r="C395" s="13" t="str">
        <f t="shared" si="50"/>
        <v>Q4</v>
      </c>
      <c r="D395" s="13" t="str">
        <f t="shared" si="51"/>
        <v>2010Q4</v>
      </c>
      <c r="E395" s="13" t="str">
        <f t="shared" si="52"/>
        <v>Brazil</v>
      </c>
      <c r="F395" s="13" t="str">
        <f t="shared" si="54"/>
        <v>Small Hydro</v>
      </c>
      <c r="G395" s="13" t="str">
        <f t="shared" si="55"/>
        <v>Asset finance investments</v>
      </c>
      <c r="H395" s="638">
        <f t="shared" si="53"/>
        <v>47.673411648497705</v>
      </c>
      <c r="I395" s="24" t="s">
        <v>506</v>
      </c>
      <c r="J395" s="25" t="s">
        <v>246</v>
      </c>
      <c r="K395" s="25" t="s">
        <v>2134</v>
      </c>
      <c r="L395" s="25" t="s">
        <v>787</v>
      </c>
      <c r="M395" s="25" t="s">
        <v>31</v>
      </c>
      <c r="N395" s="25" t="s">
        <v>31</v>
      </c>
      <c r="O395" s="25" t="s">
        <v>92</v>
      </c>
      <c r="P395" s="25" t="s">
        <v>83</v>
      </c>
      <c r="Q395" s="25" t="s">
        <v>82</v>
      </c>
      <c r="R395" s="25" t="s">
        <v>91</v>
      </c>
      <c r="S395" s="25" t="s">
        <v>126</v>
      </c>
      <c r="T395" s="25" t="s">
        <v>125</v>
      </c>
      <c r="U395" s="25" t="s">
        <v>247</v>
      </c>
      <c r="V395" s="25">
        <v>0</v>
      </c>
      <c r="W395" s="25" t="s">
        <v>553</v>
      </c>
      <c r="X395" s="25" t="s">
        <v>1752</v>
      </c>
      <c r="Y395" s="25" t="s">
        <v>1753</v>
      </c>
      <c r="Z395" s="26">
        <v>40512</v>
      </c>
      <c r="AA395" s="776">
        <v>18.3</v>
      </c>
      <c r="AB395" s="776">
        <v>0</v>
      </c>
      <c r="AC395" s="776">
        <v>0</v>
      </c>
      <c r="AD395" s="776">
        <v>0</v>
      </c>
      <c r="AE395" s="777">
        <v>0</v>
      </c>
      <c r="AF395" s="777">
        <v>45.75</v>
      </c>
      <c r="AG395" s="778">
        <v>47.673411648497705</v>
      </c>
    </row>
    <row r="396" spans="1:33" x14ac:dyDescent="0.2">
      <c r="A396" s="15">
        <f t="shared" si="48"/>
        <v>2010</v>
      </c>
      <c r="B396" s="14">
        <f t="shared" si="49"/>
        <v>11</v>
      </c>
      <c r="C396" s="13" t="str">
        <f t="shared" si="50"/>
        <v>Q4</v>
      </c>
      <c r="D396" s="13" t="str">
        <f t="shared" si="51"/>
        <v>2010Q4</v>
      </c>
      <c r="E396" s="13" t="str">
        <f t="shared" si="52"/>
        <v>Nicaragua</v>
      </c>
      <c r="F396" s="13" t="str">
        <f t="shared" si="54"/>
        <v>Wind</v>
      </c>
      <c r="G396" s="13" t="str">
        <f t="shared" si="55"/>
        <v>Asset finance investments</v>
      </c>
      <c r="H396" s="638">
        <f t="shared" si="53"/>
        <v>46.891880309997745</v>
      </c>
      <c r="I396" s="24" t="s">
        <v>506</v>
      </c>
      <c r="J396" s="25" t="s">
        <v>246</v>
      </c>
      <c r="K396" s="25" t="s">
        <v>2135</v>
      </c>
      <c r="L396" s="25" t="s">
        <v>791</v>
      </c>
      <c r="M396" s="25" t="s">
        <v>2</v>
      </c>
      <c r="N396" s="25" t="s">
        <v>85</v>
      </c>
      <c r="O396" s="25" t="s">
        <v>92</v>
      </c>
      <c r="P396" s="25" t="s">
        <v>83</v>
      </c>
      <c r="Q396" s="25" t="s">
        <v>82</v>
      </c>
      <c r="R396" s="25"/>
      <c r="S396" s="25" t="s">
        <v>101</v>
      </c>
      <c r="T396" s="25" t="s">
        <v>101</v>
      </c>
      <c r="U396" s="25" t="s">
        <v>112</v>
      </c>
      <c r="V396" s="25">
        <v>0</v>
      </c>
      <c r="W396" s="25" t="s">
        <v>553</v>
      </c>
      <c r="X396" s="25" t="s">
        <v>1749</v>
      </c>
      <c r="Y396" s="25" t="s">
        <v>1750</v>
      </c>
      <c r="Z396" s="26">
        <v>40494</v>
      </c>
      <c r="AA396" s="776">
        <v>23</v>
      </c>
      <c r="AB396" s="776">
        <v>0</v>
      </c>
      <c r="AC396" s="776">
        <v>0</v>
      </c>
      <c r="AD396" s="776">
        <v>0</v>
      </c>
      <c r="AE396" s="777">
        <v>45</v>
      </c>
      <c r="AF396" s="777">
        <v>45</v>
      </c>
      <c r="AG396" s="778">
        <v>46.891880309997745</v>
      </c>
    </row>
    <row r="397" spans="1:33" x14ac:dyDescent="0.2">
      <c r="A397" s="15">
        <f t="shared" si="48"/>
        <v>2010</v>
      </c>
      <c r="B397" s="14">
        <f t="shared" si="49"/>
        <v>11</v>
      </c>
      <c r="C397" s="13" t="str">
        <f t="shared" si="50"/>
        <v>Q4</v>
      </c>
      <c r="D397" s="13" t="str">
        <f t="shared" si="51"/>
        <v>2010Q4</v>
      </c>
      <c r="E397" s="13" t="str">
        <f t="shared" si="52"/>
        <v>Brazil</v>
      </c>
      <c r="F397" s="13" t="str">
        <f t="shared" si="54"/>
        <v>Biomass &amp; Waste</v>
      </c>
      <c r="G397" s="13" t="str">
        <f t="shared" si="55"/>
        <v>Asset finance investments</v>
      </c>
      <c r="H397" s="638">
        <f t="shared" si="53"/>
        <v>31.261253539998496</v>
      </c>
      <c r="I397" s="24" t="s">
        <v>506</v>
      </c>
      <c r="J397" s="25" t="s">
        <v>246</v>
      </c>
      <c r="K397" s="25" t="s">
        <v>2136</v>
      </c>
      <c r="L397" s="25" t="s">
        <v>603</v>
      </c>
      <c r="M397" s="25" t="s">
        <v>31</v>
      </c>
      <c r="N397" s="25" t="s">
        <v>31</v>
      </c>
      <c r="O397" s="25" t="s">
        <v>92</v>
      </c>
      <c r="P397" s="25" t="s">
        <v>83</v>
      </c>
      <c r="Q397" s="25" t="s">
        <v>82</v>
      </c>
      <c r="R397" s="25" t="s">
        <v>91</v>
      </c>
      <c r="S397" s="25" t="s">
        <v>114</v>
      </c>
      <c r="T397" s="25" t="s">
        <v>114</v>
      </c>
      <c r="U397" s="25" t="s">
        <v>113</v>
      </c>
      <c r="V397" s="25">
        <v>0</v>
      </c>
      <c r="W397" s="25" t="s">
        <v>553</v>
      </c>
      <c r="X397" s="25" t="s">
        <v>1752</v>
      </c>
      <c r="Y397" s="25" t="s">
        <v>1753</v>
      </c>
      <c r="Z397" s="26">
        <v>40507</v>
      </c>
      <c r="AA397" s="776">
        <v>12.3</v>
      </c>
      <c r="AB397" s="776">
        <v>0</v>
      </c>
      <c r="AC397" s="776">
        <v>0</v>
      </c>
      <c r="AD397" s="776">
        <v>0</v>
      </c>
      <c r="AE397" s="777">
        <v>30</v>
      </c>
      <c r="AF397" s="777">
        <v>30</v>
      </c>
      <c r="AG397" s="778">
        <v>31.261253539998496</v>
      </c>
    </row>
    <row r="398" spans="1:33" x14ac:dyDescent="0.2">
      <c r="A398" s="15">
        <f t="shared" si="48"/>
        <v>2010</v>
      </c>
      <c r="B398" s="14">
        <f t="shared" si="49"/>
        <v>12</v>
      </c>
      <c r="C398" s="13" t="str">
        <f t="shared" si="50"/>
        <v>Q4</v>
      </c>
      <c r="D398" s="13" t="str">
        <f t="shared" si="51"/>
        <v>2010Q4</v>
      </c>
      <c r="E398" s="13" t="str">
        <f t="shared" si="52"/>
        <v>Jamaica</v>
      </c>
      <c r="F398" s="13" t="str">
        <f t="shared" si="54"/>
        <v>Small Hydro</v>
      </c>
      <c r="G398" s="13" t="str">
        <f t="shared" si="55"/>
        <v>Asset finance investments</v>
      </c>
      <c r="H398" s="638">
        <f t="shared" si="53"/>
        <v>27.82251565059866</v>
      </c>
      <c r="I398" s="24" t="s">
        <v>506</v>
      </c>
      <c r="J398" s="25" t="s">
        <v>246</v>
      </c>
      <c r="K398" s="25" t="s">
        <v>2137</v>
      </c>
      <c r="L398" s="25" t="s">
        <v>774</v>
      </c>
      <c r="M398" s="25" t="s">
        <v>17</v>
      </c>
      <c r="N398" s="25" t="s">
        <v>85</v>
      </c>
      <c r="O398" s="25" t="s">
        <v>84</v>
      </c>
      <c r="P398" s="25" t="s">
        <v>83</v>
      </c>
      <c r="Q398" s="25" t="s">
        <v>82</v>
      </c>
      <c r="R398" s="25"/>
      <c r="S398" s="25" t="s">
        <v>126</v>
      </c>
      <c r="T398" s="25" t="s">
        <v>125</v>
      </c>
      <c r="U398" s="25" t="s">
        <v>342</v>
      </c>
      <c r="V398" s="25">
        <v>0</v>
      </c>
      <c r="W398" s="25" t="s">
        <v>553</v>
      </c>
      <c r="X398" s="25" t="s">
        <v>1749</v>
      </c>
      <c r="Y398" s="25" t="s">
        <v>1750</v>
      </c>
      <c r="Z398" s="26">
        <v>40541</v>
      </c>
      <c r="AA398" s="776">
        <v>6.3</v>
      </c>
      <c r="AB398" s="776">
        <v>0</v>
      </c>
      <c r="AC398" s="776">
        <v>0</v>
      </c>
      <c r="AD398" s="776">
        <v>0</v>
      </c>
      <c r="AE398" s="777">
        <v>26.7</v>
      </c>
      <c r="AF398" s="777">
        <v>26.7</v>
      </c>
      <c r="AG398" s="778">
        <v>27.82251565059866</v>
      </c>
    </row>
    <row r="399" spans="1:33" x14ac:dyDescent="0.2">
      <c r="A399" s="15">
        <f t="shared" si="48"/>
        <v>2010</v>
      </c>
      <c r="B399" s="14">
        <f t="shared" si="49"/>
        <v>10</v>
      </c>
      <c r="C399" s="13" t="str">
        <f t="shared" si="50"/>
        <v>Q4</v>
      </c>
      <c r="D399" s="13" t="str">
        <f t="shared" si="51"/>
        <v>2010Q4</v>
      </c>
      <c r="E399" s="13" t="str">
        <f t="shared" si="52"/>
        <v>Argentina</v>
      </c>
      <c r="F399" s="13" t="str">
        <f t="shared" si="54"/>
        <v>Biofuels</v>
      </c>
      <c r="G399" s="13" t="str">
        <f t="shared" si="55"/>
        <v>Asset finance investments</v>
      </c>
      <c r="H399" s="638">
        <f t="shared" si="53"/>
        <v>26.051044616665408</v>
      </c>
      <c r="I399" s="24" t="s">
        <v>506</v>
      </c>
      <c r="J399" s="25" t="s">
        <v>246</v>
      </c>
      <c r="K399" s="25" t="s">
        <v>2138</v>
      </c>
      <c r="L399" s="25" t="s">
        <v>2139</v>
      </c>
      <c r="M399" s="25" t="s">
        <v>4</v>
      </c>
      <c r="N399" s="25" t="s">
        <v>85</v>
      </c>
      <c r="O399" s="25" t="s">
        <v>92</v>
      </c>
      <c r="P399" s="25" t="s">
        <v>83</v>
      </c>
      <c r="Q399" s="25" t="s">
        <v>82</v>
      </c>
      <c r="R399" s="25"/>
      <c r="S399" s="25" t="s">
        <v>96</v>
      </c>
      <c r="T399" s="25" t="s">
        <v>96</v>
      </c>
      <c r="U399" s="25" t="s">
        <v>98</v>
      </c>
      <c r="V399" s="25" t="s">
        <v>230</v>
      </c>
      <c r="W399" s="25" t="s">
        <v>553</v>
      </c>
      <c r="X399" s="25" t="s">
        <v>1752</v>
      </c>
      <c r="Y399" s="25" t="s">
        <v>1753</v>
      </c>
      <c r="Z399" s="26">
        <v>40462</v>
      </c>
      <c r="AA399" s="776">
        <v>0</v>
      </c>
      <c r="AB399" s="776">
        <v>75</v>
      </c>
      <c r="AC399" s="776">
        <v>0</v>
      </c>
      <c r="AD399" s="776">
        <v>0</v>
      </c>
      <c r="AE399" s="777">
        <v>25</v>
      </c>
      <c r="AF399" s="777">
        <v>25</v>
      </c>
      <c r="AG399" s="778">
        <v>26.051044616665408</v>
      </c>
    </row>
    <row r="400" spans="1:33" x14ac:dyDescent="0.2">
      <c r="A400" s="15">
        <f t="shared" si="48"/>
        <v>2010</v>
      </c>
      <c r="B400" s="14">
        <f t="shared" si="49"/>
        <v>12</v>
      </c>
      <c r="C400" s="13" t="str">
        <f t="shared" si="50"/>
        <v>Q4</v>
      </c>
      <c r="D400" s="13" t="str">
        <f t="shared" si="51"/>
        <v>2010Q4</v>
      </c>
      <c r="E400" s="13" t="str">
        <f t="shared" si="52"/>
        <v>Mexico</v>
      </c>
      <c r="F400" s="13" t="str">
        <f t="shared" si="54"/>
        <v>Biofuels</v>
      </c>
      <c r="G400" s="13" t="str">
        <f t="shared" si="55"/>
        <v>Asset finance investments</v>
      </c>
      <c r="H400" s="638">
        <f t="shared" si="53"/>
        <v>19.590385551732385</v>
      </c>
      <c r="I400" s="24" t="s">
        <v>506</v>
      </c>
      <c r="J400" s="25" t="s">
        <v>246</v>
      </c>
      <c r="K400" s="25" t="s">
        <v>2140</v>
      </c>
      <c r="L400" s="25" t="s">
        <v>2141</v>
      </c>
      <c r="M400" s="25" t="s">
        <v>18</v>
      </c>
      <c r="N400" s="25" t="s">
        <v>85</v>
      </c>
      <c r="O400" s="25" t="s">
        <v>92</v>
      </c>
      <c r="P400" s="25" t="s">
        <v>83</v>
      </c>
      <c r="Q400" s="25" t="s">
        <v>129</v>
      </c>
      <c r="R400" s="25"/>
      <c r="S400" s="25" t="s">
        <v>96</v>
      </c>
      <c r="T400" s="25" t="s">
        <v>96</v>
      </c>
      <c r="U400" s="25" t="s">
        <v>98</v>
      </c>
      <c r="V400" s="25" t="s">
        <v>230</v>
      </c>
      <c r="W400" s="25" t="s">
        <v>553</v>
      </c>
      <c r="X400" s="25" t="s">
        <v>1752</v>
      </c>
      <c r="Y400" s="25" t="s">
        <v>1753</v>
      </c>
      <c r="Z400" s="26">
        <v>40543</v>
      </c>
      <c r="AA400" s="776">
        <v>8</v>
      </c>
      <c r="AB400" s="776">
        <v>40</v>
      </c>
      <c r="AC400" s="776">
        <v>0</v>
      </c>
      <c r="AD400" s="776">
        <v>0</v>
      </c>
      <c r="AE400" s="777">
        <v>0</v>
      </c>
      <c r="AF400" s="777">
        <v>18.799999999999997</v>
      </c>
      <c r="AG400" s="778">
        <v>19.590385551732385</v>
      </c>
    </row>
    <row r="401" spans="1:33" x14ac:dyDescent="0.2">
      <c r="A401" s="15">
        <f t="shared" si="48"/>
        <v>2010</v>
      </c>
      <c r="B401" s="14">
        <f t="shared" si="49"/>
        <v>10</v>
      </c>
      <c r="C401" s="13" t="str">
        <f t="shared" si="50"/>
        <v>Q4</v>
      </c>
      <c r="D401" s="13" t="str">
        <f t="shared" si="51"/>
        <v>2010Q4</v>
      </c>
      <c r="E401" s="13" t="str">
        <f t="shared" si="52"/>
        <v>Brazil</v>
      </c>
      <c r="F401" s="13" t="str">
        <f t="shared" si="54"/>
        <v>Biofuels</v>
      </c>
      <c r="G401" s="13" t="str">
        <f t="shared" si="55"/>
        <v>Asset finance investments</v>
      </c>
      <c r="H401" s="638">
        <f t="shared" si="53"/>
        <v>15.630626769999248</v>
      </c>
      <c r="I401" s="24" t="s">
        <v>506</v>
      </c>
      <c r="J401" s="25" t="s">
        <v>246</v>
      </c>
      <c r="K401" s="25" t="s">
        <v>2142</v>
      </c>
      <c r="L401" s="25" t="s">
        <v>678</v>
      </c>
      <c r="M401" s="25" t="s">
        <v>31</v>
      </c>
      <c r="N401" s="25" t="s">
        <v>31</v>
      </c>
      <c r="O401" s="25" t="s">
        <v>92</v>
      </c>
      <c r="P401" s="25" t="s">
        <v>83</v>
      </c>
      <c r="Q401" s="25" t="s">
        <v>82</v>
      </c>
      <c r="R401" s="25" t="s">
        <v>91</v>
      </c>
      <c r="S401" s="25" t="s">
        <v>96</v>
      </c>
      <c r="T401" s="25" t="s">
        <v>96</v>
      </c>
      <c r="U401" s="25" t="s">
        <v>95</v>
      </c>
      <c r="V401" s="25" t="s">
        <v>223</v>
      </c>
      <c r="W401" s="25" t="s">
        <v>553</v>
      </c>
      <c r="X401" s="25" t="s">
        <v>1752</v>
      </c>
      <c r="Y401" s="25" t="s">
        <v>1753</v>
      </c>
      <c r="Z401" s="26">
        <v>40466</v>
      </c>
      <c r="AA401" s="776">
        <v>0</v>
      </c>
      <c r="AB401" s="776">
        <v>13</v>
      </c>
      <c r="AC401" s="776">
        <v>0</v>
      </c>
      <c r="AD401" s="776">
        <v>0</v>
      </c>
      <c r="AE401" s="777">
        <v>0</v>
      </c>
      <c r="AF401" s="777">
        <v>15</v>
      </c>
      <c r="AG401" s="778">
        <v>15.630626769999248</v>
      </c>
    </row>
    <row r="402" spans="1:33" x14ac:dyDescent="0.2">
      <c r="A402" s="15">
        <f t="shared" si="48"/>
        <v>2010</v>
      </c>
      <c r="B402" s="14">
        <f t="shared" si="49"/>
        <v>10</v>
      </c>
      <c r="C402" s="13" t="str">
        <f t="shared" si="50"/>
        <v>Q4</v>
      </c>
      <c r="D402" s="13" t="str">
        <f t="shared" si="51"/>
        <v>2010Q4</v>
      </c>
      <c r="E402" s="13" t="str">
        <f t="shared" si="52"/>
        <v>Uruguay</v>
      </c>
      <c r="F402" s="13" t="str">
        <f t="shared" si="54"/>
        <v>Wind</v>
      </c>
      <c r="G402" s="13" t="str">
        <f t="shared" si="55"/>
        <v>Asset finance investments</v>
      </c>
      <c r="H402" s="638">
        <f t="shared" si="53"/>
        <v>14.588584985332632</v>
      </c>
      <c r="I402" s="24" t="s">
        <v>506</v>
      </c>
      <c r="J402" s="25" t="s">
        <v>246</v>
      </c>
      <c r="K402" s="25" t="s">
        <v>2143</v>
      </c>
      <c r="L402" s="25" t="s">
        <v>763</v>
      </c>
      <c r="M402" s="25" t="s">
        <v>22</v>
      </c>
      <c r="N402" s="25" t="s">
        <v>85</v>
      </c>
      <c r="O402" s="25" t="s">
        <v>92</v>
      </c>
      <c r="P402" s="25" t="s">
        <v>83</v>
      </c>
      <c r="Q402" s="25" t="s">
        <v>82</v>
      </c>
      <c r="R402" s="25"/>
      <c r="S402" s="25" t="s">
        <v>101</v>
      </c>
      <c r="T402" s="25" t="s">
        <v>101</v>
      </c>
      <c r="U402" s="25" t="s">
        <v>112</v>
      </c>
      <c r="V402" s="25">
        <v>0</v>
      </c>
      <c r="W402" s="25" t="s">
        <v>553</v>
      </c>
      <c r="X402" s="25" t="s">
        <v>1752</v>
      </c>
      <c r="Y402" s="25" t="s">
        <v>1753</v>
      </c>
      <c r="Z402" s="26">
        <v>40477</v>
      </c>
      <c r="AA402" s="776">
        <v>10</v>
      </c>
      <c r="AB402" s="776">
        <v>0</v>
      </c>
      <c r="AC402" s="776">
        <v>0</v>
      </c>
      <c r="AD402" s="776">
        <v>0</v>
      </c>
      <c r="AE402" s="777">
        <v>0</v>
      </c>
      <c r="AF402" s="777">
        <v>14</v>
      </c>
      <c r="AG402" s="778">
        <v>14.588584985332632</v>
      </c>
    </row>
    <row r="403" spans="1:33" x14ac:dyDescent="0.2">
      <c r="A403" s="15">
        <f t="shared" si="48"/>
        <v>2010</v>
      </c>
      <c r="B403" s="14">
        <f t="shared" si="49"/>
        <v>12</v>
      </c>
      <c r="C403" s="13" t="str">
        <f t="shared" si="50"/>
        <v>Q4</v>
      </c>
      <c r="D403" s="13" t="str">
        <f t="shared" si="51"/>
        <v>2010Q4</v>
      </c>
      <c r="E403" s="13" t="str">
        <f t="shared" si="52"/>
        <v>Guatemala</v>
      </c>
      <c r="F403" s="13" t="str">
        <f t="shared" si="54"/>
        <v>Biomass &amp; Waste</v>
      </c>
      <c r="G403" s="13" t="str">
        <f t="shared" si="55"/>
        <v>Asset finance investments</v>
      </c>
      <c r="H403" s="638">
        <f t="shared" si="53"/>
        <v>14.536482896099301</v>
      </c>
      <c r="I403" s="24" t="s">
        <v>506</v>
      </c>
      <c r="J403" s="25" t="s">
        <v>246</v>
      </c>
      <c r="K403" s="25" t="s">
        <v>2144</v>
      </c>
      <c r="L403" s="25" t="s">
        <v>2145</v>
      </c>
      <c r="M403" s="25" t="s">
        <v>13</v>
      </c>
      <c r="N403" s="25" t="s">
        <v>85</v>
      </c>
      <c r="O403" s="25" t="s">
        <v>92</v>
      </c>
      <c r="P403" s="25" t="s">
        <v>83</v>
      </c>
      <c r="Q403" s="25" t="s">
        <v>82</v>
      </c>
      <c r="R403" s="25"/>
      <c r="S403" s="25" t="s">
        <v>114</v>
      </c>
      <c r="T403" s="25" t="s">
        <v>114</v>
      </c>
      <c r="U403" s="25" t="s">
        <v>113</v>
      </c>
      <c r="V403" s="25" t="s">
        <v>347</v>
      </c>
      <c r="W403" s="25" t="s">
        <v>553</v>
      </c>
      <c r="X403" s="25" t="s">
        <v>1752</v>
      </c>
      <c r="Y403" s="25" t="s">
        <v>1753</v>
      </c>
      <c r="Z403" s="26">
        <v>40543</v>
      </c>
      <c r="AA403" s="776">
        <v>5</v>
      </c>
      <c r="AB403" s="776">
        <v>0</v>
      </c>
      <c r="AC403" s="776">
        <v>0</v>
      </c>
      <c r="AD403" s="776">
        <v>0</v>
      </c>
      <c r="AE403" s="777">
        <v>0</v>
      </c>
      <c r="AF403" s="777">
        <v>13.95</v>
      </c>
      <c r="AG403" s="778">
        <v>14.536482896099301</v>
      </c>
    </row>
    <row r="404" spans="1:33" x14ac:dyDescent="0.2">
      <c r="A404" s="15">
        <f t="shared" si="48"/>
        <v>2010</v>
      </c>
      <c r="B404" s="14">
        <f t="shared" si="49"/>
        <v>11</v>
      </c>
      <c r="C404" s="13" t="str">
        <f t="shared" si="50"/>
        <v>Q4</v>
      </c>
      <c r="D404" s="13" t="str">
        <f t="shared" si="51"/>
        <v>2010Q4</v>
      </c>
      <c r="E404" s="13" t="str">
        <f t="shared" si="52"/>
        <v>Peru</v>
      </c>
      <c r="F404" s="13" t="str">
        <f t="shared" si="54"/>
        <v>Small Hydro</v>
      </c>
      <c r="G404" s="13" t="str">
        <f t="shared" si="55"/>
        <v>Asset finance investments</v>
      </c>
      <c r="H404" s="638">
        <f t="shared" si="53"/>
        <v>13.442339022199354</v>
      </c>
      <c r="I404" s="24" t="s">
        <v>506</v>
      </c>
      <c r="J404" s="25" t="s">
        <v>246</v>
      </c>
      <c r="K404" s="25" t="s">
        <v>2146</v>
      </c>
      <c r="L404" s="25" t="s">
        <v>720</v>
      </c>
      <c r="M404" s="25" t="s">
        <v>20</v>
      </c>
      <c r="N404" s="25" t="s">
        <v>85</v>
      </c>
      <c r="O404" s="25" t="s">
        <v>92</v>
      </c>
      <c r="P404" s="25" t="s">
        <v>83</v>
      </c>
      <c r="Q404" s="25" t="s">
        <v>82</v>
      </c>
      <c r="R404" s="25"/>
      <c r="S404" s="25" t="s">
        <v>126</v>
      </c>
      <c r="T404" s="25" t="s">
        <v>125</v>
      </c>
      <c r="U404" s="25" t="s">
        <v>247</v>
      </c>
      <c r="V404" s="25">
        <v>0</v>
      </c>
      <c r="W404" s="25" t="s">
        <v>553</v>
      </c>
      <c r="X404" s="25" t="s">
        <v>1752</v>
      </c>
      <c r="Y404" s="25" t="s">
        <v>1753</v>
      </c>
      <c r="Z404" s="26">
        <v>40497</v>
      </c>
      <c r="AA404" s="776">
        <v>5</v>
      </c>
      <c r="AB404" s="776">
        <v>0</v>
      </c>
      <c r="AC404" s="776">
        <v>0</v>
      </c>
      <c r="AD404" s="776">
        <v>0</v>
      </c>
      <c r="AE404" s="777">
        <v>12.9</v>
      </c>
      <c r="AF404" s="777">
        <v>12.9</v>
      </c>
      <c r="AG404" s="778">
        <v>13.442339022199354</v>
      </c>
    </row>
    <row r="405" spans="1:33" x14ac:dyDescent="0.2">
      <c r="A405" s="15">
        <f t="shared" si="48"/>
        <v>2010</v>
      </c>
      <c r="B405" s="14">
        <f t="shared" si="49"/>
        <v>10</v>
      </c>
      <c r="C405" s="13" t="str">
        <f t="shared" si="50"/>
        <v>Q4</v>
      </c>
      <c r="D405" s="13" t="str">
        <f t="shared" si="51"/>
        <v>2010Q4</v>
      </c>
      <c r="E405" s="13" t="str">
        <f t="shared" si="52"/>
        <v>Jamaica</v>
      </c>
      <c r="F405" s="13" t="str">
        <f t="shared" si="54"/>
        <v>Wind</v>
      </c>
      <c r="G405" s="13" t="str">
        <f t="shared" si="55"/>
        <v>Asset finance investments</v>
      </c>
      <c r="H405" s="638">
        <f t="shared" si="53"/>
        <v>9.6909885973995333</v>
      </c>
      <c r="I405" s="24" t="s">
        <v>506</v>
      </c>
      <c r="J405" s="25" t="s">
        <v>246</v>
      </c>
      <c r="K405" s="25" t="s">
        <v>2147</v>
      </c>
      <c r="L405" s="25" t="s">
        <v>2148</v>
      </c>
      <c r="M405" s="25" t="s">
        <v>17</v>
      </c>
      <c r="N405" s="25" t="s">
        <v>85</v>
      </c>
      <c r="O405" s="25" t="s">
        <v>84</v>
      </c>
      <c r="P405" s="25" t="s">
        <v>83</v>
      </c>
      <c r="Q405" s="25" t="s">
        <v>82</v>
      </c>
      <c r="R405" s="25"/>
      <c r="S405" s="25" t="s">
        <v>101</v>
      </c>
      <c r="T405" s="25" t="s">
        <v>101</v>
      </c>
      <c r="U405" s="25" t="s">
        <v>112</v>
      </c>
      <c r="V405" s="25">
        <v>0</v>
      </c>
      <c r="W405" s="25" t="s">
        <v>553</v>
      </c>
      <c r="X405" s="25" t="s">
        <v>1752</v>
      </c>
      <c r="Y405" s="25" t="s">
        <v>1753</v>
      </c>
      <c r="Z405" s="26">
        <v>40462</v>
      </c>
      <c r="AA405" s="776">
        <v>3</v>
      </c>
      <c r="AB405" s="776">
        <v>0</v>
      </c>
      <c r="AC405" s="776">
        <v>0</v>
      </c>
      <c r="AD405" s="776">
        <v>0</v>
      </c>
      <c r="AE405" s="777">
        <v>9.3000000000000007</v>
      </c>
      <c r="AF405" s="777">
        <v>9.3000000000000007</v>
      </c>
      <c r="AG405" s="778">
        <v>9.6909885973995333</v>
      </c>
    </row>
    <row r="406" spans="1:33" x14ac:dyDescent="0.2">
      <c r="A406" s="15">
        <f t="shared" si="48"/>
        <v>2010</v>
      </c>
      <c r="B406" s="14">
        <f t="shared" si="49"/>
        <v>12</v>
      </c>
      <c r="C406" s="13" t="str">
        <f t="shared" si="50"/>
        <v>Q4</v>
      </c>
      <c r="D406" s="13" t="str">
        <f t="shared" si="51"/>
        <v>2010Q4</v>
      </c>
      <c r="E406" s="13" t="str">
        <f t="shared" si="52"/>
        <v>Peru</v>
      </c>
      <c r="F406" s="13" t="str">
        <f t="shared" si="54"/>
        <v>Small Hydro</v>
      </c>
      <c r="G406" s="13" t="str">
        <f t="shared" si="55"/>
        <v>Asset finance investments</v>
      </c>
      <c r="H406" s="638">
        <f t="shared" si="53"/>
        <v>9.3783760619995462</v>
      </c>
      <c r="I406" s="24" t="s">
        <v>506</v>
      </c>
      <c r="J406" s="25" t="s">
        <v>246</v>
      </c>
      <c r="K406" s="25" t="s">
        <v>2149</v>
      </c>
      <c r="L406" s="25" t="s">
        <v>2150</v>
      </c>
      <c r="M406" s="25" t="s">
        <v>20</v>
      </c>
      <c r="N406" s="25" t="s">
        <v>85</v>
      </c>
      <c r="O406" s="25" t="s">
        <v>92</v>
      </c>
      <c r="P406" s="25" t="s">
        <v>83</v>
      </c>
      <c r="Q406" s="25" t="s">
        <v>82</v>
      </c>
      <c r="R406" s="25"/>
      <c r="S406" s="25" t="s">
        <v>126</v>
      </c>
      <c r="T406" s="25" t="s">
        <v>125</v>
      </c>
      <c r="U406" s="25" t="s">
        <v>247</v>
      </c>
      <c r="V406" s="25">
        <v>0</v>
      </c>
      <c r="W406" s="25" t="s">
        <v>553</v>
      </c>
      <c r="X406" s="25" t="s">
        <v>1752</v>
      </c>
      <c r="Y406" s="25" t="s">
        <v>1753</v>
      </c>
      <c r="Z406" s="26">
        <v>40543</v>
      </c>
      <c r="AA406" s="776">
        <v>4.1280000000000001</v>
      </c>
      <c r="AB406" s="776">
        <v>0</v>
      </c>
      <c r="AC406" s="776">
        <v>0</v>
      </c>
      <c r="AD406" s="776">
        <v>0</v>
      </c>
      <c r="AE406" s="777">
        <v>9</v>
      </c>
      <c r="AF406" s="777">
        <v>9</v>
      </c>
      <c r="AG406" s="778">
        <v>9.3783760619995462</v>
      </c>
    </row>
    <row r="407" spans="1:33" x14ac:dyDescent="0.2">
      <c r="A407" s="15">
        <f t="shared" si="48"/>
        <v>2010</v>
      </c>
      <c r="B407" s="14">
        <f t="shared" si="49"/>
        <v>12</v>
      </c>
      <c r="C407" s="13" t="str">
        <f t="shared" si="50"/>
        <v>Q4</v>
      </c>
      <c r="D407" s="13" t="str">
        <f t="shared" si="51"/>
        <v>2010Q4</v>
      </c>
      <c r="E407" s="13" t="str">
        <f t="shared" si="52"/>
        <v>Mexico</v>
      </c>
      <c r="F407" s="13" t="str">
        <f t="shared" si="54"/>
        <v>Biomass &amp; Waste</v>
      </c>
      <c r="G407" s="13" t="str">
        <f t="shared" si="55"/>
        <v>Asset finance investments</v>
      </c>
      <c r="H407" s="638">
        <f t="shared" si="53"/>
        <v>8.7218897376595805</v>
      </c>
      <c r="I407" s="24" t="s">
        <v>506</v>
      </c>
      <c r="J407" s="25" t="s">
        <v>246</v>
      </c>
      <c r="K407" s="25" t="s">
        <v>2151</v>
      </c>
      <c r="L407" s="25" t="s">
        <v>2152</v>
      </c>
      <c r="M407" s="25" t="s">
        <v>18</v>
      </c>
      <c r="N407" s="25" t="s">
        <v>85</v>
      </c>
      <c r="O407" s="25" t="s">
        <v>92</v>
      </c>
      <c r="P407" s="25" t="s">
        <v>83</v>
      </c>
      <c r="Q407" s="25" t="s">
        <v>129</v>
      </c>
      <c r="R407" s="25"/>
      <c r="S407" s="25" t="s">
        <v>114</v>
      </c>
      <c r="T407" s="25" t="s">
        <v>114</v>
      </c>
      <c r="U407" s="25" t="s">
        <v>113</v>
      </c>
      <c r="V407" s="25" t="s">
        <v>347</v>
      </c>
      <c r="W407" s="25" t="s">
        <v>553</v>
      </c>
      <c r="X407" s="25" t="s">
        <v>1752</v>
      </c>
      <c r="Y407" s="25" t="s">
        <v>1753</v>
      </c>
      <c r="Z407" s="26">
        <v>40543</v>
      </c>
      <c r="AA407" s="776">
        <v>3</v>
      </c>
      <c r="AB407" s="776">
        <v>0</v>
      </c>
      <c r="AC407" s="776">
        <v>0</v>
      </c>
      <c r="AD407" s="776">
        <v>0</v>
      </c>
      <c r="AE407" s="777">
        <v>0</v>
      </c>
      <c r="AF407" s="777">
        <v>8.370000000000001</v>
      </c>
      <c r="AG407" s="778">
        <v>8.7218897376595805</v>
      </c>
    </row>
    <row r="408" spans="1:33" x14ac:dyDescent="0.2">
      <c r="A408" s="15">
        <f t="shared" si="48"/>
        <v>2010</v>
      </c>
      <c r="B408" s="14">
        <f t="shared" si="49"/>
        <v>12</v>
      </c>
      <c r="C408" s="13" t="str">
        <f t="shared" si="50"/>
        <v>Q4</v>
      </c>
      <c r="D408" s="13" t="str">
        <f t="shared" si="51"/>
        <v>2010Q4</v>
      </c>
      <c r="E408" s="13" t="str">
        <f t="shared" si="52"/>
        <v>Peru</v>
      </c>
      <c r="F408" s="13" t="str">
        <f t="shared" si="54"/>
        <v>Biomass &amp; Waste</v>
      </c>
      <c r="G408" s="13" t="str">
        <f t="shared" si="55"/>
        <v>Asset finance investments</v>
      </c>
      <c r="H408" s="638">
        <f t="shared" si="53"/>
        <v>8.0341421597796128</v>
      </c>
      <c r="I408" s="24" t="s">
        <v>506</v>
      </c>
      <c r="J408" s="25" t="s">
        <v>246</v>
      </c>
      <c r="K408" s="25" t="s">
        <v>2153</v>
      </c>
      <c r="L408" s="25" t="s">
        <v>723</v>
      </c>
      <c r="M408" s="25" t="s">
        <v>20</v>
      </c>
      <c r="N408" s="25" t="s">
        <v>85</v>
      </c>
      <c r="O408" s="25" t="s">
        <v>92</v>
      </c>
      <c r="P408" s="25" t="s">
        <v>83</v>
      </c>
      <c r="Q408" s="25" t="s">
        <v>82</v>
      </c>
      <c r="R408" s="25"/>
      <c r="S408" s="25" t="s">
        <v>114</v>
      </c>
      <c r="T408" s="25" t="s">
        <v>114</v>
      </c>
      <c r="U408" s="25" t="s">
        <v>113</v>
      </c>
      <c r="V408" s="25" t="s">
        <v>722</v>
      </c>
      <c r="W408" s="25" t="s">
        <v>553</v>
      </c>
      <c r="X408" s="25" t="s">
        <v>1752</v>
      </c>
      <c r="Y408" s="25" t="s">
        <v>1753</v>
      </c>
      <c r="Z408" s="26">
        <v>40543</v>
      </c>
      <c r="AA408" s="776">
        <v>0</v>
      </c>
      <c r="AB408" s="776">
        <v>0</v>
      </c>
      <c r="AC408" s="776">
        <v>0</v>
      </c>
      <c r="AD408" s="776">
        <v>0</v>
      </c>
      <c r="AE408" s="777">
        <v>7.71</v>
      </c>
      <c r="AF408" s="777">
        <v>7.71</v>
      </c>
      <c r="AG408" s="778">
        <v>8.0341421597796128</v>
      </c>
    </row>
    <row r="409" spans="1:33" x14ac:dyDescent="0.2">
      <c r="A409" s="15">
        <f t="shared" si="48"/>
        <v>2010</v>
      </c>
      <c r="B409" s="14">
        <f t="shared" si="49"/>
        <v>11</v>
      </c>
      <c r="C409" s="13" t="str">
        <f t="shared" si="50"/>
        <v>Q4</v>
      </c>
      <c r="D409" s="13" t="str">
        <f t="shared" si="51"/>
        <v>2010Q4</v>
      </c>
      <c r="E409" s="13" t="str">
        <f t="shared" si="52"/>
        <v>Brazil</v>
      </c>
      <c r="F409" s="13" t="str">
        <f t="shared" si="54"/>
        <v>Small Hydro</v>
      </c>
      <c r="G409" s="13" t="str">
        <f t="shared" si="55"/>
        <v>Asset finance investments</v>
      </c>
      <c r="H409" s="638">
        <f t="shared" si="53"/>
        <v>6.5127611541663519</v>
      </c>
      <c r="I409" s="24" t="s">
        <v>506</v>
      </c>
      <c r="J409" s="25" t="s">
        <v>246</v>
      </c>
      <c r="K409" s="25" t="s">
        <v>2154</v>
      </c>
      <c r="L409" s="25" t="s">
        <v>782</v>
      </c>
      <c r="M409" s="25" t="s">
        <v>31</v>
      </c>
      <c r="N409" s="25" t="s">
        <v>31</v>
      </c>
      <c r="O409" s="25" t="s">
        <v>92</v>
      </c>
      <c r="P409" s="25" t="s">
        <v>83</v>
      </c>
      <c r="Q409" s="25" t="s">
        <v>82</v>
      </c>
      <c r="R409" s="25" t="s">
        <v>91</v>
      </c>
      <c r="S409" s="25" t="s">
        <v>126</v>
      </c>
      <c r="T409" s="25" t="s">
        <v>125</v>
      </c>
      <c r="U409" s="25" t="s">
        <v>247</v>
      </c>
      <c r="V409" s="25">
        <v>0</v>
      </c>
      <c r="W409" s="25" t="s">
        <v>553</v>
      </c>
      <c r="X409" s="25" t="s">
        <v>1752</v>
      </c>
      <c r="Y409" s="25" t="s">
        <v>1753</v>
      </c>
      <c r="Z409" s="26">
        <v>40512</v>
      </c>
      <c r="AA409" s="776">
        <v>2.5</v>
      </c>
      <c r="AB409" s="776">
        <v>0</v>
      </c>
      <c r="AC409" s="776">
        <v>0</v>
      </c>
      <c r="AD409" s="776">
        <v>0</v>
      </c>
      <c r="AE409" s="777">
        <v>0</v>
      </c>
      <c r="AF409" s="777">
        <v>6.25</v>
      </c>
      <c r="AG409" s="778">
        <v>6.5127611541663519</v>
      </c>
    </row>
    <row r="410" spans="1:33" x14ac:dyDescent="0.2">
      <c r="A410" s="15">
        <f t="shared" si="48"/>
        <v>2010</v>
      </c>
      <c r="B410" s="14">
        <f t="shared" si="49"/>
        <v>12</v>
      </c>
      <c r="C410" s="13" t="str">
        <f t="shared" si="50"/>
        <v>Q4</v>
      </c>
      <c r="D410" s="13" t="str">
        <f t="shared" si="51"/>
        <v>2010Q4</v>
      </c>
      <c r="E410" s="13" t="str">
        <f t="shared" si="52"/>
        <v>Brazil</v>
      </c>
      <c r="F410" s="13" t="str">
        <f t="shared" si="54"/>
        <v>Small Hydro</v>
      </c>
      <c r="G410" s="13" t="str">
        <f t="shared" si="55"/>
        <v>Asset finance investments</v>
      </c>
      <c r="H410" s="638">
        <f t="shared" si="53"/>
        <v>6.083231530526775</v>
      </c>
      <c r="I410" s="24" t="s">
        <v>506</v>
      </c>
      <c r="J410" s="25" t="s">
        <v>246</v>
      </c>
      <c r="K410" s="25" t="s">
        <v>2155</v>
      </c>
      <c r="L410" s="25" t="s">
        <v>2156</v>
      </c>
      <c r="M410" s="25" t="s">
        <v>31</v>
      </c>
      <c r="N410" s="25" t="s">
        <v>31</v>
      </c>
      <c r="O410" s="25" t="s">
        <v>92</v>
      </c>
      <c r="P410" s="25" t="s">
        <v>83</v>
      </c>
      <c r="Q410" s="25" t="s">
        <v>82</v>
      </c>
      <c r="R410" s="25" t="s">
        <v>91</v>
      </c>
      <c r="S410" s="25" t="s">
        <v>126</v>
      </c>
      <c r="T410" s="25" t="s">
        <v>125</v>
      </c>
      <c r="U410" s="25" t="s">
        <v>247</v>
      </c>
      <c r="V410" s="25">
        <v>0</v>
      </c>
      <c r="W410" s="25" t="s">
        <v>553</v>
      </c>
      <c r="X410" s="25" t="s">
        <v>1752</v>
      </c>
      <c r="Y410" s="25" t="s">
        <v>1753</v>
      </c>
      <c r="Z410" s="26">
        <v>40543</v>
      </c>
      <c r="AA410" s="776">
        <v>2.89</v>
      </c>
      <c r="AB410" s="776">
        <v>0</v>
      </c>
      <c r="AC410" s="776">
        <v>0</v>
      </c>
      <c r="AD410" s="776">
        <v>0</v>
      </c>
      <c r="AE410" s="777">
        <v>0</v>
      </c>
      <c r="AF410" s="777">
        <v>5.8378000000000005</v>
      </c>
      <c r="AG410" s="778">
        <v>6.083231530526775</v>
      </c>
    </row>
    <row r="411" spans="1:33" x14ac:dyDescent="0.2">
      <c r="A411" s="15">
        <f t="shared" si="48"/>
        <v>2010</v>
      </c>
      <c r="B411" s="14">
        <f t="shared" si="49"/>
        <v>11</v>
      </c>
      <c r="C411" s="13" t="str">
        <f t="shared" si="50"/>
        <v>Q4</v>
      </c>
      <c r="D411" s="13" t="str">
        <f t="shared" si="51"/>
        <v>2010Q4</v>
      </c>
      <c r="E411" s="13" t="str">
        <f t="shared" si="52"/>
        <v>Argentina</v>
      </c>
      <c r="F411" s="13" t="str">
        <f t="shared" si="54"/>
        <v>Biofuels</v>
      </c>
      <c r="G411" s="13" t="str">
        <f t="shared" si="55"/>
        <v>Asset finance investments</v>
      </c>
      <c r="H411" s="638">
        <f t="shared" si="53"/>
        <v>4.1681671386664663</v>
      </c>
      <c r="I411" s="24" t="s">
        <v>506</v>
      </c>
      <c r="J411" s="25" t="s">
        <v>246</v>
      </c>
      <c r="K411" s="25" t="s">
        <v>2157</v>
      </c>
      <c r="L411" s="25" t="s">
        <v>746</v>
      </c>
      <c r="M411" s="25" t="s">
        <v>4</v>
      </c>
      <c r="N411" s="25" t="s">
        <v>85</v>
      </c>
      <c r="O411" s="25" t="s">
        <v>92</v>
      </c>
      <c r="P411" s="25" t="s">
        <v>83</v>
      </c>
      <c r="Q411" s="25" t="s">
        <v>82</v>
      </c>
      <c r="R411" s="25"/>
      <c r="S411" s="25" t="s">
        <v>96</v>
      </c>
      <c r="T411" s="25" t="s">
        <v>96</v>
      </c>
      <c r="U411" s="25" t="s">
        <v>95</v>
      </c>
      <c r="V411" s="25" t="s">
        <v>223</v>
      </c>
      <c r="W411" s="25" t="s">
        <v>553</v>
      </c>
      <c r="X411" s="25" t="s">
        <v>1752</v>
      </c>
      <c r="Y411" s="25" t="s">
        <v>1753</v>
      </c>
      <c r="Z411" s="26">
        <v>40512</v>
      </c>
      <c r="AA411" s="776">
        <v>0</v>
      </c>
      <c r="AB411" s="776">
        <v>0</v>
      </c>
      <c r="AC411" s="776">
        <v>0</v>
      </c>
      <c r="AD411" s="776">
        <v>0</v>
      </c>
      <c r="AE411" s="777">
        <v>4</v>
      </c>
      <c r="AF411" s="777">
        <v>4</v>
      </c>
      <c r="AG411" s="778">
        <v>4.1681671386664663</v>
      </c>
    </row>
    <row r="412" spans="1:33" x14ac:dyDescent="0.2">
      <c r="A412" s="15">
        <f t="shared" si="48"/>
        <v>2009</v>
      </c>
      <c r="B412" s="14">
        <f t="shared" si="49"/>
        <v>12</v>
      </c>
      <c r="C412" s="13" t="str">
        <f t="shared" si="50"/>
        <v>Q4</v>
      </c>
      <c r="D412" s="13" t="str">
        <f t="shared" si="51"/>
        <v>2009Q4</v>
      </c>
      <c r="E412" s="13" t="str">
        <f t="shared" si="52"/>
        <v>Brazil</v>
      </c>
      <c r="F412" s="13" t="str">
        <f t="shared" si="54"/>
        <v>Wind</v>
      </c>
      <c r="G412" s="13" t="str">
        <f t="shared" si="55"/>
        <v>Asset finance investments</v>
      </c>
      <c r="H412" s="638">
        <f t="shared" si="53"/>
        <v>710.94400000000007</v>
      </c>
      <c r="I412" s="24" t="s">
        <v>506</v>
      </c>
      <c r="J412" s="25" t="s">
        <v>246</v>
      </c>
      <c r="K412" s="25" t="s">
        <v>2158</v>
      </c>
      <c r="L412" s="25" t="s">
        <v>1078</v>
      </c>
      <c r="M412" s="25" t="s">
        <v>31</v>
      </c>
      <c r="N412" s="25" t="s">
        <v>31</v>
      </c>
      <c r="O412" s="25" t="s">
        <v>92</v>
      </c>
      <c r="P412" s="25" t="s">
        <v>83</v>
      </c>
      <c r="Q412" s="25" t="s">
        <v>82</v>
      </c>
      <c r="R412" s="25" t="s">
        <v>91</v>
      </c>
      <c r="S412" s="25" t="s">
        <v>101</v>
      </c>
      <c r="T412" s="25" t="s">
        <v>101</v>
      </c>
      <c r="U412" s="25" t="s">
        <v>112</v>
      </c>
      <c r="V412" s="25">
        <v>0</v>
      </c>
      <c r="W412" s="25" t="s">
        <v>553</v>
      </c>
      <c r="X412" s="25" t="s">
        <v>1749</v>
      </c>
      <c r="Y412" s="25" t="s">
        <v>1750</v>
      </c>
      <c r="Z412" s="26">
        <v>40162</v>
      </c>
      <c r="AA412" s="776">
        <v>222</v>
      </c>
      <c r="AB412" s="776">
        <v>0</v>
      </c>
      <c r="AC412" s="776">
        <v>0</v>
      </c>
      <c r="AD412" s="776">
        <v>0</v>
      </c>
      <c r="AE412" s="777">
        <v>683.6</v>
      </c>
      <c r="AF412" s="777">
        <v>683.6</v>
      </c>
      <c r="AG412" s="778">
        <v>710.94400000000007</v>
      </c>
    </row>
    <row r="413" spans="1:33" x14ac:dyDescent="0.2">
      <c r="A413" s="15">
        <f t="shared" si="48"/>
        <v>2009</v>
      </c>
      <c r="B413" s="14">
        <f t="shared" si="49"/>
        <v>11</v>
      </c>
      <c r="C413" s="13" t="str">
        <f t="shared" si="50"/>
        <v>Q4</v>
      </c>
      <c r="D413" s="13" t="str">
        <f t="shared" si="51"/>
        <v>2009Q4</v>
      </c>
      <c r="E413" s="13" t="str">
        <f t="shared" si="52"/>
        <v>Brazil</v>
      </c>
      <c r="F413" s="13" t="str">
        <f t="shared" si="54"/>
        <v>Biofuels</v>
      </c>
      <c r="G413" s="13" t="str">
        <f t="shared" si="55"/>
        <v>Asset finance investments</v>
      </c>
      <c r="H413" s="638">
        <f t="shared" si="53"/>
        <v>319.17599999999999</v>
      </c>
      <c r="I413" s="24" t="s">
        <v>506</v>
      </c>
      <c r="J413" s="25" t="s">
        <v>246</v>
      </c>
      <c r="K413" s="25" t="s">
        <v>2159</v>
      </c>
      <c r="L413" s="25" t="s">
        <v>2160</v>
      </c>
      <c r="M413" s="25" t="s">
        <v>31</v>
      </c>
      <c r="N413" s="25" t="s">
        <v>31</v>
      </c>
      <c r="O413" s="25" t="s">
        <v>92</v>
      </c>
      <c r="P413" s="25" t="s">
        <v>83</v>
      </c>
      <c r="Q413" s="25" t="s">
        <v>82</v>
      </c>
      <c r="R413" s="25" t="s">
        <v>91</v>
      </c>
      <c r="S413" s="25" t="s">
        <v>96</v>
      </c>
      <c r="T413" s="25" t="s">
        <v>96</v>
      </c>
      <c r="U413" s="25" t="s">
        <v>98</v>
      </c>
      <c r="V413" s="25" t="s">
        <v>230</v>
      </c>
      <c r="W413" s="25" t="s">
        <v>553</v>
      </c>
      <c r="X413" s="25" t="s">
        <v>1749</v>
      </c>
      <c r="Y413" s="25" t="s">
        <v>1750</v>
      </c>
      <c r="Z413" s="26">
        <v>40136</v>
      </c>
      <c r="AA413" s="776">
        <v>76</v>
      </c>
      <c r="AB413" s="776">
        <v>90</v>
      </c>
      <c r="AC413" s="776">
        <v>0</v>
      </c>
      <c r="AD413" s="776">
        <v>0</v>
      </c>
      <c r="AE413" s="777">
        <v>306.89999999999998</v>
      </c>
      <c r="AF413" s="777">
        <v>306.89999999999998</v>
      </c>
      <c r="AG413" s="778">
        <v>319.17599999999999</v>
      </c>
    </row>
    <row r="414" spans="1:33" x14ac:dyDescent="0.2">
      <c r="A414" s="15">
        <f t="shared" si="48"/>
        <v>2009</v>
      </c>
      <c r="B414" s="14">
        <f t="shared" si="49"/>
        <v>12</v>
      </c>
      <c r="C414" s="13" t="str">
        <f t="shared" si="50"/>
        <v>Q4</v>
      </c>
      <c r="D414" s="13" t="str">
        <f t="shared" si="51"/>
        <v>2009Q4</v>
      </c>
      <c r="E414" s="13" t="str">
        <f t="shared" si="52"/>
        <v>Panama</v>
      </c>
      <c r="F414" s="13" t="str">
        <f t="shared" si="54"/>
        <v>Wind</v>
      </c>
      <c r="G414" s="13" t="str">
        <f t="shared" si="55"/>
        <v>Asset finance investments</v>
      </c>
      <c r="H414" s="638">
        <f t="shared" si="53"/>
        <v>318.24</v>
      </c>
      <c r="I414" s="24" t="s">
        <v>506</v>
      </c>
      <c r="J414" s="25" t="s">
        <v>246</v>
      </c>
      <c r="K414" s="25" t="s">
        <v>2161</v>
      </c>
      <c r="L414" s="25" t="s">
        <v>768</v>
      </c>
      <c r="M414" s="25" t="s">
        <v>19</v>
      </c>
      <c r="N414" s="25" t="s">
        <v>85</v>
      </c>
      <c r="O414" s="25" t="s">
        <v>92</v>
      </c>
      <c r="P414" s="25" t="s">
        <v>83</v>
      </c>
      <c r="Q414" s="25" t="s">
        <v>82</v>
      </c>
      <c r="R414" s="25"/>
      <c r="S414" s="25" t="s">
        <v>101</v>
      </c>
      <c r="T414" s="25" t="s">
        <v>101</v>
      </c>
      <c r="U414" s="25" t="s">
        <v>112</v>
      </c>
      <c r="V414" s="25">
        <v>0</v>
      </c>
      <c r="W414" s="25" t="s">
        <v>553</v>
      </c>
      <c r="X414" s="25" t="s">
        <v>1752</v>
      </c>
      <c r="Y414" s="25" t="s">
        <v>1753</v>
      </c>
      <c r="Z414" s="26">
        <v>40176</v>
      </c>
      <c r="AA414" s="776">
        <v>225</v>
      </c>
      <c r="AB414" s="776">
        <v>0</v>
      </c>
      <c r="AC414" s="776">
        <v>0</v>
      </c>
      <c r="AD414" s="776">
        <v>0</v>
      </c>
      <c r="AE414" s="777">
        <v>306</v>
      </c>
      <c r="AF414" s="777">
        <v>306</v>
      </c>
      <c r="AG414" s="778">
        <v>318.24</v>
      </c>
    </row>
    <row r="415" spans="1:33" x14ac:dyDescent="0.2">
      <c r="A415" s="15">
        <f t="shared" si="48"/>
        <v>2009</v>
      </c>
      <c r="B415" s="14">
        <f t="shared" si="49"/>
        <v>11</v>
      </c>
      <c r="C415" s="13" t="str">
        <f t="shared" si="50"/>
        <v>Q4</v>
      </c>
      <c r="D415" s="13" t="str">
        <f t="shared" si="51"/>
        <v>2009Q4</v>
      </c>
      <c r="E415" s="13" t="str">
        <f t="shared" si="52"/>
        <v>Brazil</v>
      </c>
      <c r="F415" s="13" t="str">
        <f t="shared" si="54"/>
        <v>Biofuels</v>
      </c>
      <c r="G415" s="13" t="str">
        <f t="shared" si="55"/>
        <v>Asset finance investments</v>
      </c>
      <c r="H415" s="638">
        <f t="shared" si="53"/>
        <v>255.84</v>
      </c>
      <c r="I415" s="24" t="s">
        <v>506</v>
      </c>
      <c r="J415" s="25" t="s">
        <v>246</v>
      </c>
      <c r="K415" s="25" t="s">
        <v>2162</v>
      </c>
      <c r="L415" s="25" t="s">
        <v>1119</v>
      </c>
      <c r="M415" s="25" t="s">
        <v>31</v>
      </c>
      <c r="N415" s="25" t="s">
        <v>31</v>
      </c>
      <c r="O415" s="25" t="s">
        <v>92</v>
      </c>
      <c r="P415" s="25" t="s">
        <v>83</v>
      </c>
      <c r="Q415" s="25" t="s">
        <v>82</v>
      </c>
      <c r="R415" s="25" t="s">
        <v>91</v>
      </c>
      <c r="S415" s="25" t="s">
        <v>96</v>
      </c>
      <c r="T415" s="25" t="s">
        <v>96</v>
      </c>
      <c r="U415" s="25" t="s">
        <v>98</v>
      </c>
      <c r="V415" s="25" t="s">
        <v>230</v>
      </c>
      <c r="W415" s="25" t="s">
        <v>553</v>
      </c>
      <c r="X415" s="25" t="s">
        <v>1749</v>
      </c>
      <c r="Y415" s="25" t="s">
        <v>1750</v>
      </c>
      <c r="Z415" s="26">
        <v>40132</v>
      </c>
      <c r="AA415" s="776">
        <v>0</v>
      </c>
      <c r="AB415" s="776">
        <v>144</v>
      </c>
      <c r="AC415" s="776">
        <v>0</v>
      </c>
      <c r="AD415" s="776">
        <v>0</v>
      </c>
      <c r="AE415" s="777">
        <v>246</v>
      </c>
      <c r="AF415" s="777">
        <v>246</v>
      </c>
      <c r="AG415" s="778">
        <v>255.84</v>
      </c>
    </row>
    <row r="416" spans="1:33" x14ac:dyDescent="0.2">
      <c r="A416" s="15">
        <f t="shared" si="48"/>
        <v>2009</v>
      </c>
      <c r="B416" s="14">
        <f t="shared" si="49"/>
        <v>10</v>
      </c>
      <c r="C416" s="13" t="str">
        <f t="shared" si="50"/>
        <v>Q4</v>
      </c>
      <c r="D416" s="13" t="str">
        <f t="shared" si="51"/>
        <v>2009Q4</v>
      </c>
      <c r="E416" s="13" t="str">
        <f t="shared" si="52"/>
        <v>Chile</v>
      </c>
      <c r="F416" s="13" t="str">
        <f t="shared" si="54"/>
        <v>Wind</v>
      </c>
      <c r="G416" s="13" t="str">
        <f t="shared" si="55"/>
        <v>Asset finance investments</v>
      </c>
      <c r="H416" s="638">
        <f t="shared" si="53"/>
        <v>244.4</v>
      </c>
      <c r="I416" s="24" t="s">
        <v>506</v>
      </c>
      <c r="J416" s="25" t="s">
        <v>246</v>
      </c>
      <c r="K416" s="25" t="s">
        <v>2163</v>
      </c>
      <c r="L416" s="25" t="s">
        <v>928</v>
      </c>
      <c r="M416" s="25" t="s">
        <v>8</v>
      </c>
      <c r="N416" s="25" t="s">
        <v>85</v>
      </c>
      <c r="O416" s="25" t="s">
        <v>92</v>
      </c>
      <c r="P416" s="25" t="s">
        <v>83</v>
      </c>
      <c r="Q416" s="25" t="s">
        <v>129</v>
      </c>
      <c r="R416" s="25"/>
      <c r="S416" s="25" t="s">
        <v>101</v>
      </c>
      <c r="T416" s="25" t="s">
        <v>101</v>
      </c>
      <c r="U416" s="25" t="s">
        <v>112</v>
      </c>
      <c r="V416" s="25">
        <v>0</v>
      </c>
      <c r="W416" s="25" t="s">
        <v>553</v>
      </c>
      <c r="X416" s="25" t="s">
        <v>1752</v>
      </c>
      <c r="Y416" s="25" t="s">
        <v>1753</v>
      </c>
      <c r="Z416" s="26">
        <v>40117</v>
      </c>
      <c r="AA416" s="776">
        <v>100</v>
      </c>
      <c r="AB416" s="776">
        <v>0</v>
      </c>
      <c r="AC416" s="776">
        <v>0</v>
      </c>
      <c r="AD416" s="776">
        <v>0</v>
      </c>
      <c r="AE416" s="777">
        <v>235</v>
      </c>
      <c r="AF416" s="777">
        <v>235</v>
      </c>
      <c r="AG416" s="778">
        <v>244.4</v>
      </c>
    </row>
    <row r="417" spans="1:33" x14ac:dyDescent="0.2">
      <c r="A417" s="15">
        <f t="shared" si="48"/>
        <v>2009</v>
      </c>
      <c r="B417" s="14">
        <f t="shared" si="49"/>
        <v>10</v>
      </c>
      <c r="C417" s="13" t="str">
        <f t="shared" si="50"/>
        <v>Q4</v>
      </c>
      <c r="D417" s="13" t="str">
        <f t="shared" si="51"/>
        <v>2009Q4</v>
      </c>
      <c r="E417" s="13" t="str">
        <f t="shared" si="52"/>
        <v>Brazil</v>
      </c>
      <c r="F417" s="13" t="str">
        <f t="shared" si="54"/>
        <v>Biofuels</v>
      </c>
      <c r="G417" s="13" t="str">
        <f t="shared" si="55"/>
        <v>VC/PE investments</v>
      </c>
      <c r="H417" s="638">
        <f t="shared" si="53"/>
        <v>241.8</v>
      </c>
      <c r="I417" s="24" t="s">
        <v>506</v>
      </c>
      <c r="J417" s="25" t="s">
        <v>216</v>
      </c>
      <c r="K417" s="25" t="s">
        <v>518</v>
      </c>
      <c r="L417" s="25" t="s">
        <v>2164</v>
      </c>
      <c r="M417" s="25" t="s">
        <v>31</v>
      </c>
      <c r="N417" s="25" t="s">
        <v>31</v>
      </c>
      <c r="O417" s="25" t="s">
        <v>92</v>
      </c>
      <c r="P417" s="25" t="s">
        <v>83</v>
      </c>
      <c r="Q417" s="25" t="s">
        <v>82</v>
      </c>
      <c r="R417" s="25" t="s">
        <v>91</v>
      </c>
      <c r="S417" s="25" t="s">
        <v>96</v>
      </c>
      <c r="T417" s="25" t="s">
        <v>96</v>
      </c>
      <c r="U417" s="25" t="s">
        <v>98</v>
      </c>
      <c r="V417" s="25" t="s">
        <v>230</v>
      </c>
      <c r="W417" s="25" t="s">
        <v>97</v>
      </c>
      <c r="X417" s="25" t="s">
        <v>508</v>
      </c>
      <c r="Y417" s="25" t="s">
        <v>507</v>
      </c>
      <c r="Z417" s="26">
        <v>40113</v>
      </c>
      <c r="AA417" s="776" t="s">
        <v>1748</v>
      </c>
      <c r="AB417" s="776" t="s">
        <v>1748</v>
      </c>
      <c r="AC417" s="776" t="s">
        <v>1748</v>
      </c>
      <c r="AD417" s="776" t="s">
        <v>1748</v>
      </c>
      <c r="AE417" s="777">
        <v>232.5</v>
      </c>
      <c r="AF417" s="777">
        <v>232.5</v>
      </c>
      <c r="AG417" s="778">
        <v>241.8</v>
      </c>
    </row>
    <row r="418" spans="1:33" x14ac:dyDescent="0.2">
      <c r="A418" s="15">
        <f t="shared" si="48"/>
        <v>2009</v>
      </c>
      <c r="B418" s="14">
        <f t="shared" si="49"/>
        <v>12</v>
      </c>
      <c r="C418" s="13" t="str">
        <f t="shared" si="50"/>
        <v>Q4</v>
      </c>
      <c r="D418" s="13" t="str">
        <f t="shared" si="51"/>
        <v>2009Q4</v>
      </c>
      <c r="E418" s="13" t="str">
        <f t="shared" si="52"/>
        <v>Nicaragua</v>
      </c>
      <c r="F418" s="13" t="str">
        <f t="shared" si="54"/>
        <v>Geothermal</v>
      </c>
      <c r="G418" s="13" t="str">
        <f t="shared" si="55"/>
        <v>Asset finance investments</v>
      </c>
      <c r="H418" s="638">
        <f t="shared" si="53"/>
        <v>194.48000000000002</v>
      </c>
      <c r="I418" s="24" t="s">
        <v>506</v>
      </c>
      <c r="J418" s="25" t="s">
        <v>246</v>
      </c>
      <c r="K418" s="25" t="s">
        <v>2165</v>
      </c>
      <c r="L418" s="25" t="s">
        <v>2166</v>
      </c>
      <c r="M418" s="25" t="s">
        <v>2</v>
      </c>
      <c r="N418" s="25" t="s">
        <v>85</v>
      </c>
      <c r="O418" s="25" t="s">
        <v>92</v>
      </c>
      <c r="P418" s="25" t="s">
        <v>83</v>
      </c>
      <c r="Q418" s="25" t="s">
        <v>82</v>
      </c>
      <c r="R418" s="25"/>
      <c r="S418" s="25" t="s">
        <v>157</v>
      </c>
      <c r="T418" s="25" t="s">
        <v>157</v>
      </c>
      <c r="U418" s="25" t="s">
        <v>156</v>
      </c>
      <c r="V418" s="25" t="s">
        <v>248</v>
      </c>
      <c r="W418" s="25" t="s">
        <v>553</v>
      </c>
      <c r="X418" s="25" t="s">
        <v>1749</v>
      </c>
      <c r="Y418" s="25" t="s">
        <v>1750</v>
      </c>
      <c r="Z418" s="26">
        <v>40176</v>
      </c>
      <c r="AA418" s="776">
        <v>38.799999999999997</v>
      </c>
      <c r="AB418" s="776">
        <v>0</v>
      </c>
      <c r="AC418" s="776">
        <v>0</v>
      </c>
      <c r="AD418" s="776">
        <v>0</v>
      </c>
      <c r="AE418" s="777">
        <v>187</v>
      </c>
      <c r="AF418" s="777">
        <v>187</v>
      </c>
      <c r="AG418" s="778">
        <v>194.48000000000002</v>
      </c>
    </row>
    <row r="419" spans="1:33" x14ac:dyDescent="0.2">
      <c r="A419" s="15">
        <f t="shared" si="48"/>
        <v>2009</v>
      </c>
      <c r="B419" s="14">
        <f t="shared" si="49"/>
        <v>10</v>
      </c>
      <c r="C419" s="13" t="str">
        <f t="shared" si="50"/>
        <v>Q4</v>
      </c>
      <c r="D419" s="13" t="str">
        <f t="shared" si="51"/>
        <v>2009Q4</v>
      </c>
      <c r="E419" s="13" t="str">
        <f t="shared" si="52"/>
        <v>Brazil</v>
      </c>
      <c r="F419" s="13" t="str">
        <f t="shared" si="54"/>
        <v>Wind</v>
      </c>
      <c r="G419" s="13" t="str">
        <f t="shared" si="55"/>
        <v>VC/PE investments</v>
      </c>
      <c r="H419" s="638">
        <f t="shared" si="53"/>
        <v>169.52</v>
      </c>
      <c r="I419" s="24" t="s">
        <v>506</v>
      </c>
      <c r="J419" s="25" t="s">
        <v>216</v>
      </c>
      <c r="K419" s="25" t="s">
        <v>520</v>
      </c>
      <c r="L419" s="25" t="s">
        <v>519</v>
      </c>
      <c r="M419" s="25" t="s">
        <v>31</v>
      </c>
      <c r="N419" s="25" t="s">
        <v>31</v>
      </c>
      <c r="O419" s="25" t="s">
        <v>92</v>
      </c>
      <c r="P419" s="25" t="s">
        <v>83</v>
      </c>
      <c r="Q419" s="25" t="s">
        <v>82</v>
      </c>
      <c r="R419" s="25" t="s">
        <v>91</v>
      </c>
      <c r="S419" s="25" t="s">
        <v>101</v>
      </c>
      <c r="T419" s="25" t="s">
        <v>101</v>
      </c>
      <c r="U419" s="25">
        <v>0</v>
      </c>
      <c r="V419" s="25">
        <v>0</v>
      </c>
      <c r="W419" s="25" t="s">
        <v>94</v>
      </c>
      <c r="X419" s="25" t="s">
        <v>508</v>
      </c>
      <c r="Y419" s="25" t="s">
        <v>507</v>
      </c>
      <c r="Z419" s="26">
        <v>40100</v>
      </c>
      <c r="AA419" s="776" t="s">
        <v>1748</v>
      </c>
      <c r="AB419" s="776" t="s">
        <v>1748</v>
      </c>
      <c r="AC419" s="776" t="s">
        <v>1748</v>
      </c>
      <c r="AD419" s="776" t="s">
        <v>1748</v>
      </c>
      <c r="AE419" s="777">
        <v>163</v>
      </c>
      <c r="AF419" s="777">
        <v>163</v>
      </c>
      <c r="AG419" s="778">
        <v>169.52</v>
      </c>
    </row>
    <row r="420" spans="1:33" x14ac:dyDescent="0.2">
      <c r="A420" s="15">
        <f t="shared" si="48"/>
        <v>2009</v>
      </c>
      <c r="B420" s="14">
        <f t="shared" si="49"/>
        <v>11</v>
      </c>
      <c r="C420" s="13" t="str">
        <f t="shared" si="50"/>
        <v>Q4</v>
      </c>
      <c r="D420" s="13" t="str">
        <f t="shared" si="51"/>
        <v>2009Q4</v>
      </c>
      <c r="E420" s="13" t="str">
        <f t="shared" si="52"/>
        <v>Brazil</v>
      </c>
      <c r="F420" s="13" t="str">
        <f t="shared" si="54"/>
        <v>Biofuels</v>
      </c>
      <c r="G420" s="13" t="str">
        <f t="shared" si="55"/>
        <v>Asset finance investments</v>
      </c>
      <c r="H420" s="638">
        <f t="shared" si="53"/>
        <v>124.80000000000001</v>
      </c>
      <c r="I420" s="24" t="s">
        <v>506</v>
      </c>
      <c r="J420" s="25" t="s">
        <v>246</v>
      </c>
      <c r="K420" s="25" t="s">
        <v>2167</v>
      </c>
      <c r="L420" s="25" t="s">
        <v>2168</v>
      </c>
      <c r="M420" s="25" t="s">
        <v>31</v>
      </c>
      <c r="N420" s="25" t="s">
        <v>31</v>
      </c>
      <c r="O420" s="25" t="s">
        <v>92</v>
      </c>
      <c r="P420" s="25" t="s">
        <v>83</v>
      </c>
      <c r="Q420" s="25" t="s">
        <v>82</v>
      </c>
      <c r="R420" s="25" t="s">
        <v>91</v>
      </c>
      <c r="S420" s="25" t="s">
        <v>96</v>
      </c>
      <c r="T420" s="25" t="s">
        <v>96</v>
      </c>
      <c r="U420" s="25" t="s">
        <v>98</v>
      </c>
      <c r="V420" s="25" t="s">
        <v>230</v>
      </c>
      <c r="W420" s="25" t="s">
        <v>553</v>
      </c>
      <c r="X420" s="25" t="s">
        <v>1752</v>
      </c>
      <c r="Y420" s="25" t="s">
        <v>1753</v>
      </c>
      <c r="Z420" s="26">
        <v>40128</v>
      </c>
      <c r="AA420" s="776">
        <v>15</v>
      </c>
      <c r="AB420" s="776">
        <v>100</v>
      </c>
      <c r="AC420" s="776">
        <v>0</v>
      </c>
      <c r="AD420" s="776">
        <v>0</v>
      </c>
      <c r="AE420" s="777">
        <v>0</v>
      </c>
      <c r="AF420" s="777">
        <v>120</v>
      </c>
      <c r="AG420" s="778">
        <v>124.80000000000001</v>
      </c>
    </row>
    <row r="421" spans="1:33" x14ac:dyDescent="0.2">
      <c r="A421" s="15">
        <f t="shared" si="48"/>
        <v>2009</v>
      </c>
      <c r="B421" s="14">
        <f t="shared" si="49"/>
        <v>12</v>
      </c>
      <c r="C421" s="13" t="str">
        <f t="shared" si="50"/>
        <v>Q4</v>
      </c>
      <c r="D421" s="13" t="str">
        <f t="shared" si="51"/>
        <v>2009Q4</v>
      </c>
      <c r="E421" s="13" t="str">
        <f t="shared" si="52"/>
        <v>Brazil</v>
      </c>
      <c r="F421" s="13" t="str">
        <f t="shared" si="54"/>
        <v>Wind</v>
      </c>
      <c r="G421" s="13" t="str">
        <f t="shared" si="55"/>
        <v>Asset finance investments</v>
      </c>
      <c r="H421" s="638">
        <f t="shared" si="53"/>
        <v>94.328000000000003</v>
      </c>
      <c r="I421" s="24" t="s">
        <v>506</v>
      </c>
      <c r="J421" s="25" t="s">
        <v>246</v>
      </c>
      <c r="K421" s="25" t="s">
        <v>2169</v>
      </c>
      <c r="L421" s="25" t="s">
        <v>859</v>
      </c>
      <c r="M421" s="25" t="s">
        <v>31</v>
      </c>
      <c r="N421" s="25" t="s">
        <v>31</v>
      </c>
      <c r="O421" s="25" t="s">
        <v>92</v>
      </c>
      <c r="P421" s="25" t="s">
        <v>83</v>
      </c>
      <c r="Q421" s="25" t="s">
        <v>82</v>
      </c>
      <c r="R421" s="25" t="s">
        <v>91</v>
      </c>
      <c r="S421" s="25" t="s">
        <v>101</v>
      </c>
      <c r="T421" s="25" t="s">
        <v>101</v>
      </c>
      <c r="U421" s="25" t="s">
        <v>112</v>
      </c>
      <c r="V421" s="25">
        <v>0</v>
      </c>
      <c r="W421" s="25" t="s">
        <v>553</v>
      </c>
      <c r="X421" s="25" t="s">
        <v>1752</v>
      </c>
      <c r="Y421" s="25" t="s">
        <v>1753</v>
      </c>
      <c r="Z421" s="26">
        <v>40175</v>
      </c>
      <c r="AA421" s="776">
        <v>34.5</v>
      </c>
      <c r="AB421" s="776">
        <v>0</v>
      </c>
      <c r="AC421" s="776">
        <v>0</v>
      </c>
      <c r="AD421" s="776">
        <v>0</v>
      </c>
      <c r="AE421" s="777">
        <v>90.7</v>
      </c>
      <c r="AF421" s="777">
        <v>90.7</v>
      </c>
      <c r="AG421" s="778">
        <v>94.328000000000003</v>
      </c>
    </row>
    <row r="422" spans="1:33" x14ac:dyDescent="0.2">
      <c r="A422" s="15">
        <f t="shared" si="48"/>
        <v>2009</v>
      </c>
      <c r="B422" s="14">
        <f t="shared" si="49"/>
        <v>10</v>
      </c>
      <c r="C422" s="13" t="str">
        <f t="shared" si="50"/>
        <v>Q4</v>
      </c>
      <c r="D422" s="13" t="str">
        <f t="shared" si="51"/>
        <v>2009Q4</v>
      </c>
      <c r="E422" s="13" t="str">
        <f t="shared" si="52"/>
        <v>Mexico</v>
      </c>
      <c r="F422" s="13" t="str">
        <f t="shared" si="54"/>
        <v>Geothermal</v>
      </c>
      <c r="G422" s="13" t="str">
        <f t="shared" si="55"/>
        <v>Asset finance investments</v>
      </c>
      <c r="H422" s="638">
        <f t="shared" si="53"/>
        <v>91</v>
      </c>
      <c r="I422" s="24" t="s">
        <v>506</v>
      </c>
      <c r="J422" s="25" t="s">
        <v>246</v>
      </c>
      <c r="K422" s="25" t="s">
        <v>2170</v>
      </c>
      <c r="L422" s="25" t="s">
        <v>668</v>
      </c>
      <c r="M422" s="25" t="s">
        <v>18</v>
      </c>
      <c r="N422" s="25" t="s">
        <v>85</v>
      </c>
      <c r="O422" s="25" t="s">
        <v>92</v>
      </c>
      <c r="P422" s="25" t="s">
        <v>83</v>
      </c>
      <c r="Q422" s="25" t="s">
        <v>129</v>
      </c>
      <c r="R422" s="25"/>
      <c r="S422" s="25" t="s">
        <v>157</v>
      </c>
      <c r="T422" s="25" t="s">
        <v>157</v>
      </c>
      <c r="U422" s="25" t="s">
        <v>156</v>
      </c>
      <c r="V422" s="25">
        <v>0</v>
      </c>
      <c r="W422" s="25" t="s">
        <v>553</v>
      </c>
      <c r="X422" s="25" t="s">
        <v>1752</v>
      </c>
      <c r="Y422" s="25" t="s">
        <v>1753</v>
      </c>
      <c r="Z422" s="26">
        <v>40087</v>
      </c>
      <c r="AA422" s="776">
        <v>25</v>
      </c>
      <c r="AB422" s="776">
        <v>0</v>
      </c>
      <c r="AC422" s="776">
        <v>0</v>
      </c>
      <c r="AD422" s="776">
        <v>0</v>
      </c>
      <c r="AE422" s="777">
        <v>0</v>
      </c>
      <c r="AF422" s="777">
        <v>87.5</v>
      </c>
      <c r="AG422" s="778">
        <v>91</v>
      </c>
    </row>
    <row r="423" spans="1:33" x14ac:dyDescent="0.2">
      <c r="A423" s="15">
        <f t="shared" si="48"/>
        <v>2009</v>
      </c>
      <c r="B423" s="14">
        <f t="shared" si="49"/>
        <v>12</v>
      </c>
      <c r="C423" s="13" t="str">
        <f t="shared" si="50"/>
        <v>Q4</v>
      </c>
      <c r="D423" s="13" t="str">
        <f t="shared" si="51"/>
        <v>2009Q4</v>
      </c>
      <c r="E423" s="13" t="str">
        <f t="shared" si="52"/>
        <v>Brazil</v>
      </c>
      <c r="F423" s="13" t="str">
        <f t="shared" si="54"/>
        <v>Biofuels</v>
      </c>
      <c r="G423" s="13" t="str">
        <f t="shared" si="55"/>
        <v>Asset finance investments</v>
      </c>
      <c r="H423" s="638">
        <f t="shared" si="53"/>
        <v>85.363200000000006</v>
      </c>
      <c r="I423" s="24" t="s">
        <v>506</v>
      </c>
      <c r="J423" s="25" t="s">
        <v>246</v>
      </c>
      <c r="K423" s="25" t="s">
        <v>2171</v>
      </c>
      <c r="L423" s="25" t="s">
        <v>676</v>
      </c>
      <c r="M423" s="25" t="s">
        <v>31</v>
      </c>
      <c r="N423" s="25" t="s">
        <v>31</v>
      </c>
      <c r="O423" s="25" t="s">
        <v>92</v>
      </c>
      <c r="P423" s="25" t="s">
        <v>83</v>
      </c>
      <c r="Q423" s="25" t="s">
        <v>82</v>
      </c>
      <c r="R423" s="25" t="s">
        <v>91</v>
      </c>
      <c r="S423" s="25" t="s">
        <v>96</v>
      </c>
      <c r="T423" s="25" t="s">
        <v>96</v>
      </c>
      <c r="U423" s="25" t="s">
        <v>95</v>
      </c>
      <c r="V423" s="25" t="s">
        <v>223</v>
      </c>
      <c r="W423" s="25" t="s">
        <v>553</v>
      </c>
      <c r="X423" s="25" t="s">
        <v>1752</v>
      </c>
      <c r="Y423" s="25" t="s">
        <v>1753</v>
      </c>
      <c r="Z423" s="26">
        <v>40162</v>
      </c>
      <c r="AA423" s="776">
        <v>0</v>
      </c>
      <c r="AB423" s="776">
        <v>216</v>
      </c>
      <c r="AC423" s="776">
        <v>0</v>
      </c>
      <c r="AD423" s="776">
        <v>0</v>
      </c>
      <c r="AE423" s="777">
        <v>0</v>
      </c>
      <c r="AF423" s="777">
        <v>82.08</v>
      </c>
      <c r="AG423" s="778">
        <v>85.363200000000006</v>
      </c>
    </row>
    <row r="424" spans="1:33" x14ac:dyDescent="0.2">
      <c r="A424" s="15">
        <f t="shared" si="48"/>
        <v>2009</v>
      </c>
      <c r="B424" s="14">
        <f t="shared" si="49"/>
        <v>11</v>
      </c>
      <c r="C424" s="13" t="str">
        <f t="shared" si="50"/>
        <v>Q4</v>
      </c>
      <c r="D424" s="13" t="str">
        <f t="shared" si="51"/>
        <v>2009Q4</v>
      </c>
      <c r="E424" s="13" t="str">
        <f t="shared" si="52"/>
        <v>Mexico</v>
      </c>
      <c r="F424" s="13" t="str">
        <f t="shared" si="54"/>
        <v>Wind</v>
      </c>
      <c r="G424" s="13" t="str">
        <f t="shared" si="55"/>
        <v>Asset finance investments</v>
      </c>
      <c r="H424" s="638">
        <f t="shared" si="53"/>
        <v>83.886399999999995</v>
      </c>
      <c r="I424" s="24" t="s">
        <v>506</v>
      </c>
      <c r="J424" s="25" t="s">
        <v>246</v>
      </c>
      <c r="K424" s="25" t="s">
        <v>2172</v>
      </c>
      <c r="L424" s="25" t="s">
        <v>907</v>
      </c>
      <c r="M424" s="25" t="s">
        <v>18</v>
      </c>
      <c r="N424" s="25" t="s">
        <v>85</v>
      </c>
      <c r="O424" s="25" t="s">
        <v>92</v>
      </c>
      <c r="P424" s="25" t="s">
        <v>83</v>
      </c>
      <c r="Q424" s="25" t="s">
        <v>129</v>
      </c>
      <c r="R424" s="25"/>
      <c r="S424" s="25" t="s">
        <v>101</v>
      </c>
      <c r="T424" s="25" t="s">
        <v>101</v>
      </c>
      <c r="U424" s="25" t="s">
        <v>112</v>
      </c>
      <c r="V424" s="25">
        <v>0</v>
      </c>
      <c r="W424" s="25" t="s">
        <v>553</v>
      </c>
      <c r="X424" s="25" t="s">
        <v>1771</v>
      </c>
      <c r="Y424" s="25" t="s">
        <v>1750</v>
      </c>
      <c r="Z424" s="26">
        <v>40143</v>
      </c>
      <c r="AA424" s="776">
        <v>67.5</v>
      </c>
      <c r="AB424" s="776">
        <v>0</v>
      </c>
      <c r="AC424" s="776">
        <v>0</v>
      </c>
      <c r="AD424" s="776">
        <v>0</v>
      </c>
      <c r="AE424" s="777">
        <v>80.66</v>
      </c>
      <c r="AF424" s="777">
        <v>80.66</v>
      </c>
      <c r="AG424" s="778">
        <v>83.886399999999995</v>
      </c>
    </row>
    <row r="425" spans="1:33" x14ac:dyDescent="0.2">
      <c r="A425" s="15">
        <f t="shared" si="48"/>
        <v>2009</v>
      </c>
      <c r="B425" s="14">
        <f t="shared" si="49"/>
        <v>10</v>
      </c>
      <c r="C425" s="13" t="str">
        <f t="shared" si="50"/>
        <v>Q4</v>
      </c>
      <c r="D425" s="13" t="str">
        <f t="shared" si="51"/>
        <v>2009Q4</v>
      </c>
      <c r="E425" s="13" t="str">
        <f t="shared" si="52"/>
        <v>Brazil</v>
      </c>
      <c r="F425" s="13" t="str">
        <f t="shared" si="54"/>
        <v>Small Hydro</v>
      </c>
      <c r="G425" s="13" t="str">
        <f t="shared" si="55"/>
        <v>Asset finance investments</v>
      </c>
      <c r="H425" s="638">
        <f t="shared" si="53"/>
        <v>72.8</v>
      </c>
      <c r="I425" s="24" t="s">
        <v>506</v>
      </c>
      <c r="J425" s="25" t="s">
        <v>246</v>
      </c>
      <c r="K425" s="25" t="s">
        <v>2173</v>
      </c>
      <c r="L425" s="25" t="s">
        <v>888</v>
      </c>
      <c r="M425" s="25" t="s">
        <v>31</v>
      </c>
      <c r="N425" s="25" t="s">
        <v>31</v>
      </c>
      <c r="O425" s="25" t="s">
        <v>92</v>
      </c>
      <c r="P425" s="25" t="s">
        <v>83</v>
      </c>
      <c r="Q425" s="25" t="s">
        <v>82</v>
      </c>
      <c r="R425" s="25" t="s">
        <v>91</v>
      </c>
      <c r="S425" s="25" t="s">
        <v>126</v>
      </c>
      <c r="T425" s="25" t="s">
        <v>125</v>
      </c>
      <c r="U425" s="25" t="s">
        <v>247</v>
      </c>
      <c r="V425" s="25">
        <v>0</v>
      </c>
      <c r="W425" s="25" t="s">
        <v>553</v>
      </c>
      <c r="X425" s="25" t="s">
        <v>1752</v>
      </c>
      <c r="Y425" s="25" t="s">
        <v>1753</v>
      </c>
      <c r="Z425" s="26">
        <v>40089</v>
      </c>
      <c r="AA425" s="776">
        <v>28</v>
      </c>
      <c r="AB425" s="776">
        <v>0</v>
      </c>
      <c r="AC425" s="776">
        <v>0</v>
      </c>
      <c r="AD425" s="776">
        <v>0</v>
      </c>
      <c r="AE425" s="777">
        <v>0</v>
      </c>
      <c r="AF425" s="777">
        <v>70</v>
      </c>
      <c r="AG425" s="778">
        <v>72.8</v>
      </c>
    </row>
    <row r="426" spans="1:33" x14ac:dyDescent="0.2">
      <c r="A426" s="15">
        <f t="shared" si="48"/>
        <v>2009</v>
      </c>
      <c r="B426" s="14">
        <f t="shared" si="49"/>
        <v>11</v>
      </c>
      <c r="C426" s="13" t="str">
        <f t="shared" si="50"/>
        <v>Q4</v>
      </c>
      <c r="D426" s="13" t="str">
        <f t="shared" si="51"/>
        <v>2009Q4</v>
      </c>
      <c r="E426" s="13" t="str">
        <f t="shared" si="52"/>
        <v>Colombia</v>
      </c>
      <c r="F426" s="13" t="str">
        <f t="shared" si="54"/>
        <v>Biomass &amp; Waste</v>
      </c>
      <c r="G426" s="13" t="str">
        <f t="shared" si="55"/>
        <v>Asset finance investments</v>
      </c>
      <c r="H426" s="638">
        <f t="shared" si="53"/>
        <v>60.735999999999997</v>
      </c>
      <c r="I426" s="24" t="s">
        <v>506</v>
      </c>
      <c r="J426" s="25" t="s">
        <v>246</v>
      </c>
      <c r="K426" s="25" t="s">
        <v>2174</v>
      </c>
      <c r="L426" s="25" t="s">
        <v>871</v>
      </c>
      <c r="M426" s="25" t="s">
        <v>9</v>
      </c>
      <c r="N426" s="25" t="s">
        <v>85</v>
      </c>
      <c r="O426" s="25" t="s">
        <v>92</v>
      </c>
      <c r="P426" s="25" t="s">
        <v>83</v>
      </c>
      <c r="Q426" s="25" t="s">
        <v>82</v>
      </c>
      <c r="R426" s="25"/>
      <c r="S426" s="25" t="s">
        <v>114</v>
      </c>
      <c r="T426" s="25" t="s">
        <v>114</v>
      </c>
      <c r="U426" s="25" t="s">
        <v>113</v>
      </c>
      <c r="V426" s="25" t="s">
        <v>347</v>
      </c>
      <c r="W426" s="25" t="s">
        <v>553</v>
      </c>
      <c r="X426" s="25" t="s">
        <v>1752</v>
      </c>
      <c r="Y426" s="25" t="s">
        <v>1753</v>
      </c>
      <c r="Z426" s="26">
        <v>40130</v>
      </c>
      <c r="AA426" s="776">
        <v>40</v>
      </c>
      <c r="AB426" s="776">
        <v>76</v>
      </c>
      <c r="AC426" s="776">
        <v>0</v>
      </c>
      <c r="AD426" s="776">
        <v>0</v>
      </c>
      <c r="AE426" s="777">
        <v>58.4</v>
      </c>
      <c r="AF426" s="777">
        <v>58.4</v>
      </c>
      <c r="AG426" s="778">
        <v>60.735999999999997</v>
      </c>
    </row>
    <row r="427" spans="1:33" x14ac:dyDescent="0.2">
      <c r="A427" s="15">
        <f t="shared" si="48"/>
        <v>2009</v>
      </c>
      <c r="B427" s="14">
        <f t="shared" si="49"/>
        <v>12</v>
      </c>
      <c r="C427" s="13" t="str">
        <f t="shared" si="50"/>
        <v>Q4</v>
      </c>
      <c r="D427" s="13" t="str">
        <f t="shared" si="51"/>
        <v>2009Q4</v>
      </c>
      <c r="E427" s="13" t="str">
        <f t="shared" si="52"/>
        <v>Brazil</v>
      </c>
      <c r="F427" s="13" t="str">
        <f t="shared" si="54"/>
        <v>Biomass &amp; Waste</v>
      </c>
      <c r="G427" s="13" t="str">
        <f t="shared" si="55"/>
        <v>Asset finance investments</v>
      </c>
      <c r="H427" s="638">
        <f t="shared" si="53"/>
        <v>59.176000000000002</v>
      </c>
      <c r="I427" s="24" t="s">
        <v>506</v>
      </c>
      <c r="J427" s="25" t="s">
        <v>246</v>
      </c>
      <c r="K427" s="25" t="s">
        <v>2175</v>
      </c>
      <c r="L427" s="25" t="s">
        <v>1079</v>
      </c>
      <c r="M427" s="25" t="s">
        <v>31</v>
      </c>
      <c r="N427" s="25" t="s">
        <v>31</v>
      </c>
      <c r="O427" s="25" t="s">
        <v>92</v>
      </c>
      <c r="P427" s="25" t="s">
        <v>83</v>
      </c>
      <c r="Q427" s="25" t="s">
        <v>82</v>
      </c>
      <c r="R427" s="25" t="s">
        <v>91</v>
      </c>
      <c r="S427" s="25" t="s">
        <v>114</v>
      </c>
      <c r="T427" s="25" t="s">
        <v>114</v>
      </c>
      <c r="U427" s="25" t="s">
        <v>113</v>
      </c>
      <c r="V427" s="25" t="s">
        <v>347</v>
      </c>
      <c r="W427" s="25" t="s">
        <v>553</v>
      </c>
      <c r="X427" s="25" t="s">
        <v>1749</v>
      </c>
      <c r="Y427" s="25" t="s">
        <v>1750</v>
      </c>
      <c r="Z427" s="26">
        <v>40163</v>
      </c>
      <c r="AA427" s="776">
        <v>30</v>
      </c>
      <c r="AB427" s="776">
        <v>0</v>
      </c>
      <c r="AC427" s="776">
        <v>0</v>
      </c>
      <c r="AD427" s="776">
        <v>0</v>
      </c>
      <c r="AE427" s="777">
        <v>56.9</v>
      </c>
      <c r="AF427" s="777">
        <v>56.9</v>
      </c>
      <c r="AG427" s="778">
        <v>59.176000000000002</v>
      </c>
    </row>
    <row r="428" spans="1:33" x14ac:dyDescent="0.2">
      <c r="A428" s="15">
        <f t="shared" si="48"/>
        <v>2009</v>
      </c>
      <c r="B428" s="14">
        <f t="shared" si="49"/>
        <v>10</v>
      </c>
      <c r="C428" s="13" t="str">
        <f t="shared" si="50"/>
        <v>Q4</v>
      </c>
      <c r="D428" s="13" t="str">
        <f t="shared" si="51"/>
        <v>2009Q4</v>
      </c>
      <c r="E428" s="13" t="str">
        <f t="shared" si="52"/>
        <v>Brazil</v>
      </c>
      <c r="F428" s="13" t="str">
        <f t="shared" si="54"/>
        <v>Small Hydro</v>
      </c>
      <c r="G428" s="13" t="str">
        <f t="shared" si="55"/>
        <v>Asset finance investments</v>
      </c>
      <c r="H428" s="638">
        <f t="shared" si="53"/>
        <v>54.808000000000007</v>
      </c>
      <c r="I428" s="24" t="s">
        <v>506</v>
      </c>
      <c r="J428" s="25" t="s">
        <v>246</v>
      </c>
      <c r="K428" s="25" t="s">
        <v>2176</v>
      </c>
      <c r="L428" s="25" t="s">
        <v>863</v>
      </c>
      <c r="M428" s="25" t="s">
        <v>31</v>
      </c>
      <c r="N428" s="25" t="s">
        <v>31</v>
      </c>
      <c r="O428" s="25" t="s">
        <v>92</v>
      </c>
      <c r="P428" s="25" t="s">
        <v>83</v>
      </c>
      <c r="Q428" s="25" t="s">
        <v>82</v>
      </c>
      <c r="R428" s="25" t="s">
        <v>91</v>
      </c>
      <c r="S428" s="25" t="s">
        <v>126</v>
      </c>
      <c r="T428" s="25" t="s">
        <v>125</v>
      </c>
      <c r="U428" s="25" t="s">
        <v>247</v>
      </c>
      <c r="V428" s="25">
        <v>0</v>
      </c>
      <c r="W428" s="25" t="s">
        <v>553</v>
      </c>
      <c r="X428" s="25" t="s">
        <v>1749</v>
      </c>
      <c r="Y428" s="25" t="s">
        <v>1750</v>
      </c>
      <c r="Z428" s="26">
        <v>40105</v>
      </c>
      <c r="AA428" s="776">
        <v>21</v>
      </c>
      <c r="AB428" s="776">
        <v>0</v>
      </c>
      <c r="AC428" s="776">
        <v>0</v>
      </c>
      <c r="AD428" s="776">
        <v>0</v>
      </c>
      <c r="AE428" s="777">
        <v>52.7</v>
      </c>
      <c r="AF428" s="777">
        <v>52.7</v>
      </c>
      <c r="AG428" s="778">
        <v>54.808000000000007</v>
      </c>
    </row>
    <row r="429" spans="1:33" x14ac:dyDescent="0.2">
      <c r="A429" s="15">
        <f t="shared" si="48"/>
        <v>2009</v>
      </c>
      <c r="B429" s="14">
        <f t="shared" si="49"/>
        <v>12</v>
      </c>
      <c r="C429" s="13" t="str">
        <f t="shared" si="50"/>
        <v>Q4</v>
      </c>
      <c r="D429" s="13" t="str">
        <f t="shared" si="51"/>
        <v>2009Q4</v>
      </c>
      <c r="E429" s="13" t="str">
        <f t="shared" si="52"/>
        <v>Colombia</v>
      </c>
      <c r="F429" s="13" t="str">
        <f t="shared" si="54"/>
        <v>Small Hydro</v>
      </c>
      <c r="G429" s="13" t="str">
        <f t="shared" si="55"/>
        <v>Asset finance investments</v>
      </c>
      <c r="H429" s="638">
        <f t="shared" si="53"/>
        <v>51.792000000000002</v>
      </c>
      <c r="I429" s="24" t="s">
        <v>506</v>
      </c>
      <c r="J429" s="25" t="s">
        <v>246</v>
      </c>
      <c r="K429" s="25" t="s">
        <v>2177</v>
      </c>
      <c r="L429" s="25" t="s">
        <v>822</v>
      </c>
      <c r="M429" s="25" t="s">
        <v>9</v>
      </c>
      <c r="N429" s="25" t="s">
        <v>85</v>
      </c>
      <c r="O429" s="25" t="s">
        <v>92</v>
      </c>
      <c r="P429" s="25" t="s">
        <v>83</v>
      </c>
      <c r="Q429" s="25" t="s">
        <v>82</v>
      </c>
      <c r="R429" s="25"/>
      <c r="S429" s="25" t="s">
        <v>126</v>
      </c>
      <c r="T429" s="25" t="s">
        <v>125</v>
      </c>
      <c r="U429" s="25" t="s">
        <v>247</v>
      </c>
      <c r="V429" s="25">
        <v>0</v>
      </c>
      <c r="W429" s="25" t="s">
        <v>553</v>
      </c>
      <c r="X429" s="25" t="s">
        <v>1752</v>
      </c>
      <c r="Y429" s="25" t="s">
        <v>1753</v>
      </c>
      <c r="Z429" s="26">
        <v>40178</v>
      </c>
      <c r="AA429" s="776">
        <v>19.899999999999999</v>
      </c>
      <c r="AB429" s="776">
        <v>0</v>
      </c>
      <c r="AC429" s="776">
        <v>0</v>
      </c>
      <c r="AD429" s="776">
        <v>0</v>
      </c>
      <c r="AE429" s="777">
        <v>0</v>
      </c>
      <c r="AF429" s="777">
        <v>49.8</v>
      </c>
      <c r="AG429" s="778">
        <v>51.792000000000002</v>
      </c>
    </row>
    <row r="430" spans="1:33" x14ac:dyDescent="0.2">
      <c r="A430" s="15">
        <f t="shared" si="48"/>
        <v>2009</v>
      </c>
      <c r="B430" s="14">
        <f t="shared" si="49"/>
        <v>10</v>
      </c>
      <c r="C430" s="13" t="str">
        <f t="shared" si="50"/>
        <v>Q4</v>
      </c>
      <c r="D430" s="13" t="str">
        <f t="shared" si="51"/>
        <v>2009Q4</v>
      </c>
      <c r="E430" s="13" t="str">
        <f t="shared" si="52"/>
        <v>Chile</v>
      </c>
      <c r="F430" s="13" t="str">
        <f t="shared" si="54"/>
        <v>Small Hydro</v>
      </c>
      <c r="G430" s="13" t="str">
        <f t="shared" si="55"/>
        <v>Asset finance investments</v>
      </c>
      <c r="H430" s="638">
        <f t="shared" si="53"/>
        <v>43.68</v>
      </c>
      <c r="I430" s="24" t="s">
        <v>506</v>
      </c>
      <c r="J430" s="25" t="s">
        <v>246</v>
      </c>
      <c r="K430" s="25" t="s">
        <v>2178</v>
      </c>
      <c r="L430" s="25" t="s">
        <v>1054</v>
      </c>
      <c r="M430" s="25" t="s">
        <v>8</v>
      </c>
      <c r="N430" s="25" t="s">
        <v>85</v>
      </c>
      <c r="O430" s="25" t="s">
        <v>92</v>
      </c>
      <c r="P430" s="25" t="s">
        <v>83</v>
      </c>
      <c r="Q430" s="25" t="s">
        <v>129</v>
      </c>
      <c r="R430" s="25"/>
      <c r="S430" s="25" t="s">
        <v>126</v>
      </c>
      <c r="T430" s="25" t="s">
        <v>125</v>
      </c>
      <c r="U430" s="25" t="s">
        <v>247</v>
      </c>
      <c r="V430" s="25">
        <v>0</v>
      </c>
      <c r="W430" s="25" t="s">
        <v>553</v>
      </c>
      <c r="X430" s="25" t="s">
        <v>1752</v>
      </c>
      <c r="Y430" s="25" t="s">
        <v>1753</v>
      </c>
      <c r="Z430" s="26">
        <v>40117</v>
      </c>
      <c r="AA430" s="776">
        <v>36</v>
      </c>
      <c r="AB430" s="776">
        <v>0</v>
      </c>
      <c r="AC430" s="776">
        <v>0</v>
      </c>
      <c r="AD430" s="776">
        <v>0</v>
      </c>
      <c r="AE430" s="777">
        <v>42</v>
      </c>
      <c r="AF430" s="777">
        <v>42</v>
      </c>
      <c r="AG430" s="778">
        <v>43.68</v>
      </c>
    </row>
    <row r="431" spans="1:33" x14ac:dyDescent="0.2">
      <c r="A431" s="15">
        <f t="shared" si="48"/>
        <v>2009</v>
      </c>
      <c r="B431" s="14">
        <f t="shared" si="49"/>
        <v>12</v>
      </c>
      <c r="C431" s="13" t="str">
        <f t="shared" si="50"/>
        <v>Q4</v>
      </c>
      <c r="D431" s="13" t="str">
        <f t="shared" si="51"/>
        <v>2009Q4</v>
      </c>
      <c r="E431" s="13" t="str">
        <f t="shared" si="52"/>
        <v>Guatemala</v>
      </c>
      <c r="F431" s="13" t="str">
        <f t="shared" si="54"/>
        <v>Biofuels</v>
      </c>
      <c r="G431" s="13" t="str">
        <f t="shared" si="55"/>
        <v>Asset finance investments</v>
      </c>
      <c r="H431" s="638">
        <f t="shared" si="53"/>
        <v>41.6</v>
      </c>
      <c r="I431" s="24" t="s">
        <v>506</v>
      </c>
      <c r="J431" s="25" t="s">
        <v>246</v>
      </c>
      <c r="K431" s="25" t="s">
        <v>2179</v>
      </c>
      <c r="L431" s="25" t="s">
        <v>2180</v>
      </c>
      <c r="M431" s="25" t="s">
        <v>13</v>
      </c>
      <c r="N431" s="25" t="s">
        <v>85</v>
      </c>
      <c r="O431" s="25" t="s">
        <v>92</v>
      </c>
      <c r="P431" s="25" t="s">
        <v>83</v>
      </c>
      <c r="Q431" s="25" t="s">
        <v>82</v>
      </c>
      <c r="R431" s="25"/>
      <c r="S431" s="25" t="s">
        <v>96</v>
      </c>
      <c r="T431" s="25" t="s">
        <v>96</v>
      </c>
      <c r="U431" s="25" t="s">
        <v>98</v>
      </c>
      <c r="V431" s="25" t="s">
        <v>230</v>
      </c>
      <c r="W431" s="25" t="s">
        <v>553</v>
      </c>
      <c r="X431" s="25" t="s">
        <v>1752</v>
      </c>
      <c r="Y431" s="25" t="s">
        <v>1753</v>
      </c>
      <c r="Z431" s="26">
        <v>40178</v>
      </c>
      <c r="AA431" s="776">
        <v>0</v>
      </c>
      <c r="AB431" s="776">
        <v>80</v>
      </c>
      <c r="AC431" s="776">
        <v>0</v>
      </c>
      <c r="AD431" s="776">
        <v>0</v>
      </c>
      <c r="AE431" s="777">
        <v>0</v>
      </c>
      <c r="AF431" s="777">
        <v>40</v>
      </c>
      <c r="AG431" s="778">
        <v>41.6</v>
      </c>
    </row>
    <row r="432" spans="1:33" x14ac:dyDescent="0.2">
      <c r="A432" s="15">
        <f t="shared" si="48"/>
        <v>2009</v>
      </c>
      <c r="B432" s="14">
        <f t="shared" si="49"/>
        <v>12</v>
      </c>
      <c r="C432" s="13" t="str">
        <f t="shared" si="50"/>
        <v>Q4</v>
      </c>
      <c r="D432" s="13" t="str">
        <f t="shared" si="51"/>
        <v>2009Q4</v>
      </c>
      <c r="E432" s="13" t="str">
        <f t="shared" si="52"/>
        <v>Brazil</v>
      </c>
      <c r="F432" s="13" t="str">
        <f t="shared" si="54"/>
        <v>Biofuels</v>
      </c>
      <c r="G432" s="13" t="str">
        <f t="shared" si="55"/>
        <v>Asset finance investments</v>
      </c>
      <c r="H432" s="638">
        <f t="shared" si="53"/>
        <v>30.0352</v>
      </c>
      <c r="I432" s="24" t="s">
        <v>506</v>
      </c>
      <c r="J432" s="25" t="s">
        <v>246</v>
      </c>
      <c r="K432" s="25" t="s">
        <v>2181</v>
      </c>
      <c r="L432" s="25" t="s">
        <v>2182</v>
      </c>
      <c r="M432" s="25" t="s">
        <v>31</v>
      </c>
      <c r="N432" s="25" t="s">
        <v>31</v>
      </c>
      <c r="O432" s="25" t="s">
        <v>92</v>
      </c>
      <c r="P432" s="25" t="s">
        <v>83</v>
      </c>
      <c r="Q432" s="25" t="s">
        <v>82</v>
      </c>
      <c r="R432" s="25" t="s">
        <v>91</v>
      </c>
      <c r="S432" s="25" t="s">
        <v>96</v>
      </c>
      <c r="T432" s="25" t="s">
        <v>96</v>
      </c>
      <c r="U432" s="25" t="s">
        <v>95</v>
      </c>
      <c r="V432" s="25" t="s">
        <v>223</v>
      </c>
      <c r="W432" s="25" t="s">
        <v>553</v>
      </c>
      <c r="X432" s="25" t="s">
        <v>1752</v>
      </c>
      <c r="Y432" s="25" t="s">
        <v>1753</v>
      </c>
      <c r="Z432" s="26">
        <v>40156</v>
      </c>
      <c r="AA432" s="776">
        <v>0</v>
      </c>
      <c r="AB432" s="776">
        <v>76</v>
      </c>
      <c r="AC432" s="776">
        <v>0</v>
      </c>
      <c r="AD432" s="776">
        <v>0</v>
      </c>
      <c r="AE432" s="777">
        <v>0</v>
      </c>
      <c r="AF432" s="777">
        <v>28.88</v>
      </c>
      <c r="AG432" s="778">
        <v>30.0352</v>
      </c>
    </row>
    <row r="433" spans="1:33" x14ac:dyDescent="0.2">
      <c r="A433" s="15">
        <f t="shared" si="48"/>
        <v>2009</v>
      </c>
      <c r="B433" s="14">
        <f t="shared" si="49"/>
        <v>10</v>
      </c>
      <c r="C433" s="13" t="str">
        <f t="shared" si="50"/>
        <v>Q4</v>
      </c>
      <c r="D433" s="13" t="str">
        <f t="shared" si="51"/>
        <v>2009Q4</v>
      </c>
      <c r="E433" s="13" t="str">
        <f t="shared" si="52"/>
        <v>Brazil</v>
      </c>
      <c r="F433" s="13" t="str">
        <f t="shared" si="54"/>
        <v>Biomass &amp; Waste</v>
      </c>
      <c r="G433" s="13" t="str">
        <f t="shared" si="55"/>
        <v>Asset finance investments</v>
      </c>
      <c r="H433" s="638">
        <f t="shared" si="53"/>
        <v>29.972800000000003</v>
      </c>
      <c r="I433" s="24" t="s">
        <v>506</v>
      </c>
      <c r="J433" s="25" t="s">
        <v>246</v>
      </c>
      <c r="K433" s="25" t="s">
        <v>2183</v>
      </c>
      <c r="L433" s="25" t="s">
        <v>886</v>
      </c>
      <c r="M433" s="25" t="s">
        <v>31</v>
      </c>
      <c r="N433" s="25" t="s">
        <v>31</v>
      </c>
      <c r="O433" s="25" t="s">
        <v>92</v>
      </c>
      <c r="P433" s="25" t="s">
        <v>83</v>
      </c>
      <c r="Q433" s="25" t="s">
        <v>82</v>
      </c>
      <c r="R433" s="25" t="s">
        <v>91</v>
      </c>
      <c r="S433" s="25" t="s">
        <v>114</v>
      </c>
      <c r="T433" s="25" t="s">
        <v>114</v>
      </c>
      <c r="U433" s="25" t="s">
        <v>113</v>
      </c>
      <c r="V433" s="25" t="s">
        <v>347</v>
      </c>
      <c r="W433" s="25" t="s">
        <v>553</v>
      </c>
      <c r="X433" s="25" t="s">
        <v>1749</v>
      </c>
      <c r="Y433" s="25" t="s">
        <v>1750</v>
      </c>
      <c r="Z433" s="26">
        <v>40099</v>
      </c>
      <c r="AA433" s="776">
        <v>41</v>
      </c>
      <c r="AB433" s="776">
        <v>0</v>
      </c>
      <c r="AC433" s="776">
        <v>0</v>
      </c>
      <c r="AD433" s="776">
        <v>0</v>
      </c>
      <c r="AE433" s="777">
        <v>28.82</v>
      </c>
      <c r="AF433" s="777">
        <v>28.82</v>
      </c>
      <c r="AG433" s="778">
        <v>29.972800000000003</v>
      </c>
    </row>
    <row r="434" spans="1:33" x14ac:dyDescent="0.2">
      <c r="A434" s="15">
        <f t="shared" si="48"/>
        <v>2009</v>
      </c>
      <c r="B434" s="14">
        <f t="shared" si="49"/>
        <v>11</v>
      </c>
      <c r="C434" s="13" t="str">
        <f t="shared" si="50"/>
        <v>Q4</v>
      </c>
      <c r="D434" s="13" t="str">
        <f t="shared" si="51"/>
        <v>2009Q4</v>
      </c>
      <c r="E434" s="13" t="str">
        <f t="shared" si="52"/>
        <v>Chile</v>
      </c>
      <c r="F434" s="13" t="str">
        <f t="shared" si="54"/>
        <v>Biomass &amp; Waste</v>
      </c>
      <c r="G434" s="13" t="str">
        <f t="shared" si="55"/>
        <v>Asset finance investments</v>
      </c>
      <c r="H434" s="638">
        <f t="shared" si="53"/>
        <v>29.847999999999999</v>
      </c>
      <c r="I434" s="24" t="s">
        <v>506</v>
      </c>
      <c r="J434" s="25" t="s">
        <v>246</v>
      </c>
      <c r="K434" s="25" t="s">
        <v>2184</v>
      </c>
      <c r="L434" s="25" t="s">
        <v>2185</v>
      </c>
      <c r="M434" s="25" t="s">
        <v>8</v>
      </c>
      <c r="N434" s="25" t="s">
        <v>85</v>
      </c>
      <c r="O434" s="25" t="s">
        <v>92</v>
      </c>
      <c r="P434" s="25" t="s">
        <v>83</v>
      </c>
      <c r="Q434" s="25" t="s">
        <v>129</v>
      </c>
      <c r="R434" s="25"/>
      <c r="S434" s="25" t="s">
        <v>114</v>
      </c>
      <c r="T434" s="25" t="s">
        <v>114</v>
      </c>
      <c r="U434" s="25" t="s">
        <v>113</v>
      </c>
      <c r="V434" s="25" t="s">
        <v>722</v>
      </c>
      <c r="W434" s="25" t="s">
        <v>553</v>
      </c>
      <c r="X434" s="25" t="s">
        <v>1752</v>
      </c>
      <c r="Y434" s="25" t="s">
        <v>1753</v>
      </c>
      <c r="Z434" s="26">
        <v>40147</v>
      </c>
      <c r="AA434" s="776">
        <v>9.8000000000000007</v>
      </c>
      <c r="AB434" s="776">
        <v>0</v>
      </c>
      <c r="AC434" s="776">
        <v>0</v>
      </c>
      <c r="AD434" s="776">
        <v>0</v>
      </c>
      <c r="AE434" s="777">
        <v>28.7</v>
      </c>
      <c r="AF434" s="777">
        <v>28.7</v>
      </c>
      <c r="AG434" s="778">
        <v>29.847999999999999</v>
      </c>
    </row>
    <row r="435" spans="1:33" x14ac:dyDescent="0.2">
      <c r="A435" s="15">
        <f t="shared" si="48"/>
        <v>2009</v>
      </c>
      <c r="B435" s="14">
        <f t="shared" si="49"/>
        <v>12</v>
      </c>
      <c r="C435" s="13" t="str">
        <f t="shared" si="50"/>
        <v>Q4</v>
      </c>
      <c r="D435" s="13" t="str">
        <f t="shared" si="51"/>
        <v>2009Q4</v>
      </c>
      <c r="E435" s="13" t="str">
        <f t="shared" si="52"/>
        <v>Brazil</v>
      </c>
      <c r="F435" s="13" t="str">
        <f t="shared" si="54"/>
        <v>Small Hydro</v>
      </c>
      <c r="G435" s="13" t="str">
        <f t="shared" si="55"/>
        <v>Asset finance investments</v>
      </c>
      <c r="H435" s="638">
        <f t="shared" si="53"/>
        <v>25.272000000000002</v>
      </c>
      <c r="I435" s="24" t="s">
        <v>506</v>
      </c>
      <c r="J435" s="25" t="s">
        <v>246</v>
      </c>
      <c r="K435" s="25" t="s">
        <v>2186</v>
      </c>
      <c r="L435" s="25" t="s">
        <v>946</v>
      </c>
      <c r="M435" s="25" t="s">
        <v>31</v>
      </c>
      <c r="N435" s="25" t="s">
        <v>31</v>
      </c>
      <c r="O435" s="25" t="s">
        <v>92</v>
      </c>
      <c r="P435" s="25" t="s">
        <v>83</v>
      </c>
      <c r="Q435" s="25" t="s">
        <v>82</v>
      </c>
      <c r="R435" s="25" t="s">
        <v>91</v>
      </c>
      <c r="S435" s="25" t="s">
        <v>126</v>
      </c>
      <c r="T435" s="25" t="s">
        <v>125</v>
      </c>
      <c r="U435" s="25" t="s">
        <v>342</v>
      </c>
      <c r="V435" s="25">
        <v>0</v>
      </c>
      <c r="W435" s="25" t="s">
        <v>553</v>
      </c>
      <c r="X435" s="25" t="s">
        <v>1752</v>
      </c>
      <c r="Y435" s="25" t="s">
        <v>1753</v>
      </c>
      <c r="Z435" s="26">
        <v>40156</v>
      </c>
      <c r="AA435" s="776">
        <v>15</v>
      </c>
      <c r="AB435" s="776">
        <v>0</v>
      </c>
      <c r="AC435" s="776">
        <v>0</v>
      </c>
      <c r="AD435" s="776">
        <v>0</v>
      </c>
      <c r="AE435" s="777">
        <v>24.3</v>
      </c>
      <c r="AF435" s="777">
        <v>24.3</v>
      </c>
      <c r="AG435" s="778">
        <v>25.272000000000002</v>
      </c>
    </row>
    <row r="436" spans="1:33" x14ac:dyDescent="0.2">
      <c r="A436" s="15">
        <f t="shared" si="48"/>
        <v>2009</v>
      </c>
      <c r="B436" s="14">
        <f t="shared" si="49"/>
        <v>11</v>
      </c>
      <c r="C436" s="13" t="str">
        <f t="shared" si="50"/>
        <v>Q4</v>
      </c>
      <c r="D436" s="13" t="str">
        <f t="shared" si="51"/>
        <v>2009Q4</v>
      </c>
      <c r="E436" s="13" t="str">
        <f t="shared" si="52"/>
        <v>Chile</v>
      </c>
      <c r="F436" s="13" t="str">
        <f t="shared" si="54"/>
        <v>Small Hydro</v>
      </c>
      <c r="G436" s="13" t="str">
        <f t="shared" si="55"/>
        <v>Asset finance investments</v>
      </c>
      <c r="H436" s="638">
        <f t="shared" si="53"/>
        <v>22.36</v>
      </c>
      <c r="I436" s="24" t="s">
        <v>506</v>
      </c>
      <c r="J436" s="25" t="s">
        <v>246</v>
      </c>
      <c r="K436" s="25" t="s">
        <v>2187</v>
      </c>
      <c r="L436" s="25" t="s">
        <v>867</v>
      </c>
      <c r="M436" s="25" t="s">
        <v>8</v>
      </c>
      <c r="N436" s="25" t="s">
        <v>85</v>
      </c>
      <c r="O436" s="25" t="s">
        <v>92</v>
      </c>
      <c r="P436" s="25" t="s">
        <v>83</v>
      </c>
      <c r="Q436" s="25" t="s">
        <v>129</v>
      </c>
      <c r="R436" s="25"/>
      <c r="S436" s="25" t="s">
        <v>126</v>
      </c>
      <c r="T436" s="25" t="s">
        <v>125</v>
      </c>
      <c r="U436" s="25" t="s">
        <v>247</v>
      </c>
      <c r="V436" s="25">
        <v>0</v>
      </c>
      <c r="W436" s="25" t="s">
        <v>553</v>
      </c>
      <c r="X436" s="25" t="s">
        <v>1749</v>
      </c>
      <c r="Y436" s="25" t="s">
        <v>1750</v>
      </c>
      <c r="Z436" s="26">
        <v>40147</v>
      </c>
      <c r="AA436" s="776">
        <v>6</v>
      </c>
      <c r="AB436" s="776">
        <v>0</v>
      </c>
      <c r="AC436" s="776">
        <v>0</v>
      </c>
      <c r="AD436" s="776">
        <v>0</v>
      </c>
      <c r="AE436" s="777">
        <v>21.5</v>
      </c>
      <c r="AF436" s="777">
        <v>21.5</v>
      </c>
      <c r="AG436" s="778">
        <v>22.36</v>
      </c>
    </row>
    <row r="437" spans="1:33" x14ac:dyDescent="0.2">
      <c r="A437" s="15">
        <f t="shared" si="48"/>
        <v>2009</v>
      </c>
      <c r="B437" s="14">
        <f t="shared" si="49"/>
        <v>12</v>
      </c>
      <c r="C437" s="13" t="str">
        <f t="shared" si="50"/>
        <v>Q4</v>
      </c>
      <c r="D437" s="13" t="str">
        <f t="shared" si="51"/>
        <v>2009Q4</v>
      </c>
      <c r="E437" s="13" t="str">
        <f t="shared" si="52"/>
        <v>Brazil</v>
      </c>
      <c r="F437" s="13" t="str">
        <f t="shared" si="54"/>
        <v>Biofuels</v>
      </c>
      <c r="G437" s="13" t="str">
        <f t="shared" si="55"/>
        <v>Asset finance investments</v>
      </c>
      <c r="H437" s="638">
        <f t="shared" si="53"/>
        <v>20.8</v>
      </c>
      <c r="I437" s="24" t="s">
        <v>506</v>
      </c>
      <c r="J437" s="25" t="s">
        <v>246</v>
      </c>
      <c r="K437" s="25" t="s">
        <v>2188</v>
      </c>
      <c r="L437" s="25" t="s">
        <v>866</v>
      </c>
      <c r="M437" s="25" t="s">
        <v>31</v>
      </c>
      <c r="N437" s="25" t="s">
        <v>31</v>
      </c>
      <c r="O437" s="25" t="s">
        <v>92</v>
      </c>
      <c r="P437" s="25" t="s">
        <v>83</v>
      </c>
      <c r="Q437" s="25" t="s">
        <v>82</v>
      </c>
      <c r="R437" s="25" t="s">
        <v>91</v>
      </c>
      <c r="S437" s="25" t="s">
        <v>96</v>
      </c>
      <c r="T437" s="25" t="s">
        <v>96</v>
      </c>
      <c r="U437" s="25" t="s">
        <v>98</v>
      </c>
      <c r="V437" s="25" t="s">
        <v>230</v>
      </c>
      <c r="W437" s="25" t="s">
        <v>553</v>
      </c>
      <c r="X437" s="25" t="s">
        <v>1752</v>
      </c>
      <c r="Y437" s="25" t="s">
        <v>1753</v>
      </c>
      <c r="Z437" s="26">
        <v>40164</v>
      </c>
      <c r="AA437" s="776">
        <v>34.1</v>
      </c>
      <c r="AB437" s="776">
        <v>50.6</v>
      </c>
      <c r="AC437" s="776">
        <v>0</v>
      </c>
      <c r="AD437" s="776">
        <v>0</v>
      </c>
      <c r="AE437" s="777">
        <v>0</v>
      </c>
      <c r="AF437" s="777">
        <v>20</v>
      </c>
      <c r="AG437" s="778">
        <v>20.8</v>
      </c>
    </row>
    <row r="438" spans="1:33" x14ac:dyDescent="0.2">
      <c r="A438" s="15">
        <f t="shared" si="48"/>
        <v>2009</v>
      </c>
      <c r="B438" s="14">
        <f t="shared" si="49"/>
        <v>10</v>
      </c>
      <c r="C438" s="13" t="str">
        <f t="shared" si="50"/>
        <v>Q4</v>
      </c>
      <c r="D438" s="13" t="str">
        <f t="shared" si="51"/>
        <v>2009Q4</v>
      </c>
      <c r="E438" s="13" t="str">
        <f t="shared" si="52"/>
        <v>Brazil</v>
      </c>
      <c r="F438" s="13" t="str">
        <f t="shared" si="54"/>
        <v>Biofuels</v>
      </c>
      <c r="G438" s="13" t="str">
        <f t="shared" si="55"/>
        <v>Asset finance investments</v>
      </c>
      <c r="H438" s="638">
        <f t="shared" si="53"/>
        <v>18.096</v>
      </c>
      <c r="I438" s="24" t="s">
        <v>506</v>
      </c>
      <c r="J438" s="25" t="s">
        <v>246</v>
      </c>
      <c r="K438" s="25" t="s">
        <v>392</v>
      </c>
      <c r="L438" s="25" t="s">
        <v>2189</v>
      </c>
      <c r="M438" s="25" t="s">
        <v>31</v>
      </c>
      <c r="N438" s="25" t="s">
        <v>31</v>
      </c>
      <c r="O438" s="25" t="s">
        <v>92</v>
      </c>
      <c r="P438" s="25" t="s">
        <v>83</v>
      </c>
      <c r="Q438" s="25" t="s">
        <v>82</v>
      </c>
      <c r="R438" s="25" t="s">
        <v>91</v>
      </c>
      <c r="S438" s="25" t="s">
        <v>96</v>
      </c>
      <c r="T438" s="25" t="s">
        <v>96</v>
      </c>
      <c r="U438" s="25" t="s">
        <v>98</v>
      </c>
      <c r="V438" s="25" t="s">
        <v>230</v>
      </c>
      <c r="W438" s="25" t="s">
        <v>553</v>
      </c>
      <c r="X438" s="25" t="s">
        <v>1749</v>
      </c>
      <c r="Y438" s="25" t="s">
        <v>1750</v>
      </c>
      <c r="Z438" s="26">
        <v>40116</v>
      </c>
      <c r="AA438" s="776">
        <v>76</v>
      </c>
      <c r="AB438" s="776">
        <v>90</v>
      </c>
      <c r="AC438" s="776">
        <v>0</v>
      </c>
      <c r="AD438" s="776">
        <v>0</v>
      </c>
      <c r="AE438" s="777">
        <v>17.399999999999999</v>
      </c>
      <c r="AF438" s="777">
        <v>17.399999999999999</v>
      </c>
      <c r="AG438" s="778">
        <v>18.096</v>
      </c>
    </row>
    <row r="439" spans="1:33" x14ac:dyDescent="0.2">
      <c r="A439" s="15">
        <f t="shared" si="48"/>
        <v>2009</v>
      </c>
      <c r="B439" s="14">
        <f t="shared" si="49"/>
        <v>11</v>
      </c>
      <c r="C439" s="13" t="str">
        <f t="shared" si="50"/>
        <v>Q4</v>
      </c>
      <c r="D439" s="13" t="str">
        <f t="shared" si="51"/>
        <v>2009Q4</v>
      </c>
      <c r="E439" s="13" t="str">
        <f t="shared" si="52"/>
        <v>Brazil</v>
      </c>
      <c r="F439" s="13" t="str">
        <f t="shared" si="54"/>
        <v>Small Hydro</v>
      </c>
      <c r="G439" s="13" t="str">
        <f t="shared" si="55"/>
        <v>Asset finance investments</v>
      </c>
      <c r="H439" s="638">
        <f t="shared" si="53"/>
        <v>17.420000000000002</v>
      </c>
      <c r="I439" s="24" t="s">
        <v>506</v>
      </c>
      <c r="J439" s="25" t="s">
        <v>246</v>
      </c>
      <c r="K439" s="25" t="s">
        <v>2190</v>
      </c>
      <c r="L439" s="25" t="s">
        <v>873</v>
      </c>
      <c r="M439" s="25" t="s">
        <v>31</v>
      </c>
      <c r="N439" s="25" t="s">
        <v>31</v>
      </c>
      <c r="O439" s="25" t="s">
        <v>92</v>
      </c>
      <c r="P439" s="25" t="s">
        <v>83</v>
      </c>
      <c r="Q439" s="25" t="s">
        <v>82</v>
      </c>
      <c r="R439" s="25" t="s">
        <v>91</v>
      </c>
      <c r="S439" s="25" t="s">
        <v>126</v>
      </c>
      <c r="T439" s="25" t="s">
        <v>125</v>
      </c>
      <c r="U439" s="25" t="s">
        <v>247</v>
      </c>
      <c r="V439" s="25">
        <v>0</v>
      </c>
      <c r="W439" s="25" t="s">
        <v>553</v>
      </c>
      <c r="X439" s="25" t="s">
        <v>1752</v>
      </c>
      <c r="Y439" s="25" t="s">
        <v>1753</v>
      </c>
      <c r="Z439" s="26">
        <v>40126</v>
      </c>
      <c r="AA439" s="776">
        <v>6.7</v>
      </c>
      <c r="AB439" s="776">
        <v>0</v>
      </c>
      <c r="AC439" s="776">
        <v>0</v>
      </c>
      <c r="AD439" s="776">
        <v>0</v>
      </c>
      <c r="AE439" s="777">
        <v>0</v>
      </c>
      <c r="AF439" s="777">
        <v>16.75</v>
      </c>
      <c r="AG439" s="778">
        <v>17.420000000000002</v>
      </c>
    </row>
    <row r="440" spans="1:33" x14ac:dyDescent="0.2">
      <c r="A440" s="15">
        <f t="shared" si="48"/>
        <v>2009</v>
      </c>
      <c r="B440" s="14">
        <f t="shared" si="49"/>
        <v>11</v>
      </c>
      <c r="C440" s="13" t="str">
        <f t="shared" si="50"/>
        <v>Q4</v>
      </c>
      <c r="D440" s="13" t="str">
        <f t="shared" si="51"/>
        <v>2009Q4</v>
      </c>
      <c r="E440" s="13" t="str">
        <f t="shared" si="52"/>
        <v>Brazil</v>
      </c>
      <c r="F440" s="13" t="str">
        <f t="shared" si="54"/>
        <v>Biofuels</v>
      </c>
      <c r="G440" s="13" t="str">
        <f t="shared" si="55"/>
        <v>Asset finance investments</v>
      </c>
      <c r="H440" s="638">
        <f t="shared" si="53"/>
        <v>14.664</v>
      </c>
      <c r="I440" s="24" t="s">
        <v>506</v>
      </c>
      <c r="J440" s="25" t="s">
        <v>246</v>
      </c>
      <c r="K440" s="25" t="s">
        <v>2191</v>
      </c>
      <c r="L440" s="25" t="s">
        <v>679</v>
      </c>
      <c r="M440" s="25" t="s">
        <v>31</v>
      </c>
      <c r="N440" s="25" t="s">
        <v>31</v>
      </c>
      <c r="O440" s="25" t="s">
        <v>92</v>
      </c>
      <c r="P440" s="25" t="s">
        <v>83</v>
      </c>
      <c r="Q440" s="25" t="s">
        <v>82</v>
      </c>
      <c r="R440" s="25" t="s">
        <v>91</v>
      </c>
      <c r="S440" s="25" t="s">
        <v>96</v>
      </c>
      <c r="T440" s="25" t="s">
        <v>96</v>
      </c>
      <c r="U440" s="25" t="s">
        <v>95</v>
      </c>
      <c r="V440" s="25" t="s">
        <v>223</v>
      </c>
      <c r="W440" s="25" t="s">
        <v>553</v>
      </c>
      <c r="X440" s="25" t="s">
        <v>1752</v>
      </c>
      <c r="Y440" s="25" t="s">
        <v>1753</v>
      </c>
      <c r="Z440" s="26">
        <v>40122</v>
      </c>
      <c r="AA440" s="776">
        <v>0</v>
      </c>
      <c r="AB440" s="776">
        <v>35.299999999999997</v>
      </c>
      <c r="AC440" s="776">
        <v>0</v>
      </c>
      <c r="AD440" s="776">
        <v>0</v>
      </c>
      <c r="AE440" s="777">
        <v>0</v>
      </c>
      <c r="AF440" s="777">
        <v>14.1</v>
      </c>
      <c r="AG440" s="778">
        <v>14.664</v>
      </c>
    </row>
    <row r="441" spans="1:33" x14ac:dyDescent="0.2">
      <c r="A441" s="15">
        <f t="shared" si="48"/>
        <v>2009</v>
      </c>
      <c r="B441" s="14">
        <f t="shared" si="49"/>
        <v>12</v>
      </c>
      <c r="C441" s="13" t="str">
        <f t="shared" si="50"/>
        <v>Q4</v>
      </c>
      <c r="D441" s="13" t="str">
        <f t="shared" si="51"/>
        <v>2009Q4</v>
      </c>
      <c r="E441" s="13" t="str">
        <f t="shared" si="52"/>
        <v>Chile</v>
      </c>
      <c r="F441" s="13" t="str">
        <f t="shared" si="54"/>
        <v>Small Hydro</v>
      </c>
      <c r="G441" s="13" t="str">
        <f t="shared" si="55"/>
        <v>Asset finance investments</v>
      </c>
      <c r="H441" s="638">
        <f t="shared" si="53"/>
        <v>8.32</v>
      </c>
      <c r="I441" s="24" t="s">
        <v>506</v>
      </c>
      <c r="J441" s="25" t="s">
        <v>246</v>
      </c>
      <c r="K441" s="25" t="s">
        <v>2192</v>
      </c>
      <c r="L441" s="25" t="s">
        <v>1051</v>
      </c>
      <c r="M441" s="25" t="s">
        <v>8</v>
      </c>
      <c r="N441" s="25" t="s">
        <v>85</v>
      </c>
      <c r="O441" s="25" t="s">
        <v>92</v>
      </c>
      <c r="P441" s="25" t="s">
        <v>83</v>
      </c>
      <c r="Q441" s="25" t="s">
        <v>129</v>
      </c>
      <c r="R441" s="25"/>
      <c r="S441" s="25" t="s">
        <v>126</v>
      </c>
      <c r="T441" s="25" t="s">
        <v>125</v>
      </c>
      <c r="U441" s="25" t="s">
        <v>247</v>
      </c>
      <c r="V441" s="25">
        <v>0</v>
      </c>
      <c r="W441" s="25" t="s">
        <v>553</v>
      </c>
      <c r="X441" s="25" t="s">
        <v>1749</v>
      </c>
      <c r="Y441" s="25" t="s">
        <v>1750</v>
      </c>
      <c r="Z441" s="26">
        <v>40156</v>
      </c>
      <c r="AA441" s="776">
        <v>4.5</v>
      </c>
      <c r="AB441" s="776">
        <v>0</v>
      </c>
      <c r="AC441" s="776">
        <v>0</v>
      </c>
      <c r="AD441" s="776">
        <v>0</v>
      </c>
      <c r="AE441" s="777">
        <v>8</v>
      </c>
      <c r="AF441" s="777">
        <v>8</v>
      </c>
      <c r="AG441" s="778">
        <v>8.32</v>
      </c>
    </row>
    <row r="442" spans="1:33" x14ac:dyDescent="0.2">
      <c r="A442" s="15">
        <f t="shared" si="48"/>
        <v>2009</v>
      </c>
      <c r="B442" s="14">
        <f t="shared" si="49"/>
        <v>12</v>
      </c>
      <c r="C442" s="13" t="str">
        <f t="shared" si="50"/>
        <v>Q4</v>
      </c>
      <c r="D442" s="13" t="str">
        <f t="shared" si="51"/>
        <v>2009Q4</v>
      </c>
      <c r="E442" s="13" t="str">
        <f t="shared" si="52"/>
        <v>Brazil</v>
      </c>
      <c r="F442" s="13" t="str">
        <f t="shared" si="54"/>
        <v>Biofuels</v>
      </c>
      <c r="G442" s="13" t="str">
        <f t="shared" si="55"/>
        <v>Asset finance investments</v>
      </c>
      <c r="H442" s="638">
        <f t="shared" si="53"/>
        <v>5.9280000000000008</v>
      </c>
      <c r="I442" s="24" t="s">
        <v>506</v>
      </c>
      <c r="J442" s="25" t="s">
        <v>246</v>
      </c>
      <c r="K442" s="25" t="s">
        <v>2193</v>
      </c>
      <c r="L442" s="25" t="s">
        <v>769</v>
      </c>
      <c r="M442" s="25" t="s">
        <v>31</v>
      </c>
      <c r="N442" s="25" t="s">
        <v>31</v>
      </c>
      <c r="O442" s="25" t="s">
        <v>92</v>
      </c>
      <c r="P442" s="25" t="s">
        <v>83</v>
      </c>
      <c r="Q442" s="25" t="s">
        <v>82</v>
      </c>
      <c r="R442" s="25" t="s">
        <v>91</v>
      </c>
      <c r="S442" s="25" t="s">
        <v>96</v>
      </c>
      <c r="T442" s="25" t="s">
        <v>96</v>
      </c>
      <c r="U442" s="25" t="s">
        <v>95</v>
      </c>
      <c r="V442" s="25" t="s">
        <v>223</v>
      </c>
      <c r="W442" s="25" t="s">
        <v>553</v>
      </c>
      <c r="X442" s="25" t="s">
        <v>1752</v>
      </c>
      <c r="Y442" s="25" t="s">
        <v>1753</v>
      </c>
      <c r="Z442" s="26">
        <v>40178</v>
      </c>
      <c r="AA442" s="776">
        <v>0</v>
      </c>
      <c r="AB442" s="776">
        <v>16.2</v>
      </c>
      <c r="AC442" s="776">
        <v>0</v>
      </c>
      <c r="AD442" s="776">
        <v>0</v>
      </c>
      <c r="AE442" s="777">
        <v>5.7</v>
      </c>
      <c r="AF442" s="777">
        <v>5.7</v>
      </c>
      <c r="AG442" s="778">
        <v>5.9280000000000008</v>
      </c>
    </row>
    <row r="443" spans="1:33" x14ac:dyDescent="0.2">
      <c r="A443" s="15">
        <f t="shared" si="48"/>
        <v>2009</v>
      </c>
      <c r="B443" s="14">
        <f t="shared" si="49"/>
        <v>10</v>
      </c>
      <c r="C443" s="13" t="str">
        <f t="shared" si="50"/>
        <v>Q4</v>
      </c>
      <c r="D443" s="13" t="str">
        <f t="shared" si="51"/>
        <v>2009Q4</v>
      </c>
      <c r="E443" s="13" t="str">
        <f t="shared" si="52"/>
        <v>Mexico</v>
      </c>
      <c r="F443" s="13" t="str">
        <f t="shared" si="54"/>
        <v>Solar</v>
      </c>
      <c r="G443" s="13" t="str">
        <f t="shared" si="55"/>
        <v>Asset finance investments</v>
      </c>
      <c r="H443" s="638">
        <f t="shared" si="53"/>
        <v>5.3872</v>
      </c>
      <c r="I443" s="24" t="s">
        <v>506</v>
      </c>
      <c r="J443" s="25" t="s">
        <v>246</v>
      </c>
      <c r="K443" s="25" t="s">
        <v>2194</v>
      </c>
      <c r="L443" s="25" t="s">
        <v>2195</v>
      </c>
      <c r="M443" s="25" t="s">
        <v>18</v>
      </c>
      <c r="N443" s="25" t="s">
        <v>85</v>
      </c>
      <c r="O443" s="25" t="s">
        <v>92</v>
      </c>
      <c r="P443" s="25" t="s">
        <v>83</v>
      </c>
      <c r="Q443" s="25" t="s">
        <v>129</v>
      </c>
      <c r="R443" s="25"/>
      <c r="S443" s="25" t="s">
        <v>80</v>
      </c>
      <c r="T443" s="25" t="s">
        <v>80</v>
      </c>
      <c r="U443" s="25" t="s">
        <v>181</v>
      </c>
      <c r="V443" s="25" t="s">
        <v>232</v>
      </c>
      <c r="W443" s="25" t="s">
        <v>553</v>
      </c>
      <c r="X443" s="25" t="s">
        <v>1752</v>
      </c>
      <c r="Y443" s="25" t="s">
        <v>1753</v>
      </c>
      <c r="Z443" s="26">
        <v>40087</v>
      </c>
      <c r="AA443" s="776">
        <v>1</v>
      </c>
      <c r="AB443" s="776">
        <v>0</v>
      </c>
      <c r="AC443" s="776">
        <v>0</v>
      </c>
      <c r="AD443" s="776">
        <v>0</v>
      </c>
      <c r="AE443" s="777">
        <v>0</v>
      </c>
      <c r="AF443" s="777">
        <v>5.18</v>
      </c>
      <c r="AG443" s="778">
        <v>5.3872</v>
      </c>
    </row>
    <row r="444" spans="1:33" x14ac:dyDescent="0.2">
      <c r="A444" s="15">
        <f t="shared" si="48"/>
        <v>2009</v>
      </c>
      <c r="B444" s="14">
        <f t="shared" si="49"/>
        <v>12</v>
      </c>
      <c r="C444" s="13" t="str">
        <f t="shared" si="50"/>
        <v>Q4</v>
      </c>
      <c r="D444" s="13" t="str">
        <f t="shared" si="51"/>
        <v>2009Q4</v>
      </c>
      <c r="E444" s="13" t="str">
        <f t="shared" si="52"/>
        <v>Uruguay</v>
      </c>
      <c r="F444" s="13" t="str">
        <f t="shared" si="54"/>
        <v>Biomass &amp; Waste</v>
      </c>
      <c r="G444" s="13" t="str">
        <f t="shared" si="55"/>
        <v>Asset finance investments</v>
      </c>
      <c r="H444" s="638">
        <f t="shared" si="53"/>
        <v>4.3680000000000003</v>
      </c>
      <c r="I444" s="24" t="s">
        <v>506</v>
      </c>
      <c r="J444" s="25" t="s">
        <v>246</v>
      </c>
      <c r="K444" s="25" t="s">
        <v>2196</v>
      </c>
      <c r="L444" s="25" t="s">
        <v>641</v>
      </c>
      <c r="M444" s="25" t="s">
        <v>22</v>
      </c>
      <c r="N444" s="25" t="s">
        <v>85</v>
      </c>
      <c r="O444" s="25" t="s">
        <v>92</v>
      </c>
      <c r="P444" s="25" t="s">
        <v>83</v>
      </c>
      <c r="Q444" s="25" t="s">
        <v>82</v>
      </c>
      <c r="R444" s="25"/>
      <c r="S444" s="25" t="s">
        <v>114</v>
      </c>
      <c r="T444" s="25" t="s">
        <v>114</v>
      </c>
      <c r="U444" s="25" t="s">
        <v>113</v>
      </c>
      <c r="V444" s="25" t="s">
        <v>347</v>
      </c>
      <c r="W444" s="25" t="s">
        <v>553</v>
      </c>
      <c r="X444" s="25" t="s">
        <v>1752</v>
      </c>
      <c r="Y444" s="25" t="s">
        <v>1753</v>
      </c>
      <c r="Z444" s="26">
        <v>40154</v>
      </c>
      <c r="AA444" s="776">
        <v>2.1</v>
      </c>
      <c r="AB444" s="776">
        <v>0</v>
      </c>
      <c r="AC444" s="776">
        <v>0</v>
      </c>
      <c r="AD444" s="776">
        <v>0</v>
      </c>
      <c r="AE444" s="777">
        <v>0</v>
      </c>
      <c r="AF444" s="777">
        <v>4.2</v>
      </c>
      <c r="AG444" s="778">
        <v>4.3680000000000003</v>
      </c>
    </row>
    <row r="445" spans="1:33" x14ac:dyDescent="0.2">
      <c r="A445" s="15">
        <f t="shared" si="48"/>
        <v>2009</v>
      </c>
      <c r="B445" s="14">
        <f t="shared" si="49"/>
        <v>12</v>
      </c>
      <c r="C445" s="13" t="str">
        <f t="shared" si="50"/>
        <v>Q4</v>
      </c>
      <c r="D445" s="13" t="str">
        <f t="shared" si="51"/>
        <v>2009Q4</v>
      </c>
      <c r="E445" s="13" t="str">
        <f t="shared" si="52"/>
        <v>Brazil</v>
      </c>
      <c r="F445" s="13" t="str">
        <f t="shared" si="54"/>
        <v>Biofuels</v>
      </c>
      <c r="G445" s="13" t="str">
        <f t="shared" si="55"/>
        <v>Asset finance investments</v>
      </c>
      <c r="H445" s="638">
        <f t="shared" si="53"/>
        <v>3.7440000000000002</v>
      </c>
      <c r="I445" s="24" t="s">
        <v>506</v>
      </c>
      <c r="J445" s="25" t="s">
        <v>246</v>
      </c>
      <c r="K445" s="25" t="s">
        <v>2197</v>
      </c>
      <c r="L445" s="25" t="s">
        <v>2198</v>
      </c>
      <c r="M445" s="25" t="s">
        <v>31</v>
      </c>
      <c r="N445" s="25" t="s">
        <v>31</v>
      </c>
      <c r="O445" s="25" t="s">
        <v>92</v>
      </c>
      <c r="P445" s="25" t="s">
        <v>83</v>
      </c>
      <c r="Q445" s="25" t="s">
        <v>82</v>
      </c>
      <c r="R445" s="25" t="s">
        <v>91</v>
      </c>
      <c r="S445" s="25" t="s">
        <v>96</v>
      </c>
      <c r="T445" s="25" t="s">
        <v>96</v>
      </c>
      <c r="U445" s="25" t="s">
        <v>95</v>
      </c>
      <c r="V445" s="25" t="s">
        <v>223</v>
      </c>
      <c r="W445" s="25" t="s">
        <v>553</v>
      </c>
      <c r="X445" s="25" t="s">
        <v>1752</v>
      </c>
      <c r="Y445" s="25" t="s">
        <v>1753</v>
      </c>
      <c r="Z445" s="26">
        <v>40162</v>
      </c>
      <c r="AA445" s="776">
        <v>0</v>
      </c>
      <c r="AB445" s="776">
        <v>19.5</v>
      </c>
      <c r="AC445" s="776">
        <v>0</v>
      </c>
      <c r="AD445" s="776">
        <v>0</v>
      </c>
      <c r="AE445" s="777">
        <v>3.6</v>
      </c>
      <c r="AF445" s="777">
        <v>3.6</v>
      </c>
      <c r="AG445" s="778">
        <v>3.7440000000000002</v>
      </c>
    </row>
    <row r="446" spans="1:33" x14ac:dyDescent="0.2">
      <c r="A446" s="15">
        <f t="shared" si="48"/>
        <v>2009</v>
      </c>
      <c r="B446" s="14">
        <f t="shared" si="49"/>
        <v>12</v>
      </c>
      <c r="C446" s="13" t="str">
        <f t="shared" si="50"/>
        <v>Q4</v>
      </c>
      <c r="D446" s="13" t="str">
        <f t="shared" si="51"/>
        <v>2009Q4</v>
      </c>
      <c r="E446" s="13" t="str">
        <f t="shared" si="52"/>
        <v>Argentina</v>
      </c>
      <c r="F446" s="13" t="str">
        <f t="shared" si="54"/>
        <v>Biofuels</v>
      </c>
      <c r="G446" s="13" t="str">
        <f t="shared" si="55"/>
        <v>Asset finance investments</v>
      </c>
      <c r="H446" s="638">
        <f t="shared" si="53"/>
        <v>3.12</v>
      </c>
      <c r="I446" s="24" t="s">
        <v>506</v>
      </c>
      <c r="J446" s="25" t="s">
        <v>246</v>
      </c>
      <c r="K446" s="25" t="s">
        <v>2199</v>
      </c>
      <c r="L446" s="25" t="s">
        <v>744</v>
      </c>
      <c r="M446" s="25" t="s">
        <v>4</v>
      </c>
      <c r="N446" s="25" t="s">
        <v>85</v>
      </c>
      <c r="O446" s="25" t="s">
        <v>92</v>
      </c>
      <c r="P446" s="25" t="s">
        <v>83</v>
      </c>
      <c r="Q446" s="25" t="s">
        <v>82</v>
      </c>
      <c r="R446" s="25"/>
      <c r="S446" s="25" t="s">
        <v>96</v>
      </c>
      <c r="T446" s="25" t="s">
        <v>96</v>
      </c>
      <c r="U446" s="25" t="s">
        <v>95</v>
      </c>
      <c r="V446" s="25" t="s">
        <v>223</v>
      </c>
      <c r="W446" s="25" t="s">
        <v>553</v>
      </c>
      <c r="X446" s="25" t="s">
        <v>1752</v>
      </c>
      <c r="Y446" s="25" t="s">
        <v>1753</v>
      </c>
      <c r="Z446" s="26">
        <v>40160</v>
      </c>
      <c r="AA446" s="776">
        <v>0</v>
      </c>
      <c r="AB446" s="776">
        <v>47.6</v>
      </c>
      <c r="AC446" s="776">
        <v>0</v>
      </c>
      <c r="AD446" s="776">
        <v>0</v>
      </c>
      <c r="AE446" s="777">
        <v>3</v>
      </c>
      <c r="AF446" s="777">
        <v>3</v>
      </c>
      <c r="AG446" s="778">
        <v>3.12</v>
      </c>
    </row>
    <row r="447" spans="1:33" x14ac:dyDescent="0.2">
      <c r="A447" s="15">
        <f t="shared" si="48"/>
        <v>2009</v>
      </c>
      <c r="B447" s="14">
        <f t="shared" si="49"/>
        <v>11</v>
      </c>
      <c r="C447" s="13" t="str">
        <f t="shared" si="50"/>
        <v>Q4</v>
      </c>
      <c r="D447" s="13" t="str">
        <f t="shared" si="51"/>
        <v>2009Q4</v>
      </c>
      <c r="E447" s="13" t="str">
        <f t="shared" si="52"/>
        <v>Chile</v>
      </c>
      <c r="F447" s="13" t="str">
        <f t="shared" si="54"/>
        <v>Wind</v>
      </c>
      <c r="G447" s="13" t="str">
        <f t="shared" si="55"/>
        <v>Asset finance investments</v>
      </c>
      <c r="H447" s="638">
        <f t="shared" si="53"/>
        <v>2.7456</v>
      </c>
      <c r="I447" s="24" t="s">
        <v>506</v>
      </c>
      <c r="J447" s="25" t="s">
        <v>246</v>
      </c>
      <c r="K447" s="25" t="s">
        <v>2200</v>
      </c>
      <c r="L447" s="25" t="s">
        <v>870</v>
      </c>
      <c r="M447" s="25" t="s">
        <v>8</v>
      </c>
      <c r="N447" s="25" t="s">
        <v>85</v>
      </c>
      <c r="O447" s="25" t="s">
        <v>92</v>
      </c>
      <c r="P447" s="25" t="s">
        <v>83</v>
      </c>
      <c r="Q447" s="25" t="s">
        <v>129</v>
      </c>
      <c r="R447" s="25"/>
      <c r="S447" s="25" t="s">
        <v>101</v>
      </c>
      <c r="T447" s="25" t="s">
        <v>101</v>
      </c>
      <c r="U447" s="25" t="s">
        <v>112</v>
      </c>
      <c r="V447" s="25">
        <v>0</v>
      </c>
      <c r="W447" s="25" t="s">
        <v>553</v>
      </c>
      <c r="X447" s="25" t="s">
        <v>1752</v>
      </c>
      <c r="Y447" s="25" t="s">
        <v>1753</v>
      </c>
      <c r="Z447" s="26">
        <v>40135</v>
      </c>
      <c r="AA447" s="776">
        <v>1.65</v>
      </c>
      <c r="AB447" s="776">
        <v>0</v>
      </c>
      <c r="AC447" s="776">
        <v>0</v>
      </c>
      <c r="AD447" s="776">
        <v>0</v>
      </c>
      <c r="AE447" s="777">
        <v>0</v>
      </c>
      <c r="AF447" s="777">
        <v>2.64</v>
      </c>
      <c r="AG447" s="778">
        <v>2.7456</v>
      </c>
    </row>
    <row r="448" spans="1:33" x14ac:dyDescent="0.2">
      <c r="A448" s="15">
        <f t="shared" si="48"/>
        <v>2009</v>
      </c>
      <c r="B448" s="14">
        <f t="shared" si="49"/>
        <v>12</v>
      </c>
      <c r="C448" s="13" t="str">
        <f t="shared" si="50"/>
        <v>Q4</v>
      </c>
      <c r="D448" s="13" t="str">
        <f t="shared" si="51"/>
        <v>2009Q4</v>
      </c>
      <c r="E448" s="13" t="str">
        <f t="shared" si="52"/>
        <v>Brazil</v>
      </c>
      <c r="F448" s="13" t="str">
        <f t="shared" si="54"/>
        <v>Biofuels</v>
      </c>
      <c r="G448" s="13" t="str">
        <f t="shared" si="55"/>
        <v>Asset finance investments</v>
      </c>
      <c r="H448" s="638">
        <f t="shared" si="53"/>
        <v>1.1440000000000001</v>
      </c>
      <c r="I448" s="24" t="s">
        <v>506</v>
      </c>
      <c r="J448" s="25" t="s">
        <v>246</v>
      </c>
      <c r="K448" s="25" t="s">
        <v>2201</v>
      </c>
      <c r="L448" s="25" t="s">
        <v>2202</v>
      </c>
      <c r="M448" s="25" t="s">
        <v>31</v>
      </c>
      <c r="N448" s="25" t="s">
        <v>31</v>
      </c>
      <c r="O448" s="25" t="s">
        <v>92</v>
      </c>
      <c r="P448" s="25" t="s">
        <v>83</v>
      </c>
      <c r="Q448" s="25" t="s">
        <v>82</v>
      </c>
      <c r="R448" s="25" t="s">
        <v>91</v>
      </c>
      <c r="S448" s="25" t="s">
        <v>96</v>
      </c>
      <c r="T448" s="25" t="s">
        <v>96</v>
      </c>
      <c r="U448" s="25" t="s">
        <v>98</v>
      </c>
      <c r="V448" s="25" t="s">
        <v>230</v>
      </c>
      <c r="W448" s="25" t="s">
        <v>553</v>
      </c>
      <c r="X448" s="25" t="s">
        <v>1749</v>
      </c>
      <c r="Y448" s="25" t="s">
        <v>1750</v>
      </c>
      <c r="Z448" s="26">
        <v>40161</v>
      </c>
      <c r="AA448" s="776">
        <v>4.2</v>
      </c>
      <c r="AB448" s="776">
        <v>77</v>
      </c>
      <c r="AC448" s="776">
        <v>0</v>
      </c>
      <c r="AD448" s="776">
        <v>0</v>
      </c>
      <c r="AE448" s="777">
        <v>1.1000000000000001</v>
      </c>
      <c r="AF448" s="777">
        <v>1.1000000000000001</v>
      </c>
      <c r="AG448" s="778">
        <v>1.1440000000000001</v>
      </c>
    </row>
    <row r="449" spans="1:33" x14ac:dyDescent="0.2">
      <c r="A449" s="15">
        <f t="shared" si="48"/>
        <v>2009</v>
      </c>
      <c r="B449" s="14">
        <f t="shared" si="49"/>
        <v>12</v>
      </c>
      <c r="C449" s="13" t="str">
        <f t="shared" si="50"/>
        <v>Q4</v>
      </c>
      <c r="D449" s="13" t="str">
        <f t="shared" si="51"/>
        <v>2009Q4</v>
      </c>
      <c r="E449" s="13" t="str">
        <f t="shared" si="52"/>
        <v>Brazil</v>
      </c>
      <c r="F449" s="13" t="str">
        <f t="shared" si="54"/>
        <v>Biofuels</v>
      </c>
      <c r="G449" s="13" t="str">
        <f t="shared" si="55"/>
        <v>Asset finance investments</v>
      </c>
      <c r="H449" s="638">
        <f t="shared" si="53"/>
        <v>1.1440000000000001</v>
      </c>
      <c r="I449" s="24" t="s">
        <v>506</v>
      </c>
      <c r="J449" s="25" t="s">
        <v>246</v>
      </c>
      <c r="K449" s="25" t="s">
        <v>2203</v>
      </c>
      <c r="L449" s="25" t="s">
        <v>862</v>
      </c>
      <c r="M449" s="25" t="s">
        <v>31</v>
      </c>
      <c r="N449" s="25" t="s">
        <v>31</v>
      </c>
      <c r="O449" s="25" t="s">
        <v>92</v>
      </c>
      <c r="P449" s="25" t="s">
        <v>83</v>
      </c>
      <c r="Q449" s="25" t="s">
        <v>82</v>
      </c>
      <c r="R449" s="25" t="s">
        <v>91</v>
      </c>
      <c r="S449" s="25" t="s">
        <v>96</v>
      </c>
      <c r="T449" s="25" t="s">
        <v>96</v>
      </c>
      <c r="U449" s="25" t="s">
        <v>98</v>
      </c>
      <c r="V449" s="25" t="s">
        <v>230</v>
      </c>
      <c r="W449" s="25" t="s">
        <v>553</v>
      </c>
      <c r="X449" s="25" t="s">
        <v>1749</v>
      </c>
      <c r="Y449" s="25" t="s">
        <v>1750</v>
      </c>
      <c r="Z449" s="26">
        <v>40156</v>
      </c>
      <c r="AA449" s="776">
        <v>0</v>
      </c>
      <c r="AB449" s="776">
        <v>130</v>
      </c>
      <c r="AC449" s="776">
        <v>0</v>
      </c>
      <c r="AD449" s="776">
        <v>0</v>
      </c>
      <c r="AE449" s="777">
        <v>1.1000000000000001</v>
      </c>
      <c r="AF449" s="777">
        <v>1.1000000000000001</v>
      </c>
      <c r="AG449" s="778">
        <v>1.1440000000000001</v>
      </c>
    </row>
    <row r="450" spans="1:33" x14ac:dyDescent="0.2">
      <c r="A450" s="15">
        <f t="shared" si="48"/>
        <v>2008</v>
      </c>
      <c r="B450" s="14">
        <f t="shared" si="49"/>
        <v>10</v>
      </c>
      <c r="C450" s="13" t="str">
        <f t="shared" si="50"/>
        <v>Q4</v>
      </c>
      <c r="D450" s="13" t="str">
        <f t="shared" si="51"/>
        <v>2008Q4</v>
      </c>
      <c r="E450" s="13" t="str">
        <f t="shared" si="52"/>
        <v>Brazil</v>
      </c>
      <c r="F450" s="13" t="str">
        <f t="shared" si="54"/>
        <v>Biofuels</v>
      </c>
      <c r="G450" s="13" t="str">
        <f t="shared" si="55"/>
        <v>Asset finance investments</v>
      </c>
      <c r="H450" s="638">
        <f t="shared" si="53"/>
        <v>824</v>
      </c>
      <c r="I450" s="24" t="s">
        <v>506</v>
      </c>
      <c r="J450" s="25" t="s">
        <v>246</v>
      </c>
      <c r="K450" s="25" t="s">
        <v>2204</v>
      </c>
      <c r="L450" s="25" t="s">
        <v>2205</v>
      </c>
      <c r="M450" s="25" t="s">
        <v>31</v>
      </c>
      <c r="N450" s="25" t="s">
        <v>31</v>
      </c>
      <c r="O450" s="25" t="s">
        <v>92</v>
      </c>
      <c r="P450" s="25" t="s">
        <v>83</v>
      </c>
      <c r="Q450" s="25" t="s">
        <v>82</v>
      </c>
      <c r="R450" s="25" t="s">
        <v>91</v>
      </c>
      <c r="S450" s="25" t="s">
        <v>96</v>
      </c>
      <c r="T450" s="25" t="s">
        <v>96</v>
      </c>
      <c r="U450" s="25" t="s">
        <v>98</v>
      </c>
      <c r="V450" s="25" t="s">
        <v>230</v>
      </c>
      <c r="W450" s="25" t="s">
        <v>553</v>
      </c>
      <c r="X450" s="25" t="s">
        <v>1752</v>
      </c>
      <c r="Y450" s="25" t="s">
        <v>1753</v>
      </c>
      <c r="Z450" s="26">
        <v>39752</v>
      </c>
      <c r="AA450" s="776">
        <v>80</v>
      </c>
      <c r="AB450" s="776">
        <v>248</v>
      </c>
      <c r="AC450" s="776">
        <v>0</v>
      </c>
      <c r="AD450" s="776">
        <v>0</v>
      </c>
      <c r="AE450" s="777">
        <v>800</v>
      </c>
      <c r="AF450" s="777">
        <v>800</v>
      </c>
      <c r="AG450" s="778">
        <v>824</v>
      </c>
    </row>
    <row r="451" spans="1:33" x14ac:dyDescent="0.2">
      <c r="A451" s="15">
        <f t="shared" si="48"/>
        <v>2008</v>
      </c>
      <c r="B451" s="14">
        <f t="shared" si="49"/>
        <v>12</v>
      </c>
      <c r="C451" s="13" t="str">
        <f t="shared" si="50"/>
        <v>Q4</v>
      </c>
      <c r="D451" s="13" t="str">
        <f t="shared" si="51"/>
        <v>2008Q4</v>
      </c>
      <c r="E451" s="13" t="str">
        <f t="shared" si="52"/>
        <v>Brazil</v>
      </c>
      <c r="F451" s="13" t="str">
        <f t="shared" si="54"/>
        <v>Biofuels</v>
      </c>
      <c r="G451" s="13" t="str">
        <f t="shared" si="55"/>
        <v>Asset finance investments</v>
      </c>
      <c r="H451" s="638">
        <f t="shared" si="53"/>
        <v>809.88900000000001</v>
      </c>
      <c r="I451" s="24" t="s">
        <v>506</v>
      </c>
      <c r="J451" s="25" t="s">
        <v>246</v>
      </c>
      <c r="K451" s="25" t="s">
        <v>2206</v>
      </c>
      <c r="L451" s="25" t="s">
        <v>2207</v>
      </c>
      <c r="M451" s="25" t="s">
        <v>31</v>
      </c>
      <c r="N451" s="25" t="s">
        <v>31</v>
      </c>
      <c r="O451" s="25" t="s">
        <v>92</v>
      </c>
      <c r="P451" s="25" t="s">
        <v>83</v>
      </c>
      <c r="Q451" s="25" t="s">
        <v>82</v>
      </c>
      <c r="R451" s="25" t="s">
        <v>91</v>
      </c>
      <c r="S451" s="25" t="s">
        <v>96</v>
      </c>
      <c r="T451" s="25" t="s">
        <v>96</v>
      </c>
      <c r="U451" s="25" t="s">
        <v>98</v>
      </c>
      <c r="V451" s="25" t="s">
        <v>230</v>
      </c>
      <c r="W451" s="25" t="s">
        <v>553</v>
      </c>
      <c r="X451" s="25" t="s">
        <v>1749</v>
      </c>
      <c r="Y451" s="25" t="s">
        <v>1750</v>
      </c>
      <c r="Z451" s="26">
        <v>39786</v>
      </c>
      <c r="AA451" s="776">
        <v>360</v>
      </c>
      <c r="AB451" s="776">
        <v>904</v>
      </c>
      <c r="AC451" s="776">
        <v>0</v>
      </c>
      <c r="AD451" s="776">
        <v>0</v>
      </c>
      <c r="AE451" s="777">
        <v>786.3</v>
      </c>
      <c r="AF451" s="777">
        <v>786.3</v>
      </c>
      <c r="AG451" s="778">
        <v>809.88900000000001</v>
      </c>
    </row>
    <row r="452" spans="1:33" x14ac:dyDescent="0.2">
      <c r="A452" s="15">
        <f t="shared" si="48"/>
        <v>2008</v>
      </c>
      <c r="B452" s="14">
        <f t="shared" si="49"/>
        <v>11</v>
      </c>
      <c r="C452" s="13" t="str">
        <f t="shared" si="50"/>
        <v>Q4</v>
      </c>
      <c r="D452" s="13" t="str">
        <f t="shared" si="51"/>
        <v>2008Q4</v>
      </c>
      <c r="E452" s="13" t="str">
        <f t="shared" si="52"/>
        <v>Brazil</v>
      </c>
      <c r="F452" s="13" t="str">
        <f t="shared" si="54"/>
        <v>Small Hydro</v>
      </c>
      <c r="G452" s="13" t="str">
        <f t="shared" si="55"/>
        <v>Asset finance investments</v>
      </c>
      <c r="H452" s="638">
        <f t="shared" si="53"/>
        <v>377.18599999999998</v>
      </c>
      <c r="I452" s="24" t="s">
        <v>506</v>
      </c>
      <c r="J452" s="25" t="s">
        <v>246</v>
      </c>
      <c r="K452" s="25" t="s">
        <v>2208</v>
      </c>
      <c r="L452" s="25" t="s">
        <v>1024</v>
      </c>
      <c r="M452" s="25" t="s">
        <v>31</v>
      </c>
      <c r="N452" s="25" t="s">
        <v>31</v>
      </c>
      <c r="O452" s="25" t="s">
        <v>92</v>
      </c>
      <c r="P452" s="25" t="s">
        <v>83</v>
      </c>
      <c r="Q452" s="25" t="s">
        <v>82</v>
      </c>
      <c r="R452" s="25" t="s">
        <v>91</v>
      </c>
      <c r="S452" s="25" t="s">
        <v>126</v>
      </c>
      <c r="T452" s="25" t="s">
        <v>125</v>
      </c>
      <c r="U452" s="25" t="s">
        <v>342</v>
      </c>
      <c r="V452" s="25">
        <v>0</v>
      </c>
      <c r="W452" s="25" t="s">
        <v>553</v>
      </c>
      <c r="X452" s="25" t="s">
        <v>1749</v>
      </c>
      <c r="Y452" s="25" t="s">
        <v>1750</v>
      </c>
      <c r="Z452" s="26">
        <v>39758</v>
      </c>
      <c r="AA452" s="776">
        <v>137</v>
      </c>
      <c r="AB452" s="776">
        <v>0</v>
      </c>
      <c r="AC452" s="776">
        <v>0</v>
      </c>
      <c r="AD452" s="776">
        <v>0</v>
      </c>
      <c r="AE452" s="777">
        <v>366.2</v>
      </c>
      <c r="AF452" s="777">
        <v>366.2</v>
      </c>
      <c r="AG452" s="778">
        <v>377.18599999999998</v>
      </c>
    </row>
    <row r="453" spans="1:33" x14ac:dyDescent="0.2">
      <c r="A453" s="15">
        <f t="shared" si="48"/>
        <v>2008</v>
      </c>
      <c r="B453" s="14">
        <f t="shared" si="49"/>
        <v>10</v>
      </c>
      <c r="C453" s="13" t="str">
        <f t="shared" si="50"/>
        <v>Q4</v>
      </c>
      <c r="D453" s="13" t="str">
        <f t="shared" si="51"/>
        <v>2008Q4</v>
      </c>
      <c r="E453" s="13" t="str">
        <f t="shared" si="52"/>
        <v>Chile</v>
      </c>
      <c r="F453" s="13" t="str">
        <f t="shared" si="54"/>
        <v>Wind</v>
      </c>
      <c r="G453" s="13" t="str">
        <f t="shared" si="55"/>
        <v>Asset finance investments</v>
      </c>
      <c r="H453" s="638">
        <f t="shared" si="53"/>
        <v>309</v>
      </c>
      <c r="I453" s="24" t="s">
        <v>506</v>
      </c>
      <c r="J453" s="25" t="s">
        <v>246</v>
      </c>
      <c r="K453" s="25" t="s">
        <v>2209</v>
      </c>
      <c r="L453" s="25" t="s">
        <v>1057</v>
      </c>
      <c r="M453" s="25" t="s">
        <v>8</v>
      </c>
      <c r="N453" s="25" t="s">
        <v>85</v>
      </c>
      <c r="O453" s="25" t="s">
        <v>92</v>
      </c>
      <c r="P453" s="25" t="s">
        <v>83</v>
      </c>
      <c r="Q453" s="25" t="s">
        <v>129</v>
      </c>
      <c r="R453" s="25"/>
      <c r="S453" s="25" t="s">
        <v>101</v>
      </c>
      <c r="T453" s="25" t="s">
        <v>101</v>
      </c>
      <c r="U453" s="25" t="s">
        <v>112</v>
      </c>
      <c r="V453" s="25">
        <v>0</v>
      </c>
      <c r="W453" s="25" t="s">
        <v>553</v>
      </c>
      <c r="X453" s="25" t="s">
        <v>1752</v>
      </c>
      <c r="Y453" s="25" t="s">
        <v>1753</v>
      </c>
      <c r="Z453" s="26">
        <v>39732</v>
      </c>
      <c r="AA453" s="776">
        <v>140</v>
      </c>
      <c r="AB453" s="776">
        <v>0</v>
      </c>
      <c r="AC453" s="776">
        <v>0</v>
      </c>
      <c r="AD453" s="776">
        <v>0</v>
      </c>
      <c r="AE453" s="777">
        <v>300</v>
      </c>
      <c r="AF453" s="777">
        <v>300</v>
      </c>
      <c r="AG453" s="778">
        <v>309</v>
      </c>
    </row>
    <row r="454" spans="1:33" x14ac:dyDescent="0.2">
      <c r="A454" s="15">
        <f t="shared" ref="A454:A517" si="56">IF(K454="","",IF(AND(YEAR(Z454)&lt;2004,YEAR(Z454)&gt;1910),2004,YEAR(Z454)))</f>
        <v>2008</v>
      </c>
      <c r="B454" s="14">
        <f t="shared" ref="B454:B517" si="57">IF(K454="","",IF(ISNUMBER(Z454),MONTH(Z454),0))</f>
        <v>12</v>
      </c>
      <c r="C454" s="13" t="str">
        <f t="shared" ref="C454:C517" si="58">IF(K454="","",IF(AND(B454&gt;=1,B454&lt;=3),"Q1",IF(AND(B454&gt;3,B454&lt;=6),"Q2",IF(AND(B454&gt;6,B454&lt;=9),"Q3",IF(AND(B454&gt;9,B454&lt;=12),"Q4",0)))))</f>
        <v>Q4</v>
      </c>
      <c r="D454" s="13" t="str">
        <f t="shared" ref="D454:D517" si="59">IF(A454&lt;2006, "&lt; 2006", A454&amp;C454)</f>
        <v>2008Q4</v>
      </c>
      <c r="E454" s="13" t="str">
        <f t="shared" ref="E454:E517" si="60">IF(K454="","", M454)</f>
        <v>Brazil</v>
      </c>
      <c r="F454" s="13" t="str">
        <f t="shared" si="54"/>
        <v>Biofuels</v>
      </c>
      <c r="G454" s="13" t="str">
        <f t="shared" si="55"/>
        <v>Asset finance investments</v>
      </c>
      <c r="H454" s="638">
        <f t="shared" ref="H454:H517" si="61">IF(K454="","",AG454)</f>
        <v>264.916</v>
      </c>
      <c r="I454" s="24" t="s">
        <v>506</v>
      </c>
      <c r="J454" s="25" t="s">
        <v>246</v>
      </c>
      <c r="K454" s="25" t="s">
        <v>2210</v>
      </c>
      <c r="L454" s="25" t="s">
        <v>1005</v>
      </c>
      <c r="M454" s="25" t="s">
        <v>31</v>
      </c>
      <c r="N454" s="25" t="s">
        <v>31</v>
      </c>
      <c r="O454" s="25" t="s">
        <v>92</v>
      </c>
      <c r="P454" s="25" t="s">
        <v>83</v>
      </c>
      <c r="Q454" s="25" t="s">
        <v>82</v>
      </c>
      <c r="R454" s="25" t="s">
        <v>91</v>
      </c>
      <c r="S454" s="25" t="s">
        <v>96</v>
      </c>
      <c r="T454" s="25" t="s">
        <v>96</v>
      </c>
      <c r="U454" s="25" t="s">
        <v>98</v>
      </c>
      <c r="V454" s="25" t="s">
        <v>230</v>
      </c>
      <c r="W454" s="25" t="s">
        <v>553</v>
      </c>
      <c r="X454" s="25" t="s">
        <v>1749</v>
      </c>
      <c r="Y454" s="25" t="s">
        <v>1750</v>
      </c>
      <c r="Z454" s="26">
        <v>39786</v>
      </c>
      <c r="AA454" s="776">
        <v>48</v>
      </c>
      <c r="AB454" s="776">
        <v>200</v>
      </c>
      <c r="AC454" s="776">
        <v>0</v>
      </c>
      <c r="AD454" s="776">
        <v>0</v>
      </c>
      <c r="AE454" s="777">
        <v>257.2</v>
      </c>
      <c r="AF454" s="777">
        <v>257.2</v>
      </c>
      <c r="AG454" s="778">
        <v>264.916</v>
      </c>
    </row>
    <row r="455" spans="1:33" x14ac:dyDescent="0.2">
      <c r="A455" s="15">
        <f t="shared" si="56"/>
        <v>2008</v>
      </c>
      <c r="B455" s="14">
        <f t="shared" si="57"/>
        <v>12</v>
      </c>
      <c r="C455" s="13" t="str">
        <f t="shared" si="58"/>
        <v>Q4</v>
      </c>
      <c r="D455" s="13" t="str">
        <f t="shared" si="59"/>
        <v>2008Q4</v>
      </c>
      <c r="E455" s="13" t="str">
        <f t="shared" si="60"/>
        <v>Brazil</v>
      </c>
      <c r="F455" s="13" t="str">
        <f t="shared" ref="F455:F518" si="62">IF(K455="","",IF(OR(T455="Wind",T455="Solar",T455="Geothermal",T455="Small Hydro",T455="Biofuels",T455="Biomass &amp; Waste"),T455,"Other Clean Energy"))</f>
        <v>Biofuels</v>
      </c>
      <c r="G455" s="13" t="str">
        <f t="shared" ref="G455:G518" si="63">IF(K455="","",IF(OR(J455="PM",J455="MA"), "Corporate finance investments", IF(J455="VCPE", "VC/PE investments", IF(J455="AF", "Asset finance investments"))))</f>
        <v>Asset finance investments</v>
      </c>
      <c r="H455" s="638">
        <f t="shared" si="61"/>
        <v>211.15</v>
      </c>
      <c r="I455" s="24" t="s">
        <v>506</v>
      </c>
      <c r="J455" s="25" t="s">
        <v>246</v>
      </c>
      <c r="K455" s="25" t="s">
        <v>2211</v>
      </c>
      <c r="L455" s="25" t="s">
        <v>1004</v>
      </c>
      <c r="M455" s="25" t="s">
        <v>31</v>
      </c>
      <c r="N455" s="25" t="s">
        <v>31</v>
      </c>
      <c r="O455" s="25" t="s">
        <v>92</v>
      </c>
      <c r="P455" s="25" t="s">
        <v>83</v>
      </c>
      <c r="Q455" s="25" t="s">
        <v>82</v>
      </c>
      <c r="R455" s="25" t="s">
        <v>91</v>
      </c>
      <c r="S455" s="25" t="s">
        <v>96</v>
      </c>
      <c r="T455" s="25" t="s">
        <v>96</v>
      </c>
      <c r="U455" s="25" t="s">
        <v>98</v>
      </c>
      <c r="V455" s="25" t="s">
        <v>230</v>
      </c>
      <c r="W455" s="25" t="s">
        <v>553</v>
      </c>
      <c r="X455" s="25" t="s">
        <v>1749</v>
      </c>
      <c r="Y455" s="25" t="s">
        <v>1750</v>
      </c>
      <c r="Z455" s="26">
        <v>39786</v>
      </c>
      <c r="AA455" s="776">
        <v>40</v>
      </c>
      <c r="AB455" s="776">
        <v>161</v>
      </c>
      <c r="AC455" s="776">
        <v>0</v>
      </c>
      <c r="AD455" s="776">
        <v>0</v>
      </c>
      <c r="AE455" s="777">
        <v>205</v>
      </c>
      <c r="AF455" s="777">
        <v>205</v>
      </c>
      <c r="AG455" s="778">
        <v>211.15</v>
      </c>
    </row>
    <row r="456" spans="1:33" x14ac:dyDescent="0.2">
      <c r="A456" s="15">
        <f t="shared" si="56"/>
        <v>2008</v>
      </c>
      <c r="B456" s="14">
        <f t="shared" si="57"/>
        <v>12</v>
      </c>
      <c r="C456" s="13" t="str">
        <f t="shared" si="58"/>
        <v>Q4</v>
      </c>
      <c r="D456" s="13" t="str">
        <f t="shared" si="59"/>
        <v>2008Q4</v>
      </c>
      <c r="E456" s="13" t="str">
        <f t="shared" si="60"/>
        <v>Brazil</v>
      </c>
      <c r="F456" s="13" t="str">
        <f t="shared" si="62"/>
        <v>Biomass &amp; Waste</v>
      </c>
      <c r="G456" s="13" t="str">
        <f t="shared" si="63"/>
        <v>Asset finance investments</v>
      </c>
      <c r="H456" s="638">
        <f t="shared" si="61"/>
        <v>206</v>
      </c>
      <c r="I456" s="24" t="s">
        <v>506</v>
      </c>
      <c r="J456" s="25" t="s">
        <v>246</v>
      </c>
      <c r="K456" s="25" t="s">
        <v>2212</v>
      </c>
      <c r="L456" s="25" t="s">
        <v>1152</v>
      </c>
      <c r="M456" s="25" t="s">
        <v>31</v>
      </c>
      <c r="N456" s="25" t="s">
        <v>31</v>
      </c>
      <c r="O456" s="25" t="s">
        <v>92</v>
      </c>
      <c r="P456" s="25" t="s">
        <v>83</v>
      </c>
      <c r="Q456" s="25" t="s">
        <v>82</v>
      </c>
      <c r="R456" s="25" t="s">
        <v>91</v>
      </c>
      <c r="S456" s="25" t="s">
        <v>114</v>
      </c>
      <c r="T456" s="25" t="s">
        <v>114</v>
      </c>
      <c r="U456" s="25" t="s">
        <v>113</v>
      </c>
      <c r="V456" s="25" t="s">
        <v>347</v>
      </c>
      <c r="W456" s="25" t="s">
        <v>553</v>
      </c>
      <c r="X456" s="25" t="s">
        <v>1752</v>
      </c>
      <c r="Y456" s="25" t="s">
        <v>1753</v>
      </c>
      <c r="Z456" s="26">
        <v>39813</v>
      </c>
      <c r="AA456" s="776">
        <v>220</v>
      </c>
      <c r="AB456" s="776">
        <v>0</v>
      </c>
      <c r="AC456" s="776">
        <v>0</v>
      </c>
      <c r="AD456" s="776">
        <v>0</v>
      </c>
      <c r="AE456" s="777">
        <v>200</v>
      </c>
      <c r="AF456" s="777">
        <v>200</v>
      </c>
      <c r="AG456" s="778">
        <v>206</v>
      </c>
    </row>
    <row r="457" spans="1:33" x14ac:dyDescent="0.2">
      <c r="A457" s="15">
        <f t="shared" si="56"/>
        <v>2008</v>
      </c>
      <c r="B457" s="14">
        <f t="shared" si="57"/>
        <v>12</v>
      </c>
      <c r="C457" s="13" t="str">
        <f t="shared" si="58"/>
        <v>Q4</v>
      </c>
      <c r="D457" s="13" t="str">
        <f t="shared" si="59"/>
        <v>2008Q4</v>
      </c>
      <c r="E457" s="13" t="str">
        <f t="shared" si="60"/>
        <v>Venezuela</v>
      </c>
      <c r="F457" s="13" t="str">
        <f t="shared" si="62"/>
        <v>Wind</v>
      </c>
      <c r="G457" s="13" t="str">
        <f t="shared" si="63"/>
        <v>Asset finance investments</v>
      </c>
      <c r="H457" s="638">
        <f t="shared" si="61"/>
        <v>165.32736</v>
      </c>
      <c r="I457" s="24" t="s">
        <v>506</v>
      </c>
      <c r="J457" s="25" t="s">
        <v>246</v>
      </c>
      <c r="K457" s="25" t="s">
        <v>2213</v>
      </c>
      <c r="L457" s="25" t="s">
        <v>839</v>
      </c>
      <c r="M457" s="25" t="s">
        <v>23</v>
      </c>
      <c r="N457" s="25" t="s">
        <v>85</v>
      </c>
      <c r="O457" s="25" t="s">
        <v>92</v>
      </c>
      <c r="P457" s="25" t="s">
        <v>83</v>
      </c>
      <c r="Q457" s="25" t="s">
        <v>82</v>
      </c>
      <c r="R457" s="25"/>
      <c r="S457" s="25" t="s">
        <v>101</v>
      </c>
      <c r="T457" s="25" t="s">
        <v>101</v>
      </c>
      <c r="U457" s="25" t="s">
        <v>112</v>
      </c>
      <c r="V457" s="25">
        <v>0</v>
      </c>
      <c r="W457" s="25" t="s">
        <v>553</v>
      </c>
      <c r="X457" s="25" t="s">
        <v>1752</v>
      </c>
      <c r="Y457" s="25" t="s">
        <v>1753</v>
      </c>
      <c r="Z457" s="26">
        <v>39792</v>
      </c>
      <c r="AA457" s="776">
        <v>100.32</v>
      </c>
      <c r="AB457" s="776">
        <v>0</v>
      </c>
      <c r="AC457" s="776">
        <v>0</v>
      </c>
      <c r="AD457" s="776">
        <v>0</v>
      </c>
      <c r="AE457" s="777">
        <v>0</v>
      </c>
      <c r="AF457" s="777">
        <v>160.512</v>
      </c>
      <c r="AG457" s="778">
        <v>165.32736</v>
      </c>
    </row>
    <row r="458" spans="1:33" x14ac:dyDescent="0.2">
      <c r="A458" s="15">
        <f t="shared" si="56"/>
        <v>2008</v>
      </c>
      <c r="B458" s="14">
        <f t="shared" si="57"/>
        <v>12</v>
      </c>
      <c r="C458" s="13" t="str">
        <f t="shared" si="58"/>
        <v>Q4</v>
      </c>
      <c r="D458" s="13" t="str">
        <f t="shared" si="59"/>
        <v>2008Q4</v>
      </c>
      <c r="E458" s="13" t="str">
        <f t="shared" si="60"/>
        <v>Chile</v>
      </c>
      <c r="F458" s="13" t="str">
        <f t="shared" si="62"/>
        <v>Wind</v>
      </c>
      <c r="G458" s="13" t="str">
        <f t="shared" si="63"/>
        <v>Asset finance investments</v>
      </c>
      <c r="H458" s="638">
        <f t="shared" si="61"/>
        <v>154.5</v>
      </c>
      <c r="I458" s="24" t="s">
        <v>506</v>
      </c>
      <c r="J458" s="25" t="s">
        <v>246</v>
      </c>
      <c r="K458" s="25" t="s">
        <v>2214</v>
      </c>
      <c r="L458" s="25" t="s">
        <v>1037</v>
      </c>
      <c r="M458" s="25" t="s">
        <v>8</v>
      </c>
      <c r="N458" s="25" t="s">
        <v>85</v>
      </c>
      <c r="O458" s="25" t="s">
        <v>92</v>
      </c>
      <c r="P458" s="25" t="s">
        <v>83</v>
      </c>
      <c r="Q458" s="25" t="s">
        <v>129</v>
      </c>
      <c r="R458" s="25"/>
      <c r="S458" s="25" t="s">
        <v>101</v>
      </c>
      <c r="T458" s="25" t="s">
        <v>101</v>
      </c>
      <c r="U458" s="25" t="s">
        <v>112</v>
      </c>
      <c r="V458" s="25">
        <v>0</v>
      </c>
      <c r="W458" s="25" t="s">
        <v>553</v>
      </c>
      <c r="X458" s="25" t="s">
        <v>1752</v>
      </c>
      <c r="Y458" s="25" t="s">
        <v>1753</v>
      </c>
      <c r="Z458" s="26">
        <v>39813</v>
      </c>
      <c r="AA458" s="776">
        <v>38</v>
      </c>
      <c r="AB458" s="776">
        <v>0</v>
      </c>
      <c r="AC458" s="776">
        <v>0</v>
      </c>
      <c r="AD458" s="776">
        <v>0</v>
      </c>
      <c r="AE458" s="777">
        <v>150</v>
      </c>
      <c r="AF458" s="777">
        <v>150</v>
      </c>
      <c r="AG458" s="778">
        <v>154.5</v>
      </c>
    </row>
    <row r="459" spans="1:33" x14ac:dyDescent="0.2">
      <c r="A459" s="15">
        <f t="shared" si="56"/>
        <v>2008</v>
      </c>
      <c r="B459" s="14">
        <f t="shared" si="57"/>
        <v>11</v>
      </c>
      <c r="C459" s="13" t="str">
        <f t="shared" si="58"/>
        <v>Q4</v>
      </c>
      <c r="D459" s="13" t="str">
        <f t="shared" si="59"/>
        <v>2008Q4</v>
      </c>
      <c r="E459" s="13" t="str">
        <f t="shared" si="60"/>
        <v>Chile</v>
      </c>
      <c r="F459" s="13" t="str">
        <f t="shared" si="62"/>
        <v>Wind</v>
      </c>
      <c r="G459" s="13" t="str">
        <f t="shared" si="63"/>
        <v>Asset finance investments</v>
      </c>
      <c r="H459" s="638">
        <f t="shared" si="61"/>
        <v>150.38</v>
      </c>
      <c r="I459" s="24" t="s">
        <v>506</v>
      </c>
      <c r="J459" s="25" t="s">
        <v>246</v>
      </c>
      <c r="K459" s="25" t="s">
        <v>2215</v>
      </c>
      <c r="L459" s="25" t="s">
        <v>1040</v>
      </c>
      <c r="M459" s="25" t="s">
        <v>8</v>
      </c>
      <c r="N459" s="25" t="s">
        <v>85</v>
      </c>
      <c r="O459" s="25" t="s">
        <v>92</v>
      </c>
      <c r="P459" s="25" t="s">
        <v>83</v>
      </c>
      <c r="Q459" s="25" t="s">
        <v>129</v>
      </c>
      <c r="R459" s="25"/>
      <c r="S459" s="25" t="s">
        <v>101</v>
      </c>
      <c r="T459" s="25" t="s">
        <v>101</v>
      </c>
      <c r="U459" s="25" t="s">
        <v>112</v>
      </c>
      <c r="V459" s="25">
        <v>0</v>
      </c>
      <c r="W459" s="25" t="s">
        <v>553</v>
      </c>
      <c r="X459" s="25" t="s">
        <v>1752</v>
      </c>
      <c r="Y459" s="25" t="s">
        <v>1753</v>
      </c>
      <c r="Z459" s="26">
        <v>39782</v>
      </c>
      <c r="AA459" s="776">
        <v>60</v>
      </c>
      <c r="AB459" s="776">
        <v>0</v>
      </c>
      <c r="AC459" s="776">
        <v>0</v>
      </c>
      <c r="AD459" s="776">
        <v>0</v>
      </c>
      <c r="AE459" s="777">
        <v>146</v>
      </c>
      <c r="AF459" s="777">
        <v>146</v>
      </c>
      <c r="AG459" s="778">
        <v>150.38</v>
      </c>
    </row>
    <row r="460" spans="1:33" x14ac:dyDescent="0.2">
      <c r="A460" s="15">
        <f t="shared" si="56"/>
        <v>2008</v>
      </c>
      <c r="B460" s="14">
        <f t="shared" si="57"/>
        <v>10</v>
      </c>
      <c r="C460" s="13" t="str">
        <f t="shared" si="58"/>
        <v>Q4</v>
      </c>
      <c r="D460" s="13" t="str">
        <f t="shared" si="59"/>
        <v>2008Q4</v>
      </c>
      <c r="E460" s="13" t="str">
        <f t="shared" si="60"/>
        <v>Brazil</v>
      </c>
      <c r="F460" s="13" t="str">
        <f t="shared" si="62"/>
        <v>Biofuels</v>
      </c>
      <c r="G460" s="13" t="str">
        <f t="shared" si="63"/>
        <v>Asset finance investments</v>
      </c>
      <c r="H460" s="638">
        <f t="shared" si="61"/>
        <v>139.256</v>
      </c>
      <c r="I460" s="24" t="s">
        <v>506</v>
      </c>
      <c r="J460" s="25" t="s">
        <v>246</v>
      </c>
      <c r="K460" s="25" t="s">
        <v>2216</v>
      </c>
      <c r="L460" s="25" t="s">
        <v>1047</v>
      </c>
      <c r="M460" s="25" t="s">
        <v>31</v>
      </c>
      <c r="N460" s="25" t="s">
        <v>31</v>
      </c>
      <c r="O460" s="25" t="s">
        <v>92</v>
      </c>
      <c r="P460" s="25" t="s">
        <v>83</v>
      </c>
      <c r="Q460" s="25" t="s">
        <v>82</v>
      </c>
      <c r="R460" s="25" t="s">
        <v>91</v>
      </c>
      <c r="S460" s="25" t="s">
        <v>96</v>
      </c>
      <c r="T460" s="25" t="s">
        <v>96</v>
      </c>
      <c r="U460" s="25" t="s">
        <v>98</v>
      </c>
      <c r="V460" s="25" t="s">
        <v>230</v>
      </c>
      <c r="W460" s="25" t="s">
        <v>553</v>
      </c>
      <c r="X460" s="25" t="s">
        <v>1749</v>
      </c>
      <c r="Y460" s="25" t="s">
        <v>1750</v>
      </c>
      <c r="Z460" s="26">
        <v>39737</v>
      </c>
      <c r="AA460" s="776">
        <v>0</v>
      </c>
      <c r="AB460" s="776">
        <v>110</v>
      </c>
      <c r="AC460" s="776">
        <v>0</v>
      </c>
      <c r="AD460" s="776">
        <v>0</v>
      </c>
      <c r="AE460" s="777">
        <v>135.19999999999999</v>
      </c>
      <c r="AF460" s="777">
        <v>135.19999999999999</v>
      </c>
      <c r="AG460" s="778">
        <v>139.256</v>
      </c>
    </row>
    <row r="461" spans="1:33" x14ac:dyDescent="0.2">
      <c r="A461" s="15">
        <f t="shared" si="56"/>
        <v>2008</v>
      </c>
      <c r="B461" s="14">
        <f t="shared" si="57"/>
        <v>12</v>
      </c>
      <c r="C461" s="13" t="str">
        <f t="shared" si="58"/>
        <v>Q4</v>
      </c>
      <c r="D461" s="13" t="str">
        <f t="shared" si="59"/>
        <v>2008Q4</v>
      </c>
      <c r="E461" s="13" t="str">
        <f t="shared" si="60"/>
        <v>Brazil</v>
      </c>
      <c r="F461" s="13" t="str">
        <f t="shared" si="62"/>
        <v>Biomass &amp; Waste</v>
      </c>
      <c r="G461" s="13" t="str">
        <f t="shared" si="63"/>
        <v>Asset finance investments</v>
      </c>
      <c r="H461" s="638">
        <f t="shared" si="61"/>
        <v>131.84</v>
      </c>
      <c r="I461" s="24" t="s">
        <v>506</v>
      </c>
      <c r="J461" s="25" t="s">
        <v>246</v>
      </c>
      <c r="K461" s="25" t="s">
        <v>2217</v>
      </c>
      <c r="L461" s="25" t="s">
        <v>2218</v>
      </c>
      <c r="M461" s="25" t="s">
        <v>31</v>
      </c>
      <c r="N461" s="25" t="s">
        <v>31</v>
      </c>
      <c r="O461" s="25" t="s">
        <v>92</v>
      </c>
      <c r="P461" s="25" t="s">
        <v>83</v>
      </c>
      <c r="Q461" s="25" t="s">
        <v>82</v>
      </c>
      <c r="R461" s="25" t="s">
        <v>91</v>
      </c>
      <c r="S461" s="25" t="s">
        <v>114</v>
      </c>
      <c r="T461" s="25" t="s">
        <v>114</v>
      </c>
      <c r="U461" s="25" t="s">
        <v>113</v>
      </c>
      <c r="V461" s="25" t="s">
        <v>347</v>
      </c>
      <c r="W461" s="25" t="s">
        <v>553</v>
      </c>
      <c r="X461" s="25" t="s">
        <v>1752</v>
      </c>
      <c r="Y461" s="25" t="s">
        <v>1753</v>
      </c>
      <c r="Z461" s="26">
        <v>39813</v>
      </c>
      <c r="AA461" s="776">
        <v>40</v>
      </c>
      <c r="AB461" s="776">
        <v>0</v>
      </c>
      <c r="AC461" s="776">
        <v>0</v>
      </c>
      <c r="AD461" s="776">
        <v>0</v>
      </c>
      <c r="AE461" s="777">
        <v>0</v>
      </c>
      <c r="AF461" s="777">
        <v>128</v>
      </c>
      <c r="AG461" s="778">
        <v>131.84</v>
      </c>
    </row>
    <row r="462" spans="1:33" x14ac:dyDescent="0.2">
      <c r="A462" s="15">
        <f t="shared" si="56"/>
        <v>2008</v>
      </c>
      <c r="B462" s="14">
        <f t="shared" si="57"/>
        <v>12</v>
      </c>
      <c r="C462" s="13" t="str">
        <f t="shared" si="58"/>
        <v>Q4</v>
      </c>
      <c r="D462" s="13" t="str">
        <f t="shared" si="59"/>
        <v>2008Q4</v>
      </c>
      <c r="E462" s="13" t="str">
        <f t="shared" si="60"/>
        <v>Argentina</v>
      </c>
      <c r="F462" s="13" t="str">
        <f t="shared" si="62"/>
        <v>Wind</v>
      </c>
      <c r="G462" s="13" t="str">
        <f t="shared" si="63"/>
        <v>Asset finance investments</v>
      </c>
      <c r="H462" s="638">
        <f t="shared" si="61"/>
        <v>123.60000000000001</v>
      </c>
      <c r="I462" s="24" t="s">
        <v>506</v>
      </c>
      <c r="J462" s="25" t="s">
        <v>246</v>
      </c>
      <c r="K462" s="25" t="s">
        <v>2219</v>
      </c>
      <c r="L462" s="25" t="s">
        <v>575</v>
      </c>
      <c r="M462" s="25" t="s">
        <v>4</v>
      </c>
      <c r="N462" s="25" t="s">
        <v>85</v>
      </c>
      <c r="O462" s="25" t="s">
        <v>92</v>
      </c>
      <c r="P462" s="25" t="s">
        <v>83</v>
      </c>
      <c r="Q462" s="25" t="s">
        <v>82</v>
      </c>
      <c r="R462" s="25"/>
      <c r="S462" s="25" t="s">
        <v>101</v>
      </c>
      <c r="T462" s="25" t="s">
        <v>101</v>
      </c>
      <c r="U462" s="25" t="s">
        <v>112</v>
      </c>
      <c r="V462" s="25">
        <v>0</v>
      </c>
      <c r="W462" s="25" t="s">
        <v>553</v>
      </c>
      <c r="X462" s="25" t="s">
        <v>1752</v>
      </c>
      <c r="Y462" s="25" t="s">
        <v>1753</v>
      </c>
      <c r="Z462" s="26">
        <v>39813</v>
      </c>
      <c r="AA462" s="776">
        <v>60</v>
      </c>
      <c r="AB462" s="776">
        <v>0</v>
      </c>
      <c r="AC462" s="776">
        <v>0</v>
      </c>
      <c r="AD462" s="776">
        <v>0</v>
      </c>
      <c r="AE462" s="777">
        <v>0</v>
      </c>
      <c r="AF462" s="777">
        <v>120</v>
      </c>
      <c r="AG462" s="778">
        <v>123.60000000000001</v>
      </c>
    </row>
    <row r="463" spans="1:33" x14ac:dyDescent="0.2">
      <c r="A463" s="15">
        <f t="shared" si="56"/>
        <v>2008</v>
      </c>
      <c r="B463" s="14">
        <f t="shared" si="57"/>
        <v>11</v>
      </c>
      <c r="C463" s="13" t="str">
        <f t="shared" si="58"/>
        <v>Q4</v>
      </c>
      <c r="D463" s="13" t="str">
        <f t="shared" si="59"/>
        <v>2008Q4</v>
      </c>
      <c r="E463" s="13" t="str">
        <f t="shared" si="60"/>
        <v>Brazil</v>
      </c>
      <c r="F463" s="13" t="str">
        <f t="shared" si="62"/>
        <v>Biofuels</v>
      </c>
      <c r="G463" s="13" t="str">
        <f t="shared" si="63"/>
        <v>Asset finance investments</v>
      </c>
      <c r="H463" s="638">
        <f t="shared" si="61"/>
        <v>117.41999999999999</v>
      </c>
      <c r="I463" s="24" t="s">
        <v>506</v>
      </c>
      <c r="J463" s="25" t="s">
        <v>246</v>
      </c>
      <c r="K463" s="25" t="s">
        <v>2220</v>
      </c>
      <c r="L463" s="25" t="s">
        <v>2221</v>
      </c>
      <c r="M463" s="25" t="s">
        <v>31</v>
      </c>
      <c r="N463" s="25" t="s">
        <v>31</v>
      </c>
      <c r="O463" s="25" t="s">
        <v>92</v>
      </c>
      <c r="P463" s="25" t="s">
        <v>83</v>
      </c>
      <c r="Q463" s="25" t="s">
        <v>82</v>
      </c>
      <c r="R463" s="25" t="s">
        <v>91</v>
      </c>
      <c r="S463" s="25" t="s">
        <v>96</v>
      </c>
      <c r="T463" s="25" t="s">
        <v>96</v>
      </c>
      <c r="U463" s="25" t="s">
        <v>98</v>
      </c>
      <c r="V463" s="25" t="s">
        <v>230</v>
      </c>
      <c r="W463" s="25" t="s">
        <v>553</v>
      </c>
      <c r="X463" s="25" t="s">
        <v>1752</v>
      </c>
      <c r="Y463" s="25" t="s">
        <v>1753</v>
      </c>
      <c r="Z463" s="26">
        <v>39782</v>
      </c>
      <c r="AA463" s="776">
        <v>90</v>
      </c>
      <c r="AB463" s="776">
        <v>200</v>
      </c>
      <c r="AC463" s="776">
        <v>0</v>
      </c>
      <c r="AD463" s="776">
        <v>0</v>
      </c>
      <c r="AE463" s="777">
        <v>0</v>
      </c>
      <c r="AF463" s="777">
        <v>113.99999999999999</v>
      </c>
      <c r="AG463" s="778">
        <v>117.41999999999999</v>
      </c>
    </row>
    <row r="464" spans="1:33" x14ac:dyDescent="0.2">
      <c r="A464" s="15">
        <f t="shared" si="56"/>
        <v>2008</v>
      </c>
      <c r="B464" s="14">
        <f t="shared" si="57"/>
        <v>10</v>
      </c>
      <c r="C464" s="13" t="str">
        <f t="shared" si="58"/>
        <v>Q4</v>
      </c>
      <c r="D464" s="13" t="str">
        <f t="shared" si="59"/>
        <v>2008Q4</v>
      </c>
      <c r="E464" s="13" t="str">
        <f t="shared" si="60"/>
        <v>Brazil</v>
      </c>
      <c r="F464" s="13" t="str">
        <f t="shared" si="62"/>
        <v>Biofuels</v>
      </c>
      <c r="G464" s="13" t="str">
        <f t="shared" si="63"/>
        <v>Asset finance investments</v>
      </c>
      <c r="H464" s="638">
        <f t="shared" si="61"/>
        <v>105.678</v>
      </c>
      <c r="I464" s="24" t="s">
        <v>506</v>
      </c>
      <c r="J464" s="25" t="s">
        <v>246</v>
      </c>
      <c r="K464" s="25" t="s">
        <v>2222</v>
      </c>
      <c r="L464" s="25" t="s">
        <v>2223</v>
      </c>
      <c r="M464" s="25" t="s">
        <v>31</v>
      </c>
      <c r="N464" s="25" t="s">
        <v>31</v>
      </c>
      <c r="O464" s="25" t="s">
        <v>92</v>
      </c>
      <c r="P464" s="25" t="s">
        <v>83</v>
      </c>
      <c r="Q464" s="25" t="s">
        <v>82</v>
      </c>
      <c r="R464" s="25" t="s">
        <v>91</v>
      </c>
      <c r="S464" s="25" t="s">
        <v>96</v>
      </c>
      <c r="T464" s="25" t="s">
        <v>96</v>
      </c>
      <c r="U464" s="25" t="s">
        <v>98</v>
      </c>
      <c r="V464" s="25" t="s">
        <v>230</v>
      </c>
      <c r="W464" s="25" t="s">
        <v>553</v>
      </c>
      <c r="X464" s="25" t="s">
        <v>1752</v>
      </c>
      <c r="Y464" s="25" t="s">
        <v>1753</v>
      </c>
      <c r="Z464" s="26">
        <v>39729</v>
      </c>
      <c r="AA464" s="776">
        <v>33.75</v>
      </c>
      <c r="AB464" s="776">
        <v>180</v>
      </c>
      <c r="AC464" s="776">
        <v>0</v>
      </c>
      <c r="AD464" s="776">
        <v>0</v>
      </c>
      <c r="AE464" s="777">
        <v>0</v>
      </c>
      <c r="AF464" s="777">
        <v>102.6</v>
      </c>
      <c r="AG464" s="778">
        <v>105.678</v>
      </c>
    </row>
    <row r="465" spans="1:33" x14ac:dyDescent="0.2">
      <c r="A465" s="15">
        <f t="shared" si="56"/>
        <v>2008</v>
      </c>
      <c r="B465" s="14">
        <f t="shared" si="57"/>
        <v>11</v>
      </c>
      <c r="C465" s="13" t="str">
        <f t="shared" si="58"/>
        <v>Q4</v>
      </c>
      <c r="D465" s="13" t="str">
        <f t="shared" si="59"/>
        <v>2008Q4</v>
      </c>
      <c r="E465" s="13" t="str">
        <f t="shared" si="60"/>
        <v>Brazil</v>
      </c>
      <c r="F465" s="13" t="str">
        <f t="shared" si="62"/>
        <v>Biofuels</v>
      </c>
      <c r="G465" s="13" t="str">
        <f t="shared" si="63"/>
        <v>Asset finance investments</v>
      </c>
      <c r="H465" s="638">
        <f t="shared" si="61"/>
        <v>103</v>
      </c>
      <c r="I465" s="24" t="s">
        <v>506</v>
      </c>
      <c r="J465" s="25" t="s">
        <v>246</v>
      </c>
      <c r="K465" s="25" t="s">
        <v>2224</v>
      </c>
      <c r="L465" s="25" t="s">
        <v>2225</v>
      </c>
      <c r="M465" s="25" t="s">
        <v>31</v>
      </c>
      <c r="N465" s="25" t="s">
        <v>31</v>
      </c>
      <c r="O465" s="25" t="s">
        <v>92</v>
      </c>
      <c r="P465" s="25" t="s">
        <v>83</v>
      </c>
      <c r="Q465" s="25" t="s">
        <v>82</v>
      </c>
      <c r="R465" s="25" t="s">
        <v>91</v>
      </c>
      <c r="S465" s="25" t="s">
        <v>96</v>
      </c>
      <c r="T465" s="25" t="s">
        <v>96</v>
      </c>
      <c r="U465" s="25" t="s">
        <v>98</v>
      </c>
      <c r="V465" s="25" t="s">
        <v>230</v>
      </c>
      <c r="W465" s="25" t="s">
        <v>553</v>
      </c>
      <c r="X465" s="25" t="s">
        <v>1752</v>
      </c>
      <c r="Y465" s="25" t="s">
        <v>1753</v>
      </c>
      <c r="Z465" s="26">
        <v>39782</v>
      </c>
      <c r="AA465" s="776">
        <v>96</v>
      </c>
      <c r="AB465" s="776">
        <v>295</v>
      </c>
      <c r="AC465" s="776">
        <v>0</v>
      </c>
      <c r="AD465" s="776">
        <v>0</v>
      </c>
      <c r="AE465" s="777">
        <v>100</v>
      </c>
      <c r="AF465" s="777">
        <v>100</v>
      </c>
      <c r="AG465" s="778">
        <v>103</v>
      </c>
    </row>
    <row r="466" spans="1:33" x14ac:dyDescent="0.2">
      <c r="A466" s="15">
        <f t="shared" si="56"/>
        <v>2008</v>
      </c>
      <c r="B466" s="14">
        <f t="shared" si="57"/>
        <v>12</v>
      </c>
      <c r="C466" s="13" t="str">
        <f t="shared" si="58"/>
        <v>Q4</v>
      </c>
      <c r="D466" s="13" t="str">
        <f t="shared" si="59"/>
        <v>2008Q4</v>
      </c>
      <c r="E466" s="13" t="str">
        <f t="shared" si="60"/>
        <v>Brazil</v>
      </c>
      <c r="F466" s="13" t="str">
        <f t="shared" si="62"/>
        <v>Biomass &amp; Waste</v>
      </c>
      <c r="G466" s="13" t="str">
        <f t="shared" si="63"/>
        <v>Asset finance investments</v>
      </c>
      <c r="H466" s="638">
        <f t="shared" si="61"/>
        <v>92.7</v>
      </c>
      <c r="I466" s="24" t="s">
        <v>506</v>
      </c>
      <c r="J466" s="25" t="s">
        <v>246</v>
      </c>
      <c r="K466" s="25" t="s">
        <v>2226</v>
      </c>
      <c r="L466" s="25" t="s">
        <v>634</v>
      </c>
      <c r="M466" s="25" t="s">
        <v>31</v>
      </c>
      <c r="N466" s="25" t="s">
        <v>31</v>
      </c>
      <c r="O466" s="25" t="s">
        <v>92</v>
      </c>
      <c r="P466" s="25" t="s">
        <v>83</v>
      </c>
      <c r="Q466" s="25" t="s">
        <v>82</v>
      </c>
      <c r="R466" s="25" t="s">
        <v>91</v>
      </c>
      <c r="S466" s="25" t="s">
        <v>114</v>
      </c>
      <c r="T466" s="25" t="s">
        <v>114</v>
      </c>
      <c r="U466" s="25" t="s">
        <v>113</v>
      </c>
      <c r="V466" s="25">
        <v>0</v>
      </c>
      <c r="W466" s="25" t="s">
        <v>553</v>
      </c>
      <c r="X466" s="25" t="s">
        <v>1752</v>
      </c>
      <c r="Y466" s="25" t="s">
        <v>1753</v>
      </c>
      <c r="Z466" s="26">
        <v>39813</v>
      </c>
      <c r="AA466" s="776">
        <v>0</v>
      </c>
      <c r="AB466" s="776">
        <v>0</v>
      </c>
      <c r="AC466" s="776">
        <v>0</v>
      </c>
      <c r="AD466" s="776">
        <v>0</v>
      </c>
      <c r="AE466" s="777">
        <v>0</v>
      </c>
      <c r="AF466" s="777">
        <v>90</v>
      </c>
      <c r="AG466" s="778">
        <v>92.7</v>
      </c>
    </row>
    <row r="467" spans="1:33" x14ac:dyDescent="0.2">
      <c r="A467" s="15">
        <f t="shared" si="56"/>
        <v>2008</v>
      </c>
      <c r="B467" s="14">
        <f t="shared" si="57"/>
        <v>12</v>
      </c>
      <c r="C467" s="13" t="str">
        <f t="shared" si="58"/>
        <v>Q4</v>
      </c>
      <c r="D467" s="13" t="str">
        <f t="shared" si="59"/>
        <v>2008Q4</v>
      </c>
      <c r="E467" s="13" t="str">
        <f t="shared" si="60"/>
        <v>Chile</v>
      </c>
      <c r="F467" s="13" t="str">
        <f t="shared" si="62"/>
        <v>Biomass &amp; Waste</v>
      </c>
      <c r="G467" s="13" t="str">
        <f t="shared" si="63"/>
        <v>Asset finance investments</v>
      </c>
      <c r="H467" s="638">
        <f t="shared" si="61"/>
        <v>88.58</v>
      </c>
      <c r="I467" s="24" t="s">
        <v>506</v>
      </c>
      <c r="J467" s="25" t="s">
        <v>246</v>
      </c>
      <c r="K467" s="25" t="s">
        <v>2227</v>
      </c>
      <c r="L467" s="25" t="s">
        <v>635</v>
      </c>
      <c r="M467" s="25" t="s">
        <v>8</v>
      </c>
      <c r="N467" s="25" t="s">
        <v>85</v>
      </c>
      <c r="O467" s="25" t="s">
        <v>92</v>
      </c>
      <c r="P467" s="25" t="s">
        <v>83</v>
      </c>
      <c r="Q467" s="25" t="s">
        <v>129</v>
      </c>
      <c r="R467" s="25"/>
      <c r="S467" s="25" t="s">
        <v>114</v>
      </c>
      <c r="T467" s="25" t="s">
        <v>114</v>
      </c>
      <c r="U467" s="25" t="s">
        <v>113</v>
      </c>
      <c r="V467" s="25">
        <v>0</v>
      </c>
      <c r="W467" s="25" t="s">
        <v>553</v>
      </c>
      <c r="X467" s="25" t="s">
        <v>1752</v>
      </c>
      <c r="Y467" s="25" t="s">
        <v>1753</v>
      </c>
      <c r="Z467" s="26">
        <v>39787</v>
      </c>
      <c r="AA467" s="776">
        <v>43</v>
      </c>
      <c r="AB467" s="776">
        <v>0</v>
      </c>
      <c r="AC467" s="776">
        <v>0</v>
      </c>
      <c r="AD467" s="776">
        <v>0</v>
      </c>
      <c r="AE467" s="777">
        <v>0</v>
      </c>
      <c r="AF467" s="777">
        <v>86</v>
      </c>
      <c r="AG467" s="778">
        <v>88.58</v>
      </c>
    </row>
    <row r="468" spans="1:33" x14ac:dyDescent="0.2">
      <c r="A468" s="15">
        <f t="shared" si="56"/>
        <v>2008</v>
      </c>
      <c r="B468" s="14">
        <f t="shared" si="57"/>
        <v>12</v>
      </c>
      <c r="C468" s="13" t="str">
        <f t="shared" si="58"/>
        <v>Q4</v>
      </c>
      <c r="D468" s="13" t="str">
        <f t="shared" si="59"/>
        <v>2008Q4</v>
      </c>
      <c r="E468" s="13" t="str">
        <f t="shared" si="60"/>
        <v>Brazil</v>
      </c>
      <c r="F468" s="13" t="str">
        <f t="shared" si="62"/>
        <v>Wind</v>
      </c>
      <c r="G468" s="13" t="str">
        <f t="shared" si="63"/>
        <v>Asset finance investments</v>
      </c>
      <c r="H468" s="638">
        <f t="shared" si="61"/>
        <v>83.945000000000007</v>
      </c>
      <c r="I468" s="24" t="s">
        <v>506</v>
      </c>
      <c r="J468" s="25" t="s">
        <v>246</v>
      </c>
      <c r="K468" s="25" t="s">
        <v>2228</v>
      </c>
      <c r="L468" s="25" t="s">
        <v>1104</v>
      </c>
      <c r="M468" s="25" t="s">
        <v>31</v>
      </c>
      <c r="N468" s="25" t="s">
        <v>31</v>
      </c>
      <c r="O468" s="25" t="s">
        <v>92</v>
      </c>
      <c r="P468" s="25" t="s">
        <v>83</v>
      </c>
      <c r="Q468" s="25" t="s">
        <v>82</v>
      </c>
      <c r="R468" s="25" t="s">
        <v>91</v>
      </c>
      <c r="S468" s="25" t="s">
        <v>101</v>
      </c>
      <c r="T468" s="25" t="s">
        <v>101</v>
      </c>
      <c r="U468" s="25" t="s">
        <v>112</v>
      </c>
      <c r="V468" s="25">
        <v>0</v>
      </c>
      <c r="W468" s="25" t="s">
        <v>553</v>
      </c>
      <c r="X468" s="25" t="s">
        <v>1752</v>
      </c>
      <c r="Y468" s="25" t="s">
        <v>1753</v>
      </c>
      <c r="Z468" s="26">
        <v>39792</v>
      </c>
      <c r="AA468" s="776">
        <v>48</v>
      </c>
      <c r="AB468" s="776">
        <v>0</v>
      </c>
      <c r="AC468" s="776">
        <v>0</v>
      </c>
      <c r="AD468" s="776">
        <v>0</v>
      </c>
      <c r="AE468" s="777">
        <v>81.5</v>
      </c>
      <c r="AF468" s="777">
        <v>81.5</v>
      </c>
      <c r="AG468" s="778">
        <v>83.945000000000007</v>
      </c>
    </row>
    <row r="469" spans="1:33" x14ac:dyDescent="0.2">
      <c r="A469" s="15">
        <f t="shared" si="56"/>
        <v>2008</v>
      </c>
      <c r="B469" s="14">
        <f t="shared" si="57"/>
        <v>12</v>
      </c>
      <c r="C469" s="13" t="str">
        <f t="shared" si="58"/>
        <v>Q4</v>
      </c>
      <c r="D469" s="13" t="str">
        <f t="shared" si="59"/>
        <v>2008Q4</v>
      </c>
      <c r="E469" s="13" t="str">
        <f t="shared" si="60"/>
        <v>Argentina</v>
      </c>
      <c r="F469" s="13" t="str">
        <f t="shared" si="62"/>
        <v>Biofuels</v>
      </c>
      <c r="G469" s="13" t="str">
        <f t="shared" si="63"/>
        <v>Asset finance investments</v>
      </c>
      <c r="H469" s="638">
        <f t="shared" si="61"/>
        <v>82.4</v>
      </c>
      <c r="I469" s="24" t="s">
        <v>506</v>
      </c>
      <c r="J469" s="25" t="s">
        <v>246</v>
      </c>
      <c r="K469" s="25" t="s">
        <v>2229</v>
      </c>
      <c r="L469" s="25" t="s">
        <v>995</v>
      </c>
      <c r="M469" s="25" t="s">
        <v>4</v>
      </c>
      <c r="N469" s="25" t="s">
        <v>85</v>
      </c>
      <c r="O469" s="25" t="s">
        <v>92</v>
      </c>
      <c r="P469" s="25" t="s">
        <v>83</v>
      </c>
      <c r="Q469" s="25" t="s">
        <v>82</v>
      </c>
      <c r="R469" s="25"/>
      <c r="S469" s="25" t="s">
        <v>96</v>
      </c>
      <c r="T469" s="25" t="s">
        <v>96</v>
      </c>
      <c r="U469" s="25" t="s">
        <v>95</v>
      </c>
      <c r="V469" s="25" t="s">
        <v>223</v>
      </c>
      <c r="W469" s="25" t="s">
        <v>553</v>
      </c>
      <c r="X469" s="25" t="s">
        <v>1752</v>
      </c>
      <c r="Y469" s="25" t="s">
        <v>1753</v>
      </c>
      <c r="Z469" s="26">
        <v>39796</v>
      </c>
      <c r="AA469" s="776">
        <v>0</v>
      </c>
      <c r="AB469" s="776">
        <v>238.1</v>
      </c>
      <c r="AC469" s="776">
        <v>0</v>
      </c>
      <c r="AD469" s="776">
        <v>0</v>
      </c>
      <c r="AE469" s="777">
        <v>80</v>
      </c>
      <c r="AF469" s="777">
        <v>80</v>
      </c>
      <c r="AG469" s="778">
        <v>82.4</v>
      </c>
    </row>
    <row r="470" spans="1:33" x14ac:dyDescent="0.2">
      <c r="A470" s="15">
        <f t="shared" si="56"/>
        <v>2008</v>
      </c>
      <c r="B470" s="14">
        <f t="shared" si="57"/>
        <v>12</v>
      </c>
      <c r="C470" s="13" t="str">
        <f t="shared" si="58"/>
        <v>Q4</v>
      </c>
      <c r="D470" s="13" t="str">
        <f t="shared" si="59"/>
        <v>2008Q4</v>
      </c>
      <c r="E470" s="13" t="str">
        <f t="shared" si="60"/>
        <v>Argentina</v>
      </c>
      <c r="F470" s="13" t="str">
        <f t="shared" si="62"/>
        <v>Biofuels</v>
      </c>
      <c r="G470" s="13" t="str">
        <f t="shared" si="63"/>
        <v>Asset finance investments</v>
      </c>
      <c r="H470" s="638">
        <f t="shared" si="61"/>
        <v>82.080699999999993</v>
      </c>
      <c r="I470" s="24" t="s">
        <v>506</v>
      </c>
      <c r="J470" s="25" t="s">
        <v>246</v>
      </c>
      <c r="K470" s="25" t="s">
        <v>2230</v>
      </c>
      <c r="L470" s="25" t="s">
        <v>751</v>
      </c>
      <c r="M470" s="25" t="s">
        <v>4</v>
      </c>
      <c r="N470" s="25" t="s">
        <v>85</v>
      </c>
      <c r="O470" s="25" t="s">
        <v>92</v>
      </c>
      <c r="P470" s="25" t="s">
        <v>83</v>
      </c>
      <c r="Q470" s="25" t="s">
        <v>82</v>
      </c>
      <c r="R470" s="25"/>
      <c r="S470" s="25" t="s">
        <v>96</v>
      </c>
      <c r="T470" s="25" t="s">
        <v>96</v>
      </c>
      <c r="U470" s="25" t="s">
        <v>95</v>
      </c>
      <c r="V470" s="25" t="s">
        <v>223</v>
      </c>
      <c r="W470" s="25" t="s">
        <v>553</v>
      </c>
      <c r="X470" s="25" t="s">
        <v>1752</v>
      </c>
      <c r="Y470" s="25" t="s">
        <v>1753</v>
      </c>
      <c r="Z470" s="26">
        <v>39813</v>
      </c>
      <c r="AA470" s="776">
        <v>0</v>
      </c>
      <c r="AB470" s="776">
        <v>0</v>
      </c>
      <c r="AC470" s="776">
        <v>0</v>
      </c>
      <c r="AD470" s="776">
        <v>0</v>
      </c>
      <c r="AE470" s="777">
        <v>0</v>
      </c>
      <c r="AF470" s="777">
        <v>79.69</v>
      </c>
      <c r="AG470" s="778">
        <v>82.080699999999993</v>
      </c>
    </row>
    <row r="471" spans="1:33" x14ac:dyDescent="0.2">
      <c r="A471" s="15">
        <f t="shared" si="56"/>
        <v>2008</v>
      </c>
      <c r="B471" s="14">
        <f t="shared" si="57"/>
        <v>12</v>
      </c>
      <c r="C471" s="13" t="str">
        <f t="shared" si="58"/>
        <v>Q4</v>
      </c>
      <c r="D471" s="13" t="str">
        <f t="shared" si="59"/>
        <v>2008Q4</v>
      </c>
      <c r="E471" s="13" t="str">
        <f t="shared" si="60"/>
        <v>Brazil</v>
      </c>
      <c r="F471" s="13" t="str">
        <f t="shared" si="62"/>
        <v>Small Hydro</v>
      </c>
      <c r="G471" s="13" t="str">
        <f t="shared" si="63"/>
        <v>Asset finance investments</v>
      </c>
      <c r="H471" s="638">
        <f t="shared" si="61"/>
        <v>71.173000000000002</v>
      </c>
      <c r="I471" s="24" t="s">
        <v>506</v>
      </c>
      <c r="J471" s="25" t="s">
        <v>246</v>
      </c>
      <c r="K471" s="25" t="s">
        <v>2231</v>
      </c>
      <c r="L471" s="25" t="s">
        <v>1064</v>
      </c>
      <c r="M471" s="25" t="s">
        <v>31</v>
      </c>
      <c r="N471" s="25" t="s">
        <v>31</v>
      </c>
      <c r="O471" s="25" t="s">
        <v>92</v>
      </c>
      <c r="P471" s="25" t="s">
        <v>83</v>
      </c>
      <c r="Q471" s="25" t="s">
        <v>82</v>
      </c>
      <c r="R471" s="25" t="s">
        <v>91</v>
      </c>
      <c r="S471" s="25" t="s">
        <v>126</v>
      </c>
      <c r="T471" s="25" t="s">
        <v>125</v>
      </c>
      <c r="U471" s="25" t="s">
        <v>247</v>
      </c>
      <c r="V471" s="25">
        <v>0</v>
      </c>
      <c r="W471" s="25" t="s">
        <v>553</v>
      </c>
      <c r="X471" s="25" t="s">
        <v>1749</v>
      </c>
      <c r="Y471" s="25" t="s">
        <v>1750</v>
      </c>
      <c r="Z471" s="26">
        <v>39790</v>
      </c>
      <c r="AA471" s="776">
        <v>53</v>
      </c>
      <c r="AB471" s="776">
        <v>0</v>
      </c>
      <c r="AC471" s="776">
        <v>0</v>
      </c>
      <c r="AD471" s="776">
        <v>0</v>
      </c>
      <c r="AE471" s="777">
        <v>69.099999999999994</v>
      </c>
      <c r="AF471" s="777">
        <v>69.099999999999994</v>
      </c>
      <c r="AG471" s="778">
        <v>71.173000000000002</v>
      </c>
    </row>
    <row r="472" spans="1:33" x14ac:dyDescent="0.2">
      <c r="A472" s="15">
        <f t="shared" si="56"/>
        <v>2008</v>
      </c>
      <c r="B472" s="14">
        <f t="shared" si="57"/>
        <v>12</v>
      </c>
      <c r="C472" s="13" t="str">
        <f t="shared" si="58"/>
        <v>Q4</v>
      </c>
      <c r="D472" s="13" t="str">
        <f t="shared" si="59"/>
        <v>2008Q4</v>
      </c>
      <c r="E472" s="13" t="str">
        <f t="shared" si="60"/>
        <v>Brazil</v>
      </c>
      <c r="F472" s="13" t="str">
        <f t="shared" si="62"/>
        <v>Small Hydro</v>
      </c>
      <c r="G472" s="13" t="str">
        <f t="shared" si="63"/>
        <v>Asset finance investments</v>
      </c>
      <c r="H472" s="638">
        <f t="shared" si="61"/>
        <v>69.010000000000005</v>
      </c>
      <c r="I472" s="24" t="s">
        <v>506</v>
      </c>
      <c r="J472" s="25" t="s">
        <v>246</v>
      </c>
      <c r="K472" s="25" t="s">
        <v>2232</v>
      </c>
      <c r="L472" s="25" t="s">
        <v>964</v>
      </c>
      <c r="M472" s="25" t="s">
        <v>31</v>
      </c>
      <c r="N472" s="25" t="s">
        <v>31</v>
      </c>
      <c r="O472" s="25" t="s">
        <v>92</v>
      </c>
      <c r="P472" s="25" t="s">
        <v>83</v>
      </c>
      <c r="Q472" s="25" t="s">
        <v>82</v>
      </c>
      <c r="R472" s="25" t="s">
        <v>91</v>
      </c>
      <c r="S472" s="25" t="s">
        <v>126</v>
      </c>
      <c r="T472" s="25" t="s">
        <v>125</v>
      </c>
      <c r="U472" s="25" t="s">
        <v>342</v>
      </c>
      <c r="V472" s="25">
        <v>0</v>
      </c>
      <c r="W472" s="25" t="s">
        <v>553</v>
      </c>
      <c r="X472" s="25" t="s">
        <v>1749</v>
      </c>
      <c r="Y472" s="25" t="s">
        <v>1750</v>
      </c>
      <c r="Z472" s="26">
        <v>39797</v>
      </c>
      <c r="AA472" s="776">
        <v>30</v>
      </c>
      <c r="AB472" s="776">
        <v>0</v>
      </c>
      <c r="AC472" s="776">
        <v>0</v>
      </c>
      <c r="AD472" s="776">
        <v>0</v>
      </c>
      <c r="AE472" s="777">
        <v>67</v>
      </c>
      <c r="AF472" s="777">
        <v>67</v>
      </c>
      <c r="AG472" s="778">
        <v>69.010000000000005</v>
      </c>
    </row>
    <row r="473" spans="1:33" x14ac:dyDescent="0.2">
      <c r="A473" s="15">
        <f t="shared" si="56"/>
        <v>2008</v>
      </c>
      <c r="B473" s="14">
        <f t="shared" si="57"/>
        <v>11</v>
      </c>
      <c r="C473" s="13" t="str">
        <f t="shared" si="58"/>
        <v>Q4</v>
      </c>
      <c r="D473" s="13" t="str">
        <f t="shared" si="59"/>
        <v>2008Q4</v>
      </c>
      <c r="E473" s="13" t="str">
        <f t="shared" si="60"/>
        <v>Brazil</v>
      </c>
      <c r="F473" s="13" t="str">
        <f t="shared" si="62"/>
        <v>Biofuels</v>
      </c>
      <c r="G473" s="13" t="str">
        <f t="shared" si="63"/>
        <v>Asset finance investments</v>
      </c>
      <c r="H473" s="638">
        <f t="shared" si="61"/>
        <v>67.615380000000002</v>
      </c>
      <c r="I473" s="24" t="s">
        <v>506</v>
      </c>
      <c r="J473" s="25" t="s">
        <v>246</v>
      </c>
      <c r="K473" s="25" t="s">
        <v>2233</v>
      </c>
      <c r="L473" s="25" t="s">
        <v>2234</v>
      </c>
      <c r="M473" s="25" t="s">
        <v>31</v>
      </c>
      <c r="N473" s="25" t="s">
        <v>31</v>
      </c>
      <c r="O473" s="25" t="s">
        <v>92</v>
      </c>
      <c r="P473" s="25" t="s">
        <v>83</v>
      </c>
      <c r="Q473" s="25" t="s">
        <v>82</v>
      </c>
      <c r="R473" s="25" t="s">
        <v>91</v>
      </c>
      <c r="S473" s="25" t="s">
        <v>96</v>
      </c>
      <c r="T473" s="25" t="s">
        <v>96</v>
      </c>
      <c r="U473" s="25" t="s">
        <v>95</v>
      </c>
      <c r="V473" s="25" t="s">
        <v>223</v>
      </c>
      <c r="W473" s="25" t="s">
        <v>553</v>
      </c>
      <c r="X473" s="25" t="s">
        <v>1752</v>
      </c>
      <c r="Y473" s="25" t="s">
        <v>1753</v>
      </c>
      <c r="Z473" s="26">
        <v>39782</v>
      </c>
      <c r="AA473" s="776">
        <v>0</v>
      </c>
      <c r="AB473" s="776">
        <v>156.30000000000001</v>
      </c>
      <c r="AC473" s="776">
        <v>0</v>
      </c>
      <c r="AD473" s="776">
        <v>0</v>
      </c>
      <c r="AE473" s="777">
        <v>0</v>
      </c>
      <c r="AF473" s="777">
        <v>65.646000000000001</v>
      </c>
      <c r="AG473" s="778">
        <v>67.615380000000002</v>
      </c>
    </row>
    <row r="474" spans="1:33" x14ac:dyDescent="0.2">
      <c r="A474" s="15">
        <f t="shared" si="56"/>
        <v>2008</v>
      </c>
      <c r="B474" s="14">
        <f t="shared" si="57"/>
        <v>12</v>
      </c>
      <c r="C474" s="13" t="str">
        <f t="shared" si="58"/>
        <v>Q4</v>
      </c>
      <c r="D474" s="13" t="str">
        <f t="shared" si="59"/>
        <v>2008Q4</v>
      </c>
      <c r="E474" s="13" t="str">
        <f t="shared" si="60"/>
        <v>Brazil</v>
      </c>
      <c r="F474" s="13" t="str">
        <f t="shared" si="62"/>
        <v>Small Hydro</v>
      </c>
      <c r="G474" s="13" t="str">
        <f t="shared" si="63"/>
        <v>Asset finance investments</v>
      </c>
      <c r="H474" s="638">
        <f t="shared" si="61"/>
        <v>66.95</v>
      </c>
      <c r="I474" s="24" t="s">
        <v>506</v>
      </c>
      <c r="J474" s="25" t="s">
        <v>246</v>
      </c>
      <c r="K474" s="25" t="s">
        <v>2235</v>
      </c>
      <c r="L474" s="25" t="s">
        <v>993</v>
      </c>
      <c r="M474" s="25" t="s">
        <v>31</v>
      </c>
      <c r="N474" s="25" t="s">
        <v>31</v>
      </c>
      <c r="O474" s="25" t="s">
        <v>92</v>
      </c>
      <c r="P474" s="25" t="s">
        <v>83</v>
      </c>
      <c r="Q474" s="25" t="s">
        <v>82</v>
      </c>
      <c r="R474" s="25" t="s">
        <v>91</v>
      </c>
      <c r="S474" s="25" t="s">
        <v>126</v>
      </c>
      <c r="T474" s="25" t="s">
        <v>125</v>
      </c>
      <c r="U474" s="25" t="s">
        <v>342</v>
      </c>
      <c r="V474" s="25">
        <v>0</v>
      </c>
      <c r="W474" s="25" t="s">
        <v>553</v>
      </c>
      <c r="X474" s="25" t="s">
        <v>1749</v>
      </c>
      <c r="Y474" s="25" t="s">
        <v>1750</v>
      </c>
      <c r="Z474" s="26">
        <v>39797</v>
      </c>
      <c r="AA474" s="776">
        <v>30</v>
      </c>
      <c r="AB474" s="776">
        <v>0</v>
      </c>
      <c r="AC474" s="776">
        <v>0</v>
      </c>
      <c r="AD474" s="776">
        <v>0</v>
      </c>
      <c r="AE474" s="777">
        <v>65</v>
      </c>
      <c r="AF474" s="777">
        <v>65</v>
      </c>
      <c r="AG474" s="778">
        <v>66.95</v>
      </c>
    </row>
    <row r="475" spans="1:33" x14ac:dyDescent="0.2">
      <c r="A475" s="15">
        <f t="shared" si="56"/>
        <v>2008</v>
      </c>
      <c r="B475" s="14">
        <f t="shared" si="57"/>
        <v>12</v>
      </c>
      <c r="C475" s="13" t="str">
        <f t="shared" si="58"/>
        <v>Q4</v>
      </c>
      <c r="D475" s="13" t="str">
        <f t="shared" si="59"/>
        <v>2008Q4</v>
      </c>
      <c r="E475" s="13" t="str">
        <f t="shared" si="60"/>
        <v>Brazil</v>
      </c>
      <c r="F475" s="13" t="str">
        <f t="shared" si="62"/>
        <v>Biofuels</v>
      </c>
      <c r="G475" s="13" t="str">
        <f t="shared" si="63"/>
        <v>VC/PE investments</v>
      </c>
      <c r="H475" s="638">
        <f t="shared" si="61"/>
        <v>61.800000000000004</v>
      </c>
      <c r="I475" s="24" t="s">
        <v>506</v>
      </c>
      <c r="J475" s="25" t="s">
        <v>216</v>
      </c>
      <c r="K475" s="25" t="s">
        <v>541</v>
      </c>
      <c r="L475" s="25" t="s">
        <v>170</v>
      </c>
      <c r="M475" s="25" t="s">
        <v>31</v>
      </c>
      <c r="N475" s="25" t="s">
        <v>31</v>
      </c>
      <c r="O475" s="25" t="s">
        <v>92</v>
      </c>
      <c r="P475" s="25" t="s">
        <v>83</v>
      </c>
      <c r="Q475" s="25" t="s">
        <v>82</v>
      </c>
      <c r="R475" s="25" t="s">
        <v>91</v>
      </c>
      <c r="S475" s="25" t="s">
        <v>96</v>
      </c>
      <c r="T475" s="25" t="s">
        <v>96</v>
      </c>
      <c r="U475" s="25" t="s">
        <v>98</v>
      </c>
      <c r="V475" s="25" t="s">
        <v>230</v>
      </c>
      <c r="W475" s="25" t="s">
        <v>94</v>
      </c>
      <c r="X475" s="25" t="s">
        <v>508</v>
      </c>
      <c r="Y475" s="25" t="s">
        <v>507</v>
      </c>
      <c r="Z475" s="26">
        <v>39813</v>
      </c>
      <c r="AA475" s="776" t="s">
        <v>1748</v>
      </c>
      <c r="AB475" s="776" t="s">
        <v>1748</v>
      </c>
      <c r="AC475" s="776" t="s">
        <v>1748</v>
      </c>
      <c r="AD475" s="776" t="s">
        <v>1748</v>
      </c>
      <c r="AE475" s="777">
        <v>60</v>
      </c>
      <c r="AF475" s="777">
        <v>60</v>
      </c>
      <c r="AG475" s="778">
        <v>61.800000000000004</v>
      </c>
    </row>
    <row r="476" spans="1:33" x14ac:dyDescent="0.2">
      <c r="A476" s="15">
        <f t="shared" si="56"/>
        <v>2008</v>
      </c>
      <c r="B476" s="14">
        <f t="shared" si="57"/>
        <v>11</v>
      </c>
      <c r="C476" s="13" t="str">
        <f t="shared" si="58"/>
        <v>Q4</v>
      </c>
      <c r="D476" s="13" t="str">
        <f t="shared" si="59"/>
        <v>2008Q4</v>
      </c>
      <c r="E476" s="13" t="str">
        <f t="shared" si="60"/>
        <v>Brazil</v>
      </c>
      <c r="F476" s="13" t="str">
        <f t="shared" si="62"/>
        <v>Small Hydro</v>
      </c>
      <c r="G476" s="13" t="str">
        <f t="shared" si="63"/>
        <v>Asset finance investments</v>
      </c>
      <c r="H476" s="638">
        <f t="shared" si="61"/>
        <v>61.285000000000004</v>
      </c>
      <c r="I476" s="24" t="s">
        <v>506</v>
      </c>
      <c r="J476" s="25" t="s">
        <v>246</v>
      </c>
      <c r="K476" s="25" t="s">
        <v>2236</v>
      </c>
      <c r="L476" s="25" t="s">
        <v>975</v>
      </c>
      <c r="M476" s="25" t="s">
        <v>31</v>
      </c>
      <c r="N476" s="25" t="s">
        <v>31</v>
      </c>
      <c r="O476" s="25" t="s">
        <v>92</v>
      </c>
      <c r="P476" s="25" t="s">
        <v>83</v>
      </c>
      <c r="Q476" s="25" t="s">
        <v>82</v>
      </c>
      <c r="R476" s="25" t="s">
        <v>91</v>
      </c>
      <c r="S476" s="25" t="s">
        <v>126</v>
      </c>
      <c r="T476" s="25" t="s">
        <v>125</v>
      </c>
      <c r="U476" s="25" t="s">
        <v>342</v>
      </c>
      <c r="V476" s="25">
        <v>0</v>
      </c>
      <c r="W476" s="25" t="s">
        <v>553</v>
      </c>
      <c r="X476" s="25" t="s">
        <v>1749</v>
      </c>
      <c r="Y476" s="25" t="s">
        <v>1750</v>
      </c>
      <c r="Z476" s="26">
        <v>39766</v>
      </c>
      <c r="AA476" s="776">
        <v>30</v>
      </c>
      <c r="AB476" s="776">
        <v>0</v>
      </c>
      <c r="AC476" s="776">
        <v>0</v>
      </c>
      <c r="AD476" s="776">
        <v>0</v>
      </c>
      <c r="AE476" s="777">
        <v>59.5</v>
      </c>
      <c r="AF476" s="777">
        <v>59.5</v>
      </c>
      <c r="AG476" s="778">
        <v>61.285000000000004</v>
      </c>
    </row>
    <row r="477" spans="1:33" x14ac:dyDescent="0.2">
      <c r="A477" s="15">
        <f t="shared" si="56"/>
        <v>2008</v>
      </c>
      <c r="B477" s="14">
        <f t="shared" si="57"/>
        <v>10</v>
      </c>
      <c r="C477" s="13" t="str">
        <f t="shared" si="58"/>
        <v>Q4</v>
      </c>
      <c r="D477" s="13" t="str">
        <f t="shared" si="59"/>
        <v>2008Q4</v>
      </c>
      <c r="E477" s="13" t="str">
        <f t="shared" si="60"/>
        <v>Brazil</v>
      </c>
      <c r="F477" s="13" t="str">
        <f t="shared" si="62"/>
        <v>Biomass &amp; Waste</v>
      </c>
      <c r="G477" s="13" t="str">
        <f t="shared" si="63"/>
        <v>Asset finance investments</v>
      </c>
      <c r="H477" s="638">
        <f t="shared" si="61"/>
        <v>52.736000000000004</v>
      </c>
      <c r="I477" s="24" t="s">
        <v>506</v>
      </c>
      <c r="J477" s="25" t="s">
        <v>246</v>
      </c>
      <c r="K477" s="25" t="s">
        <v>2237</v>
      </c>
      <c r="L477" s="25" t="s">
        <v>2238</v>
      </c>
      <c r="M477" s="25" t="s">
        <v>31</v>
      </c>
      <c r="N477" s="25" t="s">
        <v>31</v>
      </c>
      <c r="O477" s="25" t="s">
        <v>92</v>
      </c>
      <c r="P477" s="25" t="s">
        <v>83</v>
      </c>
      <c r="Q477" s="25" t="s">
        <v>82</v>
      </c>
      <c r="R477" s="25" t="s">
        <v>91</v>
      </c>
      <c r="S477" s="25" t="s">
        <v>114</v>
      </c>
      <c r="T477" s="25" t="s">
        <v>114</v>
      </c>
      <c r="U477" s="25" t="s">
        <v>113</v>
      </c>
      <c r="V477" s="25" t="s">
        <v>347</v>
      </c>
      <c r="W477" s="25" t="s">
        <v>553</v>
      </c>
      <c r="X477" s="25" t="s">
        <v>1752</v>
      </c>
      <c r="Y477" s="25" t="s">
        <v>1753</v>
      </c>
      <c r="Z477" s="26">
        <v>39736</v>
      </c>
      <c r="AA477" s="776">
        <v>16</v>
      </c>
      <c r="AB477" s="776">
        <v>0</v>
      </c>
      <c r="AC477" s="776">
        <v>0</v>
      </c>
      <c r="AD477" s="776">
        <v>0</v>
      </c>
      <c r="AE477" s="777">
        <v>0</v>
      </c>
      <c r="AF477" s="777">
        <v>51.2</v>
      </c>
      <c r="AG477" s="778">
        <v>52.736000000000004</v>
      </c>
    </row>
    <row r="478" spans="1:33" x14ac:dyDescent="0.2">
      <c r="A478" s="15">
        <f t="shared" si="56"/>
        <v>2008</v>
      </c>
      <c r="B478" s="14">
        <f t="shared" si="57"/>
        <v>10</v>
      </c>
      <c r="C478" s="13" t="str">
        <f t="shared" si="58"/>
        <v>Q4</v>
      </c>
      <c r="D478" s="13" t="str">
        <f t="shared" si="59"/>
        <v>2008Q4</v>
      </c>
      <c r="E478" s="13" t="str">
        <f t="shared" si="60"/>
        <v>Brazil</v>
      </c>
      <c r="F478" s="13" t="str">
        <f t="shared" si="62"/>
        <v>Small Hydro</v>
      </c>
      <c r="G478" s="13" t="str">
        <f t="shared" si="63"/>
        <v>Asset finance investments</v>
      </c>
      <c r="H478" s="638">
        <f t="shared" si="61"/>
        <v>52.015000000000001</v>
      </c>
      <c r="I478" s="24" t="s">
        <v>506</v>
      </c>
      <c r="J478" s="25" t="s">
        <v>246</v>
      </c>
      <c r="K478" s="25" t="s">
        <v>2239</v>
      </c>
      <c r="L478" s="25" t="s">
        <v>930</v>
      </c>
      <c r="M478" s="25" t="s">
        <v>31</v>
      </c>
      <c r="N478" s="25" t="s">
        <v>31</v>
      </c>
      <c r="O478" s="25" t="s">
        <v>92</v>
      </c>
      <c r="P478" s="25" t="s">
        <v>83</v>
      </c>
      <c r="Q478" s="25" t="s">
        <v>82</v>
      </c>
      <c r="R478" s="25" t="s">
        <v>91</v>
      </c>
      <c r="S478" s="25" t="s">
        <v>126</v>
      </c>
      <c r="T478" s="25" t="s">
        <v>125</v>
      </c>
      <c r="U478" s="25" t="s">
        <v>247</v>
      </c>
      <c r="V478" s="25">
        <v>0</v>
      </c>
      <c r="W478" s="25" t="s">
        <v>553</v>
      </c>
      <c r="X478" s="25" t="s">
        <v>1752</v>
      </c>
      <c r="Y478" s="25" t="s">
        <v>1753</v>
      </c>
      <c r="Z478" s="26">
        <v>39722</v>
      </c>
      <c r="AA478" s="776">
        <v>13.7</v>
      </c>
      <c r="AB478" s="776">
        <v>0</v>
      </c>
      <c r="AC478" s="776">
        <v>0</v>
      </c>
      <c r="AD478" s="776">
        <v>0</v>
      </c>
      <c r="AE478" s="777">
        <v>50.5</v>
      </c>
      <c r="AF478" s="777">
        <v>50.5</v>
      </c>
      <c r="AG478" s="778">
        <v>52.015000000000001</v>
      </c>
    </row>
    <row r="479" spans="1:33" x14ac:dyDescent="0.2">
      <c r="A479" s="15">
        <f t="shared" si="56"/>
        <v>2008</v>
      </c>
      <c r="B479" s="14">
        <f t="shared" si="57"/>
        <v>10</v>
      </c>
      <c r="C479" s="13" t="str">
        <f t="shared" si="58"/>
        <v>Q4</v>
      </c>
      <c r="D479" s="13" t="str">
        <f t="shared" si="59"/>
        <v>2008Q4</v>
      </c>
      <c r="E479" s="13" t="str">
        <f t="shared" si="60"/>
        <v>Brazil</v>
      </c>
      <c r="F479" s="13" t="str">
        <f t="shared" si="62"/>
        <v>Small Hydro</v>
      </c>
      <c r="G479" s="13" t="str">
        <f t="shared" si="63"/>
        <v>VC/PE investments</v>
      </c>
      <c r="H479" s="638">
        <f t="shared" si="61"/>
        <v>51.5</v>
      </c>
      <c r="I479" s="24" t="s">
        <v>506</v>
      </c>
      <c r="J479" s="25" t="s">
        <v>216</v>
      </c>
      <c r="K479" s="25" t="s">
        <v>529</v>
      </c>
      <c r="L479" s="25" t="s">
        <v>528</v>
      </c>
      <c r="M479" s="25" t="s">
        <v>31</v>
      </c>
      <c r="N479" s="25" t="s">
        <v>31</v>
      </c>
      <c r="O479" s="25" t="s">
        <v>92</v>
      </c>
      <c r="P479" s="25" t="s">
        <v>83</v>
      </c>
      <c r="Q479" s="25" t="s">
        <v>82</v>
      </c>
      <c r="R479" s="25" t="s">
        <v>91</v>
      </c>
      <c r="S479" s="25" t="s">
        <v>126</v>
      </c>
      <c r="T479" s="25" t="s">
        <v>125</v>
      </c>
      <c r="U479" s="25">
        <v>0</v>
      </c>
      <c r="V479" s="25">
        <v>0</v>
      </c>
      <c r="W479" s="25" t="s">
        <v>94</v>
      </c>
      <c r="X479" s="25" t="s">
        <v>508</v>
      </c>
      <c r="Y479" s="25" t="s">
        <v>507</v>
      </c>
      <c r="Z479" s="26">
        <v>39752</v>
      </c>
      <c r="AA479" s="776" t="s">
        <v>1748</v>
      </c>
      <c r="AB479" s="776" t="s">
        <v>1748</v>
      </c>
      <c r="AC479" s="776" t="s">
        <v>1748</v>
      </c>
      <c r="AD479" s="776" t="s">
        <v>1748</v>
      </c>
      <c r="AE479" s="777">
        <v>50</v>
      </c>
      <c r="AF479" s="777">
        <v>50</v>
      </c>
      <c r="AG479" s="778">
        <v>51.5</v>
      </c>
    </row>
    <row r="480" spans="1:33" x14ac:dyDescent="0.2">
      <c r="A480" s="15">
        <f t="shared" si="56"/>
        <v>2008</v>
      </c>
      <c r="B480" s="14">
        <f t="shared" si="57"/>
        <v>11</v>
      </c>
      <c r="C480" s="13" t="str">
        <f t="shared" si="58"/>
        <v>Q4</v>
      </c>
      <c r="D480" s="13" t="str">
        <f t="shared" si="59"/>
        <v>2008Q4</v>
      </c>
      <c r="E480" s="13" t="str">
        <f t="shared" si="60"/>
        <v>Brazil</v>
      </c>
      <c r="F480" s="13" t="str">
        <f t="shared" si="62"/>
        <v>Biofuels</v>
      </c>
      <c r="G480" s="13" t="str">
        <f t="shared" si="63"/>
        <v>VC/PE investments</v>
      </c>
      <c r="H480" s="638">
        <f t="shared" si="61"/>
        <v>51.5</v>
      </c>
      <c r="I480" s="24" t="s">
        <v>506</v>
      </c>
      <c r="J480" s="25" t="s">
        <v>216</v>
      </c>
      <c r="K480" s="25" t="s">
        <v>527</v>
      </c>
      <c r="L480" s="25" t="s">
        <v>526</v>
      </c>
      <c r="M480" s="25" t="s">
        <v>31</v>
      </c>
      <c r="N480" s="25" t="s">
        <v>31</v>
      </c>
      <c r="O480" s="25" t="s">
        <v>92</v>
      </c>
      <c r="P480" s="25" t="s">
        <v>83</v>
      </c>
      <c r="Q480" s="25" t="s">
        <v>82</v>
      </c>
      <c r="R480" s="25" t="s">
        <v>91</v>
      </c>
      <c r="S480" s="25" t="s">
        <v>96</v>
      </c>
      <c r="T480" s="25" t="s">
        <v>96</v>
      </c>
      <c r="U480" s="25" t="s">
        <v>98</v>
      </c>
      <c r="V480" s="25" t="s">
        <v>230</v>
      </c>
      <c r="W480" s="25" t="s">
        <v>97</v>
      </c>
      <c r="X480" s="25" t="s">
        <v>525</v>
      </c>
      <c r="Y480" s="25" t="s">
        <v>504</v>
      </c>
      <c r="Z480" s="26">
        <v>39762</v>
      </c>
      <c r="AA480" s="776" t="s">
        <v>1748</v>
      </c>
      <c r="AB480" s="776" t="s">
        <v>1748</v>
      </c>
      <c r="AC480" s="776" t="s">
        <v>1748</v>
      </c>
      <c r="AD480" s="776" t="s">
        <v>1748</v>
      </c>
      <c r="AE480" s="777">
        <v>50</v>
      </c>
      <c r="AF480" s="777">
        <v>50</v>
      </c>
      <c r="AG480" s="778">
        <v>51.5</v>
      </c>
    </row>
    <row r="481" spans="1:33" x14ac:dyDescent="0.2">
      <c r="A481" s="15">
        <f t="shared" si="56"/>
        <v>2008</v>
      </c>
      <c r="B481" s="14">
        <f t="shared" si="57"/>
        <v>12</v>
      </c>
      <c r="C481" s="13" t="str">
        <f t="shared" si="58"/>
        <v>Q4</v>
      </c>
      <c r="D481" s="13" t="str">
        <f t="shared" si="59"/>
        <v>2008Q4</v>
      </c>
      <c r="E481" s="13" t="str">
        <f t="shared" si="60"/>
        <v>Colombia</v>
      </c>
      <c r="F481" s="13" t="str">
        <f t="shared" si="62"/>
        <v>Biofuels</v>
      </c>
      <c r="G481" s="13" t="str">
        <f t="shared" si="63"/>
        <v>Asset finance investments</v>
      </c>
      <c r="H481" s="638">
        <f t="shared" si="61"/>
        <v>51.5</v>
      </c>
      <c r="I481" s="24" t="s">
        <v>506</v>
      </c>
      <c r="J481" s="25" t="s">
        <v>246</v>
      </c>
      <c r="K481" s="25" t="s">
        <v>2240</v>
      </c>
      <c r="L481" s="25" t="s">
        <v>2241</v>
      </c>
      <c r="M481" s="25" t="s">
        <v>9</v>
      </c>
      <c r="N481" s="25" t="s">
        <v>85</v>
      </c>
      <c r="O481" s="25" t="s">
        <v>92</v>
      </c>
      <c r="P481" s="25" t="s">
        <v>83</v>
      </c>
      <c r="Q481" s="25" t="s">
        <v>82</v>
      </c>
      <c r="R481" s="25"/>
      <c r="S481" s="25" t="s">
        <v>96</v>
      </c>
      <c r="T481" s="25" t="s">
        <v>96</v>
      </c>
      <c r="U481" s="25" t="s">
        <v>98</v>
      </c>
      <c r="V481" s="25">
        <v>0</v>
      </c>
      <c r="W481" s="25" t="s">
        <v>553</v>
      </c>
      <c r="X481" s="25" t="s">
        <v>1752</v>
      </c>
      <c r="Y481" s="25" t="s">
        <v>1753</v>
      </c>
      <c r="Z481" s="26">
        <v>39813</v>
      </c>
      <c r="AA481" s="776">
        <v>0</v>
      </c>
      <c r="AB481" s="776">
        <v>9</v>
      </c>
      <c r="AC481" s="776">
        <v>0</v>
      </c>
      <c r="AD481" s="776">
        <v>0</v>
      </c>
      <c r="AE481" s="777">
        <v>0</v>
      </c>
      <c r="AF481" s="777">
        <v>50</v>
      </c>
      <c r="AG481" s="778">
        <v>51.5</v>
      </c>
    </row>
    <row r="482" spans="1:33" x14ac:dyDescent="0.2">
      <c r="A482" s="15">
        <f t="shared" si="56"/>
        <v>2008</v>
      </c>
      <c r="B482" s="14">
        <f t="shared" si="57"/>
        <v>12</v>
      </c>
      <c r="C482" s="13" t="str">
        <f t="shared" si="58"/>
        <v>Q4</v>
      </c>
      <c r="D482" s="13" t="str">
        <f t="shared" si="59"/>
        <v>2008Q4</v>
      </c>
      <c r="E482" s="13" t="str">
        <f t="shared" si="60"/>
        <v>Brazil</v>
      </c>
      <c r="F482" s="13" t="str">
        <f t="shared" si="62"/>
        <v>Small Hydro</v>
      </c>
      <c r="G482" s="13" t="str">
        <f t="shared" si="63"/>
        <v>Asset finance investments</v>
      </c>
      <c r="H482" s="638">
        <f t="shared" si="61"/>
        <v>50.212499999999999</v>
      </c>
      <c r="I482" s="24" t="s">
        <v>506</v>
      </c>
      <c r="J482" s="25" t="s">
        <v>246</v>
      </c>
      <c r="K482" s="25" t="s">
        <v>2242</v>
      </c>
      <c r="L482" s="25" t="s">
        <v>799</v>
      </c>
      <c r="M482" s="25" t="s">
        <v>31</v>
      </c>
      <c r="N482" s="25" t="s">
        <v>31</v>
      </c>
      <c r="O482" s="25" t="s">
        <v>92</v>
      </c>
      <c r="P482" s="25" t="s">
        <v>83</v>
      </c>
      <c r="Q482" s="25" t="s">
        <v>82</v>
      </c>
      <c r="R482" s="25" t="s">
        <v>91</v>
      </c>
      <c r="S482" s="25" t="s">
        <v>126</v>
      </c>
      <c r="T482" s="25" t="s">
        <v>125</v>
      </c>
      <c r="U482" s="25" t="s">
        <v>247</v>
      </c>
      <c r="V482" s="25">
        <v>0</v>
      </c>
      <c r="W482" s="25" t="s">
        <v>553</v>
      </c>
      <c r="X482" s="25" t="s">
        <v>1752</v>
      </c>
      <c r="Y482" s="25" t="s">
        <v>1753</v>
      </c>
      <c r="Z482" s="26">
        <v>39791</v>
      </c>
      <c r="AA482" s="776">
        <v>19.5</v>
      </c>
      <c r="AB482" s="776">
        <v>0</v>
      </c>
      <c r="AC482" s="776">
        <v>0</v>
      </c>
      <c r="AD482" s="776">
        <v>0</v>
      </c>
      <c r="AE482" s="777">
        <v>0</v>
      </c>
      <c r="AF482" s="777">
        <v>48.75</v>
      </c>
      <c r="AG482" s="778">
        <v>50.212499999999999</v>
      </c>
    </row>
    <row r="483" spans="1:33" x14ac:dyDescent="0.2">
      <c r="A483" s="15">
        <f t="shared" si="56"/>
        <v>2008</v>
      </c>
      <c r="B483" s="14">
        <f t="shared" si="57"/>
        <v>11</v>
      </c>
      <c r="C483" s="13" t="str">
        <f t="shared" si="58"/>
        <v>Q4</v>
      </c>
      <c r="D483" s="13" t="str">
        <f t="shared" si="59"/>
        <v>2008Q4</v>
      </c>
      <c r="E483" s="13" t="str">
        <f t="shared" si="60"/>
        <v>Brazil</v>
      </c>
      <c r="F483" s="13" t="str">
        <f t="shared" si="62"/>
        <v>Wind</v>
      </c>
      <c r="G483" s="13" t="str">
        <f t="shared" si="63"/>
        <v>Asset finance investments</v>
      </c>
      <c r="H483" s="638">
        <f t="shared" si="61"/>
        <v>46.35</v>
      </c>
      <c r="I483" s="24" t="s">
        <v>506</v>
      </c>
      <c r="J483" s="25" t="s">
        <v>246</v>
      </c>
      <c r="K483" s="25" t="s">
        <v>2243</v>
      </c>
      <c r="L483" s="25" t="s">
        <v>2244</v>
      </c>
      <c r="M483" s="25" t="s">
        <v>31</v>
      </c>
      <c r="N483" s="25" t="s">
        <v>31</v>
      </c>
      <c r="O483" s="25" t="s">
        <v>92</v>
      </c>
      <c r="P483" s="25" t="s">
        <v>83</v>
      </c>
      <c r="Q483" s="25" t="s">
        <v>82</v>
      </c>
      <c r="R483" s="25" t="s">
        <v>91</v>
      </c>
      <c r="S483" s="25" t="s">
        <v>101</v>
      </c>
      <c r="T483" s="25" t="s">
        <v>101</v>
      </c>
      <c r="U483" s="25" t="s">
        <v>112</v>
      </c>
      <c r="V483" s="25">
        <v>0</v>
      </c>
      <c r="W483" s="25" t="s">
        <v>553</v>
      </c>
      <c r="X483" s="25" t="s">
        <v>1749</v>
      </c>
      <c r="Y483" s="25" t="s">
        <v>1750</v>
      </c>
      <c r="Z483" s="26">
        <v>39761</v>
      </c>
      <c r="AA483" s="776">
        <v>14.7</v>
      </c>
      <c r="AB483" s="776">
        <v>0</v>
      </c>
      <c r="AC483" s="776">
        <v>0</v>
      </c>
      <c r="AD483" s="776">
        <v>0</v>
      </c>
      <c r="AE483" s="777">
        <v>45</v>
      </c>
      <c r="AF483" s="777">
        <v>45</v>
      </c>
      <c r="AG483" s="778">
        <v>46.35</v>
      </c>
    </row>
    <row r="484" spans="1:33" x14ac:dyDescent="0.2">
      <c r="A484" s="15">
        <f t="shared" si="56"/>
        <v>2008</v>
      </c>
      <c r="B484" s="14">
        <f t="shared" si="57"/>
        <v>12</v>
      </c>
      <c r="C484" s="13" t="str">
        <f t="shared" si="58"/>
        <v>Q4</v>
      </c>
      <c r="D484" s="13" t="str">
        <f t="shared" si="59"/>
        <v>2008Q4</v>
      </c>
      <c r="E484" s="13" t="str">
        <f t="shared" si="60"/>
        <v>Brazil</v>
      </c>
      <c r="F484" s="13" t="str">
        <f t="shared" si="62"/>
        <v>Small Hydro</v>
      </c>
      <c r="G484" s="13" t="str">
        <f t="shared" si="63"/>
        <v>Asset finance investments</v>
      </c>
      <c r="H484" s="638">
        <f t="shared" si="61"/>
        <v>46.35</v>
      </c>
      <c r="I484" s="24" t="s">
        <v>506</v>
      </c>
      <c r="J484" s="25" t="s">
        <v>246</v>
      </c>
      <c r="K484" s="25" t="s">
        <v>2245</v>
      </c>
      <c r="L484" s="25" t="s">
        <v>804</v>
      </c>
      <c r="M484" s="25" t="s">
        <v>31</v>
      </c>
      <c r="N484" s="25" t="s">
        <v>31</v>
      </c>
      <c r="O484" s="25" t="s">
        <v>92</v>
      </c>
      <c r="P484" s="25" t="s">
        <v>83</v>
      </c>
      <c r="Q484" s="25" t="s">
        <v>82</v>
      </c>
      <c r="R484" s="25" t="s">
        <v>91</v>
      </c>
      <c r="S484" s="25" t="s">
        <v>126</v>
      </c>
      <c r="T484" s="25" t="s">
        <v>125</v>
      </c>
      <c r="U484" s="25" t="s">
        <v>247</v>
      </c>
      <c r="V484" s="25">
        <v>0</v>
      </c>
      <c r="W484" s="25" t="s">
        <v>553</v>
      </c>
      <c r="X484" s="25" t="s">
        <v>1752</v>
      </c>
      <c r="Y484" s="25" t="s">
        <v>1753</v>
      </c>
      <c r="Z484" s="26">
        <v>39797</v>
      </c>
      <c r="AA484" s="776">
        <v>18</v>
      </c>
      <c r="AB484" s="776">
        <v>0</v>
      </c>
      <c r="AC484" s="776">
        <v>0</v>
      </c>
      <c r="AD484" s="776">
        <v>0</v>
      </c>
      <c r="AE484" s="777">
        <v>0</v>
      </c>
      <c r="AF484" s="777">
        <v>45</v>
      </c>
      <c r="AG484" s="778">
        <v>46.35</v>
      </c>
    </row>
    <row r="485" spans="1:33" x14ac:dyDescent="0.2">
      <c r="A485" s="15">
        <f t="shared" si="56"/>
        <v>2008</v>
      </c>
      <c r="B485" s="14">
        <f t="shared" si="57"/>
        <v>10</v>
      </c>
      <c r="C485" s="13" t="str">
        <f t="shared" si="58"/>
        <v>Q4</v>
      </c>
      <c r="D485" s="13" t="str">
        <f t="shared" si="59"/>
        <v>2008Q4</v>
      </c>
      <c r="E485" s="13" t="str">
        <f t="shared" si="60"/>
        <v>Brazil</v>
      </c>
      <c r="F485" s="13" t="str">
        <f t="shared" si="62"/>
        <v>Small Hydro</v>
      </c>
      <c r="G485" s="13" t="str">
        <f t="shared" si="63"/>
        <v>Asset finance investments</v>
      </c>
      <c r="H485" s="638">
        <f t="shared" si="61"/>
        <v>38.728000000000002</v>
      </c>
      <c r="I485" s="24" t="s">
        <v>506</v>
      </c>
      <c r="J485" s="25" t="s">
        <v>246</v>
      </c>
      <c r="K485" s="25" t="s">
        <v>2246</v>
      </c>
      <c r="L485" s="25" t="s">
        <v>1091</v>
      </c>
      <c r="M485" s="25" t="s">
        <v>31</v>
      </c>
      <c r="N485" s="25" t="s">
        <v>31</v>
      </c>
      <c r="O485" s="25" t="s">
        <v>92</v>
      </c>
      <c r="P485" s="25" t="s">
        <v>83</v>
      </c>
      <c r="Q485" s="25" t="s">
        <v>82</v>
      </c>
      <c r="R485" s="25" t="s">
        <v>91</v>
      </c>
      <c r="S485" s="25" t="s">
        <v>126</v>
      </c>
      <c r="T485" s="25" t="s">
        <v>125</v>
      </c>
      <c r="U485" s="25" t="s">
        <v>342</v>
      </c>
      <c r="V485" s="25">
        <v>0</v>
      </c>
      <c r="W485" s="25" t="s">
        <v>553</v>
      </c>
      <c r="X485" s="25" t="s">
        <v>1749</v>
      </c>
      <c r="Y485" s="25" t="s">
        <v>1750</v>
      </c>
      <c r="Z485" s="26">
        <v>39742</v>
      </c>
      <c r="AA485" s="776">
        <v>20</v>
      </c>
      <c r="AB485" s="776">
        <v>0</v>
      </c>
      <c r="AC485" s="776">
        <v>0</v>
      </c>
      <c r="AD485" s="776">
        <v>0</v>
      </c>
      <c r="AE485" s="777">
        <v>37.6</v>
      </c>
      <c r="AF485" s="777">
        <v>37.6</v>
      </c>
      <c r="AG485" s="778">
        <v>38.728000000000002</v>
      </c>
    </row>
    <row r="486" spans="1:33" x14ac:dyDescent="0.2">
      <c r="A486" s="15">
        <f t="shared" si="56"/>
        <v>2008</v>
      </c>
      <c r="B486" s="14">
        <f t="shared" si="57"/>
        <v>12</v>
      </c>
      <c r="C486" s="13" t="str">
        <f t="shared" si="58"/>
        <v>Q4</v>
      </c>
      <c r="D486" s="13" t="str">
        <f t="shared" si="59"/>
        <v>2008Q4</v>
      </c>
      <c r="E486" s="13" t="str">
        <f t="shared" si="60"/>
        <v>Brazil</v>
      </c>
      <c r="F486" s="13" t="str">
        <f t="shared" si="62"/>
        <v>Biofuels</v>
      </c>
      <c r="G486" s="13" t="str">
        <f t="shared" si="63"/>
        <v>Asset finance investments</v>
      </c>
      <c r="H486" s="638">
        <f t="shared" si="61"/>
        <v>37.594999999999999</v>
      </c>
      <c r="I486" s="24" t="s">
        <v>506</v>
      </c>
      <c r="J486" s="25" t="s">
        <v>246</v>
      </c>
      <c r="K486" s="25" t="s">
        <v>2247</v>
      </c>
      <c r="L486" s="25" t="s">
        <v>966</v>
      </c>
      <c r="M486" s="25" t="s">
        <v>31</v>
      </c>
      <c r="N486" s="25" t="s">
        <v>31</v>
      </c>
      <c r="O486" s="25" t="s">
        <v>92</v>
      </c>
      <c r="P486" s="25" t="s">
        <v>83</v>
      </c>
      <c r="Q486" s="25" t="s">
        <v>82</v>
      </c>
      <c r="R486" s="25" t="s">
        <v>91</v>
      </c>
      <c r="S486" s="25" t="s">
        <v>96</v>
      </c>
      <c r="T486" s="25" t="s">
        <v>96</v>
      </c>
      <c r="U486" s="25" t="s">
        <v>98</v>
      </c>
      <c r="V486" s="25" t="s">
        <v>230</v>
      </c>
      <c r="W486" s="25" t="s">
        <v>553</v>
      </c>
      <c r="X486" s="25" t="s">
        <v>1749</v>
      </c>
      <c r="Y486" s="25" t="s">
        <v>1750</v>
      </c>
      <c r="Z486" s="26">
        <v>39811</v>
      </c>
      <c r="AA486" s="776">
        <v>0</v>
      </c>
      <c r="AB486" s="776">
        <v>0</v>
      </c>
      <c r="AC486" s="776">
        <v>0</v>
      </c>
      <c r="AD486" s="776">
        <v>0</v>
      </c>
      <c r="AE486" s="777">
        <v>36.5</v>
      </c>
      <c r="AF486" s="777">
        <v>36.5</v>
      </c>
      <c r="AG486" s="778">
        <v>37.594999999999999</v>
      </c>
    </row>
    <row r="487" spans="1:33" x14ac:dyDescent="0.2">
      <c r="A487" s="15">
        <f t="shared" si="56"/>
        <v>2008</v>
      </c>
      <c r="B487" s="14">
        <f t="shared" si="57"/>
        <v>12</v>
      </c>
      <c r="C487" s="13" t="str">
        <f t="shared" si="58"/>
        <v>Q4</v>
      </c>
      <c r="D487" s="13" t="str">
        <f t="shared" si="59"/>
        <v>2008Q4</v>
      </c>
      <c r="E487" s="13" t="str">
        <f t="shared" si="60"/>
        <v>Brazil</v>
      </c>
      <c r="F487" s="13" t="str">
        <f t="shared" si="62"/>
        <v>Small Hydro</v>
      </c>
      <c r="G487" s="13" t="str">
        <f t="shared" si="63"/>
        <v>Asset finance investments</v>
      </c>
      <c r="H487" s="638">
        <f t="shared" si="61"/>
        <v>33.475000000000001</v>
      </c>
      <c r="I487" s="24" t="s">
        <v>506</v>
      </c>
      <c r="J487" s="25" t="s">
        <v>246</v>
      </c>
      <c r="K487" s="25" t="s">
        <v>2248</v>
      </c>
      <c r="L487" s="25" t="s">
        <v>800</v>
      </c>
      <c r="M487" s="25" t="s">
        <v>31</v>
      </c>
      <c r="N487" s="25" t="s">
        <v>31</v>
      </c>
      <c r="O487" s="25" t="s">
        <v>92</v>
      </c>
      <c r="P487" s="25" t="s">
        <v>83</v>
      </c>
      <c r="Q487" s="25" t="s">
        <v>82</v>
      </c>
      <c r="R487" s="25" t="s">
        <v>91</v>
      </c>
      <c r="S487" s="25" t="s">
        <v>126</v>
      </c>
      <c r="T487" s="25" t="s">
        <v>125</v>
      </c>
      <c r="U487" s="25" t="s">
        <v>247</v>
      </c>
      <c r="V487" s="25">
        <v>0</v>
      </c>
      <c r="W487" s="25" t="s">
        <v>553</v>
      </c>
      <c r="X487" s="25" t="s">
        <v>1752</v>
      </c>
      <c r="Y487" s="25" t="s">
        <v>1753</v>
      </c>
      <c r="Z487" s="26">
        <v>39813</v>
      </c>
      <c r="AA487" s="776">
        <v>13</v>
      </c>
      <c r="AB487" s="776">
        <v>0</v>
      </c>
      <c r="AC487" s="776">
        <v>0</v>
      </c>
      <c r="AD487" s="776">
        <v>0</v>
      </c>
      <c r="AE487" s="777">
        <v>0</v>
      </c>
      <c r="AF487" s="777">
        <v>32.5</v>
      </c>
      <c r="AG487" s="778">
        <v>33.475000000000001</v>
      </c>
    </row>
    <row r="488" spans="1:33" x14ac:dyDescent="0.2">
      <c r="A488" s="15">
        <f t="shared" si="56"/>
        <v>2008</v>
      </c>
      <c r="B488" s="14">
        <f t="shared" si="57"/>
        <v>12</v>
      </c>
      <c r="C488" s="13" t="str">
        <f t="shared" si="58"/>
        <v>Q4</v>
      </c>
      <c r="D488" s="13" t="str">
        <f t="shared" si="59"/>
        <v>2008Q4</v>
      </c>
      <c r="E488" s="13" t="str">
        <f t="shared" si="60"/>
        <v>Guyana</v>
      </c>
      <c r="F488" s="13" t="str">
        <f t="shared" si="62"/>
        <v>Biomass &amp; Waste</v>
      </c>
      <c r="G488" s="13" t="str">
        <f t="shared" si="63"/>
        <v>Asset finance investments</v>
      </c>
      <c r="H488" s="638">
        <f t="shared" si="61"/>
        <v>32.96</v>
      </c>
      <c r="I488" s="24" t="s">
        <v>506</v>
      </c>
      <c r="J488" s="25" t="s">
        <v>246</v>
      </c>
      <c r="K488" s="25" t="s">
        <v>2249</v>
      </c>
      <c r="L488" s="25" t="s">
        <v>2250</v>
      </c>
      <c r="M488" s="25" t="s">
        <v>14</v>
      </c>
      <c r="N488" s="25" t="s">
        <v>85</v>
      </c>
      <c r="O488" s="25" t="s">
        <v>92</v>
      </c>
      <c r="P488" s="25" t="s">
        <v>83</v>
      </c>
      <c r="Q488" s="25" t="s">
        <v>82</v>
      </c>
      <c r="R488" s="25"/>
      <c r="S488" s="25" t="s">
        <v>114</v>
      </c>
      <c r="T488" s="25" t="s">
        <v>114</v>
      </c>
      <c r="U488" s="25" t="s">
        <v>113</v>
      </c>
      <c r="V488" s="25" t="s">
        <v>813</v>
      </c>
      <c r="W488" s="25" t="s">
        <v>553</v>
      </c>
      <c r="X488" s="25" t="s">
        <v>1752</v>
      </c>
      <c r="Y488" s="25" t="s">
        <v>1753</v>
      </c>
      <c r="Z488" s="26">
        <v>39813</v>
      </c>
      <c r="AA488" s="776">
        <v>15</v>
      </c>
      <c r="AB488" s="776">
        <v>0</v>
      </c>
      <c r="AC488" s="776">
        <v>0</v>
      </c>
      <c r="AD488" s="776">
        <v>0</v>
      </c>
      <c r="AE488" s="777">
        <v>32</v>
      </c>
      <c r="AF488" s="777">
        <v>32</v>
      </c>
      <c r="AG488" s="778">
        <v>32.96</v>
      </c>
    </row>
    <row r="489" spans="1:33" x14ac:dyDescent="0.2">
      <c r="A489" s="15">
        <f t="shared" si="56"/>
        <v>2008</v>
      </c>
      <c r="B489" s="14">
        <f t="shared" si="57"/>
        <v>10</v>
      </c>
      <c r="C489" s="13" t="str">
        <f t="shared" si="58"/>
        <v>Q4</v>
      </c>
      <c r="D489" s="13" t="str">
        <f t="shared" si="59"/>
        <v>2008Q4</v>
      </c>
      <c r="E489" s="13" t="str">
        <f t="shared" si="60"/>
        <v>Chile</v>
      </c>
      <c r="F489" s="13" t="str">
        <f t="shared" si="62"/>
        <v>Biomass &amp; Waste</v>
      </c>
      <c r="G489" s="13" t="str">
        <f t="shared" si="63"/>
        <v>Asset finance investments</v>
      </c>
      <c r="H489" s="638">
        <f t="shared" si="61"/>
        <v>31.106000000000002</v>
      </c>
      <c r="I489" s="24" t="s">
        <v>506</v>
      </c>
      <c r="J489" s="25" t="s">
        <v>246</v>
      </c>
      <c r="K489" s="25" t="s">
        <v>2251</v>
      </c>
      <c r="L489" s="25" t="s">
        <v>1049</v>
      </c>
      <c r="M489" s="25" t="s">
        <v>8</v>
      </c>
      <c r="N489" s="25" t="s">
        <v>85</v>
      </c>
      <c r="O489" s="25" t="s">
        <v>92</v>
      </c>
      <c r="P489" s="25" t="s">
        <v>83</v>
      </c>
      <c r="Q489" s="25" t="s">
        <v>129</v>
      </c>
      <c r="R489" s="25"/>
      <c r="S489" s="25" t="s">
        <v>114</v>
      </c>
      <c r="T489" s="25" t="s">
        <v>114</v>
      </c>
      <c r="U489" s="25" t="s">
        <v>379</v>
      </c>
      <c r="V489" s="25" t="s">
        <v>347</v>
      </c>
      <c r="W489" s="25" t="s">
        <v>553</v>
      </c>
      <c r="X489" s="25" t="s">
        <v>1749</v>
      </c>
      <c r="Y489" s="25" t="s">
        <v>1750</v>
      </c>
      <c r="Z489" s="26">
        <v>39728</v>
      </c>
      <c r="AA489" s="776">
        <v>15.6</v>
      </c>
      <c r="AB489" s="776">
        <v>0</v>
      </c>
      <c r="AC489" s="776">
        <v>0</v>
      </c>
      <c r="AD489" s="776">
        <v>0</v>
      </c>
      <c r="AE489" s="777">
        <v>30.2</v>
      </c>
      <c r="AF489" s="777">
        <v>30.2</v>
      </c>
      <c r="AG489" s="778">
        <v>31.106000000000002</v>
      </c>
    </row>
    <row r="490" spans="1:33" x14ac:dyDescent="0.2">
      <c r="A490" s="15">
        <f t="shared" si="56"/>
        <v>2008</v>
      </c>
      <c r="B490" s="14">
        <f t="shared" si="57"/>
        <v>11</v>
      </c>
      <c r="C490" s="13" t="str">
        <f t="shared" si="58"/>
        <v>Q4</v>
      </c>
      <c r="D490" s="13" t="str">
        <f t="shared" si="59"/>
        <v>2008Q4</v>
      </c>
      <c r="E490" s="13" t="str">
        <f t="shared" si="60"/>
        <v>Brazil</v>
      </c>
      <c r="F490" s="13" t="str">
        <f t="shared" si="62"/>
        <v>Biofuels</v>
      </c>
      <c r="G490" s="13" t="str">
        <f t="shared" si="63"/>
        <v>Asset finance investments</v>
      </c>
      <c r="H490" s="638">
        <f t="shared" si="61"/>
        <v>30.646619999999999</v>
      </c>
      <c r="I490" s="24" t="s">
        <v>506</v>
      </c>
      <c r="J490" s="25" t="s">
        <v>246</v>
      </c>
      <c r="K490" s="25" t="s">
        <v>2252</v>
      </c>
      <c r="L490" s="25" t="s">
        <v>2253</v>
      </c>
      <c r="M490" s="25" t="s">
        <v>31</v>
      </c>
      <c r="N490" s="25" t="s">
        <v>31</v>
      </c>
      <c r="O490" s="25" t="s">
        <v>92</v>
      </c>
      <c r="P490" s="25" t="s">
        <v>83</v>
      </c>
      <c r="Q490" s="25" t="s">
        <v>82</v>
      </c>
      <c r="R490" s="25" t="s">
        <v>91</v>
      </c>
      <c r="S490" s="25" t="s">
        <v>96</v>
      </c>
      <c r="T490" s="25" t="s">
        <v>96</v>
      </c>
      <c r="U490" s="25" t="s">
        <v>98</v>
      </c>
      <c r="V490" s="25" t="s">
        <v>230</v>
      </c>
      <c r="W490" s="25" t="s">
        <v>553</v>
      </c>
      <c r="X490" s="25" t="s">
        <v>1752</v>
      </c>
      <c r="Y490" s="25" t="s">
        <v>1753</v>
      </c>
      <c r="Z490" s="26">
        <v>39780</v>
      </c>
      <c r="AA490" s="776">
        <v>0</v>
      </c>
      <c r="AB490" s="776">
        <v>52.2</v>
      </c>
      <c r="AC490" s="776">
        <v>0</v>
      </c>
      <c r="AD490" s="776">
        <v>0</v>
      </c>
      <c r="AE490" s="777">
        <v>0</v>
      </c>
      <c r="AF490" s="777">
        <v>29.753999999999998</v>
      </c>
      <c r="AG490" s="778">
        <v>30.646619999999999</v>
      </c>
    </row>
    <row r="491" spans="1:33" x14ac:dyDescent="0.2">
      <c r="A491" s="15">
        <f t="shared" si="56"/>
        <v>2008</v>
      </c>
      <c r="B491" s="14">
        <f t="shared" si="57"/>
        <v>12</v>
      </c>
      <c r="C491" s="13" t="str">
        <f t="shared" si="58"/>
        <v>Q4</v>
      </c>
      <c r="D491" s="13" t="str">
        <f t="shared" si="59"/>
        <v>2008Q4</v>
      </c>
      <c r="E491" s="13" t="str">
        <f t="shared" si="60"/>
        <v>Argentina</v>
      </c>
      <c r="F491" s="13" t="str">
        <f t="shared" si="62"/>
        <v>Biofuels</v>
      </c>
      <c r="G491" s="13" t="str">
        <f t="shared" si="63"/>
        <v>Asset finance investments</v>
      </c>
      <c r="H491" s="638">
        <f t="shared" si="61"/>
        <v>29.354999999999997</v>
      </c>
      <c r="I491" s="24" t="s">
        <v>506</v>
      </c>
      <c r="J491" s="25" t="s">
        <v>246</v>
      </c>
      <c r="K491" s="25" t="s">
        <v>2254</v>
      </c>
      <c r="L491" s="25" t="s">
        <v>843</v>
      </c>
      <c r="M491" s="25" t="s">
        <v>4</v>
      </c>
      <c r="N491" s="25" t="s">
        <v>85</v>
      </c>
      <c r="O491" s="25" t="s">
        <v>92</v>
      </c>
      <c r="P491" s="25" t="s">
        <v>83</v>
      </c>
      <c r="Q491" s="25" t="s">
        <v>82</v>
      </c>
      <c r="R491" s="25"/>
      <c r="S491" s="25" t="s">
        <v>96</v>
      </c>
      <c r="T491" s="25" t="s">
        <v>96</v>
      </c>
      <c r="U491" s="25" t="s">
        <v>98</v>
      </c>
      <c r="V491" s="25" t="s">
        <v>691</v>
      </c>
      <c r="W491" s="25" t="s">
        <v>553</v>
      </c>
      <c r="X491" s="25" t="s">
        <v>1752</v>
      </c>
      <c r="Y491" s="25" t="s">
        <v>1753</v>
      </c>
      <c r="Z491" s="26">
        <v>39813</v>
      </c>
      <c r="AA491" s="776">
        <v>0</v>
      </c>
      <c r="AB491" s="776">
        <v>50</v>
      </c>
      <c r="AC491" s="776">
        <v>0</v>
      </c>
      <c r="AD491" s="776">
        <v>0</v>
      </c>
      <c r="AE491" s="777">
        <v>0</v>
      </c>
      <c r="AF491" s="777">
        <v>28.499999999999996</v>
      </c>
      <c r="AG491" s="778">
        <v>29.354999999999997</v>
      </c>
    </row>
    <row r="492" spans="1:33" x14ac:dyDescent="0.2">
      <c r="A492" s="15">
        <f t="shared" si="56"/>
        <v>2008</v>
      </c>
      <c r="B492" s="14">
        <f t="shared" si="57"/>
        <v>12</v>
      </c>
      <c r="C492" s="13" t="str">
        <f t="shared" si="58"/>
        <v>Q4</v>
      </c>
      <c r="D492" s="13" t="str">
        <f t="shared" si="59"/>
        <v>2008Q4</v>
      </c>
      <c r="E492" s="13" t="str">
        <f t="shared" si="60"/>
        <v>Uruguay</v>
      </c>
      <c r="F492" s="13" t="str">
        <f t="shared" si="62"/>
        <v>Wind</v>
      </c>
      <c r="G492" s="13" t="str">
        <f t="shared" si="63"/>
        <v>Asset finance investments</v>
      </c>
      <c r="H492" s="638">
        <f t="shared" si="61"/>
        <v>28.221999999999998</v>
      </c>
      <c r="I492" s="24" t="s">
        <v>506</v>
      </c>
      <c r="J492" s="25" t="s">
        <v>246</v>
      </c>
      <c r="K492" s="25" t="s">
        <v>2255</v>
      </c>
      <c r="L492" s="25" t="s">
        <v>947</v>
      </c>
      <c r="M492" s="25" t="s">
        <v>22</v>
      </c>
      <c r="N492" s="25" t="s">
        <v>85</v>
      </c>
      <c r="O492" s="25" t="s">
        <v>92</v>
      </c>
      <c r="P492" s="25" t="s">
        <v>83</v>
      </c>
      <c r="Q492" s="25" t="s">
        <v>82</v>
      </c>
      <c r="R492" s="25"/>
      <c r="S492" s="25" t="s">
        <v>101</v>
      </c>
      <c r="T492" s="25" t="s">
        <v>101</v>
      </c>
      <c r="U492" s="25" t="s">
        <v>112</v>
      </c>
      <c r="V492" s="25">
        <v>0</v>
      </c>
      <c r="W492" s="25" t="s">
        <v>553</v>
      </c>
      <c r="X492" s="25" t="s">
        <v>1752</v>
      </c>
      <c r="Y492" s="25" t="s">
        <v>1753</v>
      </c>
      <c r="Z492" s="26">
        <v>39812</v>
      </c>
      <c r="AA492" s="776">
        <v>10</v>
      </c>
      <c r="AB492" s="776">
        <v>0</v>
      </c>
      <c r="AC492" s="776">
        <v>0</v>
      </c>
      <c r="AD492" s="776">
        <v>0</v>
      </c>
      <c r="AE492" s="777">
        <v>27.4</v>
      </c>
      <c r="AF492" s="777">
        <v>27.4</v>
      </c>
      <c r="AG492" s="778">
        <v>28.221999999999998</v>
      </c>
    </row>
    <row r="493" spans="1:33" x14ac:dyDescent="0.2">
      <c r="A493" s="15">
        <f t="shared" si="56"/>
        <v>2008</v>
      </c>
      <c r="B493" s="14">
        <f t="shared" si="57"/>
        <v>11</v>
      </c>
      <c r="C493" s="13" t="str">
        <f t="shared" si="58"/>
        <v>Q4</v>
      </c>
      <c r="D493" s="13" t="str">
        <f t="shared" si="59"/>
        <v>2008Q4</v>
      </c>
      <c r="E493" s="13" t="str">
        <f t="shared" si="60"/>
        <v>Brazil</v>
      </c>
      <c r="F493" s="13" t="str">
        <f t="shared" si="62"/>
        <v>Biofuels</v>
      </c>
      <c r="G493" s="13" t="str">
        <f t="shared" si="63"/>
        <v>Asset finance investments</v>
      </c>
      <c r="H493" s="638">
        <f t="shared" si="61"/>
        <v>25.999260000000003</v>
      </c>
      <c r="I493" s="24" t="s">
        <v>506</v>
      </c>
      <c r="J493" s="25" t="s">
        <v>246</v>
      </c>
      <c r="K493" s="25" t="s">
        <v>2256</v>
      </c>
      <c r="L493" s="25" t="s">
        <v>2257</v>
      </c>
      <c r="M493" s="25" t="s">
        <v>31</v>
      </c>
      <c r="N493" s="25" t="s">
        <v>31</v>
      </c>
      <c r="O493" s="25" t="s">
        <v>92</v>
      </c>
      <c r="P493" s="25" t="s">
        <v>83</v>
      </c>
      <c r="Q493" s="25" t="s">
        <v>82</v>
      </c>
      <c r="R493" s="25" t="s">
        <v>91</v>
      </c>
      <c r="S493" s="25" t="s">
        <v>96</v>
      </c>
      <c r="T493" s="25" t="s">
        <v>96</v>
      </c>
      <c r="U493" s="25" t="s">
        <v>95</v>
      </c>
      <c r="V493" s="25" t="s">
        <v>223</v>
      </c>
      <c r="W493" s="25" t="s">
        <v>553</v>
      </c>
      <c r="X493" s="25" t="s">
        <v>1752</v>
      </c>
      <c r="Y493" s="25" t="s">
        <v>1753</v>
      </c>
      <c r="Z493" s="26">
        <v>39753</v>
      </c>
      <c r="AA493" s="776">
        <v>0</v>
      </c>
      <c r="AB493" s="776">
        <v>60.1</v>
      </c>
      <c r="AC493" s="776">
        <v>0</v>
      </c>
      <c r="AD493" s="776">
        <v>0</v>
      </c>
      <c r="AE493" s="777">
        <v>0</v>
      </c>
      <c r="AF493" s="777">
        <v>25.242000000000001</v>
      </c>
      <c r="AG493" s="778">
        <v>25.999260000000003</v>
      </c>
    </row>
    <row r="494" spans="1:33" x14ac:dyDescent="0.2">
      <c r="A494" s="15">
        <f t="shared" si="56"/>
        <v>2008</v>
      </c>
      <c r="B494" s="14">
        <f t="shared" si="57"/>
        <v>10</v>
      </c>
      <c r="C494" s="13" t="str">
        <f t="shared" si="58"/>
        <v>Q4</v>
      </c>
      <c r="D494" s="13" t="str">
        <f t="shared" si="59"/>
        <v>2008Q4</v>
      </c>
      <c r="E494" s="13" t="str">
        <f t="shared" si="60"/>
        <v>Uruguay</v>
      </c>
      <c r="F494" s="13" t="str">
        <f t="shared" si="62"/>
        <v>Biomass &amp; Waste</v>
      </c>
      <c r="G494" s="13" t="str">
        <f t="shared" si="63"/>
        <v>Asset finance investments</v>
      </c>
      <c r="H494" s="638">
        <f t="shared" si="61"/>
        <v>25.75</v>
      </c>
      <c r="I494" s="24" t="s">
        <v>506</v>
      </c>
      <c r="J494" s="25" t="s">
        <v>246</v>
      </c>
      <c r="K494" s="25" t="s">
        <v>2258</v>
      </c>
      <c r="L494" s="25" t="s">
        <v>601</v>
      </c>
      <c r="M494" s="25" t="s">
        <v>22</v>
      </c>
      <c r="N494" s="25" t="s">
        <v>85</v>
      </c>
      <c r="O494" s="25" t="s">
        <v>92</v>
      </c>
      <c r="P494" s="25" t="s">
        <v>83</v>
      </c>
      <c r="Q494" s="25" t="s">
        <v>82</v>
      </c>
      <c r="R494" s="25"/>
      <c r="S494" s="25" t="s">
        <v>114</v>
      </c>
      <c r="T494" s="25" t="s">
        <v>114</v>
      </c>
      <c r="U494" s="25" t="s">
        <v>113</v>
      </c>
      <c r="V494" s="25" t="s">
        <v>347</v>
      </c>
      <c r="W494" s="25" t="s">
        <v>553</v>
      </c>
      <c r="X494" s="25" t="s">
        <v>1752</v>
      </c>
      <c r="Y494" s="25" t="s">
        <v>1753</v>
      </c>
      <c r="Z494" s="26">
        <v>39752</v>
      </c>
      <c r="AA494" s="776">
        <v>10</v>
      </c>
      <c r="AB494" s="776">
        <v>0</v>
      </c>
      <c r="AC494" s="776">
        <v>0</v>
      </c>
      <c r="AD494" s="776">
        <v>0</v>
      </c>
      <c r="AE494" s="777">
        <v>25</v>
      </c>
      <c r="AF494" s="777">
        <v>25</v>
      </c>
      <c r="AG494" s="778">
        <v>25.75</v>
      </c>
    </row>
    <row r="495" spans="1:33" x14ac:dyDescent="0.2">
      <c r="A495" s="15">
        <f t="shared" si="56"/>
        <v>2008</v>
      </c>
      <c r="B495" s="14">
        <f t="shared" si="57"/>
        <v>12</v>
      </c>
      <c r="C495" s="13" t="str">
        <f t="shared" si="58"/>
        <v>Q4</v>
      </c>
      <c r="D495" s="13" t="str">
        <f t="shared" si="59"/>
        <v>2008Q4</v>
      </c>
      <c r="E495" s="13" t="str">
        <f t="shared" si="60"/>
        <v>Argentina</v>
      </c>
      <c r="F495" s="13" t="str">
        <f t="shared" si="62"/>
        <v>Biofuels</v>
      </c>
      <c r="G495" s="13" t="str">
        <f t="shared" si="63"/>
        <v>Asset finance investments</v>
      </c>
      <c r="H495" s="638">
        <f t="shared" si="61"/>
        <v>25.739699999999999</v>
      </c>
      <c r="I495" s="24" t="s">
        <v>506</v>
      </c>
      <c r="J495" s="25" t="s">
        <v>246</v>
      </c>
      <c r="K495" s="25" t="s">
        <v>2259</v>
      </c>
      <c r="L495" s="25" t="s">
        <v>743</v>
      </c>
      <c r="M495" s="25" t="s">
        <v>4</v>
      </c>
      <c r="N495" s="25" t="s">
        <v>85</v>
      </c>
      <c r="O495" s="25" t="s">
        <v>92</v>
      </c>
      <c r="P495" s="25" t="s">
        <v>83</v>
      </c>
      <c r="Q495" s="25" t="s">
        <v>82</v>
      </c>
      <c r="R495" s="25"/>
      <c r="S495" s="25" t="s">
        <v>96</v>
      </c>
      <c r="T495" s="25" t="s">
        <v>96</v>
      </c>
      <c r="U495" s="25" t="s">
        <v>95</v>
      </c>
      <c r="V495" s="25">
        <v>0</v>
      </c>
      <c r="W495" s="25" t="s">
        <v>553</v>
      </c>
      <c r="X495" s="25" t="s">
        <v>1752</v>
      </c>
      <c r="Y495" s="25" t="s">
        <v>1753</v>
      </c>
      <c r="Z495" s="26">
        <v>39813</v>
      </c>
      <c r="AA495" s="776">
        <v>0</v>
      </c>
      <c r="AB495" s="776">
        <v>59.5</v>
      </c>
      <c r="AC495" s="776">
        <v>0</v>
      </c>
      <c r="AD495" s="776">
        <v>0</v>
      </c>
      <c r="AE495" s="777">
        <v>0</v>
      </c>
      <c r="AF495" s="777">
        <v>24.99</v>
      </c>
      <c r="AG495" s="778">
        <v>25.739699999999999</v>
      </c>
    </row>
    <row r="496" spans="1:33" x14ac:dyDescent="0.2">
      <c r="A496" s="15">
        <f t="shared" si="56"/>
        <v>2008</v>
      </c>
      <c r="B496" s="14">
        <f t="shared" si="57"/>
        <v>10</v>
      </c>
      <c r="C496" s="13" t="str">
        <f t="shared" si="58"/>
        <v>Q4</v>
      </c>
      <c r="D496" s="13" t="str">
        <f t="shared" si="59"/>
        <v>2008Q4</v>
      </c>
      <c r="E496" s="13" t="str">
        <f t="shared" si="60"/>
        <v>Panama</v>
      </c>
      <c r="F496" s="13" t="str">
        <f t="shared" si="62"/>
        <v>Small Hydro</v>
      </c>
      <c r="G496" s="13" t="str">
        <f t="shared" si="63"/>
        <v>Asset finance investments</v>
      </c>
      <c r="H496" s="638">
        <f t="shared" si="61"/>
        <v>23.175000000000001</v>
      </c>
      <c r="I496" s="24" t="s">
        <v>506</v>
      </c>
      <c r="J496" s="25" t="s">
        <v>246</v>
      </c>
      <c r="K496" s="25" t="s">
        <v>2260</v>
      </c>
      <c r="L496" s="25" t="s">
        <v>880</v>
      </c>
      <c r="M496" s="25" t="s">
        <v>19</v>
      </c>
      <c r="N496" s="25" t="s">
        <v>85</v>
      </c>
      <c r="O496" s="25" t="s">
        <v>92</v>
      </c>
      <c r="P496" s="25" t="s">
        <v>83</v>
      </c>
      <c r="Q496" s="25" t="s">
        <v>82</v>
      </c>
      <c r="R496" s="25"/>
      <c r="S496" s="25" t="s">
        <v>126</v>
      </c>
      <c r="T496" s="25" t="s">
        <v>125</v>
      </c>
      <c r="U496" s="25" t="s">
        <v>247</v>
      </c>
      <c r="V496" s="25">
        <v>0</v>
      </c>
      <c r="W496" s="25" t="s">
        <v>553</v>
      </c>
      <c r="X496" s="25" t="s">
        <v>1752</v>
      </c>
      <c r="Y496" s="25" t="s">
        <v>1753</v>
      </c>
      <c r="Z496" s="26">
        <v>39726</v>
      </c>
      <c r="AA496" s="776">
        <v>9</v>
      </c>
      <c r="AB496" s="776">
        <v>0</v>
      </c>
      <c r="AC496" s="776">
        <v>0</v>
      </c>
      <c r="AD496" s="776">
        <v>0</v>
      </c>
      <c r="AE496" s="777">
        <v>0</v>
      </c>
      <c r="AF496" s="777">
        <v>22.5</v>
      </c>
      <c r="AG496" s="778">
        <v>23.175000000000001</v>
      </c>
    </row>
    <row r="497" spans="1:33" x14ac:dyDescent="0.2">
      <c r="A497" s="15">
        <f t="shared" si="56"/>
        <v>2008</v>
      </c>
      <c r="B497" s="14">
        <f t="shared" si="57"/>
        <v>10</v>
      </c>
      <c r="C497" s="13" t="str">
        <f t="shared" si="58"/>
        <v>Q4</v>
      </c>
      <c r="D497" s="13" t="str">
        <f t="shared" si="59"/>
        <v>2008Q4</v>
      </c>
      <c r="E497" s="13" t="str">
        <f t="shared" si="60"/>
        <v>Chile</v>
      </c>
      <c r="F497" s="13" t="str">
        <f t="shared" si="62"/>
        <v>Small Hydro</v>
      </c>
      <c r="G497" s="13" t="str">
        <f t="shared" si="63"/>
        <v>Asset finance investments</v>
      </c>
      <c r="H497" s="638">
        <f t="shared" si="61"/>
        <v>21.63</v>
      </c>
      <c r="I497" s="24" t="s">
        <v>506</v>
      </c>
      <c r="J497" s="25" t="s">
        <v>246</v>
      </c>
      <c r="K497" s="25" t="s">
        <v>2261</v>
      </c>
      <c r="L497" s="25" t="s">
        <v>984</v>
      </c>
      <c r="M497" s="25" t="s">
        <v>8</v>
      </c>
      <c r="N497" s="25" t="s">
        <v>85</v>
      </c>
      <c r="O497" s="25" t="s">
        <v>92</v>
      </c>
      <c r="P497" s="25" t="s">
        <v>83</v>
      </c>
      <c r="Q497" s="25" t="s">
        <v>129</v>
      </c>
      <c r="R497" s="25"/>
      <c r="S497" s="25" t="s">
        <v>126</v>
      </c>
      <c r="T497" s="25" t="s">
        <v>125</v>
      </c>
      <c r="U497" s="25" t="s">
        <v>247</v>
      </c>
      <c r="V497" s="25">
        <v>0</v>
      </c>
      <c r="W497" s="25" t="s">
        <v>553</v>
      </c>
      <c r="X497" s="25" t="s">
        <v>1752</v>
      </c>
      <c r="Y497" s="25" t="s">
        <v>1753</v>
      </c>
      <c r="Z497" s="26">
        <v>39723</v>
      </c>
      <c r="AA497" s="776">
        <v>8.6</v>
      </c>
      <c r="AB497" s="776">
        <v>0</v>
      </c>
      <c r="AC497" s="776">
        <v>0</v>
      </c>
      <c r="AD497" s="776">
        <v>0</v>
      </c>
      <c r="AE497" s="777">
        <v>21</v>
      </c>
      <c r="AF497" s="777">
        <v>21</v>
      </c>
      <c r="AG497" s="778">
        <v>21.63</v>
      </c>
    </row>
    <row r="498" spans="1:33" x14ac:dyDescent="0.2">
      <c r="A498" s="15">
        <f t="shared" si="56"/>
        <v>2008</v>
      </c>
      <c r="B498" s="14">
        <f t="shared" si="57"/>
        <v>12</v>
      </c>
      <c r="C498" s="13" t="str">
        <f t="shared" si="58"/>
        <v>Q4</v>
      </c>
      <c r="D498" s="13" t="str">
        <f t="shared" si="59"/>
        <v>2008Q4</v>
      </c>
      <c r="E498" s="13" t="str">
        <f t="shared" si="60"/>
        <v>Argentina</v>
      </c>
      <c r="F498" s="13" t="str">
        <f t="shared" si="62"/>
        <v>Biofuels</v>
      </c>
      <c r="G498" s="13" t="str">
        <f t="shared" si="63"/>
        <v>Asset finance investments</v>
      </c>
      <c r="H498" s="638">
        <f t="shared" si="61"/>
        <v>21.63</v>
      </c>
      <c r="I498" s="24" t="s">
        <v>506</v>
      </c>
      <c r="J498" s="25" t="s">
        <v>246</v>
      </c>
      <c r="K498" s="25" t="s">
        <v>2262</v>
      </c>
      <c r="L498" s="25" t="s">
        <v>748</v>
      </c>
      <c r="M498" s="25" t="s">
        <v>4</v>
      </c>
      <c r="N498" s="25" t="s">
        <v>85</v>
      </c>
      <c r="O498" s="25" t="s">
        <v>92</v>
      </c>
      <c r="P498" s="25" t="s">
        <v>83</v>
      </c>
      <c r="Q498" s="25" t="s">
        <v>82</v>
      </c>
      <c r="R498" s="25"/>
      <c r="S498" s="25" t="s">
        <v>96</v>
      </c>
      <c r="T498" s="25" t="s">
        <v>96</v>
      </c>
      <c r="U498" s="25" t="s">
        <v>95</v>
      </c>
      <c r="V498" s="25">
        <v>0</v>
      </c>
      <c r="W498" s="25" t="s">
        <v>553</v>
      </c>
      <c r="X498" s="25" t="s">
        <v>1752</v>
      </c>
      <c r="Y498" s="25" t="s">
        <v>1753</v>
      </c>
      <c r="Z498" s="26">
        <v>39813</v>
      </c>
      <c r="AA498" s="776">
        <v>0</v>
      </c>
      <c r="AB498" s="776">
        <v>50</v>
      </c>
      <c r="AC498" s="776">
        <v>0</v>
      </c>
      <c r="AD498" s="776">
        <v>0</v>
      </c>
      <c r="AE498" s="777">
        <v>0</v>
      </c>
      <c r="AF498" s="777">
        <v>21</v>
      </c>
      <c r="AG498" s="778">
        <v>21.63</v>
      </c>
    </row>
    <row r="499" spans="1:33" x14ac:dyDescent="0.2">
      <c r="A499" s="15">
        <f t="shared" si="56"/>
        <v>2008</v>
      </c>
      <c r="B499" s="14">
        <f t="shared" si="57"/>
        <v>12</v>
      </c>
      <c r="C499" s="13" t="str">
        <f t="shared" si="58"/>
        <v>Q4</v>
      </c>
      <c r="D499" s="13" t="str">
        <f t="shared" si="59"/>
        <v>2008Q4</v>
      </c>
      <c r="E499" s="13" t="str">
        <f t="shared" si="60"/>
        <v>Brazil</v>
      </c>
      <c r="F499" s="13" t="str">
        <f t="shared" si="62"/>
        <v>Biofuels</v>
      </c>
      <c r="G499" s="13" t="str">
        <f t="shared" si="63"/>
        <v>VC/PE investments</v>
      </c>
      <c r="H499" s="638">
        <f t="shared" si="61"/>
        <v>21.526999999999997</v>
      </c>
      <c r="I499" s="24" t="s">
        <v>506</v>
      </c>
      <c r="J499" s="25" t="s">
        <v>216</v>
      </c>
      <c r="K499" s="25" t="s">
        <v>533</v>
      </c>
      <c r="L499" s="25" t="s">
        <v>532</v>
      </c>
      <c r="M499" s="25" t="s">
        <v>31</v>
      </c>
      <c r="N499" s="25" t="s">
        <v>31</v>
      </c>
      <c r="O499" s="25" t="s">
        <v>92</v>
      </c>
      <c r="P499" s="25" t="s">
        <v>83</v>
      </c>
      <c r="Q499" s="25" t="s">
        <v>82</v>
      </c>
      <c r="R499" s="25" t="s">
        <v>91</v>
      </c>
      <c r="S499" s="25" t="s">
        <v>96</v>
      </c>
      <c r="T499" s="25" t="s">
        <v>96</v>
      </c>
      <c r="U499" s="25" t="s">
        <v>98</v>
      </c>
      <c r="V499" s="25" t="s">
        <v>237</v>
      </c>
      <c r="W499" s="25" t="s">
        <v>109</v>
      </c>
      <c r="X499" s="25" t="s">
        <v>531</v>
      </c>
      <c r="Y499" s="25" t="s">
        <v>530</v>
      </c>
      <c r="Z499" s="26">
        <v>39794</v>
      </c>
      <c r="AA499" s="776" t="s">
        <v>1748</v>
      </c>
      <c r="AB499" s="776" t="s">
        <v>1748</v>
      </c>
      <c r="AC499" s="776" t="s">
        <v>1748</v>
      </c>
      <c r="AD499" s="776" t="s">
        <v>1748</v>
      </c>
      <c r="AE499" s="777">
        <v>20.9</v>
      </c>
      <c r="AF499" s="777">
        <v>20.9</v>
      </c>
      <c r="AG499" s="778">
        <v>21.526999999999997</v>
      </c>
    </row>
    <row r="500" spans="1:33" x14ac:dyDescent="0.2">
      <c r="A500" s="15">
        <f t="shared" si="56"/>
        <v>2008</v>
      </c>
      <c r="B500" s="14">
        <f t="shared" si="57"/>
        <v>12</v>
      </c>
      <c r="C500" s="13" t="str">
        <f t="shared" si="58"/>
        <v>Q4</v>
      </c>
      <c r="D500" s="13" t="str">
        <f t="shared" si="59"/>
        <v>2008Q4</v>
      </c>
      <c r="E500" s="13" t="str">
        <f t="shared" si="60"/>
        <v>Brazil</v>
      </c>
      <c r="F500" s="13" t="str">
        <f t="shared" si="62"/>
        <v>Biomass &amp; Waste</v>
      </c>
      <c r="G500" s="13" t="str">
        <f t="shared" si="63"/>
        <v>Asset finance investments</v>
      </c>
      <c r="H500" s="638">
        <f t="shared" si="61"/>
        <v>21.424000000000003</v>
      </c>
      <c r="I500" s="24" t="s">
        <v>506</v>
      </c>
      <c r="J500" s="25" t="s">
        <v>246</v>
      </c>
      <c r="K500" s="25" t="s">
        <v>2263</v>
      </c>
      <c r="L500" s="25" t="s">
        <v>962</v>
      </c>
      <c r="M500" s="25" t="s">
        <v>31</v>
      </c>
      <c r="N500" s="25" t="s">
        <v>31</v>
      </c>
      <c r="O500" s="25" t="s">
        <v>92</v>
      </c>
      <c r="P500" s="25" t="s">
        <v>83</v>
      </c>
      <c r="Q500" s="25" t="s">
        <v>82</v>
      </c>
      <c r="R500" s="25" t="s">
        <v>91</v>
      </c>
      <c r="S500" s="25" t="s">
        <v>114</v>
      </c>
      <c r="T500" s="25" t="s">
        <v>114</v>
      </c>
      <c r="U500" s="25" t="s">
        <v>113</v>
      </c>
      <c r="V500" s="25" t="s">
        <v>722</v>
      </c>
      <c r="W500" s="25" t="s">
        <v>553</v>
      </c>
      <c r="X500" s="25" t="s">
        <v>1752</v>
      </c>
      <c r="Y500" s="25" t="s">
        <v>1753</v>
      </c>
      <c r="Z500" s="26">
        <v>39792</v>
      </c>
      <c r="AA500" s="776">
        <v>4.5</v>
      </c>
      <c r="AB500" s="776">
        <v>0</v>
      </c>
      <c r="AC500" s="776">
        <v>0</v>
      </c>
      <c r="AD500" s="776">
        <v>0</v>
      </c>
      <c r="AE500" s="777">
        <v>20.8</v>
      </c>
      <c r="AF500" s="777">
        <v>20.8</v>
      </c>
      <c r="AG500" s="778">
        <v>21.424000000000003</v>
      </c>
    </row>
    <row r="501" spans="1:33" x14ac:dyDescent="0.2">
      <c r="A501" s="15">
        <f t="shared" si="56"/>
        <v>2008</v>
      </c>
      <c r="B501" s="14">
        <f t="shared" si="57"/>
        <v>10</v>
      </c>
      <c r="C501" s="13" t="str">
        <f t="shared" si="58"/>
        <v>Q4</v>
      </c>
      <c r="D501" s="13" t="str">
        <f t="shared" si="59"/>
        <v>2008Q4</v>
      </c>
      <c r="E501" s="13" t="str">
        <f t="shared" si="60"/>
        <v>Mexico</v>
      </c>
      <c r="F501" s="13" t="str">
        <f t="shared" si="62"/>
        <v>Small Hydro</v>
      </c>
      <c r="G501" s="13" t="str">
        <f t="shared" si="63"/>
        <v>Asset finance investments</v>
      </c>
      <c r="H501" s="638">
        <f t="shared" si="61"/>
        <v>18.491589999999999</v>
      </c>
      <c r="I501" s="24" t="s">
        <v>506</v>
      </c>
      <c r="J501" s="25" t="s">
        <v>246</v>
      </c>
      <c r="K501" s="25" t="s">
        <v>2264</v>
      </c>
      <c r="L501" s="25" t="s">
        <v>792</v>
      </c>
      <c r="M501" s="25" t="s">
        <v>18</v>
      </c>
      <c r="N501" s="25" t="s">
        <v>85</v>
      </c>
      <c r="O501" s="25" t="s">
        <v>92</v>
      </c>
      <c r="P501" s="25" t="s">
        <v>83</v>
      </c>
      <c r="Q501" s="25" t="s">
        <v>129</v>
      </c>
      <c r="R501" s="25"/>
      <c r="S501" s="25" t="s">
        <v>126</v>
      </c>
      <c r="T501" s="25" t="s">
        <v>125</v>
      </c>
      <c r="U501" s="25" t="s">
        <v>247</v>
      </c>
      <c r="V501" s="25">
        <v>0</v>
      </c>
      <c r="W501" s="25" t="s">
        <v>553</v>
      </c>
      <c r="X501" s="25" t="s">
        <v>1752</v>
      </c>
      <c r="Y501" s="25" t="s">
        <v>1753</v>
      </c>
      <c r="Z501" s="26">
        <v>39751</v>
      </c>
      <c r="AA501" s="776">
        <v>9</v>
      </c>
      <c r="AB501" s="776">
        <v>0</v>
      </c>
      <c r="AC501" s="776">
        <v>0</v>
      </c>
      <c r="AD501" s="776">
        <v>0</v>
      </c>
      <c r="AE501" s="777">
        <v>17.952999999999999</v>
      </c>
      <c r="AF501" s="777">
        <v>17.952999999999999</v>
      </c>
      <c r="AG501" s="778">
        <v>18.491589999999999</v>
      </c>
    </row>
    <row r="502" spans="1:33" x14ac:dyDescent="0.2">
      <c r="A502" s="15">
        <f t="shared" si="56"/>
        <v>2008</v>
      </c>
      <c r="B502" s="14">
        <f t="shared" si="57"/>
        <v>12</v>
      </c>
      <c r="C502" s="13" t="str">
        <f t="shared" si="58"/>
        <v>Q4</v>
      </c>
      <c r="D502" s="13" t="str">
        <f t="shared" si="59"/>
        <v>2008Q4</v>
      </c>
      <c r="E502" s="13" t="str">
        <f t="shared" si="60"/>
        <v>Brazil</v>
      </c>
      <c r="F502" s="13" t="str">
        <f t="shared" si="62"/>
        <v>Small Hydro</v>
      </c>
      <c r="G502" s="13" t="str">
        <f t="shared" si="63"/>
        <v>Asset finance investments</v>
      </c>
      <c r="H502" s="638">
        <f t="shared" si="61"/>
        <v>16.737500000000001</v>
      </c>
      <c r="I502" s="24" t="s">
        <v>506</v>
      </c>
      <c r="J502" s="25" t="s">
        <v>246</v>
      </c>
      <c r="K502" s="25" t="s">
        <v>2265</v>
      </c>
      <c r="L502" s="25" t="s">
        <v>805</v>
      </c>
      <c r="M502" s="25" t="s">
        <v>31</v>
      </c>
      <c r="N502" s="25" t="s">
        <v>31</v>
      </c>
      <c r="O502" s="25" t="s">
        <v>92</v>
      </c>
      <c r="P502" s="25" t="s">
        <v>83</v>
      </c>
      <c r="Q502" s="25" t="s">
        <v>82</v>
      </c>
      <c r="R502" s="25" t="s">
        <v>91</v>
      </c>
      <c r="S502" s="25" t="s">
        <v>126</v>
      </c>
      <c r="T502" s="25" t="s">
        <v>125</v>
      </c>
      <c r="U502" s="25" t="s">
        <v>247</v>
      </c>
      <c r="V502" s="25">
        <v>0</v>
      </c>
      <c r="W502" s="25" t="s">
        <v>553</v>
      </c>
      <c r="X502" s="25" t="s">
        <v>1752</v>
      </c>
      <c r="Y502" s="25" t="s">
        <v>1753</v>
      </c>
      <c r="Z502" s="26">
        <v>39813</v>
      </c>
      <c r="AA502" s="776">
        <v>6.5</v>
      </c>
      <c r="AB502" s="776">
        <v>0</v>
      </c>
      <c r="AC502" s="776">
        <v>0</v>
      </c>
      <c r="AD502" s="776">
        <v>0</v>
      </c>
      <c r="AE502" s="777">
        <v>0</v>
      </c>
      <c r="AF502" s="777">
        <v>16.25</v>
      </c>
      <c r="AG502" s="778">
        <v>16.737500000000001</v>
      </c>
    </row>
    <row r="503" spans="1:33" x14ac:dyDescent="0.2">
      <c r="A503" s="15">
        <f t="shared" si="56"/>
        <v>2008</v>
      </c>
      <c r="B503" s="14">
        <f t="shared" si="57"/>
        <v>12</v>
      </c>
      <c r="C503" s="13" t="str">
        <f t="shared" si="58"/>
        <v>Q4</v>
      </c>
      <c r="D503" s="13" t="str">
        <f t="shared" si="59"/>
        <v>2008Q4</v>
      </c>
      <c r="E503" s="13" t="str">
        <f t="shared" si="60"/>
        <v>Chile</v>
      </c>
      <c r="F503" s="13" t="str">
        <f t="shared" si="62"/>
        <v>Wind</v>
      </c>
      <c r="G503" s="13" t="str">
        <f t="shared" si="63"/>
        <v>Asset finance investments</v>
      </c>
      <c r="H503" s="638">
        <f t="shared" si="61"/>
        <v>15.758999999999999</v>
      </c>
      <c r="I503" s="24" t="s">
        <v>506</v>
      </c>
      <c r="J503" s="25" t="s">
        <v>246</v>
      </c>
      <c r="K503" s="25" t="s">
        <v>2266</v>
      </c>
      <c r="L503" s="25" t="s">
        <v>626</v>
      </c>
      <c r="M503" s="25" t="s">
        <v>8</v>
      </c>
      <c r="N503" s="25" t="s">
        <v>85</v>
      </c>
      <c r="O503" s="25" t="s">
        <v>92</v>
      </c>
      <c r="P503" s="25" t="s">
        <v>83</v>
      </c>
      <c r="Q503" s="25" t="s">
        <v>129</v>
      </c>
      <c r="R503" s="25"/>
      <c r="S503" s="25" t="s">
        <v>101</v>
      </c>
      <c r="T503" s="25" t="s">
        <v>101</v>
      </c>
      <c r="U503" s="25" t="s">
        <v>112</v>
      </c>
      <c r="V503" s="25">
        <v>0</v>
      </c>
      <c r="W503" s="25" t="s">
        <v>553</v>
      </c>
      <c r="X503" s="25" t="s">
        <v>1752</v>
      </c>
      <c r="Y503" s="25" t="s">
        <v>1753</v>
      </c>
      <c r="Z503" s="26">
        <v>39813</v>
      </c>
      <c r="AA503" s="776">
        <v>9</v>
      </c>
      <c r="AB503" s="776">
        <v>0</v>
      </c>
      <c r="AC503" s="776">
        <v>0</v>
      </c>
      <c r="AD503" s="776">
        <v>0</v>
      </c>
      <c r="AE503" s="777">
        <v>0</v>
      </c>
      <c r="AF503" s="777">
        <v>15.299999999999999</v>
      </c>
      <c r="AG503" s="778">
        <v>15.758999999999999</v>
      </c>
    </row>
    <row r="504" spans="1:33" x14ac:dyDescent="0.2">
      <c r="A504" s="15">
        <f t="shared" si="56"/>
        <v>2008</v>
      </c>
      <c r="B504" s="14">
        <f t="shared" si="57"/>
        <v>12</v>
      </c>
      <c r="C504" s="13" t="str">
        <f t="shared" si="58"/>
        <v>Q4</v>
      </c>
      <c r="D504" s="13" t="str">
        <f t="shared" si="59"/>
        <v>2008Q4</v>
      </c>
      <c r="E504" s="13" t="str">
        <f t="shared" si="60"/>
        <v>Costa Rica</v>
      </c>
      <c r="F504" s="13" t="str">
        <f t="shared" si="62"/>
        <v>Biofuels</v>
      </c>
      <c r="G504" s="13" t="str">
        <f t="shared" si="63"/>
        <v>Asset finance investments</v>
      </c>
      <c r="H504" s="638">
        <f t="shared" si="61"/>
        <v>15.054479999999998</v>
      </c>
      <c r="I504" s="24" t="s">
        <v>506</v>
      </c>
      <c r="J504" s="25" t="s">
        <v>246</v>
      </c>
      <c r="K504" s="25" t="s">
        <v>2267</v>
      </c>
      <c r="L504" s="25" t="s">
        <v>697</v>
      </c>
      <c r="M504" s="25" t="s">
        <v>10</v>
      </c>
      <c r="N504" s="25" t="s">
        <v>85</v>
      </c>
      <c r="O504" s="25" t="s">
        <v>92</v>
      </c>
      <c r="P504" s="25" t="s">
        <v>83</v>
      </c>
      <c r="Q504" s="25" t="s">
        <v>82</v>
      </c>
      <c r="R504" s="25"/>
      <c r="S504" s="25" t="s">
        <v>96</v>
      </c>
      <c r="T504" s="25" t="s">
        <v>96</v>
      </c>
      <c r="U504" s="25" t="s">
        <v>95</v>
      </c>
      <c r="V504" s="25" t="s">
        <v>223</v>
      </c>
      <c r="W504" s="25" t="s">
        <v>553</v>
      </c>
      <c r="X504" s="25" t="s">
        <v>1752</v>
      </c>
      <c r="Y504" s="25" t="s">
        <v>1753</v>
      </c>
      <c r="Z504" s="26">
        <v>39813</v>
      </c>
      <c r="AA504" s="776">
        <v>0</v>
      </c>
      <c r="AB504" s="776">
        <v>34.799999999999997</v>
      </c>
      <c r="AC504" s="776">
        <v>0</v>
      </c>
      <c r="AD504" s="776">
        <v>0</v>
      </c>
      <c r="AE504" s="777">
        <v>0</v>
      </c>
      <c r="AF504" s="777">
        <v>14.615999999999998</v>
      </c>
      <c r="AG504" s="778">
        <v>15.054479999999998</v>
      </c>
    </row>
    <row r="505" spans="1:33" x14ac:dyDescent="0.2">
      <c r="A505" s="15">
        <f t="shared" si="56"/>
        <v>2008</v>
      </c>
      <c r="B505" s="14">
        <f t="shared" si="57"/>
        <v>11</v>
      </c>
      <c r="C505" s="13" t="str">
        <f t="shared" si="58"/>
        <v>Q4</v>
      </c>
      <c r="D505" s="13" t="str">
        <f t="shared" si="59"/>
        <v>2008Q4</v>
      </c>
      <c r="E505" s="13" t="str">
        <f t="shared" si="60"/>
        <v>Brazil</v>
      </c>
      <c r="F505" s="13" t="str">
        <f t="shared" si="62"/>
        <v>Biofuels</v>
      </c>
      <c r="G505" s="13" t="str">
        <f t="shared" si="63"/>
        <v>Asset finance investments</v>
      </c>
      <c r="H505" s="638">
        <f t="shared" si="61"/>
        <v>12.875</v>
      </c>
      <c r="I505" s="24" t="s">
        <v>506</v>
      </c>
      <c r="J505" s="25" t="s">
        <v>246</v>
      </c>
      <c r="K505" s="25" t="s">
        <v>2268</v>
      </c>
      <c r="L505" s="25" t="s">
        <v>972</v>
      </c>
      <c r="M505" s="25" t="s">
        <v>31</v>
      </c>
      <c r="N505" s="25" t="s">
        <v>31</v>
      </c>
      <c r="O505" s="25" t="s">
        <v>92</v>
      </c>
      <c r="P505" s="25" t="s">
        <v>83</v>
      </c>
      <c r="Q505" s="25" t="s">
        <v>82</v>
      </c>
      <c r="R505" s="25" t="s">
        <v>91</v>
      </c>
      <c r="S505" s="25" t="s">
        <v>96</v>
      </c>
      <c r="T505" s="25" t="s">
        <v>96</v>
      </c>
      <c r="U505" s="25" t="s">
        <v>98</v>
      </c>
      <c r="V505" s="25" t="s">
        <v>230</v>
      </c>
      <c r="W505" s="25" t="s">
        <v>553</v>
      </c>
      <c r="X505" s="25" t="s">
        <v>1749</v>
      </c>
      <c r="Y505" s="25" t="s">
        <v>1750</v>
      </c>
      <c r="Z505" s="26">
        <v>39759</v>
      </c>
      <c r="AA505" s="776">
        <v>0</v>
      </c>
      <c r="AB505" s="776">
        <v>0</v>
      </c>
      <c r="AC505" s="776">
        <v>0</v>
      </c>
      <c r="AD505" s="776">
        <v>0</v>
      </c>
      <c r="AE505" s="777">
        <v>12.5</v>
      </c>
      <c r="AF505" s="777">
        <v>12.5</v>
      </c>
      <c r="AG505" s="778">
        <v>12.875</v>
      </c>
    </row>
    <row r="506" spans="1:33" x14ac:dyDescent="0.2">
      <c r="A506" s="15">
        <f t="shared" si="56"/>
        <v>2008</v>
      </c>
      <c r="B506" s="14">
        <f t="shared" si="57"/>
        <v>10</v>
      </c>
      <c r="C506" s="13" t="str">
        <f t="shared" si="58"/>
        <v>Q4</v>
      </c>
      <c r="D506" s="13" t="str">
        <f t="shared" si="59"/>
        <v>2008Q4</v>
      </c>
      <c r="E506" s="13" t="str">
        <f t="shared" si="60"/>
        <v>Brazil</v>
      </c>
      <c r="F506" s="13" t="str">
        <f t="shared" si="62"/>
        <v>Biofuels</v>
      </c>
      <c r="G506" s="13" t="str">
        <f t="shared" si="63"/>
        <v>Asset finance investments</v>
      </c>
      <c r="H506" s="638">
        <f t="shared" si="61"/>
        <v>12.257000000000001</v>
      </c>
      <c r="I506" s="24" t="s">
        <v>506</v>
      </c>
      <c r="J506" s="25" t="s">
        <v>246</v>
      </c>
      <c r="K506" s="25" t="s">
        <v>2269</v>
      </c>
      <c r="L506" s="25" t="s">
        <v>1034</v>
      </c>
      <c r="M506" s="25" t="s">
        <v>31</v>
      </c>
      <c r="N506" s="25" t="s">
        <v>31</v>
      </c>
      <c r="O506" s="25" t="s">
        <v>92</v>
      </c>
      <c r="P506" s="25" t="s">
        <v>83</v>
      </c>
      <c r="Q506" s="25" t="s">
        <v>82</v>
      </c>
      <c r="R506" s="25" t="s">
        <v>91</v>
      </c>
      <c r="S506" s="25" t="s">
        <v>96</v>
      </c>
      <c r="T506" s="25" t="s">
        <v>96</v>
      </c>
      <c r="U506" s="25" t="s">
        <v>95</v>
      </c>
      <c r="V506" s="25" t="s">
        <v>223</v>
      </c>
      <c r="W506" s="25" t="s">
        <v>553</v>
      </c>
      <c r="X506" s="25" t="s">
        <v>1752</v>
      </c>
      <c r="Y506" s="25" t="s">
        <v>1753</v>
      </c>
      <c r="Z506" s="26">
        <v>39743</v>
      </c>
      <c r="AA506" s="776">
        <v>0</v>
      </c>
      <c r="AB506" s="776">
        <v>33.799999999999997</v>
      </c>
      <c r="AC506" s="776">
        <v>0</v>
      </c>
      <c r="AD506" s="776">
        <v>0</v>
      </c>
      <c r="AE506" s="777">
        <v>11.9</v>
      </c>
      <c r="AF506" s="777">
        <v>11.9</v>
      </c>
      <c r="AG506" s="778">
        <v>12.257000000000001</v>
      </c>
    </row>
    <row r="507" spans="1:33" x14ac:dyDescent="0.2">
      <c r="A507" s="15">
        <f t="shared" si="56"/>
        <v>2008</v>
      </c>
      <c r="B507" s="14">
        <f t="shared" si="57"/>
        <v>12</v>
      </c>
      <c r="C507" s="13" t="str">
        <f t="shared" si="58"/>
        <v>Q4</v>
      </c>
      <c r="D507" s="13" t="str">
        <f t="shared" si="59"/>
        <v>2008Q4</v>
      </c>
      <c r="E507" s="13" t="str">
        <f t="shared" si="60"/>
        <v>Brazil</v>
      </c>
      <c r="F507" s="13" t="str">
        <f t="shared" si="62"/>
        <v>Small Hydro</v>
      </c>
      <c r="G507" s="13" t="str">
        <f t="shared" si="63"/>
        <v>Asset finance investments</v>
      </c>
      <c r="H507" s="638">
        <f t="shared" si="61"/>
        <v>11.433</v>
      </c>
      <c r="I507" s="24" t="s">
        <v>506</v>
      </c>
      <c r="J507" s="25" t="s">
        <v>246</v>
      </c>
      <c r="K507" s="25" t="s">
        <v>2270</v>
      </c>
      <c r="L507" s="25" t="s">
        <v>931</v>
      </c>
      <c r="M507" s="25" t="s">
        <v>31</v>
      </c>
      <c r="N507" s="25" t="s">
        <v>31</v>
      </c>
      <c r="O507" s="25" t="s">
        <v>92</v>
      </c>
      <c r="P507" s="25" t="s">
        <v>83</v>
      </c>
      <c r="Q507" s="25" t="s">
        <v>82</v>
      </c>
      <c r="R507" s="25" t="s">
        <v>91</v>
      </c>
      <c r="S507" s="25" t="s">
        <v>126</v>
      </c>
      <c r="T507" s="25" t="s">
        <v>125</v>
      </c>
      <c r="U507" s="25" t="s">
        <v>247</v>
      </c>
      <c r="V507" s="25">
        <v>0</v>
      </c>
      <c r="W507" s="25" t="s">
        <v>553</v>
      </c>
      <c r="X507" s="25" t="s">
        <v>1752</v>
      </c>
      <c r="Y507" s="25" t="s">
        <v>1753</v>
      </c>
      <c r="Z507" s="26">
        <v>39791</v>
      </c>
      <c r="AA507" s="776">
        <v>5.4429999999999996</v>
      </c>
      <c r="AB507" s="776">
        <v>0</v>
      </c>
      <c r="AC507" s="776">
        <v>0</v>
      </c>
      <c r="AD507" s="776">
        <v>0</v>
      </c>
      <c r="AE507" s="777">
        <v>0</v>
      </c>
      <c r="AF507" s="777">
        <v>11.1</v>
      </c>
      <c r="AG507" s="778">
        <v>11.433</v>
      </c>
    </row>
    <row r="508" spans="1:33" x14ac:dyDescent="0.2">
      <c r="A508" s="15">
        <f t="shared" si="56"/>
        <v>2008</v>
      </c>
      <c r="B508" s="14">
        <f t="shared" si="57"/>
        <v>12</v>
      </c>
      <c r="C508" s="13" t="str">
        <f t="shared" si="58"/>
        <v>Q4</v>
      </c>
      <c r="D508" s="13" t="str">
        <f t="shared" si="59"/>
        <v>2008Q4</v>
      </c>
      <c r="E508" s="13" t="str">
        <f t="shared" si="60"/>
        <v>Brazil</v>
      </c>
      <c r="F508" s="13" t="str">
        <f t="shared" si="62"/>
        <v>Small Hydro</v>
      </c>
      <c r="G508" s="13" t="str">
        <f t="shared" si="63"/>
        <v>Asset finance investments</v>
      </c>
      <c r="H508" s="638">
        <f t="shared" si="61"/>
        <v>10.024475000000001</v>
      </c>
      <c r="I508" s="24" t="s">
        <v>506</v>
      </c>
      <c r="J508" s="25" t="s">
        <v>246</v>
      </c>
      <c r="K508" s="25" t="s">
        <v>2271</v>
      </c>
      <c r="L508" s="25" t="s">
        <v>610</v>
      </c>
      <c r="M508" s="25" t="s">
        <v>31</v>
      </c>
      <c r="N508" s="25" t="s">
        <v>31</v>
      </c>
      <c r="O508" s="25" t="s">
        <v>92</v>
      </c>
      <c r="P508" s="25" t="s">
        <v>83</v>
      </c>
      <c r="Q508" s="25" t="s">
        <v>82</v>
      </c>
      <c r="R508" s="25" t="s">
        <v>91</v>
      </c>
      <c r="S508" s="25" t="s">
        <v>126</v>
      </c>
      <c r="T508" s="25" t="s">
        <v>125</v>
      </c>
      <c r="U508" s="25" t="s">
        <v>247</v>
      </c>
      <c r="V508" s="25">
        <v>0</v>
      </c>
      <c r="W508" s="25" t="s">
        <v>553</v>
      </c>
      <c r="X508" s="25" t="s">
        <v>1752</v>
      </c>
      <c r="Y508" s="25" t="s">
        <v>1753</v>
      </c>
      <c r="Z508" s="26">
        <v>39791</v>
      </c>
      <c r="AA508" s="776">
        <v>3.8929999999999998</v>
      </c>
      <c r="AB508" s="776">
        <v>0</v>
      </c>
      <c r="AC508" s="776">
        <v>0</v>
      </c>
      <c r="AD508" s="776">
        <v>0</v>
      </c>
      <c r="AE508" s="777">
        <v>0</v>
      </c>
      <c r="AF508" s="777">
        <v>9.7324999999999999</v>
      </c>
      <c r="AG508" s="778">
        <v>10.024475000000001</v>
      </c>
    </row>
    <row r="509" spans="1:33" x14ac:dyDescent="0.2">
      <c r="A509" s="15">
        <f t="shared" si="56"/>
        <v>2008</v>
      </c>
      <c r="B509" s="14">
        <f t="shared" si="57"/>
        <v>11</v>
      </c>
      <c r="C509" s="13" t="str">
        <f t="shared" si="58"/>
        <v>Q4</v>
      </c>
      <c r="D509" s="13" t="str">
        <f t="shared" si="59"/>
        <v>2008Q4</v>
      </c>
      <c r="E509" s="13" t="str">
        <f t="shared" si="60"/>
        <v>Peru</v>
      </c>
      <c r="F509" s="13" t="str">
        <f t="shared" si="62"/>
        <v>Small Hydro</v>
      </c>
      <c r="G509" s="13" t="str">
        <f t="shared" si="63"/>
        <v>Asset finance investments</v>
      </c>
      <c r="H509" s="638">
        <f t="shared" si="61"/>
        <v>9.27</v>
      </c>
      <c r="I509" s="24" t="s">
        <v>506</v>
      </c>
      <c r="J509" s="25" t="s">
        <v>246</v>
      </c>
      <c r="K509" s="25" t="s">
        <v>2272</v>
      </c>
      <c r="L509" s="25" t="s">
        <v>987</v>
      </c>
      <c r="M509" s="25" t="s">
        <v>20</v>
      </c>
      <c r="N509" s="25" t="s">
        <v>85</v>
      </c>
      <c r="O509" s="25" t="s">
        <v>92</v>
      </c>
      <c r="P509" s="25" t="s">
        <v>83</v>
      </c>
      <c r="Q509" s="25" t="s">
        <v>82</v>
      </c>
      <c r="R509" s="25"/>
      <c r="S509" s="25" t="s">
        <v>126</v>
      </c>
      <c r="T509" s="25" t="s">
        <v>125</v>
      </c>
      <c r="U509" s="25" t="s">
        <v>189</v>
      </c>
      <c r="V509" s="25">
        <v>0</v>
      </c>
      <c r="W509" s="25" t="s">
        <v>553</v>
      </c>
      <c r="X509" s="25" t="s">
        <v>1752</v>
      </c>
      <c r="Y509" s="25" t="s">
        <v>1753</v>
      </c>
      <c r="Z509" s="26">
        <v>39776</v>
      </c>
      <c r="AA509" s="776">
        <v>10</v>
      </c>
      <c r="AB509" s="776">
        <v>0</v>
      </c>
      <c r="AC509" s="776">
        <v>0</v>
      </c>
      <c r="AD509" s="776">
        <v>0</v>
      </c>
      <c r="AE509" s="777">
        <v>9</v>
      </c>
      <c r="AF509" s="777">
        <v>9</v>
      </c>
      <c r="AG509" s="778">
        <v>9.27</v>
      </c>
    </row>
    <row r="510" spans="1:33" x14ac:dyDescent="0.2">
      <c r="A510" s="15">
        <f t="shared" si="56"/>
        <v>2008</v>
      </c>
      <c r="B510" s="14">
        <f t="shared" si="57"/>
        <v>11</v>
      </c>
      <c r="C510" s="13" t="str">
        <f t="shared" si="58"/>
        <v>Q4</v>
      </c>
      <c r="D510" s="13" t="str">
        <f t="shared" si="59"/>
        <v>2008Q4</v>
      </c>
      <c r="E510" s="13" t="str">
        <f t="shared" si="60"/>
        <v>Brazil</v>
      </c>
      <c r="F510" s="13" t="str">
        <f t="shared" si="62"/>
        <v>Biofuels</v>
      </c>
      <c r="G510" s="13" t="str">
        <f t="shared" si="63"/>
        <v>Asset finance investments</v>
      </c>
      <c r="H510" s="638">
        <f t="shared" si="61"/>
        <v>8.24</v>
      </c>
      <c r="I510" s="24" t="s">
        <v>506</v>
      </c>
      <c r="J510" s="25" t="s">
        <v>246</v>
      </c>
      <c r="K510" s="25" t="s">
        <v>2273</v>
      </c>
      <c r="L510" s="25" t="s">
        <v>680</v>
      </c>
      <c r="M510" s="25" t="s">
        <v>31</v>
      </c>
      <c r="N510" s="25" t="s">
        <v>31</v>
      </c>
      <c r="O510" s="25" t="s">
        <v>92</v>
      </c>
      <c r="P510" s="25" t="s">
        <v>83</v>
      </c>
      <c r="Q510" s="25" t="s">
        <v>82</v>
      </c>
      <c r="R510" s="25" t="s">
        <v>91</v>
      </c>
      <c r="S510" s="25" t="s">
        <v>96</v>
      </c>
      <c r="T510" s="25" t="s">
        <v>96</v>
      </c>
      <c r="U510" s="25" t="s">
        <v>95</v>
      </c>
      <c r="V510" s="25">
        <v>0</v>
      </c>
      <c r="W510" s="25" t="s">
        <v>553</v>
      </c>
      <c r="X510" s="25" t="s">
        <v>1752</v>
      </c>
      <c r="Y510" s="25" t="s">
        <v>1753</v>
      </c>
      <c r="Z510" s="26">
        <v>39761</v>
      </c>
      <c r="AA510" s="776">
        <v>0</v>
      </c>
      <c r="AB510" s="776">
        <v>25</v>
      </c>
      <c r="AC510" s="776">
        <v>0</v>
      </c>
      <c r="AD510" s="776">
        <v>0</v>
      </c>
      <c r="AE510" s="777">
        <v>0</v>
      </c>
      <c r="AF510" s="777">
        <v>8</v>
      </c>
      <c r="AG510" s="778">
        <v>8.24</v>
      </c>
    </row>
    <row r="511" spans="1:33" x14ac:dyDescent="0.2">
      <c r="A511" s="15">
        <f t="shared" si="56"/>
        <v>2008</v>
      </c>
      <c r="B511" s="14">
        <f t="shared" si="57"/>
        <v>11</v>
      </c>
      <c r="C511" s="13" t="str">
        <f t="shared" si="58"/>
        <v>Q4</v>
      </c>
      <c r="D511" s="13" t="str">
        <f t="shared" si="59"/>
        <v>2008Q4</v>
      </c>
      <c r="E511" s="13" t="str">
        <f t="shared" si="60"/>
        <v>Brazil</v>
      </c>
      <c r="F511" s="13" t="str">
        <f t="shared" si="62"/>
        <v>Biofuels</v>
      </c>
      <c r="G511" s="13" t="str">
        <f t="shared" si="63"/>
        <v>Asset finance investments</v>
      </c>
      <c r="H511" s="638">
        <f t="shared" si="61"/>
        <v>7.21</v>
      </c>
      <c r="I511" s="24" t="s">
        <v>506</v>
      </c>
      <c r="J511" s="25" t="s">
        <v>246</v>
      </c>
      <c r="K511" s="25" t="s">
        <v>2274</v>
      </c>
      <c r="L511" s="25" t="s">
        <v>2275</v>
      </c>
      <c r="M511" s="25" t="s">
        <v>31</v>
      </c>
      <c r="N511" s="25" t="s">
        <v>31</v>
      </c>
      <c r="O511" s="25" t="s">
        <v>92</v>
      </c>
      <c r="P511" s="25" t="s">
        <v>83</v>
      </c>
      <c r="Q511" s="25" t="s">
        <v>82</v>
      </c>
      <c r="R511" s="25" t="s">
        <v>91</v>
      </c>
      <c r="S511" s="25" t="s">
        <v>96</v>
      </c>
      <c r="T511" s="25" t="s">
        <v>96</v>
      </c>
      <c r="U511" s="25" t="s">
        <v>95</v>
      </c>
      <c r="V511" s="25" t="s">
        <v>223</v>
      </c>
      <c r="W511" s="25" t="s">
        <v>553</v>
      </c>
      <c r="X511" s="25" t="s">
        <v>1752</v>
      </c>
      <c r="Y511" s="25" t="s">
        <v>1753</v>
      </c>
      <c r="Z511" s="26">
        <v>39758</v>
      </c>
      <c r="AA511" s="776">
        <v>0</v>
      </c>
      <c r="AB511" s="776">
        <v>19.399999999999999</v>
      </c>
      <c r="AC511" s="776">
        <v>0</v>
      </c>
      <c r="AD511" s="776">
        <v>0</v>
      </c>
      <c r="AE511" s="777">
        <v>7</v>
      </c>
      <c r="AF511" s="777">
        <v>7</v>
      </c>
      <c r="AG511" s="778">
        <v>7.21</v>
      </c>
    </row>
    <row r="512" spans="1:33" x14ac:dyDescent="0.2">
      <c r="A512" s="15">
        <f t="shared" si="56"/>
        <v>2008</v>
      </c>
      <c r="B512" s="14">
        <f t="shared" si="57"/>
        <v>10</v>
      </c>
      <c r="C512" s="13" t="str">
        <f t="shared" si="58"/>
        <v>Q4</v>
      </c>
      <c r="D512" s="13" t="str">
        <f t="shared" si="59"/>
        <v>2008Q4</v>
      </c>
      <c r="E512" s="13" t="str">
        <f t="shared" si="60"/>
        <v>Brazil</v>
      </c>
      <c r="F512" s="13" t="str">
        <f t="shared" si="62"/>
        <v>Biofuels</v>
      </c>
      <c r="G512" s="13" t="str">
        <f t="shared" si="63"/>
        <v>Asset finance investments</v>
      </c>
      <c r="H512" s="638">
        <f t="shared" si="61"/>
        <v>6.18</v>
      </c>
      <c r="I512" s="24" t="s">
        <v>506</v>
      </c>
      <c r="J512" s="25" t="s">
        <v>246</v>
      </c>
      <c r="K512" s="25" t="s">
        <v>2276</v>
      </c>
      <c r="L512" s="25" t="s">
        <v>1139</v>
      </c>
      <c r="M512" s="25" t="s">
        <v>31</v>
      </c>
      <c r="N512" s="25" t="s">
        <v>31</v>
      </c>
      <c r="O512" s="25" t="s">
        <v>92</v>
      </c>
      <c r="P512" s="25" t="s">
        <v>83</v>
      </c>
      <c r="Q512" s="25" t="s">
        <v>82</v>
      </c>
      <c r="R512" s="25" t="s">
        <v>91</v>
      </c>
      <c r="S512" s="25" t="s">
        <v>96</v>
      </c>
      <c r="T512" s="25" t="s">
        <v>96</v>
      </c>
      <c r="U512" s="25" t="s">
        <v>95</v>
      </c>
      <c r="V512" s="25">
        <v>0</v>
      </c>
      <c r="W512" s="25" t="s">
        <v>553</v>
      </c>
      <c r="X512" s="25" t="s">
        <v>1749</v>
      </c>
      <c r="Y512" s="25" t="s">
        <v>1750</v>
      </c>
      <c r="Z512" s="26">
        <v>39722</v>
      </c>
      <c r="AA512" s="776">
        <v>0</v>
      </c>
      <c r="AB512" s="776">
        <v>16</v>
      </c>
      <c r="AC512" s="776">
        <v>0</v>
      </c>
      <c r="AD512" s="776">
        <v>0</v>
      </c>
      <c r="AE512" s="777">
        <v>6</v>
      </c>
      <c r="AF512" s="777">
        <v>6</v>
      </c>
      <c r="AG512" s="778">
        <v>6.18</v>
      </c>
    </row>
    <row r="513" spans="1:33" x14ac:dyDescent="0.2">
      <c r="A513" s="15">
        <f t="shared" si="56"/>
        <v>2008</v>
      </c>
      <c r="B513" s="14">
        <f t="shared" si="57"/>
        <v>10</v>
      </c>
      <c r="C513" s="13" t="str">
        <f t="shared" si="58"/>
        <v>Q4</v>
      </c>
      <c r="D513" s="13" t="str">
        <f t="shared" si="59"/>
        <v>2008Q4</v>
      </c>
      <c r="E513" s="13" t="str">
        <f t="shared" si="60"/>
        <v>Uruguay</v>
      </c>
      <c r="F513" s="13" t="str">
        <f t="shared" si="62"/>
        <v>Biofuels</v>
      </c>
      <c r="G513" s="13" t="str">
        <f t="shared" si="63"/>
        <v>Asset finance investments</v>
      </c>
      <c r="H513" s="638">
        <f t="shared" si="61"/>
        <v>6.18</v>
      </c>
      <c r="I513" s="24" t="s">
        <v>506</v>
      </c>
      <c r="J513" s="25" t="s">
        <v>246</v>
      </c>
      <c r="K513" s="25" t="s">
        <v>2277</v>
      </c>
      <c r="L513" s="25" t="s">
        <v>2278</v>
      </c>
      <c r="M513" s="25" t="s">
        <v>22</v>
      </c>
      <c r="N513" s="25" t="s">
        <v>85</v>
      </c>
      <c r="O513" s="25" t="s">
        <v>92</v>
      </c>
      <c r="P513" s="25" t="s">
        <v>83</v>
      </c>
      <c r="Q513" s="25" t="s">
        <v>82</v>
      </c>
      <c r="R513" s="25"/>
      <c r="S513" s="25" t="s">
        <v>96</v>
      </c>
      <c r="T513" s="25" t="s">
        <v>96</v>
      </c>
      <c r="U513" s="25" t="s">
        <v>95</v>
      </c>
      <c r="V513" s="25" t="s">
        <v>223</v>
      </c>
      <c r="W513" s="25" t="s">
        <v>553</v>
      </c>
      <c r="X513" s="25" t="s">
        <v>1752</v>
      </c>
      <c r="Y513" s="25" t="s">
        <v>1753</v>
      </c>
      <c r="Z513" s="26">
        <v>39737</v>
      </c>
      <c r="AA513" s="776">
        <v>0</v>
      </c>
      <c r="AB513" s="776">
        <v>19</v>
      </c>
      <c r="AC513" s="776">
        <v>0</v>
      </c>
      <c r="AD513" s="776">
        <v>0</v>
      </c>
      <c r="AE513" s="777">
        <v>6</v>
      </c>
      <c r="AF513" s="777">
        <v>6</v>
      </c>
      <c r="AG513" s="778">
        <v>6.18</v>
      </c>
    </row>
    <row r="514" spans="1:33" x14ac:dyDescent="0.2">
      <c r="A514" s="15">
        <f t="shared" si="56"/>
        <v>2008</v>
      </c>
      <c r="B514" s="14">
        <f t="shared" si="57"/>
        <v>12</v>
      </c>
      <c r="C514" s="13" t="str">
        <f t="shared" si="58"/>
        <v>Q4</v>
      </c>
      <c r="D514" s="13" t="str">
        <f t="shared" si="59"/>
        <v>2008Q4</v>
      </c>
      <c r="E514" s="13" t="str">
        <f t="shared" si="60"/>
        <v>Chile</v>
      </c>
      <c r="F514" s="13" t="str">
        <f t="shared" si="62"/>
        <v>Small Hydro</v>
      </c>
      <c r="G514" s="13" t="str">
        <f t="shared" si="63"/>
        <v>Asset finance investments</v>
      </c>
      <c r="H514" s="638">
        <f t="shared" si="61"/>
        <v>5.4074999999999998</v>
      </c>
      <c r="I514" s="24" t="s">
        <v>506</v>
      </c>
      <c r="J514" s="25" t="s">
        <v>246</v>
      </c>
      <c r="K514" s="25" t="s">
        <v>2279</v>
      </c>
      <c r="L514" s="25" t="s">
        <v>1044</v>
      </c>
      <c r="M514" s="25" t="s">
        <v>8</v>
      </c>
      <c r="N514" s="25" t="s">
        <v>85</v>
      </c>
      <c r="O514" s="25" t="s">
        <v>92</v>
      </c>
      <c r="P514" s="25" t="s">
        <v>83</v>
      </c>
      <c r="Q514" s="25" t="s">
        <v>129</v>
      </c>
      <c r="R514" s="25"/>
      <c r="S514" s="25" t="s">
        <v>126</v>
      </c>
      <c r="T514" s="25" t="s">
        <v>125</v>
      </c>
      <c r="U514" s="25" t="s">
        <v>247</v>
      </c>
      <c r="V514" s="25">
        <v>0</v>
      </c>
      <c r="W514" s="25" t="s">
        <v>553</v>
      </c>
      <c r="X514" s="25" t="s">
        <v>1752</v>
      </c>
      <c r="Y514" s="25" t="s">
        <v>1753</v>
      </c>
      <c r="Z514" s="26">
        <v>39813</v>
      </c>
      <c r="AA514" s="776">
        <v>3.66</v>
      </c>
      <c r="AB514" s="776">
        <v>0</v>
      </c>
      <c r="AC514" s="776">
        <v>0</v>
      </c>
      <c r="AD514" s="776">
        <v>0</v>
      </c>
      <c r="AE514" s="777">
        <v>5.25</v>
      </c>
      <c r="AF514" s="777">
        <v>5.25</v>
      </c>
      <c r="AG514" s="778">
        <v>5.4074999999999998</v>
      </c>
    </row>
    <row r="515" spans="1:33" x14ac:dyDescent="0.2">
      <c r="A515" s="15">
        <f t="shared" si="56"/>
        <v>2008</v>
      </c>
      <c r="B515" s="14">
        <f t="shared" si="57"/>
        <v>12</v>
      </c>
      <c r="C515" s="13" t="str">
        <f t="shared" si="58"/>
        <v>Q4</v>
      </c>
      <c r="D515" s="13" t="str">
        <f t="shared" si="59"/>
        <v>2008Q4</v>
      </c>
      <c r="E515" s="13" t="str">
        <f t="shared" si="60"/>
        <v>Panama</v>
      </c>
      <c r="F515" s="13" t="str">
        <f t="shared" si="62"/>
        <v>Small Hydro</v>
      </c>
      <c r="G515" s="13" t="str">
        <f t="shared" si="63"/>
        <v>Asset finance investments</v>
      </c>
      <c r="H515" s="638">
        <f t="shared" si="61"/>
        <v>3.8625000000000003</v>
      </c>
      <c r="I515" s="24" t="s">
        <v>506</v>
      </c>
      <c r="J515" s="25" t="s">
        <v>246</v>
      </c>
      <c r="K515" s="25" t="s">
        <v>2280</v>
      </c>
      <c r="L515" s="25" t="s">
        <v>580</v>
      </c>
      <c r="M515" s="25" t="s">
        <v>19</v>
      </c>
      <c r="N515" s="25" t="s">
        <v>85</v>
      </c>
      <c r="O515" s="25" t="s">
        <v>92</v>
      </c>
      <c r="P515" s="25" t="s">
        <v>83</v>
      </c>
      <c r="Q515" s="25" t="s">
        <v>82</v>
      </c>
      <c r="R515" s="25"/>
      <c r="S515" s="25" t="s">
        <v>126</v>
      </c>
      <c r="T515" s="25" t="s">
        <v>125</v>
      </c>
      <c r="U515" s="25" t="s">
        <v>247</v>
      </c>
      <c r="V515" s="25">
        <v>0</v>
      </c>
      <c r="W515" s="25" t="s">
        <v>553</v>
      </c>
      <c r="X515" s="25" t="s">
        <v>1752</v>
      </c>
      <c r="Y515" s="25" t="s">
        <v>1753</v>
      </c>
      <c r="Z515" s="26">
        <v>39813</v>
      </c>
      <c r="AA515" s="776">
        <v>1.5</v>
      </c>
      <c r="AB515" s="776">
        <v>0</v>
      </c>
      <c r="AC515" s="776">
        <v>0</v>
      </c>
      <c r="AD515" s="776">
        <v>0</v>
      </c>
      <c r="AE515" s="777">
        <v>0</v>
      </c>
      <c r="AF515" s="777">
        <v>3.75</v>
      </c>
      <c r="AG515" s="778">
        <v>3.8625000000000003</v>
      </c>
    </row>
    <row r="516" spans="1:33" x14ac:dyDescent="0.2">
      <c r="A516" s="15">
        <f t="shared" si="56"/>
        <v>2008</v>
      </c>
      <c r="B516" s="14">
        <f t="shared" si="57"/>
        <v>12</v>
      </c>
      <c r="C516" s="13" t="str">
        <f t="shared" si="58"/>
        <v>Q4</v>
      </c>
      <c r="D516" s="13" t="str">
        <f t="shared" si="59"/>
        <v>2008Q4</v>
      </c>
      <c r="E516" s="13" t="str">
        <f t="shared" si="60"/>
        <v>Brazil</v>
      </c>
      <c r="F516" s="13" t="str">
        <f t="shared" si="62"/>
        <v>Small Hydro</v>
      </c>
      <c r="G516" s="13" t="str">
        <f t="shared" si="63"/>
        <v>Asset finance investments</v>
      </c>
      <c r="H516" s="638">
        <f t="shared" si="61"/>
        <v>3.1930000000000001</v>
      </c>
      <c r="I516" s="24" t="s">
        <v>506</v>
      </c>
      <c r="J516" s="25" t="s">
        <v>246</v>
      </c>
      <c r="K516" s="25" t="s">
        <v>2281</v>
      </c>
      <c r="L516" s="25" t="s">
        <v>609</v>
      </c>
      <c r="M516" s="25" t="s">
        <v>31</v>
      </c>
      <c r="N516" s="25" t="s">
        <v>31</v>
      </c>
      <c r="O516" s="25" t="s">
        <v>92</v>
      </c>
      <c r="P516" s="25" t="s">
        <v>83</v>
      </c>
      <c r="Q516" s="25" t="s">
        <v>82</v>
      </c>
      <c r="R516" s="25" t="s">
        <v>91</v>
      </c>
      <c r="S516" s="25" t="s">
        <v>126</v>
      </c>
      <c r="T516" s="25" t="s">
        <v>125</v>
      </c>
      <c r="U516" s="25" t="s">
        <v>247</v>
      </c>
      <c r="V516" s="25">
        <v>0</v>
      </c>
      <c r="W516" s="25" t="s">
        <v>553</v>
      </c>
      <c r="X516" s="25" t="s">
        <v>1752</v>
      </c>
      <c r="Y516" s="25" t="s">
        <v>1753</v>
      </c>
      <c r="Z516" s="26">
        <v>39791</v>
      </c>
      <c r="AA516" s="776">
        <v>1.55</v>
      </c>
      <c r="AB516" s="776">
        <v>0</v>
      </c>
      <c r="AC516" s="776">
        <v>0</v>
      </c>
      <c r="AD516" s="776">
        <v>0</v>
      </c>
      <c r="AE516" s="777">
        <v>3.1</v>
      </c>
      <c r="AF516" s="777">
        <v>3.1</v>
      </c>
      <c r="AG516" s="778">
        <v>3.1930000000000001</v>
      </c>
    </row>
    <row r="517" spans="1:33" x14ac:dyDescent="0.2">
      <c r="A517" s="15">
        <f t="shared" si="56"/>
        <v>2008</v>
      </c>
      <c r="B517" s="14">
        <f t="shared" si="57"/>
        <v>11</v>
      </c>
      <c r="C517" s="13" t="str">
        <f t="shared" si="58"/>
        <v>Q4</v>
      </c>
      <c r="D517" s="13" t="str">
        <f t="shared" si="59"/>
        <v>2008Q4</v>
      </c>
      <c r="E517" s="13" t="str">
        <f t="shared" si="60"/>
        <v>Brazil</v>
      </c>
      <c r="F517" s="13" t="str">
        <f t="shared" si="62"/>
        <v>Biofuels</v>
      </c>
      <c r="G517" s="13" t="str">
        <f t="shared" si="63"/>
        <v>Asset finance investments</v>
      </c>
      <c r="H517" s="638">
        <f t="shared" si="61"/>
        <v>3.09</v>
      </c>
      <c r="I517" s="24" t="s">
        <v>506</v>
      </c>
      <c r="J517" s="25" t="s">
        <v>246</v>
      </c>
      <c r="K517" s="25" t="s">
        <v>2282</v>
      </c>
      <c r="L517" s="25" t="s">
        <v>1030</v>
      </c>
      <c r="M517" s="25" t="s">
        <v>31</v>
      </c>
      <c r="N517" s="25" t="s">
        <v>31</v>
      </c>
      <c r="O517" s="25" t="s">
        <v>92</v>
      </c>
      <c r="P517" s="25" t="s">
        <v>83</v>
      </c>
      <c r="Q517" s="25" t="s">
        <v>82</v>
      </c>
      <c r="R517" s="25" t="s">
        <v>91</v>
      </c>
      <c r="S517" s="25" t="s">
        <v>96</v>
      </c>
      <c r="T517" s="25" t="s">
        <v>96</v>
      </c>
      <c r="U517" s="25" t="s">
        <v>95</v>
      </c>
      <c r="V517" s="25" t="s">
        <v>223</v>
      </c>
      <c r="W517" s="25" t="s">
        <v>553</v>
      </c>
      <c r="X517" s="25" t="s">
        <v>1752</v>
      </c>
      <c r="Y517" s="25" t="s">
        <v>1753</v>
      </c>
      <c r="Z517" s="26">
        <v>39753</v>
      </c>
      <c r="AA517" s="776">
        <v>0</v>
      </c>
      <c r="AB517" s="776">
        <v>0</v>
      </c>
      <c r="AC517" s="776">
        <v>0</v>
      </c>
      <c r="AD517" s="776">
        <v>0</v>
      </c>
      <c r="AE517" s="777">
        <v>3</v>
      </c>
      <c r="AF517" s="777">
        <v>3</v>
      </c>
      <c r="AG517" s="778">
        <v>3.09</v>
      </c>
    </row>
    <row r="518" spans="1:33" x14ac:dyDescent="0.2">
      <c r="A518" s="15">
        <f t="shared" ref="A518:A580" si="64">IF(K518="","",IF(AND(YEAR(Z518)&lt;2004,YEAR(Z518)&gt;1910),2004,YEAR(Z518)))</f>
        <v>2008</v>
      </c>
      <c r="B518" s="14">
        <f t="shared" ref="B518:B580" si="65">IF(K518="","",IF(ISNUMBER(Z518),MONTH(Z518),0))</f>
        <v>11</v>
      </c>
      <c r="C518" s="13" t="str">
        <f t="shared" ref="C518:C580" si="66">IF(K518="","",IF(AND(B518&gt;=1,B518&lt;=3),"Q1",IF(AND(B518&gt;3,B518&lt;=6),"Q2",IF(AND(B518&gt;6,B518&lt;=9),"Q3",IF(AND(B518&gt;9,B518&lt;=12),"Q4",0)))))</f>
        <v>Q4</v>
      </c>
      <c r="D518" s="13" t="str">
        <f t="shared" ref="D518:D580" si="67">IF(A518&lt;2006, "&lt; 2006", A518&amp;C518)</f>
        <v>2008Q4</v>
      </c>
      <c r="E518" s="13" t="str">
        <f t="shared" ref="E518:E580" si="68">IF(K518="","", M518)</f>
        <v>Brazil</v>
      </c>
      <c r="F518" s="13" t="str">
        <f t="shared" si="62"/>
        <v>Small Hydro</v>
      </c>
      <c r="G518" s="13" t="str">
        <f t="shared" si="63"/>
        <v>Asset finance investments</v>
      </c>
      <c r="H518" s="638">
        <f t="shared" ref="H518:H580" si="69">IF(K518="","",AG518)</f>
        <v>2.472</v>
      </c>
      <c r="I518" s="24" t="s">
        <v>506</v>
      </c>
      <c r="J518" s="25" t="s">
        <v>246</v>
      </c>
      <c r="K518" s="25" t="s">
        <v>2283</v>
      </c>
      <c r="L518" s="25" t="s">
        <v>965</v>
      </c>
      <c r="M518" s="25" t="s">
        <v>31</v>
      </c>
      <c r="N518" s="25" t="s">
        <v>31</v>
      </c>
      <c r="O518" s="25" t="s">
        <v>92</v>
      </c>
      <c r="P518" s="25" t="s">
        <v>83</v>
      </c>
      <c r="Q518" s="25" t="s">
        <v>82</v>
      </c>
      <c r="R518" s="25" t="s">
        <v>91</v>
      </c>
      <c r="S518" s="25" t="s">
        <v>126</v>
      </c>
      <c r="T518" s="25" t="s">
        <v>125</v>
      </c>
      <c r="U518" s="25" t="s">
        <v>189</v>
      </c>
      <c r="V518" s="25">
        <v>0</v>
      </c>
      <c r="W518" s="25" t="s">
        <v>553</v>
      </c>
      <c r="X518" s="25" t="s">
        <v>1752</v>
      </c>
      <c r="Y518" s="25" t="s">
        <v>1753</v>
      </c>
      <c r="Z518" s="26">
        <v>39757</v>
      </c>
      <c r="AA518" s="776">
        <v>1.5</v>
      </c>
      <c r="AB518" s="776">
        <v>0</v>
      </c>
      <c r="AC518" s="776">
        <v>0</v>
      </c>
      <c r="AD518" s="776">
        <v>0</v>
      </c>
      <c r="AE518" s="777">
        <v>2.4</v>
      </c>
      <c r="AF518" s="777">
        <v>2.4</v>
      </c>
      <c r="AG518" s="778">
        <v>2.472</v>
      </c>
    </row>
    <row r="519" spans="1:33" x14ac:dyDescent="0.2">
      <c r="A519" s="15">
        <f t="shared" si="64"/>
        <v>2008</v>
      </c>
      <c r="B519" s="14">
        <f t="shared" si="65"/>
        <v>12</v>
      </c>
      <c r="C519" s="13" t="str">
        <f t="shared" si="66"/>
        <v>Q4</v>
      </c>
      <c r="D519" s="13" t="str">
        <f t="shared" si="67"/>
        <v>2008Q4</v>
      </c>
      <c r="E519" s="13" t="str">
        <f t="shared" si="68"/>
        <v>Brazil</v>
      </c>
      <c r="F519" s="13" t="str">
        <f t="shared" ref="F519:F582" si="70">IF(K519="","",IF(OR(T519="Wind",T519="Solar",T519="Geothermal",T519="Small Hydro",T519="Biofuels",T519="Biomass &amp; Waste"),T519,"Other Clean Energy"))</f>
        <v>Biomass &amp; Waste</v>
      </c>
      <c r="G519" s="13" t="str">
        <f t="shared" ref="G519:G581" si="71">IF(K519="","",IF(OR(J519="PM",J519="MA"), "Corporate finance investments", IF(J519="VCPE", "VC/PE investments", IF(J519="AF", "Asset finance investments"))))</f>
        <v>Asset finance investments</v>
      </c>
      <c r="H519" s="638">
        <f t="shared" si="69"/>
        <v>2.06</v>
      </c>
      <c r="I519" s="24" t="s">
        <v>506</v>
      </c>
      <c r="J519" s="25" t="s">
        <v>246</v>
      </c>
      <c r="K519" s="25" t="s">
        <v>2284</v>
      </c>
      <c r="L519" s="25" t="s">
        <v>2285</v>
      </c>
      <c r="M519" s="25" t="s">
        <v>31</v>
      </c>
      <c r="N519" s="25" t="s">
        <v>31</v>
      </c>
      <c r="O519" s="25" t="s">
        <v>92</v>
      </c>
      <c r="P519" s="25" t="s">
        <v>83</v>
      </c>
      <c r="Q519" s="25" t="s">
        <v>82</v>
      </c>
      <c r="R519" s="25" t="s">
        <v>91</v>
      </c>
      <c r="S519" s="25" t="s">
        <v>114</v>
      </c>
      <c r="T519" s="25" t="s">
        <v>114</v>
      </c>
      <c r="U519" s="25" t="s">
        <v>113</v>
      </c>
      <c r="V519" s="25">
        <v>0</v>
      </c>
      <c r="W519" s="25" t="s">
        <v>553</v>
      </c>
      <c r="X519" s="25" t="s">
        <v>1752</v>
      </c>
      <c r="Y519" s="25" t="s">
        <v>1753</v>
      </c>
      <c r="Z519" s="26">
        <v>39813</v>
      </c>
      <c r="AA519" s="776">
        <v>1</v>
      </c>
      <c r="AB519" s="776">
        <v>0</v>
      </c>
      <c r="AC519" s="776">
        <v>0</v>
      </c>
      <c r="AD519" s="776">
        <v>0</v>
      </c>
      <c r="AE519" s="777">
        <v>0</v>
      </c>
      <c r="AF519" s="777">
        <v>2</v>
      </c>
      <c r="AG519" s="778">
        <v>2.06</v>
      </c>
    </row>
    <row r="520" spans="1:33" x14ac:dyDescent="0.2">
      <c r="A520" s="15">
        <f t="shared" si="64"/>
        <v>2008</v>
      </c>
      <c r="B520" s="14">
        <f t="shared" si="65"/>
        <v>12</v>
      </c>
      <c r="C520" s="13" t="str">
        <f t="shared" si="66"/>
        <v>Q4</v>
      </c>
      <c r="D520" s="13" t="str">
        <f t="shared" si="67"/>
        <v>2008Q4</v>
      </c>
      <c r="E520" s="13" t="str">
        <f t="shared" si="68"/>
        <v>Brazil</v>
      </c>
      <c r="F520" s="13" t="str">
        <f t="shared" si="70"/>
        <v>Biomass &amp; Waste</v>
      </c>
      <c r="G520" s="13" t="str">
        <f t="shared" si="71"/>
        <v>Asset finance investments</v>
      </c>
      <c r="H520" s="638">
        <f t="shared" si="69"/>
        <v>1.5449999999999999</v>
      </c>
      <c r="I520" s="24" t="s">
        <v>506</v>
      </c>
      <c r="J520" s="25" t="s">
        <v>246</v>
      </c>
      <c r="K520" s="25" t="s">
        <v>2286</v>
      </c>
      <c r="L520" s="25" t="s">
        <v>2287</v>
      </c>
      <c r="M520" s="25" t="s">
        <v>31</v>
      </c>
      <c r="N520" s="25" t="s">
        <v>31</v>
      </c>
      <c r="O520" s="25" t="s">
        <v>92</v>
      </c>
      <c r="P520" s="25" t="s">
        <v>83</v>
      </c>
      <c r="Q520" s="25" t="s">
        <v>82</v>
      </c>
      <c r="R520" s="25" t="s">
        <v>91</v>
      </c>
      <c r="S520" s="25" t="s">
        <v>114</v>
      </c>
      <c r="T520" s="25" t="s">
        <v>114</v>
      </c>
      <c r="U520" s="25" t="s">
        <v>113</v>
      </c>
      <c r="V520" s="25">
        <v>0</v>
      </c>
      <c r="W520" s="25" t="s">
        <v>553</v>
      </c>
      <c r="X520" s="25" t="s">
        <v>1752</v>
      </c>
      <c r="Y520" s="25" t="s">
        <v>1753</v>
      </c>
      <c r="Z520" s="26">
        <v>39813</v>
      </c>
      <c r="AA520" s="776">
        <v>1</v>
      </c>
      <c r="AB520" s="776">
        <v>0</v>
      </c>
      <c r="AC520" s="776">
        <v>0</v>
      </c>
      <c r="AD520" s="776">
        <v>0</v>
      </c>
      <c r="AE520" s="777">
        <v>0</v>
      </c>
      <c r="AF520" s="777">
        <v>1.5</v>
      </c>
      <c r="AG520" s="778">
        <v>1.5449999999999999</v>
      </c>
    </row>
    <row r="521" spans="1:33" x14ac:dyDescent="0.2">
      <c r="A521" s="15">
        <f t="shared" si="64"/>
        <v>2008</v>
      </c>
      <c r="B521" s="14">
        <f t="shared" si="65"/>
        <v>11</v>
      </c>
      <c r="C521" s="13" t="str">
        <f t="shared" si="66"/>
        <v>Q4</v>
      </c>
      <c r="D521" s="13" t="str">
        <f t="shared" si="67"/>
        <v>2008Q4</v>
      </c>
      <c r="E521" s="13" t="str">
        <f t="shared" si="68"/>
        <v>Argentina</v>
      </c>
      <c r="F521" s="13" t="str">
        <f t="shared" si="70"/>
        <v>Biofuels</v>
      </c>
      <c r="G521" s="13" t="str">
        <f t="shared" si="71"/>
        <v>Asset finance investments</v>
      </c>
      <c r="H521" s="638">
        <f t="shared" si="69"/>
        <v>1.4419999999999999</v>
      </c>
      <c r="I521" s="24" t="s">
        <v>506</v>
      </c>
      <c r="J521" s="25" t="s">
        <v>246</v>
      </c>
      <c r="K521" s="25" t="s">
        <v>2288</v>
      </c>
      <c r="L521" s="25" t="s">
        <v>1014</v>
      </c>
      <c r="M521" s="25" t="s">
        <v>4</v>
      </c>
      <c r="N521" s="25" t="s">
        <v>85</v>
      </c>
      <c r="O521" s="25" t="s">
        <v>92</v>
      </c>
      <c r="P521" s="25" t="s">
        <v>83</v>
      </c>
      <c r="Q521" s="25" t="s">
        <v>82</v>
      </c>
      <c r="R521" s="25"/>
      <c r="S521" s="25" t="s">
        <v>96</v>
      </c>
      <c r="T521" s="25" t="s">
        <v>96</v>
      </c>
      <c r="U521" s="25" t="s">
        <v>95</v>
      </c>
      <c r="V521" s="25">
        <v>0</v>
      </c>
      <c r="W521" s="25" t="s">
        <v>553</v>
      </c>
      <c r="X521" s="25" t="s">
        <v>1752</v>
      </c>
      <c r="Y521" s="25" t="s">
        <v>1753</v>
      </c>
      <c r="Z521" s="26">
        <v>39770</v>
      </c>
      <c r="AA521" s="776">
        <v>0</v>
      </c>
      <c r="AB521" s="776">
        <v>59.5</v>
      </c>
      <c r="AC521" s="776">
        <v>0</v>
      </c>
      <c r="AD521" s="776">
        <v>0</v>
      </c>
      <c r="AE521" s="777">
        <v>1.4</v>
      </c>
      <c r="AF521" s="777">
        <v>1.4</v>
      </c>
      <c r="AG521" s="778">
        <v>1.4419999999999999</v>
      </c>
    </row>
    <row r="522" spans="1:33" x14ac:dyDescent="0.2">
      <c r="A522" s="15">
        <f t="shared" si="64"/>
        <v>2007</v>
      </c>
      <c r="B522" s="14">
        <f t="shared" si="65"/>
        <v>12</v>
      </c>
      <c r="C522" s="13" t="str">
        <f t="shared" si="66"/>
        <v>Q4</v>
      </c>
      <c r="D522" s="13" t="str">
        <f t="shared" si="67"/>
        <v>2007Q4</v>
      </c>
      <c r="E522" s="13" t="str">
        <f t="shared" si="68"/>
        <v>Brazil</v>
      </c>
      <c r="F522" s="13" t="str">
        <f t="shared" si="70"/>
        <v>Biofuels</v>
      </c>
      <c r="G522" s="13" t="str">
        <f t="shared" si="71"/>
        <v>Corporate finance investments</v>
      </c>
      <c r="H522" s="638">
        <f t="shared" si="69"/>
        <v>1015.0350000000001</v>
      </c>
      <c r="I522" s="24" t="s">
        <v>506</v>
      </c>
      <c r="J522" s="25" t="s">
        <v>211</v>
      </c>
      <c r="K522" s="25" t="s">
        <v>2289</v>
      </c>
      <c r="L522" s="25" t="s">
        <v>550</v>
      </c>
      <c r="M522" s="25" t="s">
        <v>31</v>
      </c>
      <c r="N522" s="25" t="s">
        <v>31</v>
      </c>
      <c r="O522" s="25" t="s">
        <v>92</v>
      </c>
      <c r="P522" s="25" t="s">
        <v>83</v>
      </c>
      <c r="Q522" s="25" t="s">
        <v>82</v>
      </c>
      <c r="R522" s="25" t="s">
        <v>91</v>
      </c>
      <c r="S522" s="25" t="s">
        <v>96</v>
      </c>
      <c r="T522" s="25" t="s">
        <v>96</v>
      </c>
      <c r="U522" s="25">
        <v>0</v>
      </c>
      <c r="V522" s="25">
        <v>0</v>
      </c>
      <c r="W522" s="25" t="s">
        <v>31</v>
      </c>
      <c r="X522" s="25" t="s">
        <v>549</v>
      </c>
      <c r="Y522" s="25" t="s">
        <v>548</v>
      </c>
      <c r="Z522" s="26">
        <v>39422</v>
      </c>
      <c r="AA522" s="776" t="s">
        <v>1823</v>
      </c>
      <c r="AB522" s="776">
        <v>0</v>
      </c>
      <c r="AC522" s="776">
        <v>966.7</v>
      </c>
      <c r="AD522" s="776">
        <v>2229.3000000000002</v>
      </c>
      <c r="AE522" s="777">
        <v>966.7</v>
      </c>
      <c r="AF522" s="777">
        <v>966.7</v>
      </c>
      <c r="AG522" s="778">
        <v>1015.0350000000001</v>
      </c>
    </row>
    <row r="523" spans="1:33" x14ac:dyDescent="0.2">
      <c r="A523" s="15">
        <f t="shared" si="64"/>
        <v>2007</v>
      </c>
      <c r="B523" s="14">
        <f t="shared" si="65"/>
        <v>12</v>
      </c>
      <c r="C523" s="13" t="str">
        <f t="shared" si="66"/>
        <v>Q4</v>
      </c>
      <c r="D523" s="13" t="str">
        <f t="shared" si="67"/>
        <v>2007Q4</v>
      </c>
      <c r="E523" s="13" t="str">
        <f t="shared" si="68"/>
        <v>Brazil</v>
      </c>
      <c r="F523" s="13" t="str">
        <f t="shared" si="70"/>
        <v>Wind</v>
      </c>
      <c r="G523" s="13" t="str">
        <f t="shared" si="71"/>
        <v>Asset finance investments</v>
      </c>
      <c r="H523" s="638">
        <f t="shared" si="69"/>
        <v>449.40000000000003</v>
      </c>
      <c r="I523" s="24" t="s">
        <v>506</v>
      </c>
      <c r="J523" s="25" t="s">
        <v>246</v>
      </c>
      <c r="K523" s="25" t="s">
        <v>2290</v>
      </c>
      <c r="L523" s="25" t="s">
        <v>2291</v>
      </c>
      <c r="M523" s="25" t="s">
        <v>31</v>
      </c>
      <c r="N523" s="25" t="s">
        <v>31</v>
      </c>
      <c r="O523" s="25" t="s">
        <v>92</v>
      </c>
      <c r="P523" s="25" t="s">
        <v>83</v>
      </c>
      <c r="Q523" s="25" t="s">
        <v>82</v>
      </c>
      <c r="R523" s="25" t="s">
        <v>91</v>
      </c>
      <c r="S523" s="25" t="s">
        <v>101</v>
      </c>
      <c r="T523" s="25" t="s">
        <v>101</v>
      </c>
      <c r="U523" s="25" t="s">
        <v>112</v>
      </c>
      <c r="V523" s="25">
        <v>0</v>
      </c>
      <c r="W523" s="25" t="s">
        <v>553</v>
      </c>
      <c r="X523" s="25" t="s">
        <v>1752</v>
      </c>
      <c r="Y523" s="25" t="s">
        <v>1753</v>
      </c>
      <c r="Z523" s="26">
        <v>39447</v>
      </c>
      <c r="AA523" s="776">
        <v>155</v>
      </c>
      <c r="AB523" s="776">
        <v>0</v>
      </c>
      <c r="AC523" s="776">
        <v>0</v>
      </c>
      <c r="AD523" s="776">
        <v>0</v>
      </c>
      <c r="AE523" s="777">
        <v>428</v>
      </c>
      <c r="AF523" s="777">
        <v>428</v>
      </c>
      <c r="AG523" s="778">
        <v>449.40000000000003</v>
      </c>
    </row>
    <row r="524" spans="1:33" x14ac:dyDescent="0.2">
      <c r="A524" s="15">
        <f t="shared" si="64"/>
        <v>2007</v>
      </c>
      <c r="B524" s="14">
        <f t="shared" si="65"/>
        <v>11</v>
      </c>
      <c r="C524" s="13" t="str">
        <f t="shared" si="66"/>
        <v>Q4</v>
      </c>
      <c r="D524" s="13" t="str">
        <f t="shared" si="67"/>
        <v>2007Q4</v>
      </c>
      <c r="E524" s="13" t="str">
        <f t="shared" si="68"/>
        <v>Brazil</v>
      </c>
      <c r="F524" s="13" t="str">
        <f t="shared" si="70"/>
        <v>Biofuels</v>
      </c>
      <c r="G524" s="13" t="str">
        <f t="shared" si="71"/>
        <v>Asset finance investments</v>
      </c>
      <c r="H524" s="638">
        <f t="shared" si="69"/>
        <v>309.01500000000004</v>
      </c>
      <c r="I524" s="24" t="s">
        <v>506</v>
      </c>
      <c r="J524" s="25" t="s">
        <v>246</v>
      </c>
      <c r="K524" s="25" t="s">
        <v>2292</v>
      </c>
      <c r="L524" s="25" t="s">
        <v>2293</v>
      </c>
      <c r="M524" s="25" t="s">
        <v>31</v>
      </c>
      <c r="N524" s="25" t="s">
        <v>31</v>
      </c>
      <c r="O524" s="25" t="s">
        <v>92</v>
      </c>
      <c r="P524" s="25" t="s">
        <v>83</v>
      </c>
      <c r="Q524" s="25" t="s">
        <v>82</v>
      </c>
      <c r="R524" s="25" t="s">
        <v>91</v>
      </c>
      <c r="S524" s="25" t="s">
        <v>96</v>
      </c>
      <c r="T524" s="25" t="s">
        <v>96</v>
      </c>
      <c r="U524" s="25" t="s">
        <v>98</v>
      </c>
      <c r="V524" s="25" t="s">
        <v>230</v>
      </c>
      <c r="W524" s="25" t="s">
        <v>553</v>
      </c>
      <c r="X524" s="25" t="s">
        <v>1749</v>
      </c>
      <c r="Y524" s="25" t="s">
        <v>1750</v>
      </c>
      <c r="Z524" s="26">
        <v>39412.725694444402</v>
      </c>
      <c r="AA524" s="776">
        <v>96</v>
      </c>
      <c r="AB524" s="776">
        <v>295</v>
      </c>
      <c r="AC524" s="776">
        <v>0</v>
      </c>
      <c r="AD524" s="776">
        <v>0</v>
      </c>
      <c r="AE524" s="777">
        <v>294.3</v>
      </c>
      <c r="AF524" s="777">
        <v>294.3</v>
      </c>
      <c r="AG524" s="778">
        <v>309.01500000000004</v>
      </c>
    </row>
    <row r="525" spans="1:33" x14ac:dyDescent="0.2">
      <c r="A525" s="15">
        <f t="shared" si="64"/>
        <v>2007</v>
      </c>
      <c r="B525" s="14">
        <f t="shared" si="65"/>
        <v>10</v>
      </c>
      <c r="C525" s="13" t="str">
        <f t="shared" si="66"/>
        <v>Q4</v>
      </c>
      <c r="D525" s="13" t="str">
        <f t="shared" si="67"/>
        <v>2007Q4</v>
      </c>
      <c r="E525" s="13" t="str">
        <f t="shared" si="68"/>
        <v>Brazil</v>
      </c>
      <c r="F525" s="13" t="str">
        <f t="shared" si="70"/>
        <v>Biofuels</v>
      </c>
      <c r="G525" s="13" t="str">
        <f t="shared" si="71"/>
        <v>VC/PE investments</v>
      </c>
      <c r="H525" s="638">
        <f t="shared" si="69"/>
        <v>232.05</v>
      </c>
      <c r="I525" s="24" t="s">
        <v>506</v>
      </c>
      <c r="J525" s="25" t="s">
        <v>216</v>
      </c>
      <c r="K525" s="25" t="s">
        <v>543</v>
      </c>
      <c r="L525" s="25" t="s">
        <v>152</v>
      </c>
      <c r="M525" s="25" t="s">
        <v>31</v>
      </c>
      <c r="N525" s="25" t="s">
        <v>31</v>
      </c>
      <c r="O525" s="25" t="s">
        <v>92</v>
      </c>
      <c r="P525" s="25" t="s">
        <v>83</v>
      </c>
      <c r="Q525" s="25" t="s">
        <v>82</v>
      </c>
      <c r="R525" s="25" t="s">
        <v>91</v>
      </c>
      <c r="S525" s="25" t="s">
        <v>96</v>
      </c>
      <c r="T525" s="25" t="s">
        <v>96</v>
      </c>
      <c r="U525" s="25" t="s">
        <v>98</v>
      </c>
      <c r="V525" s="25" t="s">
        <v>230</v>
      </c>
      <c r="W525" s="25" t="s">
        <v>97</v>
      </c>
      <c r="X525" s="25" t="s">
        <v>508</v>
      </c>
      <c r="Y525" s="25" t="s">
        <v>507</v>
      </c>
      <c r="Z525" s="26">
        <v>39358.704861111102</v>
      </c>
      <c r="AA525" s="776" t="s">
        <v>1748</v>
      </c>
      <c r="AB525" s="776" t="s">
        <v>1748</v>
      </c>
      <c r="AC525" s="776" t="s">
        <v>1748</v>
      </c>
      <c r="AD525" s="776" t="s">
        <v>1748</v>
      </c>
      <c r="AE525" s="777">
        <v>221</v>
      </c>
      <c r="AF525" s="777">
        <v>221</v>
      </c>
      <c r="AG525" s="778">
        <v>232.05</v>
      </c>
    </row>
    <row r="526" spans="1:33" x14ac:dyDescent="0.2">
      <c r="A526" s="15">
        <f t="shared" si="64"/>
        <v>2007</v>
      </c>
      <c r="B526" s="14">
        <f t="shared" si="65"/>
        <v>12</v>
      </c>
      <c r="C526" s="13" t="str">
        <f t="shared" si="66"/>
        <v>Q4</v>
      </c>
      <c r="D526" s="13" t="str">
        <f t="shared" si="67"/>
        <v>2007Q4</v>
      </c>
      <c r="E526" s="13" t="str">
        <f t="shared" si="68"/>
        <v>Brazil</v>
      </c>
      <c r="F526" s="13" t="str">
        <f t="shared" si="70"/>
        <v>Biofuels</v>
      </c>
      <c r="G526" s="13" t="str">
        <f t="shared" si="71"/>
        <v>Asset finance investments</v>
      </c>
      <c r="H526" s="638">
        <f t="shared" si="69"/>
        <v>230.89500000000001</v>
      </c>
      <c r="I526" s="24" t="s">
        <v>506</v>
      </c>
      <c r="J526" s="25" t="s">
        <v>246</v>
      </c>
      <c r="K526" s="25" t="s">
        <v>2294</v>
      </c>
      <c r="L526" s="25" t="s">
        <v>1111</v>
      </c>
      <c r="M526" s="25" t="s">
        <v>31</v>
      </c>
      <c r="N526" s="25" t="s">
        <v>31</v>
      </c>
      <c r="O526" s="25" t="s">
        <v>92</v>
      </c>
      <c r="P526" s="25" t="s">
        <v>83</v>
      </c>
      <c r="Q526" s="25" t="s">
        <v>82</v>
      </c>
      <c r="R526" s="25" t="s">
        <v>91</v>
      </c>
      <c r="S526" s="25" t="s">
        <v>96</v>
      </c>
      <c r="T526" s="25" t="s">
        <v>96</v>
      </c>
      <c r="U526" s="25" t="s">
        <v>98</v>
      </c>
      <c r="V526" s="25" t="s">
        <v>230</v>
      </c>
      <c r="W526" s="25" t="s">
        <v>553</v>
      </c>
      <c r="X526" s="25" t="s">
        <v>1749</v>
      </c>
      <c r="Y526" s="25" t="s">
        <v>1750</v>
      </c>
      <c r="Z526" s="26">
        <v>39433.732638888898</v>
      </c>
      <c r="AA526" s="776">
        <v>0</v>
      </c>
      <c r="AB526" s="776">
        <v>0</v>
      </c>
      <c r="AC526" s="776">
        <v>0</v>
      </c>
      <c r="AD526" s="776">
        <v>0</v>
      </c>
      <c r="AE526" s="777">
        <v>219.9</v>
      </c>
      <c r="AF526" s="777">
        <v>219.9</v>
      </c>
      <c r="AG526" s="778">
        <v>230.89500000000001</v>
      </c>
    </row>
    <row r="527" spans="1:33" x14ac:dyDescent="0.2">
      <c r="A527" s="15">
        <f t="shared" si="64"/>
        <v>2007</v>
      </c>
      <c r="B527" s="14">
        <f t="shared" si="65"/>
        <v>12</v>
      </c>
      <c r="C527" s="13" t="str">
        <f t="shared" si="66"/>
        <v>Q4</v>
      </c>
      <c r="D527" s="13" t="str">
        <f t="shared" si="67"/>
        <v>2007Q4</v>
      </c>
      <c r="E527" s="13" t="str">
        <f t="shared" si="68"/>
        <v>Argentina</v>
      </c>
      <c r="F527" s="13" t="str">
        <f t="shared" si="70"/>
        <v>Biofuels</v>
      </c>
      <c r="G527" s="13" t="str">
        <f t="shared" si="71"/>
        <v>Asset finance investments</v>
      </c>
      <c r="H527" s="638">
        <f t="shared" si="69"/>
        <v>126.17010000000001</v>
      </c>
      <c r="I527" s="24" t="s">
        <v>506</v>
      </c>
      <c r="J527" s="25" t="s">
        <v>246</v>
      </c>
      <c r="K527" s="25" t="s">
        <v>2295</v>
      </c>
      <c r="L527" s="25" t="s">
        <v>750</v>
      </c>
      <c r="M527" s="25" t="s">
        <v>4</v>
      </c>
      <c r="N527" s="25" t="s">
        <v>85</v>
      </c>
      <c r="O527" s="25" t="s">
        <v>92</v>
      </c>
      <c r="P527" s="25" t="s">
        <v>83</v>
      </c>
      <c r="Q527" s="25" t="s">
        <v>82</v>
      </c>
      <c r="R527" s="25"/>
      <c r="S527" s="25" t="s">
        <v>96</v>
      </c>
      <c r="T527" s="25" t="s">
        <v>96</v>
      </c>
      <c r="U527" s="25" t="s">
        <v>95</v>
      </c>
      <c r="V527" s="25">
        <v>0</v>
      </c>
      <c r="W527" s="25" t="s">
        <v>553</v>
      </c>
      <c r="X527" s="25" t="s">
        <v>1752</v>
      </c>
      <c r="Y527" s="25" t="s">
        <v>1753</v>
      </c>
      <c r="Z527" s="26">
        <v>39447</v>
      </c>
      <c r="AA527" s="776">
        <v>0</v>
      </c>
      <c r="AB527" s="776">
        <v>286.10000000000002</v>
      </c>
      <c r="AC527" s="776">
        <v>0</v>
      </c>
      <c r="AD527" s="776">
        <v>0</v>
      </c>
      <c r="AE527" s="777">
        <v>0</v>
      </c>
      <c r="AF527" s="777">
        <v>120.16200000000001</v>
      </c>
      <c r="AG527" s="778">
        <v>126.17010000000001</v>
      </c>
    </row>
    <row r="528" spans="1:33" x14ac:dyDescent="0.2">
      <c r="A528" s="15">
        <f t="shared" si="64"/>
        <v>2007</v>
      </c>
      <c r="B528" s="14">
        <f t="shared" si="65"/>
        <v>12</v>
      </c>
      <c r="C528" s="13" t="str">
        <f t="shared" si="66"/>
        <v>Q4</v>
      </c>
      <c r="D528" s="13" t="str">
        <f t="shared" si="67"/>
        <v>2007Q4</v>
      </c>
      <c r="E528" s="13" t="str">
        <f t="shared" si="68"/>
        <v>Brazil</v>
      </c>
      <c r="F528" s="13" t="str">
        <f t="shared" si="70"/>
        <v>Biomass &amp; Waste</v>
      </c>
      <c r="G528" s="13" t="str">
        <f t="shared" si="71"/>
        <v>Asset finance investments</v>
      </c>
      <c r="H528" s="638">
        <f t="shared" si="69"/>
        <v>120.90750000000001</v>
      </c>
      <c r="I528" s="24" t="s">
        <v>506</v>
      </c>
      <c r="J528" s="25" t="s">
        <v>246</v>
      </c>
      <c r="K528" s="25" t="s">
        <v>2296</v>
      </c>
      <c r="L528" s="25" t="s">
        <v>2297</v>
      </c>
      <c r="M528" s="25" t="s">
        <v>31</v>
      </c>
      <c r="N528" s="25" t="s">
        <v>31</v>
      </c>
      <c r="O528" s="25" t="s">
        <v>92</v>
      </c>
      <c r="P528" s="25" t="s">
        <v>83</v>
      </c>
      <c r="Q528" s="25" t="s">
        <v>82</v>
      </c>
      <c r="R528" s="25" t="s">
        <v>91</v>
      </c>
      <c r="S528" s="25" t="s">
        <v>114</v>
      </c>
      <c r="T528" s="25" t="s">
        <v>114</v>
      </c>
      <c r="U528" s="25" t="s">
        <v>113</v>
      </c>
      <c r="V528" s="25" t="s">
        <v>347</v>
      </c>
      <c r="W528" s="25" t="s">
        <v>553</v>
      </c>
      <c r="X528" s="25" t="s">
        <v>1752</v>
      </c>
      <c r="Y528" s="25" t="s">
        <v>1753</v>
      </c>
      <c r="Z528" s="26">
        <v>39427</v>
      </c>
      <c r="AA528" s="776">
        <v>35</v>
      </c>
      <c r="AB528" s="776">
        <v>0</v>
      </c>
      <c r="AC528" s="776">
        <v>0</v>
      </c>
      <c r="AD528" s="776">
        <v>0</v>
      </c>
      <c r="AE528" s="777">
        <v>0</v>
      </c>
      <c r="AF528" s="777">
        <v>115.15</v>
      </c>
      <c r="AG528" s="778">
        <v>120.90750000000001</v>
      </c>
    </row>
    <row r="529" spans="1:33" x14ac:dyDescent="0.2">
      <c r="A529" s="15">
        <f t="shared" si="64"/>
        <v>2007</v>
      </c>
      <c r="B529" s="14">
        <f t="shared" si="65"/>
        <v>10</v>
      </c>
      <c r="C529" s="13" t="str">
        <f t="shared" si="66"/>
        <v>Q4</v>
      </c>
      <c r="D529" s="13" t="str">
        <f t="shared" si="67"/>
        <v>2007Q4</v>
      </c>
      <c r="E529" s="13" t="str">
        <f t="shared" si="68"/>
        <v>Brazil</v>
      </c>
      <c r="F529" s="13" t="str">
        <f t="shared" si="70"/>
        <v>Biofuels</v>
      </c>
      <c r="G529" s="13" t="str">
        <f t="shared" si="71"/>
        <v>Asset finance investments</v>
      </c>
      <c r="H529" s="638">
        <f t="shared" si="69"/>
        <v>116.55000000000001</v>
      </c>
      <c r="I529" s="24" t="s">
        <v>506</v>
      </c>
      <c r="J529" s="25" t="s">
        <v>246</v>
      </c>
      <c r="K529" s="25" t="s">
        <v>2298</v>
      </c>
      <c r="L529" s="25" t="s">
        <v>1126</v>
      </c>
      <c r="M529" s="25" t="s">
        <v>31</v>
      </c>
      <c r="N529" s="25" t="s">
        <v>31</v>
      </c>
      <c r="O529" s="25" t="s">
        <v>92</v>
      </c>
      <c r="P529" s="25" t="s">
        <v>83</v>
      </c>
      <c r="Q529" s="25" t="s">
        <v>82</v>
      </c>
      <c r="R529" s="25" t="s">
        <v>91</v>
      </c>
      <c r="S529" s="25" t="s">
        <v>96</v>
      </c>
      <c r="T529" s="25" t="s">
        <v>96</v>
      </c>
      <c r="U529" s="25" t="s">
        <v>98</v>
      </c>
      <c r="V529" s="25" t="s">
        <v>230</v>
      </c>
      <c r="W529" s="25" t="s">
        <v>553</v>
      </c>
      <c r="X529" s="25" t="s">
        <v>1752</v>
      </c>
      <c r="Y529" s="25" t="s">
        <v>1753</v>
      </c>
      <c r="Z529" s="26">
        <v>39358</v>
      </c>
      <c r="AA529" s="776">
        <v>0</v>
      </c>
      <c r="AB529" s="776">
        <v>200</v>
      </c>
      <c r="AC529" s="776">
        <v>0</v>
      </c>
      <c r="AD529" s="776">
        <v>0</v>
      </c>
      <c r="AE529" s="777">
        <v>111</v>
      </c>
      <c r="AF529" s="777">
        <v>111</v>
      </c>
      <c r="AG529" s="778">
        <v>116.55000000000001</v>
      </c>
    </row>
    <row r="530" spans="1:33" x14ac:dyDescent="0.2">
      <c r="A530" s="15">
        <f t="shared" si="64"/>
        <v>2007</v>
      </c>
      <c r="B530" s="14">
        <f t="shared" si="65"/>
        <v>10</v>
      </c>
      <c r="C530" s="13" t="str">
        <f t="shared" si="66"/>
        <v>Q4</v>
      </c>
      <c r="D530" s="13" t="str">
        <f t="shared" si="67"/>
        <v>2007Q4</v>
      </c>
      <c r="E530" s="13" t="str">
        <f t="shared" si="68"/>
        <v>Nicaragua</v>
      </c>
      <c r="F530" s="13" t="str">
        <f t="shared" si="70"/>
        <v>Wind</v>
      </c>
      <c r="G530" s="13" t="str">
        <f t="shared" si="71"/>
        <v>Asset finance investments</v>
      </c>
      <c r="H530" s="638">
        <f t="shared" si="69"/>
        <v>94.5</v>
      </c>
      <c r="I530" s="24" t="s">
        <v>506</v>
      </c>
      <c r="J530" s="25" t="s">
        <v>246</v>
      </c>
      <c r="K530" s="25" t="s">
        <v>2299</v>
      </c>
      <c r="L530" s="25" t="s">
        <v>1106</v>
      </c>
      <c r="M530" s="25" t="s">
        <v>2</v>
      </c>
      <c r="N530" s="25" t="s">
        <v>85</v>
      </c>
      <c r="O530" s="25" t="s">
        <v>92</v>
      </c>
      <c r="P530" s="25" t="s">
        <v>83</v>
      </c>
      <c r="Q530" s="25" t="s">
        <v>82</v>
      </c>
      <c r="R530" s="25"/>
      <c r="S530" s="25" t="s">
        <v>101</v>
      </c>
      <c r="T530" s="25" t="s">
        <v>101</v>
      </c>
      <c r="U530" s="25" t="s">
        <v>112</v>
      </c>
      <c r="V530" s="25">
        <v>0</v>
      </c>
      <c r="W530" s="25" t="s">
        <v>553</v>
      </c>
      <c r="X530" s="25" t="s">
        <v>1749</v>
      </c>
      <c r="Y530" s="25" t="s">
        <v>1750</v>
      </c>
      <c r="Z530" s="26">
        <v>39373.612500000003</v>
      </c>
      <c r="AA530" s="776">
        <v>39.9</v>
      </c>
      <c r="AB530" s="776">
        <v>0</v>
      </c>
      <c r="AC530" s="776">
        <v>0</v>
      </c>
      <c r="AD530" s="776">
        <v>0</v>
      </c>
      <c r="AE530" s="777">
        <v>90</v>
      </c>
      <c r="AF530" s="777">
        <v>90</v>
      </c>
      <c r="AG530" s="778">
        <v>94.5</v>
      </c>
    </row>
    <row r="531" spans="1:33" x14ac:dyDescent="0.2">
      <c r="A531" s="15">
        <f t="shared" si="64"/>
        <v>2007</v>
      </c>
      <c r="B531" s="14">
        <f t="shared" si="65"/>
        <v>12</v>
      </c>
      <c r="C531" s="13" t="str">
        <f t="shared" si="66"/>
        <v>Q4</v>
      </c>
      <c r="D531" s="13" t="str">
        <f t="shared" si="67"/>
        <v>2007Q4</v>
      </c>
      <c r="E531" s="13" t="str">
        <f t="shared" si="68"/>
        <v>Brazil</v>
      </c>
      <c r="F531" s="13" t="str">
        <f t="shared" si="70"/>
        <v>Biofuels</v>
      </c>
      <c r="G531" s="13" t="str">
        <f t="shared" si="71"/>
        <v>Asset finance investments</v>
      </c>
      <c r="H531" s="638">
        <f t="shared" si="69"/>
        <v>90.3</v>
      </c>
      <c r="I531" s="24" t="s">
        <v>506</v>
      </c>
      <c r="J531" s="25" t="s">
        <v>246</v>
      </c>
      <c r="K531" s="25" t="s">
        <v>2300</v>
      </c>
      <c r="L531" s="25" t="s">
        <v>1107</v>
      </c>
      <c r="M531" s="25" t="s">
        <v>31</v>
      </c>
      <c r="N531" s="25" t="s">
        <v>31</v>
      </c>
      <c r="O531" s="25" t="s">
        <v>92</v>
      </c>
      <c r="P531" s="25" t="s">
        <v>83</v>
      </c>
      <c r="Q531" s="25" t="s">
        <v>82</v>
      </c>
      <c r="R531" s="25" t="s">
        <v>91</v>
      </c>
      <c r="S531" s="25" t="s">
        <v>96</v>
      </c>
      <c r="T531" s="25" t="s">
        <v>96</v>
      </c>
      <c r="U531" s="25" t="s">
        <v>98</v>
      </c>
      <c r="V531" s="25" t="s">
        <v>230</v>
      </c>
      <c r="W531" s="25" t="s">
        <v>553</v>
      </c>
      <c r="X531" s="25" t="s">
        <v>1752</v>
      </c>
      <c r="Y531" s="25" t="s">
        <v>1753</v>
      </c>
      <c r="Z531" s="26">
        <v>39439</v>
      </c>
      <c r="AA531" s="776">
        <v>0</v>
      </c>
      <c r="AB531" s="776">
        <v>69.7</v>
      </c>
      <c r="AC531" s="776">
        <v>0</v>
      </c>
      <c r="AD531" s="776">
        <v>0</v>
      </c>
      <c r="AE531" s="777">
        <v>86</v>
      </c>
      <c r="AF531" s="777">
        <v>86</v>
      </c>
      <c r="AG531" s="778">
        <v>90.3</v>
      </c>
    </row>
    <row r="532" spans="1:33" x14ac:dyDescent="0.2">
      <c r="A532" s="15">
        <f t="shared" si="64"/>
        <v>2007</v>
      </c>
      <c r="B532" s="14">
        <f t="shared" si="65"/>
        <v>11</v>
      </c>
      <c r="C532" s="13" t="str">
        <f t="shared" si="66"/>
        <v>Q4</v>
      </c>
      <c r="D532" s="13" t="str">
        <f t="shared" si="67"/>
        <v>2007Q4</v>
      </c>
      <c r="E532" s="13" t="str">
        <f t="shared" si="68"/>
        <v>Brazil</v>
      </c>
      <c r="F532" s="13" t="str">
        <f t="shared" si="70"/>
        <v>Biofuels</v>
      </c>
      <c r="G532" s="13" t="str">
        <f t="shared" si="71"/>
        <v>Asset finance investments</v>
      </c>
      <c r="H532" s="638">
        <f t="shared" si="69"/>
        <v>77.7</v>
      </c>
      <c r="I532" s="24" t="s">
        <v>506</v>
      </c>
      <c r="J532" s="25" t="s">
        <v>246</v>
      </c>
      <c r="K532" s="25" t="s">
        <v>2301</v>
      </c>
      <c r="L532" s="25" t="s">
        <v>2302</v>
      </c>
      <c r="M532" s="25" t="s">
        <v>31</v>
      </c>
      <c r="N532" s="25" t="s">
        <v>31</v>
      </c>
      <c r="O532" s="25" t="s">
        <v>92</v>
      </c>
      <c r="P532" s="25" t="s">
        <v>83</v>
      </c>
      <c r="Q532" s="25" t="s">
        <v>82</v>
      </c>
      <c r="R532" s="25" t="s">
        <v>91</v>
      </c>
      <c r="S532" s="25" t="s">
        <v>96</v>
      </c>
      <c r="T532" s="25" t="s">
        <v>96</v>
      </c>
      <c r="U532" s="25" t="s">
        <v>95</v>
      </c>
      <c r="V532" s="25" t="s">
        <v>223</v>
      </c>
      <c r="W532" s="25" t="s">
        <v>553</v>
      </c>
      <c r="X532" s="25" t="s">
        <v>1752</v>
      </c>
      <c r="Y532" s="25" t="s">
        <v>1753</v>
      </c>
      <c r="Z532" s="26">
        <v>39387</v>
      </c>
      <c r="AA532" s="776">
        <v>0</v>
      </c>
      <c r="AB532" s="776">
        <v>230</v>
      </c>
      <c r="AC532" s="776">
        <v>0</v>
      </c>
      <c r="AD532" s="776">
        <v>0</v>
      </c>
      <c r="AE532" s="777">
        <v>0</v>
      </c>
      <c r="AF532" s="777">
        <v>74</v>
      </c>
      <c r="AG532" s="778">
        <v>77.7</v>
      </c>
    </row>
    <row r="533" spans="1:33" x14ac:dyDescent="0.2">
      <c r="A533" s="15">
        <f t="shared" si="64"/>
        <v>2007</v>
      </c>
      <c r="B533" s="14">
        <f t="shared" si="65"/>
        <v>11</v>
      </c>
      <c r="C533" s="13" t="str">
        <f t="shared" si="66"/>
        <v>Q4</v>
      </c>
      <c r="D533" s="13" t="str">
        <f t="shared" si="67"/>
        <v>2007Q4</v>
      </c>
      <c r="E533" s="13" t="str">
        <f t="shared" si="68"/>
        <v>Brazil</v>
      </c>
      <c r="F533" s="13" t="str">
        <f t="shared" si="70"/>
        <v>Small Hydro</v>
      </c>
      <c r="G533" s="13" t="str">
        <f t="shared" si="71"/>
        <v>Asset finance investments</v>
      </c>
      <c r="H533" s="638">
        <f t="shared" si="69"/>
        <v>71.452500000000001</v>
      </c>
      <c r="I533" s="24" t="s">
        <v>506</v>
      </c>
      <c r="J533" s="25" t="s">
        <v>246</v>
      </c>
      <c r="K533" s="25" t="s">
        <v>2303</v>
      </c>
      <c r="L533" s="25" t="s">
        <v>1085</v>
      </c>
      <c r="M533" s="25" t="s">
        <v>31</v>
      </c>
      <c r="N533" s="25" t="s">
        <v>31</v>
      </c>
      <c r="O533" s="25" t="s">
        <v>92</v>
      </c>
      <c r="P533" s="25" t="s">
        <v>83</v>
      </c>
      <c r="Q533" s="25" t="s">
        <v>82</v>
      </c>
      <c r="R533" s="25" t="s">
        <v>91</v>
      </c>
      <c r="S533" s="25" t="s">
        <v>126</v>
      </c>
      <c r="T533" s="25" t="s">
        <v>125</v>
      </c>
      <c r="U533" s="25" t="s">
        <v>342</v>
      </c>
      <c r="V533" s="25">
        <v>0</v>
      </c>
      <c r="W533" s="25" t="s">
        <v>553</v>
      </c>
      <c r="X533" s="25" t="s">
        <v>1749</v>
      </c>
      <c r="Y533" s="25" t="s">
        <v>1750</v>
      </c>
      <c r="Z533" s="26">
        <v>39399</v>
      </c>
      <c r="AA533" s="776">
        <v>24</v>
      </c>
      <c r="AB533" s="776">
        <v>0</v>
      </c>
      <c r="AC533" s="776">
        <v>0</v>
      </c>
      <c r="AD533" s="776">
        <v>0</v>
      </c>
      <c r="AE533" s="777">
        <v>68.05</v>
      </c>
      <c r="AF533" s="777">
        <v>68.05</v>
      </c>
      <c r="AG533" s="778">
        <v>71.452500000000001</v>
      </c>
    </row>
    <row r="534" spans="1:33" x14ac:dyDescent="0.2">
      <c r="A534" s="15">
        <f t="shared" si="64"/>
        <v>2007</v>
      </c>
      <c r="B534" s="14">
        <f t="shared" si="65"/>
        <v>10</v>
      </c>
      <c r="C534" s="13" t="str">
        <f t="shared" si="66"/>
        <v>Q4</v>
      </c>
      <c r="D534" s="13" t="str">
        <f t="shared" si="67"/>
        <v>2007Q4</v>
      </c>
      <c r="E534" s="13" t="str">
        <f t="shared" si="68"/>
        <v>Brazil</v>
      </c>
      <c r="F534" s="13" t="str">
        <f t="shared" si="70"/>
        <v>Biomass &amp; Waste</v>
      </c>
      <c r="G534" s="13" t="str">
        <f t="shared" si="71"/>
        <v>Asset finance investments</v>
      </c>
      <c r="H534" s="638">
        <f t="shared" si="69"/>
        <v>66.517500000000013</v>
      </c>
      <c r="I534" s="24" t="s">
        <v>506</v>
      </c>
      <c r="J534" s="25" t="s">
        <v>246</v>
      </c>
      <c r="K534" s="25" t="s">
        <v>2304</v>
      </c>
      <c r="L534" s="25" t="s">
        <v>652</v>
      </c>
      <c r="M534" s="25" t="s">
        <v>31</v>
      </c>
      <c r="N534" s="25" t="s">
        <v>31</v>
      </c>
      <c r="O534" s="25" t="s">
        <v>92</v>
      </c>
      <c r="P534" s="25" t="s">
        <v>83</v>
      </c>
      <c r="Q534" s="25" t="s">
        <v>82</v>
      </c>
      <c r="R534" s="25" t="s">
        <v>91</v>
      </c>
      <c r="S534" s="25" t="s">
        <v>114</v>
      </c>
      <c r="T534" s="25" t="s">
        <v>114</v>
      </c>
      <c r="U534" s="25" t="s">
        <v>113</v>
      </c>
      <c r="V534" s="25">
        <v>0</v>
      </c>
      <c r="W534" s="25" t="s">
        <v>553</v>
      </c>
      <c r="X534" s="25" t="s">
        <v>1752</v>
      </c>
      <c r="Y534" s="25" t="s">
        <v>1753</v>
      </c>
      <c r="Z534" s="26">
        <v>39356.487500000003</v>
      </c>
      <c r="AA534" s="776">
        <v>36.200000000000003</v>
      </c>
      <c r="AB534" s="776">
        <v>0</v>
      </c>
      <c r="AC534" s="776">
        <v>0</v>
      </c>
      <c r="AD534" s="776">
        <v>0</v>
      </c>
      <c r="AE534" s="777">
        <v>0</v>
      </c>
      <c r="AF534" s="777">
        <v>63.350000000000009</v>
      </c>
      <c r="AG534" s="778">
        <v>66.517500000000013</v>
      </c>
    </row>
    <row r="535" spans="1:33" x14ac:dyDescent="0.2">
      <c r="A535" s="15">
        <f t="shared" si="64"/>
        <v>2007</v>
      </c>
      <c r="B535" s="14">
        <f t="shared" si="65"/>
        <v>10</v>
      </c>
      <c r="C535" s="13" t="str">
        <f t="shared" si="66"/>
        <v>Q4</v>
      </c>
      <c r="D535" s="13" t="str">
        <f t="shared" si="67"/>
        <v>2007Q4</v>
      </c>
      <c r="E535" s="13" t="str">
        <f t="shared" si="68"/>
        <v>Brazil</v>
      </c>
      <c r="F535" s="13" t="str">
        <f t="shared" si="70"/>
        <v>Small Hydro</v>
      </c>
      <c r="G535" s="13" t="str">
        <f t="shared" si="71"/>
        <v>Asset finance investments</v>
      </c>
      <c r="H535" s="638">
        <f t="shared" si="69"/>
        <v>56.49</v>
      </c>
      <c r="I535" s="24" t="s">
        <v>506</v>
      </c>
      <c r="J535" s="25" t="s">
        <v>246</v>
      </c>
      <c r="K535" s="25" t="s">
        <v>2305</v>
      </c>
      <c r="L535" s="25" t="s">
        <v>1120</v>
      </c>
      <c r="M535" s="25" t="s">
        <v>31</v>
      </c>
      <c r="N535" s="25" t="s">
        <v>31</v>
      </c>
      <c r="O535" s="25" t="s">
        <v>92</v>
      </c>
      <c r="P535" s="25" t="s">
        <v>83</v>
      </c>
      <c r="Q535" s="25" t="s">
        <v>82</v>
      </c>
      <c r="R535" s="25" t="s">
        <v>91</v>
      </c>
      <c r="S535" s="25" t="s">
        <v>126</v>
      </c>
      <c r="T535" s="25" t="s">
        <v>125</v>
      </c>
      <c r="U535" s="25" t="s">
        <v>342</v>
      </c>
      <c r="V535" s="25">
        <v>0</v>
      </c>
      <c r="W535" s="25" t="s">
        <v>553</v>
      </c>
      <c r="X535" s="25" t="s">
        <v>1749</v>
      </c>
      <c r="Y535" s="25" t="s">
        <v>1750</v>
      </c>
      <c r="Z535" s="26">
        <v>39380</v>
      </c>
      <c r="AA535" s="776">
        <v>27</v>
      </c>
      <c r="AB535" s="776">
        <v>0</v>
      </c>
      <c r="AC535" s="776">
        <v>0</v>
      </c>
      <c r="AD535" s="776">
        <v>0</v>
      </c>
      <c r="AE535" s="777">
        <v>53.8</v>
      </c>
      <c r="AF535" s="777">
        <v>53.8</v>
      </c>
      <c r="AG535" s="778">
        <v>56.49</v>
      </c>
    </row>
    <row r="536" spans="1:33" x14ac:dyDescent="0.2">
      <c r="A536" s="15">
        <f t="shared" ref="A536:A539" si="72">IF(K536="","",IF(AND(YEAR(Z536)&lt;2004,YEAR(Z536)&gt;1910),2004,YEAR(Z536)))</f>
        <v>2007</v>
      </c>
      <c r="B536" s="14">
        <f t="shared" ref="B536:B539" si="73">IF(K536="","",IF(ISNUMBER(Z536),MONTH(Z536),0))</f>
        <v>11</v>
      </c>
      <c r="C536" s="13" t="str">
        <f t="shared" ref="C536:C539" si="74">IF(K536="","",IF(AND(B536&gt;=1,B536&lt;=3),"Q1",IF(AND(B536&gt;3,B536&lt;=6),"Q2",IF(AND(B536&gt;6,B536&lt;=9),"Q3",IF(AND(B536&gt;9,B536&lt;=12),"Q4",0)))))</f>
        <v>Q4</v>
      </c>
      <c r="D536" s="13" t="str">
        <f t="shared" ref="D536:D539" si="75">IF(A536&lt;2006, "&lt; 2006", A536&amp;C536)</f>
        <v>2007Q4</v>
      </c>
      <c r="E536" s="13" t="str">
        <f t="shared" ref="E536:E539" si="76">IF(K536="","", M536)</f>
        <v>Brazil</v>
      </c>
      <c r="F536" s="13" t="str">
        <f t="shared" si="70"/>
        <v>Biofuels</v>
      </c>
      <c r="G536" s="13" t="str">
        <f t="shared" ref="G536:G539" si="77">IF(K536="","",IF(OR(J536="PM",J536="MA"), "Corporate finance investments", IF(J536="VCPE", "VC/PE investments", IF(J536="AF", "Asset finance investments"))))</f>
        <v>Asset finance investments</v>
      </c>
      <c r="H536" s="638">
        <f t="shared" ref="H536:H539" si="78">IF(K536="","",AG536)</f>
        <v>53.978400000000001</v>
      </c>
      <c r="I536" s="24" t="s">
        <v>506</v>
      </c>
      <c r="J536" s="25" t="s">
        <v>246</v>
      </c>
      <c r="K536" s="25" t="s">
        <v>2306</v>
      </c>
      <c r="L536" s="25" t="s">
        <v>1117</v>
      </c>
      <c r="M536" s="25" t="s">
        <v>31</v>
      </c>
      <c r="N536" s="25" t="s">
        <v>31</v>
      </c>
      <c r="O536" s="25" t="s">
        <v>92</v>
      </c>
      <c r="P536" s="25" t="s">
        <v>83</v>
      </c>
      <c r="Q536" s="25" t="s">
        <v>82</v>
      </c>
      <c r="R536" s="25" t="s">
        <v>91</v>
      </c>
      <c r="S536" s="25" t="s">
        <v>96</v>
      </c>
      <c r="T536" s="25" t="s">
        <v>96</v>
      </c>
      <c r="U536" s="25" t="s">
        <v>95</v>
      </c>
      <c r="V536" s="25" t="s">
        <v>223</v>
      </c>
      <c r="W536" s="25" t="s">
        <v>553</v>
      </c>
      <c r="X536" s="25" t="s">
        <v>1752</v>
      </c>
      <c r="Y536" s="25" t="s">
        <v>1753</v>
      </c>
      <c r="Z536" s="26">
        <v>39416</v>
      </c>
      <c r="AA536" s="776">
        <v>0</v>
      </c>
      <c r="AB536" s="776">
        <v>122.4</v>
      </c>
      <c r="AC536" s="776">
        <v>0</v>
      </c>
      <c r="AD536" s="776">
        <v>0</v>
      </c>
      <c r="AE536" s="777">
        <v>0</v>
      </c>
      <c r="AF536" s="777">
        <v>51.408000000000001</v>
      </c>
      <c r="AG536" s="778">
        <v>53.978400000000001</v>
      </c>
    </row>
    <row r="537" spans="1:33" x14ac:dyDescent="0.2">
      <c r="A537" s="15">
        <f t="shared" si="72"/>
        <v>2007</v>
      </c>
      <c r="B537" s="14">
        <f t="shared" si="73"/>
        <v>10</v>
      </c>
      <c r="C537" s="13" t="str">
        <f t="shared" si="74"/>
        <v>Q4</v>
      </c>
      <c r="D537" s="13" t="str">
        <f t="shared" si="75"/>
        <v>2007Q4</v>
      </c>
      <c r="E537" s="13" t="str">
        <f t="shared" si="76"/>
        <v>Brazil</v>
      </c>
      <c r="F537" s="13" t="str">
        <f t="shared" si="70"/>
        <v>Small Hydro</v>
      </c>
      <c r="G537" s="13" t="str">
        <f t="shared" si="77"/>
        <v>Asset finance investments</v>
      </c>
      <c r="H537" s="638">
        <f t="shared" si="78"/>
        <v>49.56</v>
      </c>
      <c r="I537" s="24" t="s">
        <v>506</v>
      </c>
      <c r="J537" s="25" t="s">
        <v>246</v>
      </c>
      <c r="K537" s="25" t="s">
        <v>2307</v>
      </c>
      <c r="L537" s="25" t="s">
        <v>1121</v>
      </c>
      <c r="M537" s="25" t="s">
        <v>31</v>
      </c>
      <c r="N537" s="25" t="s">
        <v>31</v>
      </c>
      <c r="O537" s="25" t="s">
        <v>92</v>
      </c>
      <c r="P537" s="25" t="s">
        <v>83</v>
      </c>
      <c r="Q537" s="25" t="s">
        <v>82</v>
      </c>
      <c r="R537" s="25" t="s">
        <v>91</v>
      </c>
      <c r="S537" s="25" t="s">
        <v>126</v>
      </c>
      <c r="T537" s="25" t="s">
        <v>125</v>
      </c>
      <c r="U537" s="25" t="s">
        <v>342</v>
      </c>
      <c r="V537" s="25">
        <v>0</v>
      </c>
      <c r="W537" s="25" t="s">
        <v>553</v>
      </c>
      <c r="X537" s="25" t="s">
        <v>1749</v>
      </c>
      <c r="Y537" s="25" t="s">
        <v>1750</v>
      </c>
      <c r="Z537" s="26">
        <v>39380</v>
      </c>
      <c r="AA537" s="776">
        <v>21</v>
      </c>
      <c r="AB537" s="776">
        <v>0</v>
      </c>
      <c r="AC537" s="776">
        <v>0</v>
      </c>
      <c r="AD537" s="776">
        <v>0</v>
      </c>
      <c r="AE537" s="777">
        <v>47.2</v>
      </c>
      <c r="AF537" s="777">
        <v>47.2</v>
      </c>
      <c r="AG537" s="778">
        <v>49.56</v>
      </c>
    </row>
    <row r="538" spans="1:33" x14ac:dyDescent="0.2">
      <c r="A538" s="15">
        <f t="shared" si="72"/>
        <v>2007</v>
      </c>
      <c r="B538" s="14">
        <f t="shared" si="73"/>
        <v>11</v>
      </c>
      <c r="C538" s="13" t="str">
        <f t="shared" si="74"/>
        <v>Q4</v>
      </c>
      <c r="D538" s="13" t="str">
        <f t="shared" si="75"/>
        <v>2007Q4</v>
      </c>
      <c r="E538" s="13" t="str">
        <f t="shared" si="76"/>
        <v>Colombia</v>
      </c>
      <c r="F538" s="13" t="str">
        <f t="shared" si="70"/>
        <v>Biofuels</v>
      </c>
      <c r="G538" s="13" t="str">
        <f t="shared" si="77"/>
        <v>Asset finance investments</v>
      </c>
      <c r="H538" s="638">
        <f t="shared" si="78"/>
        <v>47.25</v>
      </c>
      <c r="I538" s="24" t="s">
        <v>506</v>
      </c>
      <c r="J538" s="25" t="s">
        <v>246</v>
      </c>
      <c r="K538" s="25" t="s">
        <v>2308</v>
      </c>
      <c r="L538" s="25" t="s">
        <v>1115</v>
      </c>
      <c r="M538" s="25" t="s">
        <v>9</v>
      </c>
      <c r="N538" s="25" t="s">
        <v>85</v>
      </c>
      <c r="O538" s="25" t="s">
        <v>92</v>
      </c>
      <c r="P538" s="25" t="s">
        <v>83</v>
      </c>
      <c r="Q538" s="25" t="s">
        <v>82</v>
      </c>
      <c r="R538" s="25"/>
      <c r="S538" s="25" t="s">
        <v>96</v>
      </c>
      <c r="T538" s="25" t="s">
        <v>96</v>
      </c>
      <c r="U538" s="25" t="s">
        <v>98</v>
      </c>
      <c r="V538" s="25">
        <v>0</v>
      </c>
      <c r="W538" s="25" t="s">
        <v>553</v>
      </c>
      <c r="X538" s="25" t="s">
        <v>1752</v>
      </c>
      <c r="Y538" s="25" t="s">
        <v>1753</v>
      </c>
      <c r="Z538" s="26">
        <v>39393</v>
      </c>
      <c r="AA538" s="776">
        <v>0</v>
      </c>
      <c r="AB538" s="776">
        <v>90</v>
      </c>
      <c r="AC538" s="776">
        <v>0</v>
      </c>
      <c r="AD538" s="776">
        <v>0</v>
      </c>
      <c r="AE538" s="777">
        <v>45</v>
      </c>
      <c r="AF538" s="777">
        <v>45</v>
      </c>
      <c r="AG538" s="778">
        <v>47.25</v>
      </c>
    </row>
    <row r="539" spans="1:33" x14ac:dyDescent="0.2">
      <c r="A539" s="15">
        <f t="shared" si="72"/>
        <v>2007</v>
      </c>
      <c r="B539" s="14">
        <f t="shared" si="73"/>
        <v>12</v>
      </c>
      <c r="C539" s="13" t="str">
        <f t="shared" si="74"/>
        <v>Q4</v>
      </c>
      <c r="D539" s="13" t="str">
        <f t="shared" si="75"/>
        <v>2007Q4</v>
      </c>
      <c r="E539" s="13" t="str">
        <f t="shared" si="76"/>
        <v>Brazil</v>
      </c>
      <c r="F539" s="13" t="str">
        <f t="shared" si="70"/>
        <v>Small Hydro</v>
      </c>
      <c r="G539" s="13" t="str">
        <f t="shared" si="77"/>
        <v>Asset finance investments</v>
      </c>
      <c r="H539" s="638">
        <f t="shared" si="78"/>
        <v>47.25</v>
      </c>
      <c r="I539" s="24" t="s">
        <v>506</v>
      </c>
      <c r="J539" s="25" t="s">
        <v>246</v>
      </c>
      <c r="K539" s="25" t="s">
        <v>2309</v>
      </c>
      <c r="L539" s="25" t="s">
        <v>592</v>
      </c>
      <c r="M539" s="25" t="s">
        <v>31</v>
      </c>
      <c r="N539" s="25" t="s">
        <v>31</v>
      </c>
      <c r="O539" s="25" t="s">
        <v>92</v>
      </c>
      <c r="P539" s="25" t="s">
        <v>83</v>
      </c>
      <c r="Q539" s="25" t="s">
        <v>82</v>
      </c>
      <c r="R539" s="25" t="s">
        <v>91</v>
      </c>
      <c r="S539" s="25" t="s">
        <v>126</v>
      </c>
      <c r="T539" s="25" t="s">
        <v>125</v>
      </c>
      <c r="U539" s="25" t="s">
        <v>247</v>
      </c>
      <c r="V539" s="25">
        <v>0</v>
      </c>
      <c r="W539" s="25" t="s">
        <v>553</v>
      </c>
      <c r="X539" s="25" t="s">
        <v>1752</v>
      </c>
      <c r="Y539" s="25" t="s">
        <v>1753</v>
      </c>
      <c r="Z539" s="26">
        <v>39447</v>
      </c>
      <c r="AA539" s="776">
        <v>18</v>
      </c>
      <c r="AB539" s="776">
        <v>0</v>
      </c>
      <c r="AC539" s="776">
        <v>0</v>
      </c>
      <c r="AD539" s="776">
        <v>0</v>
      </c>
      <c r="AE539" s="777">
        <v>0</v>
      </c>
      <c r="AF539" s="777">
        <v>45</v>
      </c>
      <c r="AG539" s="778">
        <v>47.25</v>
      </c>
    </row>
    <row r="540" spans="1:33" x14ac:dyDescent="0.2">
      <c r="A540" s="15">
        <f t="shared" si="64"/>
        <v>2007</v>
      </c>
      <c r="B540" s="14">
        <f t="shared" si="65"/>
        <v>11</v>
      </c>
      <c r="C540" s="13" t="str">
        <f t="shared" si="66"/>
        <v>Q4</v>
      </c>
      <c r="D540" s="13" t="str">
        <f t="shared" si="67"/>
        <v>2007Q4</v>
      </c>
      <c r="E540" s="13" t="str">
        <f t="shared" si="68"/>
        <v>Brazil</v>
      </c>
      <c r="F540" s="13" t="str">
        <f t="shared" si="70"/>
        <v>Biofuels</v>
      </c>
      <c r="G540" s="13" t="str">
        <f t="shared" si="71"/>
        <v>Asset finance investments</v>
      </c>
      <c r="H540" s="638">
        <f t="shared" si="69"/>
        <v>47.145000000000003</v>
      </c>
      <c r="I540" s="24" t="s">
        <v>506</v>
      </c>
      <c r="J540" s="25" t="s">
        <v>246</v>
      </c>
      <c r="K540" s="25" t="s">
        <v>2310</v>
      </c>
      <c r="L540" s="25" t="s">
        <v>659</v>
      </c>
      <c r="M540" s="25" t="s">
        <v>31</v>
      </c>
      <c r="N540" s="25" t="s">
        <v>31</v>
      </c>
      <c r="O540" s="25" t="s">
        <v>92</v>
      </c>
      <c r="P540" s="25" t="s">
        <v>83</v>
      </c>
      <c r="Q540" s="25" t="s">
        <v>82</v>
      </c>
      <c r="R540" s="25" t="s">
        <v>91</v>
      </c>
      <c r="S540" s="25" t="s">
        <v>96</v>
      </c>
      <c r="T540" s="25" t="s">
        <v>96</v>
      </c>
      <c r="U540" s="25" t="s">
        <v>98</v>
      </c>
      <c r="V540" s="25">
        <v>0</v>
      </c>
      <c r="W540" s="25" t="s">
        <v>553</v>
      </c>
      <c r="X540" s="25" t="s">
        <v>1752</v>
      </c>
      <c r="Y540" s="25" t="s">
        <v>1753</v>
      </c>
      <c r="Z540" s="26">
        <v>39387</v>
      </c>
      <c r="AA540" s="776">
        <v>2.5</v>
      </c>
      <c r="AB540" s="776">
        <v>53</v>
      </c>
      <c r="AC540" s="776">
        <v>0</v>
      </c>
      <c r="AD540" s="776">
        <v>0</v>
      </c>
      <c r="AE540" s="777">
        <v>44.9</v>
      </c>
      <c r="AF540" s="777">
        <v>44.9</v>
      </c>
      <c r="AG540" s="778">
        <v>47.145000000000003</v>
      </c>
    </row>
    <row r="541" spans="1:33" x14ac:dyDescent="0.2">
      <c r="A541" s="15">
        <f t="shared" si="64"/>
        <v>2007</v>
      </c>
      <c r="B541" s="14">
        <f t="shared" si="65"/>
        <v>10</v>
      </c>
      <c r="C541" s="13" t="str">
        <f t="shared" si="66"/>
        <v>Q4</v>
      </c>
      <c r="D541" s="13" t="str">
        <f t="shared" si="67"/>
        <v>2007Q4</v>
      </c>
      <c r="E541" s="13" t="str">
        <f t="shared" si="68"/>
        <v>Brazil</v>
      </c>
      <c r="F541" s="13" t="str">
        <f t="shared" si="70"/>
        <v>Small Hydro</v>
      </c>
      <c r="G541" s="13" t="str">
        <f t="shared" si="71"/>
        <v>Asset finance investments</v>
      </c>
      <c r="H541" s="638">
        <f t="shared" si="69"/>
        <v>44.625</v>
      </c>
      <c r="I541" s="24" t="s">
        <v>506</v>
      </c>
      <c r="J541" s="25" t="s">
        <v>246</v>
      </c>
      <c r="K541" s="25" t="s">
        <v>2311</v>
      </c>
      <c r="L541" s="25" t="s">
        <v>874</v>
      </c>
      <c r="M541" s="25" t="s">
        <v>31</v>
      </c>
      <c r="N541" s="25" t="s">
        <v>31</v>
      </c>
      <c r="O541" s="25" t="s">
        <v>92</v>
      </c>
      <c r="P541" s="25" t="s">
        <v>83</v>
      </c>
      <c r="Q541" s="25" t="s">
        <v>82</v>
      </c>
      <c r="R541" s="25" t="s">
        <v>91</v>
      </c>
      <c r="S541" s="25" t="s">
        <v>126</v>
      </c>
      <c r="T541" s="25" t="s">
        <v>125</v>
      </c>
      <c r="U541" s="25" t="s">
        <v>247</v>
      </c>
      <c r="V541" s="25">
        <v>0</v>
      </c>
      <c r="W541" s="25" t="s">
        <v>553</v>
      </c>
      <c r="X541" s="25" t="s">
        <v>1752</v>
      </c>
      <c r="Y541" s="25" t="s">
        <v>1753</v>
      </c>
      <c r="Z541" s="26">
        <v>39386</v>
      </c>
      <c r="AA541" s="776">
        <v>17</v>
      </c>
      <c r="AB541" s="776">
        <v>0</v>
      </c>
      <c r="AC541" s="776">
        <v>0</v>
      </c>
      <c r="AD541" s="776">
        <v>0</v>
      </c>
      <c r="AE541" s="777">
        <v>0</v>
      </c>
      <c r="AF541" s="777">
        <v>42.5</v>
      </c>
      <c r="AG541" s="778">
        <v>44.625</v>
      </c>
    </row>
    <row r="542" spans="1:33" x14ac:dyDescent="0.2">
      <c r="A542" s="15">
        <f t="shared" si="64"/>
        <v>2007</v>
      </c>
      <c r="B542" s="14">
        <f t="shared" si="65"/>
        <v>10</v>
      </c>
      <c r="C542" s="13" t="str">
        <f t="shared" si="66"/>
        <v>Q4</v>
      </c>
      <c r="D542" s="13" t="str">
        <f t="shared" si="67"/>
        <v>2007Q4</v>
      </c>
      <c r="E542" s="13" t="str">
        <f t="shared" si="68"/>
        <v>Brazil</v>
      </c>
      <c r="F542" s="13" t="str">
        <f t="shared" si="70"/>
        <v>Biofuels</v>
      </c>
      <c r="G542" s="13" t="str">
        <f t="shared" si="71"/>
        <v>Asset finance investments</v>
      </c>
      <c r="H542" s="638">
        <f t="shared" si="69"/>
        <v>39.270000000000003</v>
      </c>
      <c r="I542" s="24" t="s">
        <v>506</v>
      </c>
      <c r="J542" s="25" t="s">
        <v>246</v>
      </c>
      <c r="K542" s="25" t="s">
        <v>2312</v>
      </c>
      <c r="L542" s="25" t="s">
        <v>898</v>
      </c>
      <c r="M542" s="25" t="s">
        <v>31</v>
      </c>
      <c r="N542" s="25" t="s">
        <v>31</v>
      </c>
      <c r="O542" s="25" t="s">
        <v>92</v>
      </c>
      <c r="P542" s="25" t="s">
        <v>83</v>
      </c>
      <c r="Q542" s="25" t="s">
        <v>82</v>
      </c>
      <c r="R542" s="25" t="s">
        <v>91</v>
      </c>
      <c r="S542" s="25" t="s">
        <v>96</v>
      </c>
      <c r="T542" s="25" t="s">
        <v>96</v>
      </c>
      <c r="U542" s="25" t="s">
        <v>98</v>
      </c>
      <c r="V542" s="25" t="s">
        <v>230</v>
      </c>
      <c r="W542" s="25" t="s">
        <v>553</v>
      </c>
      <c r="X542" s="25" t="s">
        <v>1749</v>
      </c>
      <c r="Y542" s="25" t="s">
        <v>1750</v>
      </c>
      <c r="Z542" s="26">
        <v>39386</v>
      </c>
      <c r="AA542" s="776">
        <v>3.5</v>
      </c>
      <c r="AB542" s="776">
        <v>30</v>
      </c>
      <c r="AC542" s="776">
        <v>0</v>
      </c>
      <c r="AD542" s="776">
        <v>0</v>
      </c>
      <c r="AE542" s="777">
        <v>37.4</v>
      </c>
      <c r="AF542" s="777">
        <v>37.4</v>
      </c>
      <c r="AG542" s="778">
        <v>39.270000000000003</v>
      </c>
    </row>
    <row r="543" spans="1:33" x14ac:dyDescent="0.2">
      <c r="A543" s="15">
        <f t="shared" si="64"/>
        <v>2007</v>
      </c>
      <c r="B543" s="14">
        <f t="shared" si="65"/>
        <v>10</v>
      </c>
      <c r="C543" s="13" t="str">
        <f t="shared" si="66"/>
        <v>Q4</v>
      </c>
      <c r="D543" s="13" t="str">
        <f t="shared" si="67"/>
        <v>2007Q4</v>
      </c>
      <c r="E543" s="13" t="str">
        <f t="shared" si="68"/>
        <v>Colombia</v>
      </c>
      <c r="F543" s="13" t="str">
        <f t="shared" si="70"/>
        <v>Biofuels</v>
      </c>
      <c r="G543" s="13" t="str">
        <f t="shared" si="71"/>
        <v>Asset finance investments</v>
      </c>
      <c r="H543" s="638">
        <f t="shared" si="69"/>
        <v>37.926000000000002</v>
      </c>
      <c r="I543" s="24" t="s">
        <v>506</v>
      </c>
      <c r="J543" s="25" t="s">
        <v>246</v>
      </c>
      <c r="K543" s="25" t="s">
        <v>2313</v>
      </c>
      <c r="L543" s="25" t="s">
        <v>1118</v>
      </c>
      <c r="M543" s="25" t="s">
        <v>9</v>
      </c>
      <c r="N543" s="25" t="s">
        <v>85</v>
      </c>
      <c r="O543" s="25" t="s">
        <v>92</v>
      </c>
      <c r="P543" s="25" t="s">
        <v>83</v>
      </c>
      <c r="Q543" s="25" t="s">
        <v>82</v>
      </c>
      <c r="R543" s="25"/>
      <c r="S543" s="25" t="s">
        <v>96</v>
      </c>
      <c r="T543" s="25" t="s">
        <v>96</v>
      </c>
      <c r="U543" s="25" t="s">
        <v>95</v>
      </c>
      <c r="V543" s="25">
        <v>0</v>
      </c>
      <c r="W543" s="25" t="s">
        <v>553</v>
      </c>
      <c r="X543" s="25" t="s">
        <v>1752</v>
      </c>
      <c r="Y543" s="25" t="s">
        <v>1753</v>
      </c>
      <c r="Z543" s="26">
        <v>39381</v>
      </c>
      <c r="AA543" s="776">
        <v>0</v>
      </c>
      <c r="AB543" s="776">
        <v>86</v>
      </c>
      <c r="AC543" s="776">
        <v>0</v>
      </c>
      <c r="AD543" s="776">
        <v>0</v>
      </c>
      <c r="AE543" s="777">
        <v>0</v>
      </c>
      <c r="AF543" s="777">
        <v>36.119999999999997</v>
      </c>
      <c r="AG543" s="778">
        <v>37.926000000000002</v>
      </c>
    </row>
    <row r="544" spans="1:33" x14ac:dyDescent="0.2">
      <c r="A544" s="15">
        <f t="shared" si="64"/>
        <v>2007</v>
      </c>
      <c r="B544" s="14">
        <f t="shared" si="65"/>
        <v>12</v>
      </c>
      <c r="C544" s="13" t="str">
        <f t="shared" si="66"/>
        <v>Q4</v>
      </c>
      <c r="D544" s="13" t="str">
        <f t="shared" si="67"/>
        <v>2007Q4</v>
      </c>
      <c r="E544" s="13" t="str">
        <f t="shared" si="68"/>
        <v>Dominican Republic</v>
      </c>
      <c r="F544" s="13" t="str">
        <f t="shared" si="70"/>
        <v>Biomass &amp; Waste</v>
      </c>
      <c r="G544" s="13" t="str">
        <f t="shared" si="71"/>
        <v>Asset finance investments</v>
      </c>
      <c r="H544" s="638">
        <f t="shared" si="69"/>
        <v>37.510199999999998</v>
      </c>
      <c r="I544" s="24" t="s">
        <v>506</v>
      </c>
      <c r="J544" s="25" t="s">
        <v>246</v>
      </c>
      <c r="K544" s="25" t="s">
        <v>2314</v>
      </c>
      <c r="L544" s="25" t="s">
        <v>951</v>
      </c>
      <c r="M544" s="25" t="s">
        <v>11</v>
      </c>
      <c r="N544" s="25" t="s">
        <v>85</v>
      </c>
      <c r="O544" s="25" t="s">
        <v>84</v>
      </c>
      <c r="P544" s="25" t="s">
        <v>83</v>
      </c>
      <c r="Q544" s="25" t="s">
        <v>82</v>
      </c>
      <c r="R544" s="25"/>
      <c r="S544" s="25" t="s">
        <v>114</v>
      </c>
      <c r="T544" s="25" t="s">
        <v>114</v>
      </c>
      <c r="U544" s="25" t="s">
        <v>113</v>
      </c>
      <c r="V544" s="25" t="s">
        <v>950</v>
      </c>
      <c r="W544" s="25" t="s">
        <v>553</v>
      </c>
      <c r="X544" s="25" t="s">
        <v>1752</v>
      </c>
      <c r="Y544" s="25" t="s">
        <v>1753</v>
      </c>
      <c r="Z544" s="26">
        <v>39440</v>
      </c>
      <c r="AA544" s="776">
        <v>0</v>
      </c>
      <c r="AB544" s="776">
        <v>0</v>
      </c>
      <c r="AC544" s="776">
        <v>0</v>
      </c>
      <c r="AD544" s="776">
        <v>0</v>
      </c>
      <c r="AE544" s="777">
        <v>0</v>
      </c>
      <c r="AF544" s="777">
        <v>35.723999999999997</v>
      </c>
      <c r="AG544" s="778">
        <v>37.510199999999998</v>
      </c>
    </row>
    <row r="545" spans="1:33" x14ac:dyDescent="0.2">
      <c r="A545" s="15">
        <f t="shared" si="64"/>
        <v>2007</v>
      </c>
      <c r="B545" s="14">
        <f t="shared" si="65"/>
        <v>12</v>
      </c>
      <c r="C545" s="13" t="str">
        <f t="shared" si="66"/>
        <v>Q4</v>
      </c>
      <c r="D545" s="13" t="str">
        <f t="shared" si="67"/>
        <v>2007Q4</v>
      </c>
      <c r="E545" s="13" t="str">
        <f t="shared" si="68"/>
        <v>Brazil</v>
      </c>
      <c r="F545" s="13" t="str">
        <f t="shared" si="70"/>
        <v>Small Hydro</v>
      </c>
      <c r="G545" s="13" t="str">
        <f t="shared" si="71"/>
        <v>Asset finance investments</v>
      </c>
      <c r="H545" s="638">
        <f t="shared" si="69"/>
        <v>36.75</v>
      </c>
      <c r="I545" s="24" t="s">
        <v>506</v>
      </c>
      <c r="J545" s="25" t="s">
        <v>246</v>
      </c>
      <c r="K545" s="25" t="s">
        <v>2315</v>
      </c>
      <c r="L545" s="25" t="s">
        <v>594</v>
      </c>
      <c r="M545" s="25" t="s">
        <v>31</v>
      </c>
      <c r="N545" s="25" t="s">
        <v>31</v>
      </c>
      <c r="O545" s="25" t="s">
        <v>92</v>
      </c>
      <c r="P545" s="25" t="s">
        <v>83</v>
      </c>
      <c r="Q545" s="25" t="s">
        <v>82</v>
      </c>
      <c r="R545" s="25" t="s">
        <v>91</v>
      </c>
      <c r="S545" s="25" t="s">
        <v>126</v>
      </c>
      <c r="T545" s="25" t="s">
        <v>125</v>
      </c>
      <c r="U545" s="25" t="s">
        <v>247</v>
      </c>
      <c r="V545" s="25">
        <v>0</v>
      </c>
      <c r="W545" s="25" t="s">
        <v>553</v>
      </c>
      <c r="X545" s="25" t="s">
        <v>1752</v>
      </c>
      <c r="Y545" s="25" t="s">
        <v>1753</v>
      </c>
      <c r="Z545" s="26">
        <v>39447</v>
      </c>
      <c r="AA545" s="776">
        <v>14</v>
      </c>
      <c r="AB545" s="776">
        <v>0</v>
      </c>
      <c r="AC545" s="776">
        <v>0</v>
      </c>
      <c r="AD545" s="776">
        <v>0</v>
      </c>
      <c r="AE545" s="777">
        <v>0</v>
      </c>
      <c r="AF545" s="777">
        <v>35</v>
      </c>
      <c r="AG545" s="778">
        <v>36.75</v>
      </c>
    </row>
    <row r="546" spans="1:33" x14ac:dyDescent="0.2">
      <c r="A546" s="15">
        <f t="shared" si="64"/>
        <v>2007</v>
      </c>
      <c r="B546" s="14">
        <f t="shared" si="65"/>
        <v>12</v>
      </c>
      <c r="C546" s="13" t="str">
        <f t="shared" si="66"/>
        <v>Q4</v>
      </c>
      <c r="D546" s="13" t="str">
        <f t="shared" si="67"/>
        <v>2007Q4</v>
      </c>
      <c r="E546" s="13" t="str">
        <f t="shared" si="68"/>
        <v>Argentina</v>
      </c>
      <c r="F546" s="13" t="str">
        <f t="shared" si="70"/>
        <v>Biomass &amp; Waste</v>
      </c>
      <c r="G546" s="13" t="str">
        <f t="shared" si="71"/>
        <v>Asset finance investments</v>
      </c>
      <c r="H546" s="638">
        <f t="shared" si="69"/>
        <v>34.545000000000002</v>
      </c>
      <c r="I546" s="24" t="s">
        <v>506</v>
      </c>
      <c r="J546" s="25" t="s">
        <v>246</v>
      </c>
      <c r="K546" s="25" t="s">
        <v>2316</v>
      </c>
      <c r="L546" s="25" t="s">
        <v>2317</v>
      </c>
      <c r="M546" s="25" t="s">
        <v>4</v>
      </c>
      <c r="N546" s="25" t="s">
        <v>85</v>
      </c>
      <c r="O546" s="25" t="s">
        <v>92</v>
      </c>
      <c r="P546" s="25" t="s">
        <v>83</v>
      </c>
      <c r="Q546" s="25" t="s">
        <v>82</v>
      </c>
      <c r="R546" s="25"/>
      <c r="S546" s="25" t="s">
        <v>114</v>
      </c>
      <c r="T546" s="25" t="s">
        <v>114</v>
      </c>
      <c r="U546" s="25" t="s">
        <v>113</v>
      </c>
      <c r="V546" s="25" t="s">
        <v>347</v>
      </c>
      <c r="W546" s="25" t="s">
        <v>553</v>
      </c>
      <c r="X546" s="25" t="s">
        <v>1752</v>
      </c>
      <c r="Y546" s="25" t="s">
        <v>1753</v>
      </c>
      <c r="Z546" s="26">
        <v>39447</v>
      </c>
      <c r="AA546" s="776">
        <v>10</v>
      </c>
      <c r="AB546" s="776">
        <v>0</v>
      </c>
      <c r="AC546" s="776">
        <v>0</v>
      </c>
      <c r="AD546" s="776">
        <v>0</v>
      </c>
      <c r="AE546" s="777">
        <v>0</v>
      </c>
      <c r="AF546" s="777">
        <v>32.9</v>
      </c>
      <c r="AG546" s="778">
        <v>34.545000000000002</v>
      </c>
    </row>
    <row r="547" spans="1:33" x14ac:dyDescent="0.2">
      <c r="A547" s="15">
        <f t="shared" si="64"/>
        <v>2007</v>
      </c>
      <c r="B547" s="14">
        <f t="shared" si="65"/>
        <v>10</v>
      </c>
      <c r="C547" s="13" t="str">
        <f t="shared" si="66"/>
        <v>Q4</v>
      </c>
      <c r="D547" s="13" t="str">
        <f t="shared" si="67"/>
        <v>2007Q4</v>
      </c>
      <c r="E547" s="13" t="str">
        <f t="shared" si="68"/>
        <v>Brazil</v>
      </c>
      <c r="F547" s="13" t="str">
        <f t="shared" si="70"/>
        <v>Small Hydro</v>
      </c>
      <c r="G547" s="13" t="str">
        <f t="shared" si="71"/>
        <v>Asset finance investments</v>
      </c>
      <c r="H547" s="638">
        <f t="shared" si="69"/>
        <v>31.395</v>
      </c>
      <c r="I547" s="24" t="s">
        <v>506</v>
      </c>
      <c r="J547" s="25" t="s">
        <v>246</v>
      </c>
      <c r="K547" s="25" t="s">
        <v>2318</v>
      </c>
      <c r="L547" s="25" t="s">
        <v>1124</v>
      </c>
      <c r="M547" s="25" t="s">
        <v>31</v>
      </c>
      <c r="N547" s="25" t="s">
        <v>31</v>
      </c>
      <c r="O547" s="25" t="s">
        <v>92</v>
      </c>
      <c r="P547" s="25" t="s">
        <v>83</v>
      </c>
      <c r="Q547" s="25" t="s">
        <v>82</v>
      </c>
      <c r="R547" s="25" t="s">
        <v>91</v>
      </c>
      <c r="S547" s="25" t="s">
        <v>126</v>
      </c>
      <c r="T547" s="25" t="s">
        <v>125</v>
      </c>
      <c r="U547" s="25" t="s">
        <v>342</v>
      </c>
      <c r="V547" s="25">
        <v>0</v>
      </c>
      <c r="W547" s="25" t="s">
        <v>553</v>
      </c>
      <c r="X547" s="25" t="s">
        <v>1749</v>
      </c>
      <c r="Y547" s="25" t="s">
        <v>1750</v>
      </c>
      <c r="Z547" s="26">
        <v>39374.551388888904</v>
      </c>
      <c r="AA547" s="776">
        <v>18</v>
      </c>
      <c r="AB547" s="776">
        <v>0</v>
      </c>
      <c r="AC547" s="776">
        <v>0</v>
      </c>
      <c r="AD547" s="776">
        <v>0</v>
      </c>
      <c r="AE547" s="777">
        <v>29.9</v>
      </c>
      <c r="AF547" s="777">
        <v>29.9</v>
      </c>
      <c r="AG547" s="778">
        <v>31.395</v>
      </c>
    </row>
    <row r="548" spans="1:33" x14ac:dyDescent="0.2">
      <c r="A548" s="15">
        <f t="shared" si="64"/>
        <v>2007</v>
      </c>
      <c r="B548" s="14">
        <f t="shared" si="65"/>
        <v>12</v>
      </c>
      <c r="C548" s="13" t="str">
        <f t="shared" si="66"/>
        <v>Q4</v>
      </c>
      <c r="D548" s="13" t="str">
        <f t="shared" si="67"/>
        <v>2007Q4</v>
      </c>
      <c r="E548" s="13" t="str">
        <f t="shared" si="68"/>
        <v>Mexico</v>
      </c>
      <c r="F548" s="13" t="str">
        <f t="shared" si="70"/>
        <v>Wind</v>
      </c>
      <c r="G548" s="13" t="str">
        <f t="shared" si="71"/>
        <v>Asset finance investments</v>
      </c>
      <c r="H548" s="638">
        <f t="shared" si="69"/>
        <v>30.87</v>
      </c>
      <c r="I548" s="24" t="s">
        <v>506</v>
      </c>
      <c r="J548" s="25" t="s">
        <v>246</v>
      </c>
      <c r="K548" s="25" t="s">
        <v>2319</v>
      </c>
      <c r="L548" s="25" t="s">
        <v>1158</v>
      </c>
      <c r="M548" s="25" t="s">
        <v>18</v>
      </c>
      <c r="N548" s="25" t="s">
        <v>85</v>
      </c>
      <c r="O548" s="25" t="s">
        <v>92</v>
      </c>
      <c r="P548" s="25" t="s">
        <v>83</v>
      </c>
      <c r="Q548" s="25" t="s">
        <v>129</v>
      </c>
      <c r="R548" s="25"/>
      <c r="S548" s="25" t="s">
        <v>101</v>
      </c>
      <c r="T548" s="25" t="s">
        <v>101</v>
      </c>
      <c r="U548" s="25" t="s">
        <v>112</v>
      </c>
      <c r="V548" s="25">
        <v>0</v>
      </c>
      <c r="W548" s="25" t="s">
        <v>553</v>
      </c>
      <c r="X548" s="25" t="s">
        <v>1752</v>
      </c>
      <c r="Y548" s="25" t="s">
        <v>1753</v>
      </c>
      <c r="Z548" s="26">
        <v>39447</v>
      </c>
      <c r="AA548" s="776">
        <v>20</v>
      </c>
      <c r="AB548" s="776">
        <v>0</v>
      </c>
      <c r="AC548" s="776">
        <v>0</v>
      </c>
      <c r="AD548" s="776">
        <v>0</v>
      </c>
      <c r="AE548" s="777">
        <v>0</v>
      </c>
      <c r="AF548" s="777">
        <v>29.4</v>
      </c>
      <c r="AG548" s="778">
        <v>30.87</v>
      </c>
    </row>
    <row r="549" spans="1:33" x14ac:dyDescent="0.2">
      <c r="A549" s="15">
        <f t="shared" si="64"/>
        <v>2007</v>
      </c>
      <c r="B549" s="14">
        <f t="shared" si="65"/>
        <v>12</v>
      </c>
      <c r="C549" s="13" t="str">
        <f t="shared" si="66"/>
        <v>Q4</v>
      </c>
      <c r="D549" s="13" t="str">
        <f t="shared" si="67"/>
        <v>2007Q4</v>
      </c>
      <c r="E549" s="13" t="str">
        <f t="shared" si="68"/>
        <v>Brazil</v>
      </c>
      <c r="F549" s="13" t="str">
        <f t="shared" si="70"/>
        <v>Small Hydro</v>
      </c>
      <c r="G549" s="13" t="str">
        <f t="shared" si="71"/>
        <v>Asset finance investments</v>
      </c>
      <c r="H549" s="638">
        <f t="shared" si="69"/>
        <v>29.925000000000001</v>
      </c>
      <c r="I549" s="24" t="s">
        <v>506</v>
      </c>
      <c r="J549" s="25" t="s">
        <v>246</v>
      </c>
      <c r="K549" s="25" t="s">
        <v>2320</v>
      </c>
      <c r="L549" s="25" t="s">
        <v>593</v>
      </c>
      <c r="M549" s="25" t="s">
        <v>31</v>
      </c>
      <c r="N549" s="25" t="s">
        <v>31</v>
      </c>
      <c r="O549" s="25" t="s">
        <v>92</v>
      </c>
      <c r="P549" s="25" t="s">
        <v>83</v>
      </c>
      <c r="Q549" s="25" t="s">
        <v>82</v>
      </c>
      <c r="R549" s="25" t="s">
        <v>91</v>
      </c>
      <c r="S549" s="25" t="s">
        <v>126</v>
      </c>
      <c r="T549" s="25" t="s">
        <v>125</v>
      </c>
      <c r="U549" s="25" t="s">
        <v>247</v>
      </c>
      <c r="V549" s="25">
        <v>0</v>
      </c>
      <c r="W549" s="25" t="s">
        <v>553</v>
      </c>
      <c r="X549" s="25" t="s">
        <v>1752</v>
      </c>
      <c r="Y549" s="25" t="s">
        <v>1753</v>
      </c>
      <c r="Z549" s="26">
        <v>39447</v>
      </c>
      <c r="AA549" s="776">
        <v>11.4</v>
      </c>
      <c r="AB549" s="776">
        <v>0</v>
      </c>
      <c r="AC549" s="776">
        <v>0</v>
      </c>
      <c r="AD549" s="776">
        <v>0</v>
      </c>
      <c r="AE549" s="777">
        <v>0</v>
      </c>
      <c r="AF549" s="777">
        <v>28.5</v>
      </c>
      <c r="AG549" s="778">
        <v>29.925000000000001</v>
      </c>
    </row>
    <row r="550" spans="1:33" x14ac:dyDescent="0.2">
      <c r="A550" s="15">
        <f t="shared" si="64"/>
        <v>2007</v>
      </c>
      <c r="B550" s="14">
        <f t="shared" si="65"/>
        <v>12</v>
      </c>
      <c r="C550" s="13" t="str">
        <f t="shared" si="66"/>
        <v>Q4</v>
      </c>
      <c r="D550" s="13" t="str">
        <f t="shared" si="67"/>
        <v>2007Q4</v>
      </c>
      <c r="E550" s="13" t="str">
        <f t="shared" si="68"/>
        <v>Guatemala</v>
      </c>
      <c r="F550" s="13" t="str">
        <f t="shared" si="70"/>
        <v>Biofuels</v>
      </c>
      <c r="G550" s="13" t="str">
        <f t="shared" si="71"/>
        <v>Asset finance investments</v>
      </c>
      <c r="H550" s="638">
        <f t="shared" si="69"/>
        <v>26.932500000000001</v>
      </c>
      <c r="I550" s="24" t="s">
        <v>506</v>
      </c>
      <c r="J550" s="25" t="s">
        <v>246</v>
      </c>
      <c r="K550" s="25" t="s">
        <v>2321</v>
      </c>
      <c r="L550" s="25" t="s">
        <v>2322</v>
      </c>
      <c r="M550" s="25" t="s">
        <v>13</v>
      </c>
      <c r="N550" s="25" t="s">
        <v>85</v>
      </c>
      <c r="O550" s="25" t="s">
        <v>92</v>
      </c>
      <c r="P550" s="25" t="s">
        <v>83</v>
      </c>
      <c r="Q550" s="25" t="s">
        <v>82</v>
      </c>
      <c r="R550" s="25"/>
      <c r="S550" s="25" t="s">
        <v>96</v>
      </c>
      <c r="T550" s="25" t="s">
        <v>96</v>
      </c>
      <c r="U550" s="25" t="s">
        <v>98</v>
      </c>
      <c r="V550" s="25" t="s">
        <v>230</v>
      </c>
      <c r="W550" s="25" t="s">
        <v>553</v>
      </c>
      <c r="X550" s="25" t="s">
        <v>1752</v>
      </c>
      <c r="Y550" s="25" t="s">
        <v>1753</v>
      </c>
      <c r="Z550" s="26">
        <v>39447</v>
      </c>
      <c r="AA550" s="776">
        <v>45</v>
      </c>
      <c r="AB550" s="776">
        <v>45</v>
      </c>
      <c r="AC550" s="776">
        <v>0</v>
      </c>
      <c r="AD550" s="776">
        <v>0</v>
      </c>
      <c r="AE550" s="777">
        <v>0</v>
      </c>
      <c r="AF550" s="777">
        <v>25.65</v>
      </c>
      <c r="AG550" s="778">
        <v>26.932500000000001</v>
      </c>
    </row>
    <row r="551" spans="1:33" x14ac:dyDescent="0.2">
      <c r="A551" s="15">
        <f t="shared" si="64"/>
        <v>2007</v>
      </c>
      <c r="B551" s="14">
        <f t="shared" si="65"/>
        <v>12</v>
      </c>
      <c r="C551" s="13" t="str">
        <f t="shared" si="66"/>
        <v>Q4</v>
      </c>
      <c r="D551" s="13" t="str">
        <f t="shared" si="67"/>
        <v>2007Q4</v>
      </c>
      <c r="E551" s="13" t="str">
        <f t="shared" si="68"/>
        <v>Brazil</v>
      </c>
      <c r="F551" s="13" t="str">
        <f t="shared" si="70"/>
        <v>Small Hydro</v>
      </c>
      <c r="G551" s="13" t="str">
        <f t="shared" si="71"/>
        <v>Asset finance investments</v>
      </c>
      <c r="H551" s="638">
        <f t="shared" si="69"/>
        <v>26.25</v>
      </c>
      <c r="I551" s="24" t="s">
        <v>506</v>
      </c>
      <c r="J551" s="25" t="s">
        <v>246</v>
      </c>
      <c r="K551" s="25" t="s">
        <v>2323</v>
      </c>
      <c r="L551" s="25" t="s">
        <v>562</v>
      </c>
      <c r="M551" s="25" t="s">
        <v>31</v>
      </c>
      <c r="N551" s="25" t="s">
        <v>31</v>
      </c>
      <c r="O551" s="25" t="s">
        <v>92</v>
      </c>
      <c r="P551" s="25" t="s">
        <v>83</v>
      </c>
      <c r="Q551" s="25" t="s">
        <v>82</v>
      </c>
      <c r="R551" s="25" t="s">
        <v>91</v>
      </c>
      <c r="S551" s="25" t="s">
        <v>126</v>
      </c>
      <c r="T551" s="25" t="s">
        <v>125</v>
      </c>
      <c r="U551" s="25" t="s">
        <v>247</v>
      </c>
      <c r="V551" s="25">
        <v>0</v>
      </c>
      <c r="W551" s="25" t="s">
        <v>553</v>
      </c>
      <c r="X551" s="25" t="s">
        <v>1752</v>
      </c>
      <c r="Y551" s="25" t="s">
        <v>1753</v>
      </c>
      <c r="Z551" s="26">
        <v>39431</v>
      </c>
      <c r="AA551" s="776">
        <v>10</v>
      </c>
      <c r="AB551" s="776">
        <v>0</v>
      </c>
      <c r="AC551" s="776">
        <v>0</v>
      </c>
      <c r="AD551" s="776">
        <v>0</v>
      </c>
      <c r="AE551" s="777">
        <v>0</v>
      </c>
      <c r="AF551" s="777">
        <v>25</v>
      </c>
      <c r="AG551" s="778">
        <v>26.25</v>
      </c>
    </row>
    <row r="552" spans="1:33" x14ac:dyDescent="0.2">
      <c r="A552" s="15">
        <f t="shared" si="64"/>
        <v>2007</v>
      </c>
      <c r="B552" s="14">
        <f t="shared" si="65"/>
        <v>12</v>
      </c>
      <c r="C552" s="13" t="str">
        <f t="shared" si="66"/>
        <v>Q4</v>
      </c>
      <c r="D552" s="13" t="str">
        <f t="shared" si="67"/>
        <v>2007Q4</v>
      </c>
      <c r="E552" s="13" t="str">
        <f t="shared" si="68"/>
        <v>Brazil</v>
      </c>
      <c r="F552" s="13" t="str">
        <f t="shared" si="70"/>
        <v>Biomass &amp; Waste</v>
      </c>
      <c r="G552" s="13" t="str">
        <f t="shared" si="71"/>
        <v>Asset finance investments</v>
      </c>
      <c r="H552" s="638">
        <f t="shared" si="69"/>
        <v>20.580000000000002</v>
      </c>
      <c r="I552" s="24" t="s">
        <v>506</v>
      </c>
      <c r="J552" s="25" t="s">
        <v>246</v>
      </c>
      <c r="K552" s="25" t="s">
        <v>2324</v>
      </c>
      <c r="L552" s="25" t="s">
        <v>2325</v>
      </c>
      <c r="M552" s="25" t="s">
        <v>31</v>
      </c>
      <c r="N552" s="25" t="s">
        <v>31</v>
      </c>
      <c r="O552" s="25" t="s">
        <v>92</v>
      </c>
      <c r="P552" s="25" t="s">
        <v>83</v>
      </c>
      <c r="Q552" s="25" t="s">
        <v>82</v>
      </c>
      <c r="R552" s="25" t="s">
        <v>91</v>
      </c>
      <c r="S552" s="25" t="s">
        <v>114</v>
      </c>
      <c r="T552" s="25" t="s">
        <v>114</v>
      </c>
      <c r="U552" s="25" t="s">
        <v>113</v>
      </c>
      <c r="V552" s="25" t="s">
        <v>347</v>
      </c>
      <c r="W552" s="25" t="s">
        <v>553</v>
      </c>
      <c r="X552" s="25" t="s">
        <v>1752</v>
      </c>
      <c r="Y552" s="25" t="s">
        <v>1753</v>
      </c>
      <c r="Z552" s="26">
        <v>39447</v>
      </c>
      <c r="AA552" s="776">
        <v>8</v>
      </c>
      <c r="AB552" s="776">
        <v>63</v>
      </c>
      <c r="AC552" s="776">
        <v>0</v>
      </c>
      <c r="AD552" s="776">
        <v>0</v>
      </c>
      <c r="AE552" s="777">
        <v>0</v>
      </c>
      <c r="AF552" s="777">
        <v>19.600000000000001</v>
      </c>
      <c r="AG552" s="778">
        <v>20.580000000000002</v>
      </c>
    </row>
    <row r="553" spans="1:33" x14ac:dyDescent="0.2">
      <c r="A553" s="15">
        <f t="shared" si="64"/>
        <v>2007</v>
      </c>
      <c r="B553" s="14">
        <f t="shared" si="65"/>
        <v>10</v>
      </c>
      <c r="C553" s="13" t="str">
        <f t="shared" si="66"/>
        <v>Q4</v>
      </c>
      <c r="D553" s="13" t="str">
        <f t="shared" si="67"/>
        <v>2007Q4</v>
      </c>
      <c r="E553" s="13" t="str">
        <f t="shared" si="68"/>
        <v>Chile</v>
      </c>
      <c r="F553" s="13" t="str">
        <f t="shared" si="70"/>
        <v>Small Hydro</v>
      </c>
      <c r="G553" s="13" t="str">
        <f t="shared" si="71"/>
        <v>Asset finance investments</v>
      </c>
      <c r="H553" s="638">
        <f t="shared" si="69"/>
        <v>18.585000000000001</v>
      </c>
      <c r="I553" s="24" t="s">
        <v>506</v>
      </c>
      <c r="J553" s="25" t="s">
        <v>246</v>
      </c>
      <c r="K553" s="25" t="s">
        <v>2326</v>
      </c>
      <c r="L553" s="25" t="s">
        <v>1062</v>
      </c>
      <c r="M553" s="25" t="s">
        <v>8</v>
      </c>
      <c r="N553" s="25" t="s">
        <v>85</v>
      </c>
      <c r="O553" s="25" t="s">
        <v>92</v>
      </c>
      <c r="P553" s="25" t="s">
        <v>83</v>
      </c>
      <c r="Q553" s="25" t="s">
        <v>129</v>
      </c>
      <c r="R553" s="25"/>
      <c r="S553" s="25" t="s">
        <v>126</v>
      </c>
      <c r="T553" s="25" t="s">
        <v>125</v>
      </c>
      <c r="U553" s="25" t="s">
        <v>247</v>
      </c>
      <c r="V553" s="25">
        <v>0</v>
      </c>
      <c r="W553" s="25" t="s">
        <v>553</v>
      </c>
      <c r="X553" s="25" t="s">
        <v>1752</v>
      </c>
      <c r="Y553" s="25" t="s">
        <v>1753</v>
      </c>
      <c r="Z553" s="26">
        <v>39363</v>
      </c>
      <c r="AA553" s="776">
        <v>10.9</v>
      </c>
      <c r="AB553" s="776">
        <v>0</v>
      </c>
      <c r="AC553" s="776">
        <v>0</v>
      </c>
      <c r="AD553" s="776">
        <v>0</v>
      </c>
      <c r="AE553" s="777">
        <v>17.7</v>
      </c>
      <c r="AF553" s="777">
        <v>17.7</v>
      </c>
      <c r="AG553" s="778">
        <v>18.585000000000001</v>
      </c>
    </row>
    <row r="554" spans="1:33" x14ac:dyDescent="0.2">
      <c r="A554" s="15">
        <f t="shared" si="64"/>
        <v>2007</v>
      </c>
      <c r="B554" s="14">
        <f t="shared" si="65"/>
        <v>10</v>
      </c>
      <c r="C554" s="13" t="str">
        <f t="shared" si="66"/>
        <v>Q4</v>
      </c>
      <c r="D554" s="13" t="str">
        <f t="shared" si="67"/>
        <v>2007Q4</v>
      </c>
      <c r="E554" s="13" t="str">
        <f t="shared" si="68"/>
        <v>Colombia</v>
      </c>
      <c r="F554" s="13" t="str">
        <f t="shared" si="70"/>
        <v>Biomass &amp; Waste</v>
      </c>
      <c r="G554" s="13" t="str">
        <f t="shared" si="71"/>
        <v>Asset finance investments</v>
      </c>
      <c r="H554" s="638">
        <f t="shared" si="69"/>
        <v>17.850000000000001</v>
      </c>
      <c r="I554" s="24" t="s">
        <v>506</v>
      </c>
      <c r="J554" s="25" t="s">
        <v>246</v>
      </c>
      <c r="K554" s="25" t="s">
        <v>2327</v>
      </c>
      <c r="L554" s="25" t="s">
        <v>1125</v>
      </c>
      <c r="M554" s="25" t="s">
        <v>9</v>
      </c>
      <c r="N554" s="25" t="s">
        <v>85</v>
      </c>
      <c r="O554" s="25" t="s">
        <v>92</v>
      </c>
      <c r="P554" s="25" t="s">
        <v>83</v>
      </c>
      <c r="Q554" s="25" t="s">
        <v>82</v>
      </c>
      <c r="R554" s="25"/>
      <c r="S554" s="25" t="s">
        <v>114</v>
      </c>
      <c r="T554" s="25" t="s">
        <v>114</v>
      </c>
      <c r="U554" s="25" t="s">
        <v>113</v>
      </c>
      <c r="V554" s="25" t="s">
        <v>722</v>
      </c>
      <c r="W554" s="25" t="s">
        <v>553</v>
      </c>
      <c r="X554" s="25" t="s">
        <v>1752</v>
      </c>
      <c r="Y554" s="25" t="s">
        <v>1753</v>
      </c>
      <c r="Z554" s="26">
        <v>39370</v>
      </c>
      <c r="AA554" s="776">
        <v>0</v>
      </c>
      <c r="AB554" s="776">
        <v>0</v>
      </c>
      <c r="AC554" s="776">
        <v>0</v>
      </c>
      <c r="AD554" s="776">
        <v>0</v>
      </c>
      <c r="AE554" s="777">
        <v>17</v>
      </c>
      <c r="AF554" s="777">
        <v>17</v>
      </c>
      <c r="AG554" s="778">
        <v>17.850000000000001</v>
      </c>
    </row>
    <row r="555" spans="1:33" x14ac:dyDescent="0.2">
      <c r="A555" s="15">
        <f t="shared" si="64"/>
        <v>2007</v>
      </c>
      <c r="B555" s="14">
        <f t="shared" si="65"/>
        <v>12</v>
      </c>
      <c r="C555" s="13" t="str">
        <f t="shared" si="66"/>
        <v>Q4</v>
      </c>
      <c r="D555" s="13" t="str">
        <f t="shared" si="67"/>
        <v>2007Q4</v>
      </c>
      <c r="E555" s="13" t="str">
        <f t="shared" si="68"/>
        <v>Brazil</v>
      </c>
      <c r="F555" s="13" t="str">
        <f t="shared" si="70"/>
        <v>Small Hydro</v>
      </c>
      <c r="G555" s="13" t="str">
        <f t="shared" si="71"/>
        <v>Asset finance investments</v>
      </c>
      <c r="H555" s="638">
        <f t="shared" si="69"/>
        <v>14.385</v>
      </c>
      <c r="I555" s="24" t="s">
        <v>506</v>
      </c>
      <c r="J555" s="25" t="s">
        <v>246</v>
      </c>
      <c r="K555" s="25" t="s">
        <v>2328</v>
      </c>
      <c r="L555" s="25" t="s">
        <v>605</v>
      </c>
      <c r="M555" s="25" t="s">
        <v>31</v>
      </c>
      <c r="N555" s="25" t="s">
        <v>31</v>
      </c>
      <c r="O555" s="25" t="s">
        <v>92</v>
      </c>
      <c r="P555" s="25" t="s">
        <v>83</v>
      </c>
      <c r="Q555" s="25" t="s">
        <v>82</v>
      </c>
      <c r="R555" s="25" t="s">
        <v>91</v>
      </c>
      <c r="S555" s="25" t="s">
        <v>126</v>
      </c>
      <c r="T555" s="25" t="s">
        <v>125</v>
      </c>
      <c r="U555" s="25" t="s">
        <v>247</v>
      </c>
      <c r="V555" s="25">
        <v>0</v>
      </c>
      <c r="W555" s="25" t="s">
        <v>553</v>
      </c>
      <c r="X555" s="25" t="s">
        <v>1752</v>
      </c>
      <c r="Y555" s="25" t="s">
        <v>1753</v>
      </c>
      <c r="Z555" s="26">
        <v>39447</v>
      </c>
      <c r="AA555" s="776">
        <v>6.85</v>
      </c>
      <c r="AB555" s="776">
        <v>0</v>
      </c>
      <c r="AC555" s="776">
        <v>0</v>
      </c>
      <c r="AD555" s="776">
        <v>0</v>
      </c>
      <c r="AE555" s="777">
        <v>13.7</v>
      </c>
      <c r="AF555" s="777">
        <v>13.7</v>
      </c>
      <c r="AG555" s="778">
        <v>14.385</v>
      </c>
    </row>
    <row r="556" spans="1:33" x14ac:dyDescent="0.2">
      <c r="A556" s="15">
        <f t="shared" si="64"/>
        <v>2007</v>
      </c>
      <c r="B556" s="14">
        <f t="shared" si="65"/>
        <v>12</v>
      </c>
      <c r="C556" s="13" t="str">
        <f t="shared" si="66"/>
        <v>Q4</v>
      </c>
      <c r="D556" s="13" t="str">
        <f t="shared" si="67"/>
        <v>2007Q4</v>
      </c>
      <c r="E556" s="13" t="str">
        <f t="shared" si="68"/>
        <v>Paraguay</v>
      </c>
      <c r="F556" s="13" t="str">
        <f t="shared" si="70"/>
        <v>Biofuels</v>
      </c>
      <c r="G556" s="13" t="str">
        <f t="shared" si="71"/>
        <v>Asset finance investments</v>
      </c>
      <c r="H556" s="638">
        <f t="shared" si="69"/>
        <v>12.915000000000001</v>
      </c>
      <c r="I556" s="24" t="s">
        <v>506</v>
      </c>
      <c r="J556" s="25" t="s">
        <v>246</v>
      </c>
      <c r="K556" s="25" t="s">
        <v>2329</v>
      </c>
      <c r="L556" s="25" t="s">
        <v>682</v>
      </c>
      <c r="M556" s="25" t="s">
        <v>3</v>
      </c>
      <c r="N556" s="25" t="s">
        <v>85</v>
      </c>
      <c r="O556" s="25" t="s">
        <v>92</v>
      </c>
      <c r="P556" s="25" t="s">
        <v>83</v>
      </c>
      <c r="Q556" s="25" t="s">
        <v>82</v>
      </c>
      <c r="R556" s="25"/>
      <c r="S556" s="25" t="s">
        <v>96</v>
      </c>
      <c r="T556" s="25" t="s">
        <v>96</v>
      </c>
      <c r="U556" s="25" t="s">
        <v>98</v>
      </c>
      <c r="V556" s="25">
        <v>0</v>
      </c>
      <c r="W556" s="25" t="s">
        <v>553</v>
      </c>
      <c r="X556" s="25" t="s">
        <v>1752</v>
      </c>
      <c r="Y556" s="25" t="s">
        <v>1753</v>
      </c>
      <c r="Z556" s="26">
        <v>39447</v>
      </c>
      <c r="AA556" s="776">
        <v>0</v>
      </c>
      <c r="AB556" s="776">
        <v>10</v>
      </c>
      <c r="AC556" s="776">
        <v>0</v>
      </c>
      <c r="AD556" s="776">
        <v>0</v>
      </c>
      <c r="AE556" s="777">
        <v>0</v>
      </c>
      <c r="AF556" s="777">
        <v>12.3</v>
      </c>
      <c r="AG556" s="778">
        <v>12.915000000000001</v>
      </c>
    </row>
    <row r="557" spans="1:33" x14ac:dyDescent="0.2">
      <c r="A557" s="15">
        <f t="shared" si="64"/>
        <v>2007</v>
      </c>
      <c r="B557" s="14">
        <f t="shared" si="65"/>
        <v>10</v>
      </c>
      <c r="C557" s="13" t="str">
        <f t="shared" si="66"/>
        <v>Q4</v>
      </c>
      <c r="D557" s="13" t="str">
        <f t="shared" si="67"/>
        <v>2007Q4</v>
      </c>
      <c r="E557" s="13" t="str">
        <f t="shared" si="68"/>
        <v>Brazil</v>
      </c>
      <c r="F557" s="13" t="str">
        <f t="shared" si="70"/>
        <v>Biofuels</v>
      </c>
      <c r="G557" s="13" t="str">
        <f t="shared" si="71"/>
        <v>Asset finance investments</v>
      </c>
      <c r="H557" s="638">
        <f t="shared" si="69"/>
        <v>12.915000000000001</v>
      </c>
      <c r="I557" s="24" t="s">
        <v>506</v>
      </c>
      <c r="J557" s="25" t="s">
        <v>246</v>
      </c>
      <c r="K557" s="25" t="s">
        <v>2330</v>
      </c>
      <c r="L557" s="25" t="s">
        <v>615</v>
      </c>
      <c r="M557" s="25" t="s">
        <v>31</v>
      </c>
      <c r="N557" s="25" t="s">
        <v>31</v>
      </c>
      <c r="O557" s="25" t="s">
        <v>92</v>
      </c>
      <c r="P557" s="25" t="s">
        <v>83</v>
      </c>
      <c r="Q557" s="25" t="s">
        <v>82</v>
      </c>
      <c r="R557" s="25" t="s">
        <v>91</v>
      </c>
      <c r="S557" s="25" t="s">
        <v>96</v>
      </c>
      <c r="T557" s="25" t="s">
        <v>96</v>
      </c>
      <c r="U557" s="25" t="s">
        <v>98</v>
      </c>
      <c r="V557" s="25">
        <v>0</v>
      </c>
      <c r="W557" s="25" t="s">
        <v>553</v>
      </c>
      <c r="X557" s="25" t="s">
        <v>1752</v>
      </c>
      <c r="Y557" s="25" t="s">
        <v>1753</v>
      </c>
      <c r="Z557" s="26">
        <v>39356</v>
      </c>
      <c r="AA557" s="776">
        <v>0</v>
      </c>
      <c r="AB557" s="776">
        <v>10</v>
      </c>
      <c r="AC557" s="776">
        <v>0</v>
      </c>
      <c r="AD557" s="776">
        <v>0</v>
      </c>
      <c r="AE557" s="777">
        <v>0</v>
      </c>
      <c r="AF557" s="777">
        <v>12.3</v>
      </c>
      <c r="AG557" s="778">
        <v>12.915000000000001</v>
      </c>
    </row>
    <row r="558" spans="1:33" x14ac:dyDescent="0.2">
      <c r="A558" s="15">
        <f t="shared" si="64"/>
        <v>2007</v>
      </c>
      <c r="B558" s="14">
        <f t="shared" si="65"/>
        <v>12</v>
      </c>
      <c r="C558" s="13" t="str">
        <f t="shared" si="66"/>
        <v>Q4</v>
      </c>
      <c r="D558" s="13" t="str">
        <f t="shared" si="67"/>
        <v>2007Q4</v>
      </c>
      <c r="E558" s="13" t="str">
        <f t="shared" si="68"/>
        <v>Paraguay</v>
      </c>
      <c r="F558" s="13" t="str">
        <f t="shared" si="70"/>
        <v>Biofuels</v>
      </c>
      <c r="G558" s="13" t="str">
        <f t="shared" si="71"/>
        <v>Asset finance investments</v>
      </c>
      <c r="H558" s="638">
        <f t="shared" si="69"/>
        <v>12.915000000000001</v>
      </c>
      <c r="I558" s="24" t="s">
        <v>506</v>
      </c>
      <c r="J558" s="25" t="s">
        <v>246</v>
      </c>
      <c r="K558" s="25" t="s">
        <v>2331</v>
      </c>
      <c r="L558" s="25" t="s">
        <v>681</v>
      </c>
      <c r="M558" s="25" t="s">
        <v>3</v>
      </c>
      <c r="N558" s="25" t="s">
        <v>85</v>
      </c>
      <c r="O558" s="25" t="s">
        <v>92</v>
      </c>
      <c r="P558" s="25" t="s">
        <v>83</v>
      </c>
      <c r="Q558" s="25" t="s">
        <v>82</v>
      </c>
      <c r="R558" s="25"/>
      <c r="S558" s="25" t="s">
        <v>96</v>
      </c>
      <c r="T558" s="25" t="s">
        <v>96</v>
      </c>
      <c r="U558" s="25" t="s">
        <v>98</v>
      </c>
      <c r="V558" s="25">
        <v>0</v>
      </c>
      <c r="W558" s="25" t="s">
        <v>553</v>
      </c>
      <c r="X558" s="25" t="s">
        <v>1752</v>
      </c>
      <c r="Y558" s="25" t="s">
        <v>1753</v>
      </c>
      <c r="Z558" s="26">
        <v>39447</v>
      </c>
      <c r="AA558" s="776">
        <v>0</v>
      </c>
      <c r="AB558" s="776">
        <v>10</v>
      </c>
      <c r="AC558" s="776">
        <v>0</v>
      </c>
      <c r="AD558" s="776">
        <v>0</v>
      </c>
      <c r="AE558" s="777">
        <v>0</v>
      </c>
      <c r="AF558" s="777">
        <v>12.3</v>
      </c>
      <c r="AG558" s="778">
        <v>12.915000000000001</v>
      </c>
    </row>
    <row r="559" spans="1:33" x14ac:dyDescent="0.2">
      <c r="A559" s="15">
        <f t="shared" si="64"/>
        <v>2007</v>
      </c>
      <c r="B559" s="14">
        <f t="shared" si="65"/>
        <v>11</v>
      </c>
      <c r="C559" s="13" t="str">
        <f t="shared" si="66"/>
        <v>Q4</v>
      </c>
      <c r="D559" s="13" t="str">
        <f t="shared" si="67"/>
        <v>2007Q4</v>
      </c>
      <c r="E559" s="13" t="str">
        <f t="shared" si="68"/>
        <v>Brazil</v>
      </c>
      <c r="F559" s="13" t="str">
        <f t="shared" si="70"/>
        <v>Biofuels</v>
      </c>
      <c r="G559" s="13" t="str">
        <f t="shared" si="71"/>
        <v>Asset finance investments</v>
      </c>
      <c r="H559" s="638">
        <f t="shared" si="69"/>
        <v>11.6235</v>
      </c>
      <c r="I559" s="24" t="s">
        <v>506</v>
      </c>
      <c r="J559" s="25" t="s">
        <v>246</v>
      </c>
      <c r="K559" s="25" t="s">
        <v>2332</v>
      </c>
      <c r="L559" s="25" t="s">
        <v>2333</v>
      </c>
      <c r="M559" s="25" t="s">
        <v>31</v>
      </c>
      <c r="N559" s="25" t="s">
        <v>31</v>
      </c>
      <c r="O559" s="25" t="s">
        <v>92</v>
      </c>
      <c r="P559" s="25" t="s">
        <v>83</v>
      </c>
      <c r="Q559" s="25" t="s">
        <v>82</v>
      </c>
      <c r="R559" s="25" t="s">
        <v>91</v>
      </c>
      <c r="S559" s="25" t="s">
        <v>96</v>
      </c>
      <c r="T559" s="25" t="s">
        <v>96</v>
      </c>
      <c r="U559" s="25" t="s">
        <v>98</v>
      </c>
      <c r="V559" s="25">
        <v>0</v>
      </c>
      <c r="W559" s="25" t="s">
        <v>553</v>
      </c>
      <c r="X559" s="25" t="s">
        <v>1752</v>
      </c>
      <c r="Y559" s="25" t="s">
        <v>1753</v>
      </c>
      <c r="Z559" s="26">
        <v>39403</v>
      </c>
      <c r="AA559" s="776">
        <v>0</v>
      </c>
      <c r="AB559" s="776">
        <v>9</v>
      </c>
      <c r="AC559" s="776">
        <v>0</v>
      </c>
      <c r="AD559" s="776">
        <v>0</v>
      </c>
      <c r="AE559" s="777">
        <v>0</v>
      </c>
      <c r="AF559" s="777">
        <v>11.07</v>
      </c>
      <c r="AG559" s="778">
        <v>11.6235</v>
      </c>
    </row>
    <row r="560" spans="1:33" x14ac:dyDescent="0.2">
      <c r="A560" s="15">
        <f t="shared" si="64"/>
        <v>2007</v>
      </c>
      <c r="B560" s="14">
        <f t="shared" si="65"/>
        <v>12</v>
      </c>
      <c r="C560" s="13" t="str">
        <f t="shared" si="66"/>
        <v>Q4</v>
      </c>
      <c r="D560" s="13" t="str">
        <f t="shared" si="67"/>
        <v>2007Q4</v>
      </c>
      <c r="E560" s="13" t="str">
        <f t="shared" si="68"/>
        <v>Chile</v>
      </c>
      <c r="F560" s="13" t="str">
        <f t="shared" si="70"/>
        <v>Small Hydro</v>
      </c>
      <c r="G560" s="13" t="str">
        <f t="shared" si="71"/>
        <v>Asset finance investments</v>
      </c>
      <c r="H560" s="638">
        <f t="shared" si="69"/>
        <v>11.13</v>
      </c>
      <c r="I560" s="24" t="s">
        <v>506</v>
      </c>
      <c r="J560" s="25" t="s">
        <v>246</v>
      </c>
      <c r="K560" s="25" t="s">
        <v>2334</v>
      </c>
      <c r="L560" s="25" t="s">
        <v>1056</v>
      </c>
      <c r="M560" s="25" t="s">
        <v>8</v>
      </c>
      <c r="N560" s="25" t="s">
        <v>85</v>
      </c>
      <c r="O560" s="25" t="s">
        <v>92</v>
      </c>
      <c r="P560" s="25" t="s">
        <v>83</v>
      </c>
      <c r="Q560" s="25" t="s">
        <v>129</v>
      </c>
      <c r="R560" s="25"/>
      <c r="S560" s="25" t="s">
        <v>126</v>
      </c>
      <c r="T560" s="25" t="s">
        <v>125</v>
      </c>
      <c r="U560" s="25" t="s">
        <v>247</v>
      </c>
      <c r="V560" s="25">
        <v>0</v>
      </c>
      <c r="W560" s="25" t="s">
        <v>553</v>
      </c>
      <c r="X560" s="25" t="s">
        <v>1749</v>
      </c>
      <c r="Y560" s="25" t="s">
        <v>1750</v>
      </c>
      <c r="Z560" s="26">
        <v>39447</v>
      </c>
      <c r="AA560" s="776">
        <v>4.8499999999999996</v>
      </c>
      <c r="AB560" s="776">
        <v>0</v>
      </c>
      <c r="AC560" s="776">
        <v>0</v>
      </c>
      <c r="AD560" s="776">
        <v>0</v>
      </c>
      <c r="AE560" s="777">
        <v>10.6</v>
      </c>
      <c r="AF560" s="777">
        <v>10.6</v>
      </c>
      <c r="AG560" s="778">
        <v>11.13</v>
      </c>
    </row>
    <row r="561" spans="1:33" x14ac:dyDescent="0.2">
      <c r="A561" s="15">
        <f t="shared" si="64"/>
        <v>2007</v>
      </c>
      <c r="B561" s="14">
        <f t="shared" si="65"/>
        <v>11</v>
      </c>
      <c r="C561" s="13" t="str">
        <f t="shared" si="66"/>
        <v>Q4</v>
      </c>
      <c r="D561" s="13" t="str">
        <f t="shared" si="67"/>
        <v>2007Q4</v>
      </c>
      <c r="E561" s="13" t="str">
        <f t="shared" si="68"/>
        <v>Peru</v>
      </c>
      <c r="F561" s="13" t="str">
        <f t="shared" si="70"/>
        <v>Biofuels</v>
      </c>
      <c r="G561" s="13" t="str">
        <f t="shared" si="71"/>
        <v>Asset finance investments</v>
      </c>
      <c r="H561" s="638">
        <f t="shared" si="69"/>
        <v>10.5</v>
      </c>
      <c r="I561" s="24" t="s">
        <v>506</v>
      </c>
      <c r="J561" s="25" t="s">
        <v>246</v>
      </c>
      <c r="K561" s="25" t="s">
        <v>2335</v>
      </c>
      <c r="L561" s="25" t="s">
        <v>1113</v>
      </c>
      <c r="M561" s="25" t="s">
        <v>20</v>
      </c>
      <c r="N561" s="25" t="s">
        <v>85</v>
      </c>
      <c r="O561" s="25" t="s">
        <v>92</v>
      </c>
      <c r="P561" s="25" t="s">
        <v>83</v>
      </c>
      <c r="Q561" s="25" t="s">
        <v>82</v>
      </c>
      <c r="R561" s="25"/>
      <c r="S561" s="25" t="s">
        <v>96</v>
      </c>
      <c r="T561" s="25" t="s">
        <v>96</v>
      </c>
      <c r="U561" s="25" t="s">
        <v>98</v>
      </c>
      <c r="V561" s="25" t="s">
        <v>230</v>
      </c>
      <c r="W561" s="25" t="s">
        <v>553</v>
      </c>
      <c r="X561" s="25" t="s">
        <v>1752</v>
      </c>
      <c r="Y561" s="25" t="s">
        <v>1753</v>
      </c>
      <c r="Z561" s="26">
        <v>39405</v>
      </c>
      <c r="AA561" s="776">
        <v>0</v>
      </c>
      <c r="AB561" s="776">
        <v>15.1</v>
      </c>
      <c r="AC561" s="776">
        <v>0</v>
      </c>
      <c r="AD561" s="776">
        <v>0</v>
      </c>
      <c r="AE561" s="777">
        <v>10</v>
      </c>
      <c r="AF561" s="777">
        <v>10</v>
      </c>
      <c r="AG561" s="778">
        <v>10.5</v>
      </c>
    </row>
    <row r="562" spans="1:33" x14ac:dyDescent="0.2">
      <c r="A562" s="15">
        <f t="shared" si="64"/>
        <v>2007</v>
      </c>
      <c r="B562" s="14">
        <f t="shared" si="65"/>
        <v>12</v>
      </c>
      <c r="C562" s="13" t="str">
        <f t="shared" si="66"/>
        <v>Q4</v>
      </c>
      <c r="D562" s="13" t="str">
        <f t="shared" si="67"/>
        <v>2007Q4</v>
      </c>
      <c r="E562" s="13" t="str">
        <f t="shared" si="68"/>
        <v>Argentina</v>
      </c>
      <c r="F562" s="13" t="str">
        <f t="shared" si="70"/>
        <v>Biofuels</v>
      </c>
      <c r="G562" s="13" t="str">
        <f t="shared" si="71"/>
        <v>Asset finance investments</v>
      </c>
      <c r="H562" s="638">
        <f t="shared" si="69"/>
        <v>10.5</v>
      </c>
      <c r="I562" s="24" t="s">
        <v>506</v>
      </c>
      <c r="J562" s="25" t="s">
        <v>246</v>
      </c>
      <c r="K562" s="25" t="s">
        <v>2336</v>
      </c>
      <c r="L562" s="25" t="s">
        <v>999</v>
      </c>
      <c r="M562" s="25" t="s">
        <v>4</v>
      </c>
      <c r="N562" s="25" t="s">
        <v>85</v>
      </c>
      <c r="O562" s="25" t="s">
        <v>92</v>
      </c>
      <c r="P562" s="25" t="s">
        <v>83</v>
      </c>
      <c r="Q562" s="25" t="s">
        <v>82</v>
      </c>
      <c r="R562" s="25"/>
      <c r="S562" s="25" t="s">
        <v>96</v>
      </c>
      <c r="T562" s="25" t="s">
        <v>96</v>
      </c>
      <c r="U562" s="25" t="s">
        <v>95</v>
      </c>
      <c r="V562" s="25">
        <v>0</v>
      </c>
      <c r="W562" s="25" t="s">
        <v>553</v>
      </c>
      <c r="X562" s="25" t="s">
        <v>1752</v>
      </c>
      <c r="Y562" s="25" t="s">
        <v>1753</v>
      </c>
      <c r="Z562" s="26">
        <v>39447</v>
      </c>
      <c r="AA562" s="776">
        <v>0</v>
      </c>
      <c r="AB562" s="776">
        <v>0</v>
      </c>
      <c r="AC562" s="776">
        <v>0</v>
      </c>
      <c r="AD562" s="776">
        <v>0</v>
      </c>
      <c r="AE562" s="777">
        <v>10</v>
      </c>
      <c r="AF562" s="777">
        <v>10</v>
      </c>
      <c r="AG562" s="778">
        <v>10.5</v>
      </c>
    </row>
    <row r="563" spans="1:33" x14ac:dyDescent="0.2">
      <c r="A563" s="15">
        <f t="shared" si="64"/>
        <v>2007</v>
      </c>
      <c r="B563" s="14">
        <f t="shared" si="65"/>
        <v>12</v>
      </c>
      <c r="C563" s="13" t="str">
        <f t="shared" si="66"/>
        <v>Q4</v>
      </c>
      <c r="D563" s="13" t="str">
        <f t="shared" si="67"/>
        <v>2007Q4</v>
      </c>
      <c r="E563" s="13" t="str">
        <f t="shared" si="68"/>
        <v>Argentina</v>
      </c>
      <c r="F563" s="13" t="str">
        <f t="shared" si="70"/>
        <v>Wind</v>
      </c>
      <c r="G563" s="13" t="str">
        <f t="shared" si="71"/>
        <v>Asset finance investments</v>
      </c>
      <c r="H563" s="638">
        <f t="shared" si="69"/>
        <v>9.4500000000000011</v>
      </c>
      <c r="I563" s="24" t="s">
        <v>506</v>
      </c>
      <c r="J563" s="25" t="s">
        <v>246</v>
      </c>
      <c r="K563" s="25" t="s">
        <v>2337</v>
      </c>
      <c r="L563" s="25" t="s">
        <v>1068</v>
      </c>
      <c r="M563" s="25" t="s">
        <v>4</v>
      </c>
      <c r="N563" s="25" t="s">
        <v>85</v>
      </c>
      <c r="O563" s="25" t="s">
        <v>92</v>
      </c>
      <c r="P563" s="25" t="s">
        <v>83</v>
      </c>
      <c r="Q563" s="25" t="s">
        <v>82</v>
      </c>
      <c r="R563" s="25"/>
      <c r="S563" s="25" t="s">
        <v>101</v>
      </c>
      <c r="T563" s="25" t="s">
        <v>101</v>
      </c>
      <c r="U563" s="25" t="s">
        <v>112</v>
      </c>
      <c r="V563" s="25">
        <v>0</v>
      </c>
      <c r="W563" s="25" t="s">
        <v>553</v>
      </c>
      <c r="X563" s="25" t="s">
        <v>1752</v>
      </c>
      <c r="Y563" s="25" t="s">
        <v>1753</v>
      </c>
      <c r="Z563" s="26">
        <v>39447</v>
      </c>
      <c r="AA563" s="776">
        <v>2</v>
      </c>
      <c r="AB563" s="776">
        <v>0</v>
      </c>
      <c r="AC563" s="776">
        <v>0</v>
      </c>
      <c r="AD563" s="776">
        <v>0</v>
      </c>
      <c r="AE563" s="777">
        <v>9</v>
      </c>
      <c r="AF563" s="777">
        <v>9</v>
      </c>
      <c r="AG563" s="778">
        <v>9.4500000000000011</v>
      </c>
    </row>
    <row r="564" spans="1:33" x14ac:dyDescent="0.2">
      <c r="A564" s="15">
        <f t="shared" si="64"/>
        <v>2007</v>
      </c>
      <c r="B564" s="14">
        <f t="shared" si="65"/>
        <v>12</v>
      </c>
      <c r="C564" s="13" t="str">
        <f t="shared" si="66"/>
        <v>Q4</v>
      </c>
      <c r="D564" s="13" t="str">
        <f t="shared" si="67"/>
        <v>2007Q4</v>
      </c>
      <c r="E564" s="13" t="str">
        <f t="shared" si="68"/>
        <v>Argentina</v>
      </c>
      <c r="F564" s="13" t="str">
        <f t="shared" si="70"/>
        <v>Biofuels</v>
      </c>
      <c r="G564" s="13" t="str">
        <f t="shared" si="71"/>
        <v>Asset finance investments</v>
      </c>
      <c r="H564" s="638">
        <f t="shared" si="69"/>
        <v>8.9082000000000008</v>
      </c>
      <c r="I564" s="24" t="s">
        <v>506</v>
      </c>
      <c r="J564" s="25" t="s">
        <v>246</v>
      </c>
      <c r="K564" s="25" t="s">
        <v>2338</v>
      </c>
      <c r="L564" s="25" t="s">
        <v>998</v>
      </c>
      <c r="M564" s="25" t="s">
        <v>4</v>
      </c>
      <c r="N564" s="25" t="s">
        <v>85</v>
      </c>
      <c r="O564" s="25" t="s">
        <v>92</v>
      </c>
      <c r="P564" s="25" t="s">
        <v>83</v>
      </c>
      <c r="Q564" s="25" t="s">
        <v>82</v>
      </c>
      <c r="R564" s="25"/>
      <c r="S564" s="25" t="s">
        <v>96</v>
      </c>
      <c r="T564" s="25" t="s">
        <v>96</v>
      </c>
      <c r="U564" s="25" t="s">
        <v>95</v>
      </c>
      <c r="V564" s="25" t="s">
        <v>223</v>
      </c>
      <c r="W564" s="25" t="s">
        <v>553</v>
      </c>
      <c r="X564" s="25" t="s">
        <v>1752</v>
      </c>
      <c r="Y564" s="25" t="s">
        <v>1753</v>
      </c>
      <c r="Z564" s="26">
        <v>39447</v>
      </c>
      <c r="AA564" s="776">
        <v>0</v>
      </c>
      <c r="AB564" s="776">
        <v>20.2</v>
      </c>
      <c r="AC564" s="776">
        <v>0</v>
      </c>
      <c r="AD564" s="776">
        <v>0</v>
      </c>
      <c r="AE564" s="777">
        <v>0</v>
      </c>
      <c r="AF564" s="777">
        <v>8.484</v>
      </c>
      <c r="AG564" s="778">
        <v>8.9082000000000008</v>
      </c>
    </row>
    <row r="565" spans="1:33" x14ac:dyDescent="0.2">
      <c r="A565" s="15">
        <f t="shared" si="64"/>
        <v>2007</v>
      </c>
      <c r="B565" s="14">
        <f t="shared" si="65"/>
        <v>12</v>
      </c>
      <c r="C565" s="13" t="str">
        <f t="shared" si="66"/>
        <v>Q4</v>
      </c>
      <c r="D565" s="13" t="str">
        <f t="shared" si="67"/>
        <v>2007Q4</v>
      </c>
      <c r="E565" s="13" t="str">
        <f t="shared" si="68"/>
        <v>Argentina</v>
      </c>
      <c r="F565" s="13" t="str">
        <f t="shared" si="70"/>
        <v>Biofuels</v>
      </c>
      <c r="G565" s="13" t="str">
        <f t="shared" si="71"/>
        <v>Asset finance investments</v>
      </c>
      <c r="H565" s="638">
        <f t="shared" si="69"/>
        <v>8.0702999999999996</v>
      </c>
      <c r="I565" s="24" t="s">
        <v>506</v>
      </c>
      <c r="J565" s="25" t="s">
        <v>246</v>
      </c>
      <c r="K565" s="25" t="s">
        <v>2339</v>
      </c>
      <c r="L565" s="25" t="s">
        <v>749</v>
      </c>
      <c r="M565" s="25" t="s">
        <v>4</v>
      </c>
      <c r="N565" s="25" t="s">
        <v>85</v>
      </c>
      <c r="O565" s="25" t="s">
        <v>92</v>
      </c>
      <c r="P565" s="25" t="s">
        <v>83</v>
      </c>
      <c r="Q565" s="25" t="s">
        <v>82</v>
      </c>
      <c r="R565" s="25"/>
      <c r="S565" s="25" t="s">
        <v>96</v>
      </c>
      <c r="T565" s="25" t="s">
        <v>96</v>
      </c>
      <c r="U565" s="25" t="s">
        <v>95</v>
      </c>
      <c r="V565" s="25">
        <v>0</v>
      </c>
      <c r="W565" s="25" t="s">
        <v>553</v>
      </c>
      <c r="X565" s="25" t="s">
        <v>1752</v>
      </c>
      <c r="Y565" s="25" t="s">
        <v>1753</v>
      </c>
      <c r="Z565" s="26">
        <v>39447</v>
      </c>
      <c r="AA565" s="776">
        <v>0</v>
      </c>
      <c r="AB565" s="776">
        <v>18.3</v>
      </c>
      <c r="AC565" s="776">
        <v>0</v>
      </c>
      <c r="AD565" s="776">
        <v>0</v>
      </c>
      <c r="AE565" s="777">
        <v>0</v>
      </c>
      <c r="AF565" s="777">
        <v>7.6859999999999999</v>
      </c>
      <c r="AG565" s="778">
        <v>8.0702999999999996</v>
      </c>
    </row>
    <row r="566" spans="1:33" x14ac:dyDescent="0.2">
      <c r="A566" s="15">
        <f t="shared" si="64"/>
        <v>2007</v>
      </c>
      <c r="B566" s="14">
        <f t="shared" si="65"/>
        <v>12</v>
      </c>
      <c r="C566" s="13" t="str">
        <f t="shared" si="66"/>
        <v>Q4</v>
      </c>
      <c r="D566" s="13" t="str">
        <f t="shared" si="67"/>
        <v>2007Q4</v>
      </c>
      <c r="E566" s="13" t="str">
        <f t="shared" si="68"/>
        <v>Brazil</v>
      </c>
      <c r="F566" s="13" t="str">
        <f t="shared" si="70"/>
        <v>Small Hydro</v>
      </c>
      <c r="G566" s="13" t="str">
        <f t="shared" si="71"/>
        <v>Asset finance investments</v>
      </c>
      <c r="H566" s="638">
        <f t="shared" si="69"/>
        <v>6.5625</v>
      </c>
      <c r="I566" s="24" t="s">
        <v>506</v>
      </c>
      <c r="J566" s="25" t="s">
        <v>246</v>
      </c>
      <c r="K566" s="25" t="s">
        <v>2340</v>
      </c>
      <c r="L566" s="25" t="s">
        <v>606</v>
      </c>
      <c r="M566" s="25" t="s">
        <v>31</v>
      </c>
      <c r="N566" s="25" t="s">
        <v>31</v>
      </c>
      <c r="O566" s="25" t="s">
        <v>92</v>
      </c>
      <c r="P566" s="25" t="s">
        <v>83</v>
      </c>
      <c r="Q566" s="25" t="s">
        <v>82</v>
      </c>
      <c r="R566" s="25" t="s">
        <v>91</v>
      </c>
      <c r="S566" s="25" t="s">
        <v>126</v>
      </c>
      <c r="T566" s="25" t="s">
        <v>125</v>
      </c>
      <c r="U566" s="25" t="s">
        <v>247</v>
      </c>
      <c r="V566" s="25">
        <v>0</v>
      </c>
      <c r="W566" s="25" t="s">
        <v>553</v>
      </c>
      <c r="X566" s="25" t="s">
        <v>1752</v>
      </c>
      <c r="Y566" s="25" t="s">
        <v>1753</v>
      </c>
      <c r="Z566" s="26">
        <v>39447</v>
      </c>
      <c r="AA566" s="776">
        <v>2.5</v>
      </c>
      <c r="AB566" s="776">
        <v>0</v>
      </c>
      <c r="AC566" s="776">
        <v>0</v>
      </c>
      <c r="AD566" s="776">
        <v>0</v>
      </c>
      <c r="AE566" s="777">
        <v>0</v>
      </c>
      <c r="AF566" s="777">
        <v>6.25</v>
      </c>
      <c r="AG566" s="778">
        <v>6.5625</v>
      </c>
    </row>
    <row r="567" spans="1:33" x14ac:dyDescent="0.2">
      <c r="A567" s="15">
        <f t="shared" si="64"/>
        <v>2007</v>
      </c>
      <c r="B567" s="14">
        <f t="shared" si="65"/>
        <v>12</v>
      </c>
      <c r="C567" s="13" t="str">
        <f t="shared" si="66"/>
        <v>Q4</v>
      </c>
      <c r="D567" s="13" t="str">
        <f t="shared" si="67"/>
        <v>2007Q4</v>
      </c>
      <c r="E567" s="13" t="str">
        <f t="shared" si="68"/>
        <v>Brazil</v>
      </c>
      <c r="F567" s="13" t="str">
        <f t="shared" si="70"/>
        <v>Small Hydro</v>
      </c>
      <c r="G567" s="13" t="str">
        <f t="shared" si="71"/>
        <v>Asset finance investments</v>
      </c>
      <c r="H567" s="638">
        <f t="shared" si="69"/>
        <v>5.7750000000000004</v>
      </c>
      <c r="I567" s="24" t="s">
        <v>506</v>
      </c>
      <c r="J567" s="25" t="s">
        <v>246</v>
      </c>
      <c r="K567" s="25" t="s">
        <v>2341</v>
      </c>
      <c r="L567" s="25" t="s">
        <v>868</v>
      </c>
      <c r="M567" s="25" t="s">
        <v>31</v>
      </c>
      <c r="N567" s="25" t="s">
        <v>31</v>
      </c>
      <c r="O567" s="25" t="s">
        <v>92</v>
      </c>
      <c r="P567" s="25" t="s">
        <v>83</v>
      </c>
      <c r="Q567" s="25" t="s">
        <v>82</v>
      </c>
      <c r="R567" s="25" t="s">
        <v>91</v>
      </c>
      <c r="S567" s="25" t="s">
        <v>126</v>
      </c>
      <c r="T567" s="25" t="s">
        <v>125</v>
      </c>
      <c r="U567" s="25" t="s">
        <v>189</v>
      </c>
      <c r="V567" s="25">
        <v>0</v>
      </c>
      <c r="W567" s="25" t="s">
        <v>553</v>
      </c>
      <c r="X567" s="25" t="s">
        <v>1752</v>
      </c>
      <c r="Y567" s="25" t="s">
        <v>1753</v>
      </c>
      <c r="Z567" s="26">
        <v>39447</v>
      </c>
      <c r="AA567" s="776">
        <v>6.75</v>
      </c>
      <c r="AB567" s="776">
        <v>0</v>
      </c>
      <c r="AC567" s="776">
        <v>0</v>
      </c>
      <c r="AD567" s="776">
        <v>0</v>
      </c>
      <c r="AE567" s="777">
        <v>5.5</v>
      </c>
      <c r="AF567" s="777">
        <v>5.5</v>
      </c>
      <c r="AG567" s="778">
        <v>5.7750000000000004</v>
      </c>
    </row>
    <row r="568" spans="1:33" x14ac:dyDescent="0.2">
      <c r="A568" s="15">
        <f t="shared" si="64"/>
        <v>2007</v>
      </c>
      <c r="B568" s="14">
        <f t="shared" si="65"/>
        <v>11</v>
      </c>
      <c r="C568" s="13" t="str">
        <f t="shared" si="66"/>
        <v>Q4</v>
      </c>
      <c r="D568" s="13" t="str">
        <f t="shared" si="67"/>
        <v>2007Q4</v>
      </c>
      <c r="E568" s="13" t="str">
        <f t="shared" si="68"/>
        <v>Mexico</v>
      </c>
      <c r="F568" s="13" t="str">
        <f t="shared" si="70"/>
        <v>Biomass &amp; Waste</v>
      </c>
      <c r="G568" s="13" t="str">
        <f t="shared" si="71"/>
        <v>Asset finance investments</v>
      </c>
      <c r="H568" s="638">
        <f t="shared" si="69"/>
        <v>2.3100000000000005</v>
      </c>
      <c r="I568" s="24" t="s">
        <v>506</v>
      </c>
      <c r="J568" s="25" t="s">
        <v>246</v>
      </c>
      <c r="K568" s="25" t="s">
        <v>2342</v>
      </c>
      <c r="L568" s="25" t="s">
        <v>857</v>
      </c>
      <c r="M568" s="25" t="s">
        <v>18</v>
      </c>
      <c r="N568" s="25" t="s">
        <v>85</v>
      </c>
      <c r="O568" s="25" t="s">
        <v>92</v>
      </c>
      <c r="P568" s="25" t="s">
        <v>83</v>
      </c>
      <c r="Q568" s="25" t="s">
        <v>129</v>
      </c>
      <c r="R568" s="25"/>
      <c r="S568" s="25" t="s">
        <v>114</v>
      </c>
      <c r="T568" s="25" t="s">
        <v>114</v>
      </c>
      <c r="U568" s="25" t="s">
        <v>113</v>
      </c>
      <c r="V568" s="25" t="s">
        <v>722</v>
      </c>
      <c r="W568" s="25" t="s">
        <v>553</v>
      </c>
      <c r="X568" s="25" t="s">
        <v>1752</v>
      </c>
      <c r="Y568" s="25" t="s">
        <v>1753</v>
      </c>
      <c r="Z568" s="26">
        <v>39403</v>
      </c>
      <c r="AA568" s="776">
        <v>1.3</v>
      </c>
      <c r="AB568" s="776">
        <v>0</v>
      </c>
      <c r="AC568" s="776">
        <v>0</v>
      </c>
      <c r="AD568" s="776">
        <v>0</v>
      </c>
      <c r="AE568" s="777">
        <v>2.2000000000000002</v>
      </c>
      <c r="AF568" s="777">
        <v>2.2000000000000002</v>
      </c>
      <c r="AG568" s="778">
        <v>2.3100000000000005</v>
      </c>
    </row>
    <row r="569" spans="1:33" x14ac:dyDescent="0.2">
      <c r="A569" s="15">
        <f t="shared" si="64"/>
        <v>2007</v>
      </c>
      <c r="B569" s="14">
        <f t="shared" si="65"/>
        <v>12</v>
      </c>
      <c r="C569" s="13" t="str">
        <f t="shared" si="66"/>
        <v>Q4</v>
      </c>
      <c r="D569" s="13" t="str">
        <f t="shared" si="67"/>
        <v>2007Q4</v>
      </c>
      <c r="E569" s="13" t="str">
        <f t="shared" si="68"/>
        <v>Argentina</v>
      </c>
      <c r="F569" s="13" t="str">
        <f t="shared" si="70"/>
        <v>Biofuels</v>
      </c>
      <c r="G569" s="13" t="str">
        <f t="shared" si="71"/>
        <v>Asset finance investments</v>
      </c>
      <c r="H569" s="638">
        <f t="shared" si="69"/>
        <v>2.1</v>
      </c>
      <c r="I569" s="24" t="s">
        <v>506</v>
      </c>
      <c r="J569" s="25" t="s">
        <v>246</v>
      </c>
      <c r="K569" s="25" t="s">
        <v>2343</v>
      </c>
      <c r="L569" s="25" t="s">
        <v>754</v>
      </c>
      <c r="M569" s="25" t="s">
        <v>4</v>
      </c>
      <c r="N569" s="25" t="s">
        <v>85</v>
      </c>
      <c r="O569" s="25" t="s">
        <v>92</v>
      </c>
      <c r="P569" s="25" t="s">
        <v>83</v>
      </c>
      <c r="Q569" s="25" t="s">
        <v>82</v>
      </c>
      <c r="R569" s="25"/>
      <c r="S569" s="25" t="s">
        <v>96</v>
      </c>
      <c r="T569" s="25" t="s">
        <v>96</v>
      </c>
      <c r="U569" s="25" t="s">
        <v>95</v>
      </c>
      <c r="V569" s="25" t="s">
        <v>223</v>
      </c>
      <c r="W569" s="25" t="s">
        <v>553</v>
      </c>
      <c r="X569" s="25" t="s">
        <v>1752</v>
      </c>
      <c r="Y569" s="25" t="s">
        <v>1753</v>
      </c>
      <c r="Z569" s="26">
        <v>39447</v>
      </c>
      <c r="AA569" s="776">
        <v>0</v>
      </c>
      <c r="AB569" s="776">
        <v>36.9</v>
      </c>
      <c r="AC569" s="776">
        <v>0</v>
      </c>
      <c r="AD569" s="776">
        <v>0</v>
      </c>
      <c r="AE569" s="777">
        <v>2</v>
      </c>
      <c r="AF569" s="777">
        <v>2</v>
      </c>
      <c r="AG569" s="778">
        <v>2.1</v>
      </c>
    </row>
    <row r="570" spans="1:33" x14ac:dyDescent="0.2">
      <c r="A570" s="15">
        <f t="shared" si="64"/>
        <v>2007</v>
      </c>
      <c r="B570" s="14">
        <f t="shared" si="65"/>
        <v>12</v>
      </c>
      <c r="C570" s="13" t="str">
        <f t="shared" si="66"/>
        <v>Q4</v>
      </c>
      <c r="D570" s="13" t="str">
        <f t="shared" si="67"/>
        <v>2007Q4</v>
      </c>
      <c r="E570" s="13" t="str">
        <f t="shared" si="68"/>
        <v>Paraguay</v>
      </c>
      <c r="F570" s="13" t="str">
        <f t="shared" si="70"/>
        <v>Biofuels</v>
      </c>
      <c r="G570" s="13" t="str">
        <f t="shared" si="71"/>
        <v>Asset finance investments</v>
      </c>
      <c r="H570" s="638">
        <f t="shared" si="69"/>
        <v>1.5750000000000002</v>
      </c>
      <c r="I570" s="24" t="s">
        <v>506</v>
      </c>
      <c r="J570" s="25" t="s">
        <v>246</v>
      </c>
      <c r="K570" s="25" t="s">
        <v>2344</v>
      </c>
      <c r="L570" s="25" t="s">
        <v>2345</v>
      </c>
      <c r="M570" s="25" t="s">
        <v>3</v>
      </c>
      <c r="N570" s="25" t="s">
        <v>85</v>
      </c>
      <c r="O570" s="25" t="s">
        <v>92</v>
      </c>
      <c r="P570" s="25" t="s">
        <v>83</v>
      </c>
      <c r="Q570" s="25" t="s">
        <v>82</v>
      </c>
      <c r="R570" s="25"/>
      <c r="S570" s="25" t="s">
        <v>96</v>
      </c>
      <c r="T570" s="25" t="s">
        <v>96</v>
      </c>
      <c r="U570" s="25" t="s">
        <v>95</v>
      </c>
      <c r="V570" s="25">
        <v>0</v>
      </c>
      <c r="W570" s="25" t="s">
        <v>553</v>
      </c>
      <c r="X570" s="25" t="s">
        <v>1752</v>
      </c>
      <c r="Y570" s="25" t="s">
        <v>1753</v>
      </c>
      <c r="Z570" s="26">
        <v>39447</v>
      </c>
      <c r="AA570" s="776">
        <v>0</v>
      </c>
      <c r="AB570" s="776">
        <v>9</v>
      </c>
      <c r="AC570" s="776">
        <v>0</v>
      </c>
      <c r="AD570" s="776">
        <v>0</v>
      </c>
      <c r="AE570" s="777">
        <v>0</v>
      </c>
      <c r="AF570" s="777">
        <v>1.5</v>
      </c>
      <c r="AG570" s="778">
        <v>1.5750000000000002</v>
      </c>
    </row>
    <row r="571" spans="1:33" x14ac:dyDescent="0.2">
      <c r="A571" s="15">
        <f t="shared" si="64"/>
        <v>2006</v>
      </c>
      <c r="B571" s="14">
        <f t="shared" si="65"/>
        <v>12</v>
      </c>
      <c r="C571" s="13" t="str">
        <f t="shared" si="66"/>
        <v>Q4</v>
      </c>
      <c r="D571" s="13" t="str">
        <f t="shared" si="67"/>
        <v>2006Q4</v>
      </c>
      <c r="E571" s="13" t="str">
        <f t="shared" si="68"/>
        <v>Brazil</v>
      </c>
      <c r="F571" s="13" t="str">
        <f t="shared" si="70"/>
        <v>Biofuels</v>
      </c>
      <c r="G571" s="13" t="str">
        <f t="shared" si="71"/>
        <v>Asset finance investments</v>
      </c>
      <c r="H571" s="638">
        <f t="shared" si="69"/>
        <v>138.10703455894142</v>
      </c>
      <c r="I571" s="24" t="s">
        <v>506</v>
      </c>
      <c r="J571" s="25" t="s">
        <v>246</v>
      </c>
      <c r="K571" s="25" t="s">
        <v>2346</v>
      </c>
      <c r="L571" s="25" t="s">
        <v>1186</v>
      </c>
      <c r="M571" s="25" t="s">
        <v>31</v>
      </c>
      <c r="N571" s="25" t="s">
        <v>31</v>
      </c>
      <c r="O571" s="25" t="s">
        <v>92</v>
      </c>
      <c r="P571" s="25" t="s">
        <v>83</v>
      </c>
      <c r="Q571" s="25" t="s">
        <v>82</v>
      </c>
      <c r="R571" s="25" t="s">
        <v>91</v>
      </c>
      <c r="S571" s="25" t="s">
        <v>96</v>
      </c>
      <c r="T571" s="25" t="s">
        <v>96</v>
      </c>
      <c r="U571" s="25" t="s">
        <v>95</v>
      </c>
      <c r="V571" s="25" t="s">
        <v>223</v>
      </c>
      <c r="W571" s="25" t="s">
        <v>553</v>
      </c>
      <c r="X571" s="25" t="s">
        <v>1752</v>
      </c>
      <c r="Y571" s="25" t="s">
        <v>1753</v>
      </c>
      <c r="Z571" s="26">
        <v>39082</v>
      </c>
      <c r="AA571" s="776">
        <v>0</v>
      </c>
      <c r="AB571" s="776">
        <v>777.6</v>
      </c>
      <c r="AC571" s="776">
        <v>0</v>
      </c>
      <c r="AD571" s="776">
        <v>0</v>
      </c>
      <c r="AE571" s="777">
        <v>137.80000000000001</v>
      </c>
      <c r="AF571" s="777">
        <v>137.80000000000001</v>
      </c>
      <c r="AG571" s="778">
        <v>138.10703455894142</v>
      </c>
    </row>
    <row r="572" spans="1:33" x14ac:dyDescent="0.2">
      <c r="A572" s="15">
        <f t="shared" si="64"/>
        <v>2006</v>
      </c>
      <c r="B572" s="14">
        <f t="shared" si="65"/>
        <v>11</v>
      </c>
      <c r="C572" s="13" t="str">
        <f t="shared" si="66"/>
        <v>Q4</v>
      </c>
      <c r="D572" s="13" t="str">
        <f t="shared" si="67"/>
        <v>2006Q4</v>
      </c>
      <c r="E572" s="13" t="str">
        <f t="shared" si="68"/>
        <v>Ecuador</v>
      </c>
      <c r="F572" s="13" t="str">
        <f t="shared" si="70"/>
        <v>Small Hydro</v>
      </c>
      <c r="G572" s="13" t="str">
        <f t="shared" si="71"/>
        <v>Asset finance investments</v>
      </c>
      <c r="H572" s="638">
        <f t="shared" si="69"/>
        <v>130.80338899034757</v>
      </c>
      <c r="I572" s="24" t="s">
        <v>506</v>
      </c>
      <c r="J572" s="25" t="s">
        <v>246</v>
      </c>
      <c r="K572" s="25" t="s">
        <v>2347</v>
      </c>
      <c r="L572" s="25" t="s">
        <v>631</v>
      </c>
      <c r="M572" s="25" t="s">
        <v>12</v>
      </c>
      <c r="N572" s="25" t="s">
        <v>85</v>
      </c>
      <c r="O572" s="25" t="s">
        <v>92</v>
      </c>
      <c r="P572" s="25" t="s">
        <v>83</v>
      </c>
      <c r="Q572" s="25" t="s">
        <v>82</v>
      </c>
      <c r="R572" s="25"/>
      <c r="S572" s="25" t="s">
        <v>126</v>
      </c>
      <c r="T572" s="25" t="s">
        <v>125</v>
      </c>
      <c r="U572" s="25" t="s">
        <v>342</v>
      </c>
      <c r="V572" s="25">
        <v>0</v>
      </c>
      <c r="W572" s="25" t="s">
        <v>553</v>
      </c>
      <c r="X572" s="25" t="s">
        <v>1752</v>
      </c>
      <c r="Y572" s="25" t="s">
        <v>1753</v>
      </c>
      <c r="Z572" s="26">
        <v>39022</v>
      </c>
      <c r="AA572" s="776">
        <v>42</v>
      </c>
      <c r="AB572" s="776">
        <v>0</v>
      </c>
      <c r="AC572" s="776">
        <v>0</v>
      </c>
      <c r="AD572" s="776">
        <v>0</v>
      </c>
      <c r="AE572" s="777">
        <v>130</v>
      </c>
      <c r="AF572" s="777">
        <v>130</v>
      </c>
      <c r="AG572" s="778">
        <v>130.80338899034757</v>
      </c>
    </row>
    <row r="573" spans="1:33" x14ac:dyDescent="0.2">
      <c r="A573" s="15">
        <f t="shared" si="64"/>
        <v>2006</v>
      </c>
      <c r="B573" s="14">
        <f t="shared" si="65"/>
        <v>12</v>
      </c>
      <c r="C573" s="13" t="str">
        <f t="shared" si="66"/>
        <v>Q4</v>
      </c>
      <c r="D573" s="13" t="str">
        <f t="shared" si="67"/>
        <v>2006Q4</v>
      </c>
      <c r="E573" s="13" t="str">
        <f t="shared" si="68"/>
        <v>Brazil</v>
      </c>
      <c r="F573" s="13" t="str">
        <f t="shared" si="70"/>
        <v>Biofuels</v>
      </c>
      <c r="G573" s="13" t="str">
        <f t="shared" si="71"/>
        <v>Asset finance investments</v>
      </c>
      <c r="H573" s="638">
        <f t="shared" si="69"/>
        <v>114.6448743337976</v>
      </c>
      <c r="I573" s="24" t="s">
        <v>506</v>
      </c>
      <c r="J573" s="25" t="s">
        <v>246</v>
      </c>
      <c r="K573" s="25" t="s">
        <v>2348</v>
      </c>
      <c r="L573" s="25" t="s">
        <v>624</v>
      </c>
      <c r="M573" s="25" t="s">
        <v>31</v>
      </c>
      <c r="N573" s="25" t="s">
        <v>31</v>
      </c>
      <c r="O573" s="25" t="s">
        <v>92</v>
      </c>
      <c r="P573" s="25" t="s">
        <v>83</v>
      </c>
      <c r="Q573" s="25" t="s">
        <v>82</v>
      </c>
      <c r="R573" s="25" t="s">
        <v>91</v>
      </c>
      <c r="S573" s="25" t="s">
        <v>96</v>
      </c>
      <c r="T573" s="25" t="s">
        <v>96</v>
      </c>
      <c r="U573" s="25" t="s">
        <v>98</v>
      </c>
      <c r="V573" s="25">
        <v>0</v>
      </c>
      <c r="W573" s="25" t="s">
        <v>553</v>
      </c>
      <c r="X573" s="25" t="s">
        <v>1752</v>
      </c>
      <c r="Y573" s="25" t="s">
        <v>1753</v>
      </c>
      <c r="Z573" s="26">
        <v>39064</v>
      </c>
      <c r="AA573" s="776">
        <v>3.6</v>
      </c>
      <c r="AB573" s="776">
        <v>93</v>
      </c>
      <c r="AC573" s="776">
        <v>0</v>
      </c>
      <c r="AD573" s="776">
        <v>0</v>
      </c>
      <c r="AE573" s="777">
        <v>0</v>
      </c>
      <c r="AF573" s="777">
        <v>114.39</v>
      </c>
      <c r="AG573" s="778">
        <v>114.6448743337976</v>
      </c>
    </row>
    <row r="574" spans="1:33" x14ac:dyDescent="0.2">
      <c r="A574" s="15">
        <f t="shared" si="64"/>
        <v>2006</v>
      </c>
      <c r="B574" s="14">
        <f t="shared" si="65"/>
        <v>11</v>
      </c>
      <c r="C574" s="13" t="str">
        <f t="shared" si="66"/>
        <v>Q4</v>
      </c>
      <c r="D574" s="13" t="str">
        <f t="shared" si="67"/>
        <v>2006Q4</v>
      </c>
      <c r="E574" s="13" t="str">
        <f t="shared" si="68"/>
        <v>Brazil</v>
      </c>
      <c r="F574" s="13" t="str">
        <f t="shared" si="70"/>
        <v>Biomass &amp; Waste</v>
      </c>
      <c r="G574" s="13" t="str">
        <f t="shared" si="71"/>
        <v>Asset finance investments</v>
      </c>
      <c r="H574" s="638">
        <f t="shared" si="69"/>
        <v>86.191618084680414</v>
      </c>
      <c r="I574" s="24" t="s">
        <v>506</v>
      </c>
      <c r="J574" s="25" t="s">
        <v>246</v>
      </c>
      <c r="K574" s="25" t="s">
        <v>2349</v>
      </c>
      <c r="L574" s="25" t="s">
        <v>633</v>
      </c>
      <c r="M574" s="25" t="s">
        <v>31</v>
      </c>
      <c r="N574" s="25" t="s">
        <v>31</v>
      </c>
      <c r="O574" s="25" t="s">
        <v>92</v>
      </c>
      <c r="P574" s="25" t="s">
        <v>83</v>
      </c>
      <c r="Q574" s="25" t="s">
        <v>82</v>
      </c>
      <c r="R574" s="25" t="s">
        <v>91</v>
      </c>
      <c r="S574" s="25" t="s">
        <v>114</v>
      </c>
      <c r="T574" s="25" t="s">
        <v>114</v>
      </c>
      <c r="U574" s="25" t="s">
        <v>554</v>
      </c>
      <c r="V574" s="25">
        <v>0</v>
      </c>
      <c r="W574" s="25" t="s">
        <v>553</v>
      </c>
      <c r="X574" s="25" t="s">
        <v>1752</v>
      </c>
      <c r="Y574" s="25" t="s">
        <v>1753</v>
      </c>
      <c r="Z574" s="26">
        <v>39030</v>
      </c>
      <c r="AA574" s="776">
        <v>39</v>
      </c>
      <c r="AB574" s="776">
        <v>0</v>
      </c>
      <c r="AC574" s="776">
        <v>0</v>
      </c>
      <c r="AD574" s="776">
        <v>0</v>
      </c>
      <c r="AE574" s="777">
        <v>0</v>
      </c>
      <c r="AF574" s="777">
        <v>86</v>
      </c>
      <c r="AG574" s="778">
        <v>86.191618084680414</v>
      </c>
    </row>
    <row r="575" spans="1:33" x14ac:dyDescent="0.2">
      <c r="A575" s="15">
        <f t="shared" si="64"/>
        <v>2006</v>
      </c>
      <c r="B575" s="14">
        <f t="shared" si="65"/>
        <v>10</v>
      </c>
      <c r="C575" s="13" t="str">
        <f t="shared" si="66"/>
        <v>Q4</v>
      </c>
      <c r="D575" s="13" t="str">
        <f t="shared" si="67"/>
        <v>2006Q4</v>
      </c>
      <c r="E575" s="13" t="str">
        <f t="shared" si="68"/>
        <v>Brazil</v>
      </c>
      <c r="F575" s="13" t="str">
        <f t="shared" si="70"/>
        <v>Small Hydro</v>
      </c>
      <c r="G575" s="13" t="str">
        <f t="shared" si="71"/>
        <v>Asset finance investments</v>
      </c>
      <c r="H575" s="638">
        <f t="shared" si="69"/>
        <v>78.574684393476105</v>
      </c>
      <c r="I575" s="24" t="s">
        <v>506</v>
      </c>
      <c r="J575" s="25" t="s">
        <v>246</v>
      </c>
      <c r="K575" s="25" t="s">
        <v>2350</v>
      </c>
      <c r="L575" s="25" t="s">
        <v>1164</v>
      </c>
      <c r="M575" s="25" t="s">
        <v>31</v>
      </c>
      <c r="N575" s="25" t="s">
        <v>31</v>
      </c>
      <c r="O575" s="25" t="s">
        <v>92</v>
      </c>
      <c r="P575" s="25" t="s">
        <v>83</v>
      </c>
      <c r="Q575" s="25" t="s">
        <v>82</v>
      </c>
      <c r="R575" s="25" t="s">
        <v>91</v>
      </c>
      <c r="S575" s="25" t="s">
        <v>126</v>
      </c>
      <c r="T575" s="25" t="s">
        <v>125</v>
      </c>
      <c r="U575" s="25" t="s">
        <v>342</v>
      </c>
      <c r="V575" s="25">
        <v>0</v>
      </c>
      <c r="W575" s="25" t="s">
        <v>553</v>
      </c>
      <c r="X575" s="25" t="s">
        <v>1752</v>
      </c>
      <c r="Y575" s="25" t="s">
        <v>1753</v>
      </c>
      <c r="Z575" s="26">
        <v>39017</v>
      </c>
      <c r="AA575" s="776">
        <v>29.1</v>
      </c>
      <c r="AB575" s="776">
        <v>0</v>
      </c>
      <c r="AC575" s="776">
        <v>0</v>
      </c>
      <c r="AD575" s="776">
        <v>0</v>
      </c>
      <c r="AE575" s="777">
        <v>78.400000000000006</v>
      </c>
      <c r="AF575" s="777">
        <v>78.400000000000006</v>
      </c>
      <c r="AG575" s="778">
        <v>78.574684393476105</v>
      </c>
    </row>
    <row r="576" spans="1:33" x14ac:dyDescent="0.2">
      <c r="A576" s="15">
        <f t="shared" si="64"/>
        <v>2006</v>
      </c>
      <c r="B576" s="14">
        <f t="shared" si="65"/>
        <v>10</v>
      </c>
      <c r="C576" s="13" t="str">
        <f t="shared" si="66"/>
        <v>Q4</v>
      </c>
      <c r="D576" s="13" t="str">
        <f t="shared" si="67"/>
        <v>2006Q4</v>
      </c>
      <c r="E576" s="13" t="str">
        <f t="shared" si="68"/>
        <v>Brazil</v>
      </c>
      <c r="F576" s="13" t="str">
        <f t="shared" si="70"/>
        <v>Biofuels</v>
      </c>
      <c r="G576" s="13" t="str">
        <f t="shared" si="71"/>
        <v>Asset finance investments</v>
      </c>
      <c r="H576" s="638">
        <f t="shared" si="69"/>
        <v>70.957750702271781</v>
      </c>
      <c r="I576" s="24" t="s">
        <v>506</v>
      </c>
      <c r="J576" s="25" t="s">
        <v>246</v>
      </c>
      <c r="K576" s="25" t="s">
        <v>2351</v>
      </c>
      <c r="L576" s="25" t="s">
        <v>2352</v>
      </c>
      <c r="M576" s="25" t="s">
        <v>31</v>
      </c>
      <c r="N576" s="25" t="s">
        <v>31</v>
      </c>
      <c r="O576" s="25" t="s">
        <v>92</v>
      </c>
      <c r="P576" s="25" t="s">
        <v>83</v>
      </c>
      <c r="Q576" s="25" t="s">
        <v>82</v>
      </c>
      <c r="R576" s="25" t="s">
        <v>91</v>
      </c>
      <c r="S576" s="25" t="s">
        <v>96</v>
      </c>
      <c r="T576" s="25" t="s">
        <v>96</v>
      </c>
      <c r="U576" s="25" t="s">
        <v>98</v>
      </c>
      <c r="V576" s="25" t="s">
        <v>230</v>
      </c>
      <c r="W576" s="25" t="s">
        <v>553</v>
      </c>
      <c r="X576" s="25" t="s">
        <v>1749</v>
      </c>
      <c r="Y576" s="25" t="s">
        <v>1750</v>
      </c>
      <c r="Z576" s="26">
        <v>39015</v>
      </c>
      <c r="AA576" s="776">
        <v>12</v>
      </c>
      <c r="AB576" s="776">
        <v>130</v>
      </c>
      <c r="AC576" s="776">
        <v>0</v>
      </c>
      <c r="AD576" s="776">
        <v>0</v>
      </c>
      <c r="AE576" s="777">
        <v>70.8</v>
      </c>
      <c r="AF576" s="777">
        <v>70.8</v>
      </c>
      <c r="AG576" s="778">
        <v>70.957750702271781</v>
      </c>
    </row>
    <row r="577" spans="1:33" x14ac:dyDescent="0.2">
      <c r="A577" s="15">
        <f t="shared" si="64"/>
        <v>2006</v>
      </c>
      <c r="B577" s="14">
        <f t="shared" si="65"/>
        <v>10</v>
      </c>
      <c r="C577" s="13" t="str">
        <f t="shared" si="66"/>
        <v>Q4</v>
      </c>
      <c r="D577" s="13" t="str">
        <f t="shared" si="67"/>
        <v>2006Q4</v>
      </c>
      <c r="E577" s="13" t="str">
        <f t="shared" si="68"/>
        <v>Brazil</v>
      </c>
      <c r="F577" s="13" t="str">
        <f t="shared" si="70"/>
        <v>Biofuels</v>
      </c>
      <c r="G577" s="13" t="str">
        <f t="shared" si="71"/>
        <v>Asset finance investments</v>
      </c>
      <c r="H577" s="638">
        <f t="shared" si="69"/>
        <v>69.504519932239376</v>
      </c>
      <c r="I577" s="24" t="s">
        <v>506</v>
      </c>
      <c r="J577" s="25" t="s">
        <v>246</v>
      </c>
      <c r="K577" s="25" t="s">
        <v>2353</v>
      </c>
      <c r="L577" s="25" t="s">
        <v>1122</v>
      </c>
      <c r="M577" s="25" t="s">
        <v>31</v>
      </c>
      <c r="N577" s="25" t="s">
        <v>31</v>
      </c>
      <c r="O577" s="25" t="s">
        <v>92</v>
      </c>
      <c r="P577" s="25" t="s">
        <v>83</v>
      </c>
      <c r="Q577" s="25" t="s">
        <v>82</v>
      </c>
      <c r="R577" s="25" t="s">
        <v>91</v>
      </c>
      <c r="S577" s="25" t="s">
        <v>96</v>
      </c>
      <c r="T577" s="25" t="s">
        <v>96</v>
      </c>
      <c r="U577" s="25" t="s">
        <v>98</v>
      </c>
      <c r="V577" s="25" t="s">
        <v>230</v>
      </c>
      <c r="W577" s="25" t="s">
        <v>553</v>
      </c>
      <c r="X577" s="25" t="s">
        <v>1752</v>
      </c>
      <c r="Y577" s="25" t="s">
        <v>1753</v>
      </c>
      <c r="Z577" s="26">
        <v>38993</v>
      </c>
      <c r="AA577" s="776">
        <v>4</v>
      </c>
      <c r="AB577" s="776">
        <v>95</v>
      </c>
      <c r="AC577" s="776">
        <v>0</v>
      </c>
      <c r="AD577" s="776">
        <v>0</v>
      </c>
      <c r="AE577" s="777">
        <v>0</v>
      </c>
      <c r="AF577" s="777">
        <v>69.349999999999994</v>
      </c>
      <c r="AG577" s="778">
        <v>69.504519932239376</v>
      </c>
    </row>
    <row r="578" spans="1:33" x14ac:dyDescent="0.2">
      <c r="A578" s="15">
        <f t="shared" si="64"/>
        <v>2006</v>
      </c>
      <c r="B578" s="14">
        <f t="shared" si="65"/>
        <v>10</v>
      </c>
      <c r="C578" s="13" t="str">
        <f t="shared" si="66"/>
        <v>Q4</v>
      </c>
      <c r="D578" s="13" t="str">
        <f t="shared" si="67"/>
        <v>2006Q4</v>
      </c>
      <c r="E578" s="13" t="str">
        <f t="shared" si="68"/>
        <v>Mexico</v>
      </c>
      <c r="F578" s="13" t="str">
        <f t="shared" si="70"/>
        <v>Biofuels</v>
      </c>
      <c r="G578" s="13" t="str">
        <f t="shared" si="71"/>
        <v>Asset finance investments</v>
      </c>
      <c r="H578" s="638">
        <f t="shared" si="69"/>
        <v>65.228354605537561</v>
      </c>
      <c r="I578" s="24" t="s">
        <v>506</v>
      </c>
      <c r="J578" s="25" t="s">
        <v>246</v>
      </c>
      <c r="K578" s="25" t="s">
        <v>2354</v>
      </c>
      <c r="L578" s="25" t="s">
        <v>696</v>
      </c>
      <c r="M578" s="25" t="s">
        <v>18</v>
      </c>
      <c r="N578" s="25" t="s">
        <v>85</v>
      </c>
      <c r="O578" s="25" t="s">
        <v>92</v>
      </c>
      <c r="P578" s="25" t="s">
        <v>83</v>
      </c>
      <c r="Q578" s="25" t="s">
        <v>129</v>
      </c>
      <c r="R578" s="25"/>
      <c r="S578" s="25" t="s">
        <v>96</v>
      </c>
      <c r="T578" s="25" t="s">
        <v>96</v>
      </c>
      <c r="U578" s="25" t="s">
        <v>98</v>
      </c>
      <c r="V578" s="25" t="s">
        <v>230</v>
      </c>
      <c r="W578" s="25" t="s">
        <v>553</v>
      </c>
      <c r="X578" s="25" t="s">
        <v>1752</v>
      </c>
      <c r="Y578" s="25" t="s">
        <v>1753</v>
      </c>
      <c r="Z578" s="26">
        <v>39021</v>
      </c>
      <c r="AA578" s="776">
        <v>0</v>
      </c>
      <c r="AB578" s="776">
        <v>115</v>
      </c>
      <c r="AC578" s="776">
        <v>0</v>
      </c>
      <c r="AD578" s="776">
        <v>0</v>
      </c>
      <c r="AE578" s="777">
        <v>65</v>
      </c>
      <c r="AF578" s="777">
        <v>65</v>
      </c>
      <c r="AG578" s="778">
        <v>65.228354605537561</v>
      </c>
    </row>
    <row r="579" spans="1:33" x14ac:dyDescent="0.2">
      <c r="A579" s="15">
        <f t="shared" si="64"/>
        <v>2006</v>
      </c>
      <c r="B579" s="14">
        <f t="shared" si="65"/>
        <v>11</v>
      </c>
      <c r="C579" s="13" t="str">
        <f t="shared" si="66"/>
        <v>Q4</v>
      </c>
      <c r="D579" s="13" t="str">
        <f t="shared" si="67"/>
        <v>2006Q4</v>
      </c>
      <c r="E579" s="13" t="str">
        <f t="shared" si="68"/>
        <v>Nicaragua</v>
      </c>
      <c r="F579" s="13" t="str">
        <f t="shared" si="70"/>
        <v>Biofuels</v>
      </c>
      <c r="G579" s="13" t="str">
        <f t="shared" si="71"/>
        <v>Asset finance investments</v>
      </c>
      <c r="H579" s="638">
        <f t="shared" si="69"/>
        <v>65.228354605537561</v>
      </c>
      <c r="I579" s="24" t="s">
        <v>506</v>
      </c>
      <c r="J579" s="25" t="s">
        <v>246</v>
      </c>
      <c r="K579" s="25" t="s">
        <v>2355</v>
      </c>
      <c r="L579" s="25" t="s">
        <v>695</v>
      </c>
      <c r="M579" s="25" t="s">
        <v>2</v>
      </c>
      <c r="N579" s="25" t="s">
        <v>85</v>
      </c>
      <c r="O579" s="25" t="s">
        <v>92</v>
      </c>
      <c r="P579" s="25" t="s">
        <v>83</v>
      </c>
      <c r="Q579" s="25" t="s">
        <v>82</v>
      </c>
      <c r="R579" s="25"/>
      <c r="S579" s="25" t="s">
        <v>96</v>
      </c>
      <c r="T579" s="25" t="s">
        <v>96</v>
      </c>
      <c r="U579" s="25" t="s">
        <v>98</v>
      </c>
      <c r="V579" s="25" t="s">
        <v>230</v>
      </c>
      <c r="W579" s="25" t="s">
        <v>553</v>
      </c>
      <c r="X579" s="25" t="s">
        <v>1749</v>
      </c>
      <c r="Y579" s="25" t="s">
        <v>1750</v>
      </c>
      <c r="Z579" s="26">
        <v>39023</v>
      </c>
      <c r="AA579" s="776">
        <v>0</v>
      </c>
      <c r="AB579" s="776">
        <v>32</v>
      </c>
      <c r="AC579" s="776">
        <v>0</v>
      </c>
      <c r="AD579" s="776">
        <v>0</v>
      </c>
      <c r="AE579" s="777">
        <v>65</v>
      </c>
      <c r="AF579" s="777">
        <v>65</v>
      </c>
      <c r="AG579" s="778">
        <v>65.228354605537561</v>
      </c>
    </row>
    <row r="580" spans="1:33" x14ac:dyDescent="0.2">
      <c r="A580" s="15">
        <f t="shared" si="64"/>
        <v>2006</v>
      </c>
      <c r="B580" s="14">
        <f t="shared" si="65"/>
        <v>12</v>
      </c>
      <c r="C580" s="13" t="str">
        <f t="shared" si="66"/>
        <v>Q4</v>
      </c>
      <c r="D580" s="13" t="str">
        <f t="shared" si="67"/>
        <v>2006Q4</v>
      </c>
      <c r="E580" s="13" t="str">
        <f t="shared" si="68"/>
        <v>Brazil</v>
      </c>
      <c r="F580" s="13" t="str">
        <f t="shared" si="70"/>
        <v>Biomass &amp; Waste</v>
      </c>
      <c r="G580" s="13" t="str">
        <f t="shared" si="71"/>
        <v>Asset finance investments</v>
      </c>
      <c r="H580" s="638">
        <f t="shared" si="69"/>
        <v>58.810745921035434</v>
      </c>
      <c r="I580" s="24" t="s">
        <v>506</v>
      </c>
      <c r="J580" s="25" t="s">
        <v>246</v>
      </c>
      <c r="K580" s="25" t="s">
        <v>2356</v>
      </c>
      <c r="L580" s="25" t="s">
        <v>570</v>
      </c>
      <c r="M580" s="25" t="s">
        <v>31</v>
      </c>
      <c r="N580" s="25" t="s">
        <v>31</v>
      </c>
      <c r="O580" s="25" t="s">
        <v>92</v>
      </c>
      <c r="P580" s="25" t="s">
        <v>83</v>
      </c>
      <c r="Q580" s="25" t="s">
        <v>82</v>
      </c>
      <c r="R580" s="25" t="s">
        <v>91</v>
      </c>
      <c r="S580" s="25" t="s">
        <v>114</v>
      </c>
      <c r="T580" s="25" t="s">
        <v>114</v>
      </c>
      <c r="U580" s="25" t="s">
        <v>554</v>
      </c>
      <c r="V580" s="25">
        <v>0</v>
      </c>
      <c r="W580" s="25" t="s">
        <v>553</v>
      </c>
      <c r="X580" s="25" t="s">
        <v>1752</v>
      </c>
      <c r="Y580" s="25" t="s">
        <v>1753</v>
      </c>
      <c r="Z580" s="26">
        <v>39082</v>
      </c>
      <c r="AA580" s="776">
        <v>29.34</v>
      </c>
      <c r="AB580" s="776">
        <v>0</v>
      </c>
      <c r="AC580" s="776">
        <v>0</v>
      </c>
      <c r="AD580" s="776">
        <v>0</v>
      </c>
      <c r="AE580" s="777">
        <v>0</v>
      </c>
      <c r="AF580" s="777">
        <v>58.68</v>
      </c>
      <c r="AG580" s="778">
        <v>58.810745921035434</v>
      </c>
    </row>
    <row r="581" spans="1:33" x14ac:dyDescent="0.2">
      <c r="A581" s="15">
        <f t="shared" ref="A581:A644" si="79">IF(K581="","",IF(AND(YEAR(Z581)&lt;2004,YEAR(Z581)&gt;1910),2004,YEAR(Z581)))</f>
        <v>2006</v>
      </c>
      <c r="B581" s="14">
        <f t="shared" ref="B581:B644" si="80">IF(K581="","",IF(ISNUMBER(Z581),MONTH(Z581),0))</f>
        <v>12</v>
      </c>
      <c r="C581" s="13" t="str">
        <f t="shared" ref="C581:C644" si="81">IF(K581="","",IF(AND(B581&gt;=1,B581&lt;=3),"Q1",IF(AND(B581&gt;3,B581&lt;=6),"Q2",IF(AND(B581&gt;6,B581&lt;=9),"Q3",IF(AND(B581&gt;9,B581&lt;=12),"Q4",0)))))</f>
        <v>Q4</v>
      </c>
      <c r="D581" s="13" t="str">
        <f t="shared" ref="D581:D644" si="82">IF(A581&lt;2006, "&lt; 2006", A581&amp;C581)</f>
        <v>2006Q4</v>
      </c>
      <c r="E581" s="13" t="str">
        <f t="shared" ref="E581:E644" si="83">IF(K581="","", M581)</f>
        <v>Guatemala</v>
      </c>
      <c r="F581" s="13" t="str">
        <f t="shared" si="70"/>
        <v>Biofuels</v>
      </c>
      <c r="G581" s="13" t="str">
        <f t="shared" si="71"/>
        <v>Asset finance investments</v>
      </c>
      <c r="H581" s="638">
        <f t="shared" ref="H581:H644" si="84">IF(K581="","",AG581)</f>
        <v>55.544452729484675</v>
      </c>
      <c r="I581" s="24" t="s">
        <v>506</v>
      </c>
      <c r="J581" s="25" t="s">
        <v>246</v>
      </c>
      <c r="K581" s="25" t="s">
        <v>2357</v>
      </c>
      <c r="L581" s="25" t="s">
        <v>683</v>
      </c>
      <c r="M581" s="25" t="s">
        <v>13</v>
      </c>
      <c r="N581" s="25" t="s">
        <v>85</v>
      </c>
      <c r="O581" s="25" t="s">
        <v>92</v>
      </c>
      <c r="P581" s="25" t="s">
        <v>83</v>
      </c>
      <c r="Q581" s="25" t="s">
        <v>82</v>
      </c>
      <c r="R581" s="25"/>
      <c r="S581" s="25" t="s">
        <v>96</v>
      </c>
      <c r="T581" s="25" t="s">
        <v>96</v>
      </c>
      <c r="U581" s="25" t="s">
        <v>98</v>
      </c>
      <c r="V581" s="25">
        <v>0</v>
      </c>
      <c r="W581" s="25" t="s">
        <v>553</v>
      </c>
      <c r="X581" s="25" t="s">
        <v>1752</v>
      </c>
      <c r="Y581" s="25" t="s">
        <v>1753</v>
      </c>
      <c r="Z581" s="26">
        <v>39082</v>
      </c>
      <c r="AA581" s="776">
        <v>0</v>
      </c>
      <c r="AB581" s="776">
        <v>45</v>
      </c>
      <c r="AC581" s="776">
        <v>0</v>
      </c>
      <c r="AD581" s="776">
        <v>0</v>
      </c>
      <c r="AE581" s="777">
        <v>0</v>
      </c>
      <c r="AF581" s="777">
        <v>55.35</v>
      </c>
      <c r="AG581" s="778">
        <v>55.544452729484675</v>
      </c>
    </row>
    <row r="582" spans="1:33" x14ac:dyDescent="0.2">
      <c r="A582" s="15">
        <f t="shared" si="79"/>
        <v>2006</v>
      </c>
      <c r="B582" s="14">
        <f t="shared" si="80"/>
        <v>11</v>
      </c>
      <c r="C582" s="13" t="str">
        <f t="shared" si="81"/>
        <v>Q4</v>
      </c>
      <c r="D582" s="13" t="str">
        <f t="shared" si="82"/>
        <v>2006Q4</v>
      </c>
      <c r="E582" s="13" t="str">
        <f t="shared" si="83"/>
        <v>Brazil</v>
      </c>
      <c r="F582" s="13" t="str">
        <f t="shared" si="70"/>
        <v>Biofuels</v>
      </c>
      <c r="G582" s="13" t="str">
        <f t="shared" ref="G582:G645" si="85">IF(K582="","",IF(OR(J582="PM",J582="MA"), "Corporate finance investments", IF(J582="VCPE", "VC/PE investments", IF(J582="AF", "Asset finance investments"))))</f>
        <v>Asset finance investments</v>
      </c>
      <c r="H582" s="638">
        <f t="shared" si="84"/>
        <v>47.104721511395113</v>
      </c>
      <c r="I582" s="24" t="s">
        <v>506</v>
      </c>
      <c r="J582" s="25" t="s">
        <v>246</v>
      </c>
      <c r="K582" s="25" t="s">
        <v>2358</v>
      </c>
      <c r="L582" s="25" t="s">
        <v>1184</v>
      </c>
      <c r="M582" s="25" t="s">
        <v>31</v>
      </c>
      <c r="N582" s="25" t="s">
        <v>31</v>
      </c>
      <c r="O582" s="25" t="s">
        <v>92</v>
      </c>
      <c r="P582" s="25" t="s">
        <v>83</v>
      </c>
      <c r="Q582" s="25" t="s">
        <v>82</v>
      </c>
      <c r="R582" s="25" t="s">
        <v>91</v>
      </c>
      <c r="S582" s="25" t="s">
        <v>96</v>
      </c>
      <c r="T582" s="25" t="s">
        <v>96</v>
      </c>
      <c r="U582" s="25" t="s">
        <v>95</v>
      </c>
      <c r="V582" s="25" t="s">
        <v>223</v>
      </c>
      <c r="W582" s="25" t="s">
        <v>553</v>
      </c>
      <c r="X582" s="25" t="s">
        <v>1752</v>
      </c>
      <c r="Y582" s="25" t="s">
        <v>1753</v>
      </c>
      <c r="Z582" s="26">
        <v>39029</v>
      </c>
      <c r="AA582" s="776">
        <v>0</v>
      </c>
      <c r="AB582" s="776">
        <v>56.5</v>
      </c>
      <c r="AC582" s="776">
        <v>0</v>
      </c>
      <c r="AD582" s="776">
        <v>0</v>
      </c>
      <c r="AE582" s="777">
        <v>47</v>
      </c>
      <c r="AF582" s="777">
        <v>47</v>
      </c>
      <c r="AG582" s="778">
        <v>47.104721511395113</v>
      </c>
    </row>
    <row r="583" spans="1:33" x14ac:dyDescent="0.2">
      <c r="A583" s="15">
        <f t="shared" si="79"/>
        <v>2006</v>
      </c>
      <c r="B583" s="14">
        <f t="shared" si="80"/>
        <v>10</v>
      </c>
      <c r="C583" s="13" t="str">
        <f t="shared" si="81"/>
        <v>Q4</v>
      </c>
      <c r="D583" s="13" t="str">
        <f t="shared" si="82"/>
        <v>2006Q4</v>
      </c>
      <c r="E583" s="13" t="str">
        <f t="shared" si="83"/>
        <v>Brazil</v>
      </c>
      <c r="F583" s="13" t="str">
        <f t="shared" ref="F583:F646" si="86">IF(K583="","",IF(OR(T583="Wind",T583="Solar",T583="Geothermal",T583="Small Hydro",T583="Biofuels",T583="Biomass &amp; Waste"),T583,"Other Clean Energy"))</f>
        <v>Small Hydro</v>
      </c>
      <c r="G583" s="13" t="str">
        <f t="shared" si="85"/>
        <v>Asset finance investments</v>
      </c>
      <c r="H583" s="638">
        <f t="shared" si="84"/>
        <v>46.002270582405011</v>
      </c>
      <c r="I583" s="24" t="s">
        <v>506</v>
      </c>
      <c r="J583" s="25" t="s">
        <v>246</v>
      </c>
      <c r="K583" s="25" t="s">
        <v>2359</v>
      </c>
      <c r="L583" s="25" t="s">
        <v>1009</v>
      </c>
      <c r="M583" s="25" t="s">
        <v>31</v>
      </c>
      <c r="N583" s="25" t="s">
        <v>31</v>
      </c>
      <c r="O583" s="25" t="s">
        <v>92</v>
      </c>
      <c r="P583" s="25" t="s">
        <v>83</v>
      </c>
      <c r="Q583" s="25" t="s">
        <v>82</v>
      </c>
      <c r="R583" s="25" t="s">
        <v>91</v>
      </c>
      <c r="S583" s="25" t="s">
        <v>126</v>
      </c>
      <c r="T583" s="25" t="s">
        <v>125</v>
      </c>
      <c r="U583" s="25" t="s">
        <v>247</v>
      </c>
      <c r="V583" s="25">
        <v>0</v>
      </c>
      <c r="W583" s="25" t="s">
        <v>553</v>
      </c>
      <c r="X583" s="25" t="s">
        <v>1749</v>
      </c>
      <c r="Y583" s="25" t="s">
        <v>1750</v>
      </c>
      <c r="Z583" s="26">
        <v>39017</v>
      </c>
      <c r="AA583" s="776">
        <v>22</v>
      </c>
      <c r="AB583" s="776">
        <v>0</v>
      </c>
      <c r="AC583" s="776">
        <v>0</v>
      </c>
      <c r="AD583" s="776">
        <v>0</v>
      </c>
      <c r="AE583" s="777">
        <v>45.9</v>
      </c>
      <c r="AF583" s="777">
        <v>45.9</v>
      </c>
      <c r="AG583" s="778">
        <v>46.002270582405011</v>
      </c>
    </row>
    <row r="584" spans="1:33" x14ac:dyDescent="0.2">
      <c r="A584" s="15">
        <f t="shared" si="79"/>
        <v>2006</v>
      </c>
      <c r="B584" s="14">
        <f t="shared" si="80"/>
        <v>12</v>
      </c>
      <c r="C584" s="13" t="str">
        <f t="shared" si="81"/>
        <v>Q4</v>
      </c>
      <c r="D584" s="13" t="str">
        <f t="shared" si="82"/>
        <v>2006Q4</v>
      </c>
      <c r="E584" s="13" t="str">
        <f t="shared" si="83"/>
        <v>Brazil</v>
      </c>
      <c r="F584" s="13" t="str">
        <f t="shared" si="86"/>
        <v>Biofuels</v>
      </c>
      <c r="G584" s="13" t="str">
        <f t="shared" si="85"/>
        <v>Asset finance investments</v>
      </c>
      <c r="H584" s="638">
        <f t="shared" si="84"/>
        <v>42.494472171981975</v>
      </c>
      <c r="I584" s="24" t="s">
        <v>506</v>
      </c>
      <c r="J584" s="25" t="s">
        <v>246</v>
      </c>
      <c r="K584" s="25" t="s">
        <v>2360</v>
      </c>
      <c r="L584" s="25" t="s">
        <v>1112</v>
      </c>
      <c r="M584" s="25" t="s">
        <v>31</v>
      </c>
      <c r="N584" s="25" t="s">
        <v>31</v>
      </c>
      <c r="O584" s="25" t="s">
        <v>92</v>
      </c>
      <c r="P584" s="25" t="s">
        <v>83</v>
      </c>
      <c r="Q584" s="25" t="s">
        <v>82</v>
      </c>
      <c r="R584" s="25" t="s">
        <v>91</v>
      </c>
      <c r="S584" s="25" t="s">
        <v>96</v>
      </c>
      <c r="T584" s="25" t="s">
        <v>96</v>
      </c>
      <c r="U584" s="25" t="s">
        <v>95</v>
      </c>
      <c r="V584" s="25" t="s">
        <v>223</v>
      </c>
      <c r="W584" s="25" t="s">
        <v>553</v>
      </c>
      <c r="X584" s="25" t="s">
        <v>1752</v>
      </c>
      <c r="Y584" s="25" t="s">
        <v>1753</v>
      </c>
      <c r="Z584" s="26">
        <v>39078</v>
      </c>
      <c r="AA584" s="776">
        <v>0</v>
      </c>
      <c r="AB584" s="776">
        <v>52</v>
      </c>
      <c r="AC584" s="776">
        <v>0</v>
      </c>
      <c r="AD584" s="776">
        <v>0</v>
      </c>
      <c r="AE584" s="777">
        <v>42.4</v>
      </c>
      <c r="AF584" s="777">
        <v>42.4</v>
      </c>
      <c r="AG584" s="778">
        <v>42.494472171981975</v>
      </c>
    </row>
    <row r="585" spans="1:33" x14ac:dyDescent="0.2">
      <c r="A585" s="15">
        <f t="shared" si="79"/>
        <v>2006</v>
      </c>
      <c r="B585" s="14">
        <f t="shared" si="80"/>
        <v>11</v>
      </c>
      <c r="C585" s="13" t="str">
        <f t="shared" si="81"/>
        <v>Q4</v>
      </c>
      <c r="D585" s="13" t="str">
        <f t="shared" si="82"/>
        <v>2006Q4</v>
      </c>
      <c r="E585" s="13" t="str">
        <f t="shared" si="83"/>
        <v>Costa Rica</v>
      </c>
      <c r="F585" s="13" t="str">
        <f t="shared" si="86"/>
        <v>Biomass &amp; Waste</v>
      </c>
      <c r="G585" s="13" t="str">
        <f t="shared" si="85"/>
        <v>Asset finance investments</v>
      </c>
      <c r="H585" s="638">
        <f t="shared" si="84"/>
        <v>49.304691030840587</v>
      </c>
      <c r="I585" s="24" t="s">
        <v>506</v>
      </c>
      <c r="J585" s="25" t="s">
        <v>246</v>
      </c>
      <c r="K585" s="25" t="s">
        <v>2361</v>
      </c>
      <c r="L585" s="25" t="s">
        <v>559</v>
      </c>
      <c r="M585" s="25" t="s">
        <v>10</v>
      </c>
      <c r="N585" s="25" t="s">
        <v>85</v>
      </c>
      <c r="O585" s="25" t="s">
        <v>92</v>
      </c>
      <c r="P585" s="25" t="s">
        <v>83</v>
      </c>
      <c r="Q585" s="25" t="s">
        <v>82</v>
      </c>
      <c r="R585" s="25"/>
      <c r="S585" s="25" t="s">
        <v>114</v>
      </c>
      <c r="T585" s="25" t="s">
        <v>114</v>
      </c>
      <c r="U585" s="25" t="s">
        <v>554</v>
      </c>
      <c r="V585" s="25">
        <v>0</v>
      </c>
      <c r="W585" s="25" t="s">
        <v>553</v>
      </c>
      <c r="X585" s="25" t="s">
        <v>1752</v>
      </c>
      <c r="Y585" s="25" t="s">
        <v>1753</v>
      </c>
      <c r="Z585" s="26">
        <v>39051</v>
      </c>
      <c r="AA585" s="776">
        <v>27</v>
      </c>
      <c r="AB585" s="776">
        <v>0</v>
      </c>
      <c r="AC585" s="776">
        <v>0</v>
      </c>
      <c r="AD585" s="776">
        <v>0</v>
      </c>
      <c r="AE585" s="777">
        <v>0</v>
      </c>
      <c r="AF585" s="777">
        <v>40.5</v>
      </c>
      <c r="AG585" s="778">
        <v>49.304691030840587</v>
      </c>
    </row>
    <row r="586" spans="1:33" x14ac:dyDescent="0.2">
      <c r="A586" s="15">
        <f t="shared" si="79"/>
        <v>2006</v>
      </c>
      <c r="B586" s="14">
        <f t="shared" si="80"/>
        <v>10</v>
      </c>
      <c r="C586" s="13" t="str">
        <f t="shared" si="81"/>
        <v>Q4</v>
      </c>
      <c r="D586" s="13" t="str">
        <f t="shared" si="82"/>
        <v>2006Q4</v>
      </c>
      <c r="E586" s="13" t="str">
        <f t="shared" si="83"/>
        <v>Argentina</v>
      </c>
      <c r="F586" s="13" t="str">
        <f t="shared" si="86"/>
        <v>Biofuels</v>
      </c>
      <c r="G586" s="13" t="str">
        <f t="shared" si="85"/>
        <v>Asset finance investments</v>
      </c>
      <c r="H586" s="638">
        <f t="shared" si="84"/>
        <v>40.140525911100035</v>
      </c>
      <c r="I586" s="24" t="s">
        <v>506</v>
      </c>
      <c r="J586" s="25" t="s">
        <v>246</v>
      </c>
      <c r="K586" s="25" t="s">
        <v>2362</v>
      </c>
      <c r="L586" s="25" t="s">
        <v>1123</v>
      </c>
      <c r="M586" s="25" t="s">
        <v>4</v>
      </c>
      <c r="N586" s="25" t="s">
        <v>85</v>
      </c>
      <c r="O586" s="25" t="s">
        <v>92</v>
      </c>
      <c r="P586" s="25" t="s">
        <v>83</v>
      </c>
      <c r="Q586" s="25" t="s">
        <v>82</v>
      </c>
      <c r="R586" s="25"/>
      <c r="S586" s="25" t="s">
        <v>96</v>
      </c>
      <c r="T586" s="25" t="s">
        <v>96</v>
      </c>
      <c r="U586" s="25" t="s">
        <v>95</v>
      </c>
      <c r="V586" s="25">
        <v>0</v>
      </c>
      <c r="W586" s="25" t="s">
        <v>553</v>
      </c>
      <c r="X586" s="25" t="s">
        <v>1752</v>
      </c>
      <c r="Y586" s="25" t="s">
        <v>1753</v>
      </c>
      <c r="Z586" s="26">
        <v>39021</v>
      </c>
      <c r="AA586" s="776">
        <v>0</v>
      </c>
      <c r="AB586" s="776">
        <v>268.10000000000002</v>
      </c>
      <c r="AC586" s="776">
        <v>0</v>
      </c>
      <c r="AD586" s="776">
        <v>0</v>
      </c>
      <c r="AE586" s="777">
        <v>40</v>
      </c>
      <c r="AF586" s="777">
        <v>40</v>
      </c>
      <c r="AG586" s="778">
        <v>40.140525911100035</v>
      </c>
    </row>
    <row r="587" spans="1:33" x14ac:dyDescent="0.2">
      <c r="A587" s="15">
        <f t="shared" si="79"/>
        <v>2006</v>
      </c>
      <c r="B587" s="14">
        <f t="shared" si="80"/>
        <v>11</v>
      </c>
      <c r="C587" s="13" t="str">
        <f t="shared" si="81"/>
        <v>Q4</v>
      </c>
      <c r="D587" s="13" t="str">
        <f t="shared" si="82"/>
        <v>2006Q4</v>
      </c>
      <c r="E587" s="13" t="str">
        <f t="shared" si="83"/>
        <v>Brazil</v>
      </c>
      <c r="F587" s="13" t="str">
        <f t="shared" si="86"/>
        <v>Small Hydro</v>
      </c>
      <c r="G587" s="13" t="str">
        <f t="shared" si="85"/>
        <v>Asset finance investments</v>
      </c>
      <c r="H587" s="638">
        <f t="shared" si="84"/>
        <v>40.089124690549035</v>
      </c>
      <c r="I587" s="24" t="s">
        <v>506</v>
      </c>
      <c r="J587" s="25" t="s">
        <v>246</v>
      </c>
      <c r="K587" s="25" t="s">
        <v>2363</v>
      </c>
      <c r="L587" s="25" t="s">
        <v>638</v>
      </c>
      <c r="M587" s="25" t="s">
        <v>31</v>
      </c>
      <c r="N587" s="25" t="s">
        <v>31</v>
      </c>
      <c r="O587" s="25" t="s">
        <v>92</v>
      </c>
      <c r="P587" s="25" t="s">
        <v>83</v>
      </c>
      <c r="Q587" s="25" t="s">
        <v>82</v>
      </c>
      <c r="R587" s="25" t="s">
        <v>91</v>
      </c>
      <c r="S587" s="25" t="s">
        <v>126</v>
      </c>
      <c r="T587" s="25" t="s">
        <v>125</v>
      </c>
      <c r="U587" s="25" t="s">
        <v>342</v>
      </c>
      <c r="V587" s="25">
        <v>0</v>
      </c>
      <c r="W587" s="25" t="s">
        <v>553</v>
      </c>
      <c r="X587" s="25" t="s">
        <v>1752</v>
      </c>
      <c r="Y587" s="25" t="s">
        <v>1753</v>
      </c>
      <c r="Z587" s="26">
        <v>39035</v>
      </c>
      <c r="AA587" s="776">
        <v>16</v>
      </c>
      <c r="AB587" s="776">
        <v>0</v>
      </c>
      <c r="AC587" s="776">
        <v>0</v>
      </c>
      <c r="AD587" s="776">
        <v>0</v>
      </c>
      <c r="AE587" s="777">
        <v>0</v>
      </c>
      <c r="AF587" s="777">
        <v>40</v>
      </c>
      <c r="AG587" s="778">
        <v>40.089124690549035</v>
      </c>
    </row>
    <row r="588" spans="1:33" x14ac:dyDescent="0.2">
      <c r="A588" s="15">
        <f t="shared" si="79"/>
        <v>2006</v>
      </c>
      <c r="B588" s="14">
        <f t="shared" si="80"/>
        <v>10</v>
      </c>
      <c r="C588" s="13" t="str">
        <f t="shared" si="81"/>
        <v>Q4</v>
      </c>
      <c r="D588" s="13" t="str">
        <f t="shared" si="82"/>
        <v>2006Q4</v>
      </c>
      <c r="E588" s="13" t="str">
        <f t="shared" si="83"/>
        <v>Brazil</v>
      </c>
      <c r="F588" s="13" t="str">
        <f t="shared" si="86"/>
        <v>Biofuels</v>
      </c>
      <c r="G588" s="13" t="str">
        <f t="shared" si="85"/>
        <v>Asset finance investments</v>
      </c>
      <c r="H588" s="638">
        <f t="shared" si="84"/>
        <v>39.086896573285308</v>
      </c>
      <c r="I588" s="24" t="s">
        <v>506</v>
      </c>
      <c r="J588" s="25" t="s">
        <v>246</v>
      </c>
      <c r="K588" s="25" t="s">
        <v>2364</v>
      </c>
      <c r="L588" s="25" t="s">
        <v>1134</v>
      </c>
      <c r="M588" s="25" t="s">
        <v>31</v>
      </c>
      <c r="N588" s="25" t="s">
        <v>31</v>
      </c>
      <c r="O588" s="25" t="s">
        <v>92</v>
      </c>
      <c r="P588" s="25" t="s">
        <v>83</v>
      </c>
      <c r="Q588" s="25" t="s">
        <v>82</v>
      </c>
      <c r="R588" s="25" t="s">
        <v>91</v>
      </c>
      <c r="S588" s="25" t="s">
        <v>96</v>
      </c>
      <c r="T588" s="25" t="s">
        <v>96</v>
      </c>
      <c r="U588" s="25" t="s">
        <v>95</v>
      </c>
      <c r="V588" s="25" t="s">
        <v>223</v>
      </c>
      <c r="W588" s="25" t="s">
        <v>553</v>
      </c>
      <c r="X588" s="25" t="s">
        <v>1752</v>
      </c>
      <c r="Y588" s="25" t="s">
        <v>1753</v>
      </c>
      <c r="Z588" s="26">
        <v>39016</v>
      </c>
      <c r="AA588" s="776">
        <v>0</v>
      </c>
      <c r="AB588" s="776">
        <v>56.5</v>
      </c>
      <c r="AC588" s="776">
        <v>0</v>
      </c>
      <c r="AD588" s="776">
        <v>0</v>
      </c>
      <c r="AE588" s="777">
        <v>39</v>
      </c>
      <c r="AF588" s="777">
        <v>39</v>
      </c>
      <c r="AG588" s="778">
        <v>39.086896573285308</v>
      </c>
    </row>
    <row r="589" spans="1:33" x14ac:dyDescent="0.2">
      <c r="A589" s="15">
        <f t="shared" si="79"/>
        <v>2006</v>
      </c>
      <c r="B589" s="14">
        <f t="shared" si="80"/>
        <v>12</v>
      </c>
      <c r="C589" s="13" t="str">
        <f t="shared" si="81"/>
        <v>Q4</v>
      </c>
      <c r="D589" s="13" t="str">
        <f t="shared" si="82"/>
        <v>2006Q4</v>
      </c>
      <c r="E589" s="13" t="str">
        <f t="shared" si="83"/>
        <v>Brazil</v>
      </c>
      <c r="F589" s="13" t="str">
        <f t="shared" si="86"/>
        <v>Biomass &amp; Waste</v>
      </c>
      <c r="G589" s="13" t="str">
        <f t="shared" si="85"/>
        <v>Asset finance investments</v>
      </c>
      <c r="H589" s="638">
        <f t="shared" si="84"/>
        <v>38.059612753089986</v>
      </c>
      <c r="I589" s="24" t="s">
        <v>506</v>
      </c>
      <c r="J589" s="25" t="s">
        <v>246</v>
      </c>
      <c r="K589" s="25" t="s">
        <v>2365</v>
      </c>
      <c r="L589" s="25" t="s">
        <v>627</v>
      </c>
      <c r="M589" s="25" t="s">
        <v>31</v>
      </c>
      <c r="N589" s="25" t="s">
        <v>31</v>
      </c>
      <c r="O589" s="25" t="s">
        <v>92</v>
      </c>
      <c r="P589" s="25" t="s">
        <v>83</v>
      </c>
      <c r="Q589" s="25" t="s">
        <v>82</v>
      </c>
      <c r="R589" s="25" t="s">
        <v>91</v>
      </c>
      <c r="S589" s="25" t="s">
        <v>114</v>
      </c>
      <c r="T589" s="25" t="s">
        <v>114</v>
      </c>
      <c r="U589" s="25" t="s">
        <v>113</v>
      </c>
      <c r="V589" s="25">
        <v>0</v>
      </c>
      <c r="W589" s="25" t="s">
        <v>553</v>
      </c>
      <c r="X589" s="25" t="s">
        <v>1752</v>
      </c>
      <c r="Y589" s="25" t="s">
        <v>1753</v>
      </c>
      <c r="Z589" s="26">
        <v>39066</v>
      </c>
      <c r="AA589" s="776">
        <v>21.7</v>
      </c>
      <c r="AB589" s="776">
        <v>0</v>
      </c>
      <c r="AC589" s="776">
        <v>0</v>
      </c>
      <c r="AD589" s="776">
        <v>0</v>
      </c>
      <c r="AE589" s="777">
        <v>0</v>
      </c>
      <c r="AF589" s="777">
        <v>37.975000000000001</v>
      </c>
      <c r="AG589" s="778">
        <v>38.059612753089986</v>
      </c>
    </row>
    <row r="590" spans="1:33" x14ac:dyDescent="0.2">
      <c r="A590" s="15">
        <f t="shared" si="79"/>
        <v>2006</v>
      </c>
      <c r="B590" s="14">
        <f t="shared" si="80"/>
        <v>10</v>
      </c>
      <c r="C590" s="13" t="str">
        <f t="shared" si="81"/>
        <v>Q4</v>
      </c>
      <c r="D590" s="13" t="str">
        <f t="shared" si="82"/>
        <v>2006Q4</v>
      </c>
      <c r="E590" s="13" t="str">
        <f t="shared" si="83"/>
        <v>Chile</v>
      </c>
      <c r="F590" s="13" t="str">
        <f t="shared" si="86"/>
        <v>Wind</v>
      </c>
      <c r="G590" s="13" t="str">
        <f t="shared" si="85"/>
        <v>Asset finance investments</v>
      </c>
      <c r="H590" s="638">
        <f t="shared" si="84"/>
        <v>39.313891203075571</v>
      </c>
      <c r="I590" s="24" t="s">
        <v>506</v>
      </c>
      <c r="J590" s="25" t="s">
        <v>246</v>
      </c>
      <c r="K590" s="25" t="s">
        <v>2366</v>
      </c>
      <c r="L590" s="25" t="s">
        <v>1165</v>
      </c>
      <c r="M590" s="25" t="s">
        <v>8</v>
      </c>
      <c r="N590" s="25" t="s">
        <v>85</v>
      </c>
      <c r="O590" s="25" t="s">
        <v>92</v>
      </c>
      <c r="P590" s="25" t="s">
        <v>83</v>
      </c>
      <c r="Q590" s="25" t="s">
        <v>129</v>
      </c>
      <c r="R590" s="25"/>
      <c r="S590" s="25" t="s">
        <v>101</v>
      </c>
      <c r="T590" s="25" t="s">
        <v>101</v>
      </c>
      <c r="U590" s="25" t="s">
        <v>112</v>
      </c>
      <c r="V590" s="25">
        <v>0</v>
      </c>
      <c r="W590" s="25" t="s">
        <v>553</v>
      </c>
      <c r="X590" s="25" t="s">
        <v>1752</v>
      </c>
      <c r="Y590" s="25" t="s">
        <v>1753</v>
      </c>
      <c r="Z590" s="26">
        <v>39002</v>
      </c>
      <c r="AA590" s="776">
        <v>18.5</v>
      </c>
      <c r="AB590" s="776">
        <v>0</v>
      </c>
      <c r="AC590" s="776">
        <v>0</v>
      </c>
      <c r="AD590" s="776">
        <v>0</v>
      </c>
      <c r="AE590" s="777">
        <v>35</v>
      </c>
      <c r="AF590" s="777">
        <v>35</v>
      </c>
      <c r="AG590" s="778">
        <v>39.313891203075571</v>
      </c>
    </row>
    <row r="591" spans="1:33" x14ac:dyDescent="0.2">
      <c r="A591" s="15">
        <f t="shared" si="79"/>
        <v>2006</v>
      </c>
      <c r="B591" s="14">
        <f t="shared" si="80"/>
        <v>12</v>
      </c>
      <c r="C591" s="13" t="str">
        <f t="shared" si="81"/>
        <v>Q4</v>
      </c>
      <c r="D591" s="13" t="str">
        <f t="shared" si="82"/>
        <v>2006Q4</v>
      </c>
      <c r="E591" s="13" t="str">
        <f t="shared" si="83"/>
        <v>Chile</v>
      </c>
      <c r="F591" s="13" t="str">
        <f t="shared" si="86"/>
        <v>Biomass &amp; Waste</v>
      </c>
      <c r="G591" s="13" t="str">
        <f t="shared" si="85"/>
        <v>Asset finance investments</v>
      </c>
      <c r="H591" s="638">
        <f t="shared" si="84"/>
        <v>42.608992248874586</v>
      </c>
      <c r="I591" s="24" t="s">
        <v>506</v>
      </c>
      <c r="J591" s="25" t="s">
        <v>246</v>
      </c>
      <c r="K591" s="25" t="s">
        <v>2367</v>
      </c>
      <c r="L591" s="25" t="s">
        <v>650</v>
      </c>
      <c r="M591" s="25" t="s">
        <v>8</v>
      </c>
      <c r="N591" s="25" t="s">
        <v>85</v>
      </c>
      <c r="O591" s="25" t="s">
        <v>92</v>
      </c>
      <c r="P591" s="25" t="s">
        <v>83</v>
      </c>
      <c r="Q591" s="25" t="s">
        <v>129</v>
      </c>
      <c r="R591" s="25"/>
      <c r="S591" s="25" t="s">
        <v>114</v>
      </c>
      <c r="T591" s="25" t="s">
        <v>114</v>
      </c>
      <c r="U591" s="25" t="s">
        <v>113</v>
      </c>
      <c r="V591" s="25">
        <v>0</v>
      </c>
      <c r="W591" s="25" t="s">
        <v>553</v>
      </c>
      <c r="X591" s="25" t="s">
        <v>1752</v>
      </c>
      <c r="Y591" s="25" t="s">
        <v>1753</v>
      </c>
      <c r="Z591" s="26">
        <v>39082</v>
      </c>
      <c r="AA591" s="776">
        <v>20</v>
      </c>
      <c r="AB591" s="776">
        <v>0</v>
      </c>
      <c r="AC591" s="776">
        <v>0</v>
      </c>
      <c r="AD591" s="776">
        <v>0</v>
      </c>
      <c r="AE591" s="777">
        <v>0</v>
      </c>
      <c r="AF591" s="777">
        <v>35</v>
      </c>
      <c r="AG591" s="778">
        <v>42.608992248874586</v>
      </c>
    </row>
    <row r="592" spans="1:33" x14ac:dyDescent="0.2">
      <c r="A592" s="15">
        <f t="shared" si="79"/>
        <v>2006</v>
      </c>
      <c r="B592" s="14">
        <f t="shared" si="80"/>
        <v>12</v>
      </c>
      <c r="C592" s="13" t="str">
        <f t="shared" si="81"/>
        <v>Q4</v>
      </c>
      <c r="D592" s="13" t="str">
        <f t="shared" si="82"/>
        <v>2006Q4</v>
      </c>
      <c r="E592" s="13" t="str">
        <f t="shared" si="83"/>
        <v>Honduras</v>
      </c>
      <c r="F592" s="13" t="str">
        <f t="shared" si="86"/>
        <v>Biomass &amp; Waste</v>
      </c>
      <c r="G592" s="13" t="str">
        <f t="shared" si="85"/>
        <v>Asset finance investments</v>
      </c>
      <c r="H592" s="638">
        <f t="shared" si="84"/>
        <v>42.608992248874586</v>
      </c>
      <c r="I592" s="24" t="s">
        <v>506</v>
      </c>
      <c r="J592" s="25" t="s">
        <v>246</v>
      </c>
      <c r="K592" s="25" t="s">
        <v>2368</v>
      </c>
      <c r="L592" s="25" t="s">
        <v>556</v>
      </c>
      <c r="M592" s="25" t="s">
        <v>16</v>
      </c>
      <c r="N592" s="25" t="s">
        <v>85</v>
      </c>
      <c r="O592" s="25" t="s">
        <v>92</v>
      </c>
      <c r="P592" s="25" t="s">
        <v>83</v>
      </c>
      <c r="Q592" s="25" t="s">
        <v>82</v>
      </c>
      <c r="R592" s="25"/>
      <c r="S592" s="25" t="s">
        <v>114</v>
      </c>
      <c r="T592" s="25" t="s">
        <v>114</v>
      </c>
      <c r="U592" s="25" t="s">
        <v>113</v>
      </c>
      <c r="V592" s="25">
        <v>0</v>
      </c>
      <c r="W592" s="25" t="s">
        <v>553</v>
      </c>
      <c r="X592" s="25" t="s">
        <v>1752</v>
      </c>
      <c r="Y592" s="25" t="s">
        <v>1753</v>
      </c>
      <c r="Z592" s="26">
        <v>39082</v>
      </c>
      <c r="AA592" s="776">
        <v>20</v>
      </c>
      <c r="AB592" s="776">
        <v>0</v>
      </c>
      <c r="AC592" s="776">
        <v>0</v>
      </c>
      <c r="AD592" s="776">
        <v>0</v>
      </c>
      <c r="AE592" s="777">
        <v>0</v>
      </c>
      <c r="AF592" s="777">
        <v>35</v>
      </c>
      <c r="AG592" s="778">
        <v>42.608992248874586</v>
      </c>
    </row>
    <row r="593" spans="1:33" x14ac:dyDescent="0.2">
      <c r="A593" s="15">
        <f t="shared" si="79"/>
        <v>2006</v>
      </c>
      <c r="B593" s="14">
        <f t="shared" si="80"/>
        <v>12</v>
      </c>
      <c r="C593" s="13" t="str">
        <f t="shared" si="81"/>
        <v>Q4</v>
      </c>
      <c r="D593" s="13" t="str">
        <f t="shared" si="82"/>
        <v>2006Q4</v>
      </c>
      <c r="E593" s="13" t="str">
        <f t="shared" si="83"/>
        <v>Brazil</v>
      </c>
      <c r="F593" s="13" t="str">
        <f t="shared" si="86"/>
        <v>Small Hydro</v>
      </c>
      <c r="G593" s="13" t="str">
        <f t="shared" si="85"/>
        <v>Asset finance investments</v>
      </c>
      <c r="H593" s="638">
        <f t="shared" si="84"/>
        <v>27.861941659931578</v>
      </c>
      <c r="I593" s="24" t="s">
        <v>506</v>
      </c>
      <c r="J593" s="25" t="s">
        <v>246</v>
      </c>
      <c r="K593" s="25" t="s">
        <v>2369</v>
      </c>
      <c r="L593" s="25" t="s">
        <v>1012</v>
      </c>
      <c r="M593" s="25" t="s">
        <v>31</v>
      </c>
      <c r="N593" s="25" t="s">
        <v>31</v>
      </c>
      <c r="O593" s="25" t="s">
        <v>92</v>
      </c>
      <c r="P593" s="25" t="s">
        <v>83</v>
      </c>
      <c r="Q593" s="25" t="s">
        <v>82</v>
      </c>
      <c r="R593" s="25" t="s">
        <v>91</v>
      </c>
      <c r="S593" s="25" t="s">
        <v>126</v>
      </c>
      <c r="T593" s="25" t="s">
        <v>125</v>
      </c>
      <c r="U593" s="25" t="s">
        <v>247</v>
      </c>
      <c r="V593" s="25">
        <v>0</v>
      </c>
      <c r="W593" s="25" t="s">
        <v>553</v>
      </c>
      <c r="X593" s="25" t="s">
        <v>1749</v>
      </c>
      <c r="Y593" s="25" t="s">
        <v>1750</v>
      </c>
      <c r="Z593" s="26">
        <v>39052</v>
      </c>
      <c r="AA593" s="776">
        <v>12</v>
      </c>
      <c r="AB593" s="776">
        <v>0</v>
      </c>
      <c r="AC593" s="776">
        <v>0</v>
      </c>
      <c r="AD593" s="776">
        <v>0</v>
      </c>
      <c r="AE593" s="777">
        <v>27.8</v>
      </c>
      <c r="AF593" s="777">
        <v>27.8</v>
      </c>
      <c r="AG593" s="778">
        <v>27.861941659931578</v>
      </c>
    </row>
    <row r="594" spans="1:33" x14ac:dyDescent="0.2">
      <c r="A594" s="15">
        <f t="shared" si="79"/>
        <v>2006</v>
      </c>
      <c r="B594" s="14">
        <f t="shared" si="80"/>
        <v>12</v>
      </c>
      <c r="C594" s="13" t="str">
        <f t="shared" si="81"/>
        <v>Q4</v>
      </c>
      <c r="D594" s="13" t="str">
        <f t="shared" si="82"/>
        <v>2006Q4</v>
      </c>
      <c r="E594" s="13" t="str">
        <f t="shared" si="83"/>
        <v>Nicaragua</v>
      </c>
      <c r="F594" s="13" t="str">
        <f t="shared" si="86"/>
        <v>Geothermal</v>
      </c>
      <c r="G594" s="13" t="str">
        <f t="shared" si="85"/>
        <v>Asset finance investments</v>
      </c>
      <c r="H594" s="638">
        <f t="shared" si="84"/>
        <v>26.803784536659986</v>
      </c>
      <c r="I594" s="24" t="s">
        <v>506</v>
      </c>
      <c r="J594" s="25" t="s">
        <v>246</v>
      </c>
      <c r="K594" s="25" t="s">
        <v>2370</v>
      </c>
      <c r="L594" s="25" t="s">
        <v>2371</v>
      </c>
      <c r="M594" s="25" t="s">
        <v>2</v>
      </c>
      <c r="N594" s="25" t="s">
        <v>85</v>
      </c>
      <c r="O594" s="25" t="s">
        <v>92</v>
      </c>
      <c r="P594" s="25" t="s">
        <v>83</v>
      </c>
      <c r="Q594" s="25" t="s">
        <v>82</v>
      </c>
      <c r="R594" s="25"/>
      <c r="S594" s="25" t="s">
        <v>157</v>
      </c>
      <c r="T594" s="25" t="s">
        <v>157</v>
      </c>
      <c r="U594" s="25" t="s">
        <v>156</v>
      </c>
      <c r="V594" s="25" t="s">
        <v>248</v>
      </c>
      <c r="W594" s="25" t="s">
        <v>553</v>
      </c>
      <c r="X594" s="25" t="s">
        <v>1749</v>
      </c>
      <c r="Y594" s="25" t="s">
        <v>1750</v>
      </c>
      <c r="Z594" s="26">
        <v>39068</v>
      </c>
      <c r="AA594" s="776">
        <v>10</v>
      </c>
      <c r="AB594" s="776">
        <v>0</v>
      </c>
      <c r="AC594" s="776">
        <v>0</v>
      </c>
      <c r="AD594" s="776">
        <v>0</v>
      </c>
      <c r="AE594" s="777">
        <v>26</v>
      </c>
      <c r="AF594" s="777">
        <v>26</v>
      </c>
      <c r="AG594" s="778">
        <v>26.803784536659986</v>
      </c>
    </row>
    <row r="595" spans="1:33" x14ac:dyDescent="0.2">
      <c r="A595" s="15">
        <f t="shared" si="79"/>
        <v>2006</v>
      </c>
      <c r="B595" s="14">
        <f t="shared" si="80"/>
        <v>12</v>
      </c>
      <c r="C595" s="13" t="str">
        <f t="shared" si="81"/>
        <v>Q4</v>
      </c>
      <c r="D595" s="13" t="str">
        <f t="shared" si="82"/>
        <v>2006Q4</v>
      </c>
      <c r="E595" s="13" t="str">
        <f t="shared" si="83"/>
        <v>Guatemala</v>
      </c>
      <c r="F595" s="13" t="str">
        <f t="shared" si="86"/>
        <v>Biofuels</v>
      </c>
      <c r="G595" s="13" t="str">
        <f t="shared" si="85"/>
        <v>Asset finance investments</v>
      </c>
      <c r="H595" s="638">
        <f t="shared" si="84"/>
        <v>25.087828694437523</v>
      </c>
      <c r="I595" s="24" t="s">
        <v>506</v>
      </c>
      <c r="J595" s="25" t="s">
        <v>246</v>
      </c>
      <c r="K595" s="25" t="s">
        <v>2372</v>
      </c>
      <c r="L595" s="25" t="s">
        <v>684</v>
      </c>
      <c r="M595" s="25" t="s">
        <v>13</v>
      </c>
      <c r="N595" s="25" t="s">
        <v>85</v>
      </c>
      <c r="O595" s="25" t="s">
        <v>92</v>
      </c>
      <c r="P595" s="25" t="s">
        <v>83</v>
      </c>
      <c r="Q595" s="25" t="s">
        <v>82</v>
      </c>
      <c r="R595" s="25"/>
      <c r="S595" s="25" t="s">
        <v>96</v>
      </c>
      <c r="T595" s="25" t="s">
        <v>96</v>
      </c>
      <c r="U595" s="25" t="s">
        <v>98</v>
      </c>
      <c r="V595" s="25">
        <v>0</v>
      </c>
      <c r="W595" s="25" t="s">
        <v>553</v>
      </c>
      <c r="X595" s="25" t="s">
        <v>1752</v>
      </c>
      <c r="Y595" s="25" t="s">
        <v>1753</v>
      </c>
      <c r="Z595" s="26">
        <v>39082</v>
      </c>
      <c r="AA595" s="776">
        <v>0</v>
      </c>
      <c r="AB595" s="776">
        <v>80</v>
      </c>
      <c r="AC595" s="776">
        <v>0</v>
      </c>
      <c r="AD595" s="776">
        <v>0</v>
      </c>
      <c r="AE595" s="777">
        <v>0</v>
      </c>
      <c r="AF595" s="777">
        <v>25</v>
      </c>
      <c r="AG595" s="778">
        <v>25.087828694437523</v>
      </c>
    </row>
    <row r="596" spans="1:33" x14ac:dyDescent="0.2">
      <c r="A596" s="15">
        <f t="shared" si="79"/>
        <v>2006</v>
      </c>
      <c r="B596" s="14">
        <f t="shared" si="80"/>
        <v>11</v>
      </c>
      <c r="C596" s="13" t="str">
        <f t="shared" si="81"/>
        <v>Q4</v>
      </c>
      <c r="D596" s="13" t="str">
        <f t="shared" si="82"/>
        <v>2006Q4</v>
      </c>
      <c r="E596" s="13" t="str">
        <f t="shared" si="83"/>
        <v>Brazil</v>
      </c>
      <c r="F596" s="13" t="str">
        <f t="shared" si="86"/>
        <v>Biofuels</v>
      </c>
      <c r="G596" s="13" t="str">
        <f t="shared" si="85"/>
        <v>Asset finance investments</v>
      </c>
      <c r="H596" s="638">
        <f t="shared" si="84"/>
        <v>22.750578261886574</v>
      </c>
      <c r="I596" s="24" t="s">
        <v>506</v>
      </c>
      <c r="J596" s="25" t="s">
        <v>246</v>
      </c>
      <c r="K596" s="25" t="s">
        <v>2373</v>
      </c>
      <c r="L596" s="25" t="s">
        <v>894</v>
      </c>
      <c r="M596" s="25" t="s">
        <v>31</v>
      </c>
      <c r="N596" s="25" t="s">
        <v>31</v>
      </c>
      <c r="O596" s="25" t="s">
        <v>92</v>
      </c>
      <c r="P596" s="25" t="s">
        <v>83</v>
      </c>
      <c r="Q596" s="25" t="s">
        <v>82</v>
      </c>
      <c r="R596" s="25" t="s">
        <v>91</v>
      </c>
      <c r="S596" s="25" t="s">
        <v>96</v>
      </c>
      <c r="T596" s="25" t="s">
        <v>96</v>
      </c>
      <c r="U596" s="25" t="s">
        <v>98</v>
      </c>
      <c r="V596" s="25" t="s">
        <v>230</v>
      </c>
      <c r="W596" s="25" t="s">
        <v>553</v>
      </c>
      <c r="X596" s="25" t="s">
        <v>1752</v>
      </c>
      <c r="Y596" s="25" t="s">
        <v>1753</v>
      </c>
      <c r="Z596" s="26">
        <v>39036</v>
      </c>
      <c r="AA596" s="776">
        <v>0</v>
      </c>
      <c r="AB596" s="776">
        <v>67</v>
      </c>
      <c r="AC596" s="776">
        <v>0</v>
      </c>
      <c r="AD596" s="776">
        <v>0</v>
      </c>
      <c r="AE596" s="777">
        <v>22.7</v>
      </c>
      <c r="AF596" s="777">
        <v>22.7</v>
      </c>
      <c r="AG596" s="778">
        <v>22.750578261886574</v>
      </c>
    </row>
    <row r="597" spans="1:33" x14ac:dyDescent="0.2">
      <c r="A597" s="15">
        <f t="shared" si="79"/>
        <v>2006</v>
      </c>
      <c r="B597" s="14">
        <f t="shared" si="80"/>
        <v>10</v>
      </c>
      <c r="C597" s="13" t="str">
        <f t="shared" si="81"/>
        <v>Q4</v>
      </c>
      <c r="D597" s="13" t="str">
        <f t="shared" si="82"/>
        <v>2006Q4</v>
      </c>
      <c r="E597" s="13" t="str">
        <f t="shared" si="83"/>
        <v>Brazil</v>
      </c>
      <c r="F597" s="13" t="str">
        <f t="shared" si="86"/>
        <v>Small Hydro</v>
      </c>
      <c r="G597" s="13" t="str">
        <f t="shared" si="85"/>
        <v>Asset finance investments</v>
      </c>
      <c r="H597" s="638">
        <f t="shared" si="84"/>
        <v>22.55013263843383</v>
      </c>
      <c r="I597" s="24" t="s">
        <v>506</v>
      </c>
      <c r="J597" s="25" t="s">
        <v>246</v>
      </c>
      <c r="K597" s="25" t="s">
        <v>2374</v>
      </c>
      <c r="L597" s="25" t="s">
        <v>1023</v>
      </c>
      <c r="M597" s="25" t="s">
        <v>31</v>
      </c>
      <c r="N597" s="25" t="s">
        <v>31</v>
      </c>
      <c r="O597" s="25" t="s">
        <v>92</v>
      </c>
      <c r="P597" s="25" t="s">
        <v>83</v>
      </c>
      <c r="Q597" s="25" t="s">
        <v>82</v>
      </c>
      <c r="R597" s="25" t="s">
        <v>91</v>
      </c>
      <c r="S597" s="25" t="s">
        <v>126</v>
      </c>
      <c r="T597" s="25" t="s">
        <v>125</v>
      </c>
      <c r="U597" s="25" t="s">
        <v>342</v>
      </c>
      <c r="V597" s="25">
        <v>0</v>
      </c>
      <c r="W597" s="25" t="s">
        <v>553</v>
      </c>
      <c r="X597" s="25" t="s">
        <v>1749</v>
      </c>
      <c r="Y597" s="25" t="s">
        <v>1750</v>
      </c>
      <c r="Z597" s="26">
        <v>39018</v>
      </c>
      <c r="AA597" s="776">
        <v>16</v>
      </c>
      <c r="AB597" s="776">
        <v>0</v>
      </c>
      <c r="AC597" s="776">
        <v>0</v>
      </c>
      <c r="AD597" s="776">
        <v>0</v>
      </c>
      <c r="AE597" s="777">
        <v>22.5</v>
      </c>
      <c r="AF597" s="777">
        <v>22.5</v>
      </c>
      <c r="AG597" s="778">
        <v>22.55013263843383</v>
      </c>
    </row>
    <row r="598" spans="1:33" x14ac:dyDescent="0.2">
      <c r="A598" s="15">
        <f t="shared" si="79"/>
        <v>2006</v>
      </c>
      <c r="B598" s="14">
        <f t="shared" si="80"/>
        <v>10</v>
      </c>
      <c r="C598" s="13" t="str">
        <f t="shared" si="81"/>
        <v>Q4</v>
      </c>
      <c r="D598" s="13" t="str">
        <f t="shared" si="82"/>
        <v>2006Q4</v>
      </c>
      <c r="E598" s="13" t="str">
        <f t="shared" si="83"/>
        <v>Uruguay</v>
      </c>
      <c r="F598" s="13" t="str">
        <f t="shared" si="86"/>
        <v>Biomass &amp; Waste</v>
      </c>
      <c r="G598" s="13" t="str">
        <f t="shared" si="85"/>
        <v>Asset finance investments</v>
      </c>
      <c r="H598" s="638">
        <f t="shared" si="84"/>
        <v>24.104515615077624</v>
      </c>
      <c r="I598" s="24" t="s">
        <v>506</v>
      </c>
      <c r="J598" s="25" t="s">
        <v>246</v>
      </c>
      <c r="K598" s="25" t="s">
        <v>2375</v>
      </c>
      <c r="L598" s="25" t="s">
        <v>642</v>
      </c>
      <c r="M598" s="25" t="s">
        <v>22</v>
      </c>
      <c r="N598" s="25" t="s">
        <v>85</v>
      </c>
      <c r="O598" s="25" t="s">
        <v>92</v>
      </c>
      <c r="P598" s="25" t="s">
        <v>83</v>
      </c>
      <c r="Q598" s="25" t="s">
        <v>82</v>
      </c>
      <c r="R598" s="25"/>
      <c r="S598" s="25" t="s">
        <v>114</v>
      </c>
      <c r="T598" s="25" t="s">
        <v>114</v>
      </c>
      <c r="U598" s="25" t="s">
        <v>113</v>
      </c>
      <c r="V598" s="25" t="s">
        <v>347</v>
      </c>
      <c r="W598" s="25" t="s">
        <v>553</v>
      </c>
      <c r="X598" s="25" t="s">
        <v>1752</v>
      </c>
      <c r="Y598" s="25" t="s">
        <v>1753</v>
      </c>
      <c r="Z598" s="26">
        <v>38999</v>
      </c>
      <c r="AA598" s="776">
        <v>9.9</v>
      </c>
      <c r="AB598" s="776">
        <v>0</v>
      </c>
      <c r="AC598" s="776">
        <v>0</v>
      </c>
      <c r="AD598" s="776">
        <v>0</v>
      </c>
      <c r="AE598" s="777">
        <v>0</v>
      </c>
      <c r="AF598" s="777">
        <v>19.8</v>
      </c>
      <c r="AG598" s="778">
        <v>24.104515615077624</v>
      </c>
    </row>
    <row r="599" spans="1:33" x14ac:dyDescent="0.2">
      <c r="A599" s="15">
        <f t="shared" si="79"/>
        <v>2006</v>
      </c>
      <c r="B599" s="14">
        <f t="shared" si="80"/>
        <v>12</v>
      </c>
      <c r="C599" s="13" t="str">
        <f t="shared" si="81"/>
        <v>Q4</v>
      </c>
      <c r="D599" s="13" t="str">
        <f t="shared" si="82"/>
        <v>2006Q4</v>
      </c>
      <c r="E599" s="13" t="str">
        <f t="shared" si="83"/>
        <v>Brazil</v>
      </c>
      <c r="F599" s="13" t="str">
        <f t="shared" si="86"/>
        <v>Small Hydro</v>
      </c>
      <c r="G599" s="13" t="str">
        <f t="shared" si="85"/>
        <v>Asset finance investments</v>
      </c>
      <c r="H599" s="638">
        <f t="shared" si="84"/>
        <v>18.040106110747065</v>
      </c>
      <c r="I599" s="24" t="s">
        <v>506</v>
      </c>
      <c r="J599" s="25" t="s">
        <v>246</v>
      </c>
      <c r="K599" s="25" t="s">
        <v>2376</v>
      </c>
      <c r="L599" s="25" t="s">
        <v>656</v>
      </c>
      <c r="M599" s="25" t="s">
        <v>31</v>
      </c>
      <c r="N599" s="25" t="s">
        <v>31</v>
      </c>
      <c r="O599" s="25" t="s">
        <v>92</v>
      </c>
      <c r="P599" s="25" t="s">
        <v>83</v>
      </c>
      <c r="Q599" s="25" t="s">
        <v>82</v>
      </c>
      <c r="R599" s="25" t="s">
        <v>91</v>
      </c>
      <c r="S599" s="25" t="s">
        <v>126</v>
      </c>
      <c r="T599" s="25" t="s">
        <v>125</v>
      </c>
      <c r="U599" s="25" t="s">
        <v>342</v>
      </c>
      <c r="V599" s="25">
        <v>0</v>
      </c>
      <c r="W599" s="25" t="s">
        <v>553</v>
      </c>
      <c r="X599" s="25" t="s">
        <v>1752</v>
      </c>
      <c r="Y599" s="25" t="s">
        <v>1753</v>
      </c>
      <c r="Z599" s="26">
        <v>39061</v>
      </c>
      <c r="AA599" s="776">
        <v>6</v>
      </c>
      <c r="AB599" s="776">
        <v>0</v>
      </c>
      <c r="AC599" s="776">
        <v>0</v>
      </c>
      <c r="AD599" s="776">
        <v>0</v>
      </c>
      <c r="AE599" s="777">
        <v>18</v>
      </c>
      <c r="AF599" s="777">
        <v>18</v>
      </c>
      <c r="AG599" s="778">
        <v>18.040106110747065</v>
      </c>
    </row>
    <row r="600" spans="1:33" x14ac:dyDescent="0.2">
      <c r="A600" s="15">
        <f t="shared" si="79"/>
        <v>2006</v>
      </c>
      <c r="B600" s="14">
        <f t="shared" si="80"/>
        <v>10</v>
      </c>
      <c r="C600" s="13" t="str">
        <f t="shared" si="81"/>
        <v>Q4</v>
      </c>
      <c r="D600" s="13" t="str">
        <f t="shared" si="82"/>
        <v>2006Q4</v>
      </c>
      <c r="E600" s="13" t="str">
        <f t="shared" si="83"/>
        <v>Mexico</v>
      </c>
      <c r="F600" s="13" t="str">
        <f t="shared" si="86"/>
        <v>Biomass &amp; Waste</v>
      </c>
      <c r="G600" s="13" t="str">
        <f t="shared" si="85"/>
        <v>Asset finance investments</v>
      </c>
      <c r="H600" s="638">
        <f t="shared" si="84"/>
        <v>18.352301661479554</v>
      </c>
      <c r="I600" s="24" t="s">
        <v>506</v>
      </c>
      <c r="J600" s="25" t="s">
        <v>246</v>
      </c>
      <c r="K600" s="25" t="s">
        <v>2377</v>
      </c>
      <c r="L600" s="25" t="s">
        <v>858</v>
      </c>
      <c r="M600" s="25" t="s">
        <v>18</v>
      </c>
      <c r="N600" s="25" t="s">
        <v>85</v>
      </c>
      <c r="O600" s="25" t="s">
        <v>92</v>
      </c>
      <c r="P600" s="25" t="s">
        <v>83</v>
      </c>
      <c r="Q600" s="25" t="s">
        <v>129</v>
      </c>
      <c r="R600" s="25"/>
      <c r="S600" s="25" t="s">
        <v>114</v>
      </c>
      <c r="T600" s="25" t="s">
        <v>114</v>
      </c>
      <c r="U600" s="25" t="s">
        <v>113</v>
      </c>
      <c r="V600" s="25" t="s">
        <v>722</v>
      </c>
      <c r="W600" s="25" t="s">
        <v>553</v>
      </c>
      <c r="X600" s="25" t="s">
        <v>1752</v>
      </c>
      <c r="Y600" s="25" t="s">
        <v>1753</v>
      </c>
      <c r="Z600" s="26">
        <v>38996</v>
      </c>
      <c r="AA600" s="776">
        <v>5</v>
      </c>
      <c r="AB600" s="776">
        <v>0</v>
      </c>
      <c r="AC600" s="776">
        <v>0</v>
      </c>
      <c r="AD600" s="776">
        <v>0</v>
      </c>
      <c r="AE600" s="777">
        <v>0</v>
      </c>
      <c r="AF600" s="777">
        <v>15.075000000000001</v>
      </c>
      <c r="AG600" s="778">
        <v>18.352301661479554</v>
      </c>
    </row>
    <row r="601" spans="1:33" x14ac:dyDescent="0.2">
      <c r="A601" s="15">
        <f t="shared" si="79"/>
        <v>2006</v>
      </c>
      <c r="B601" s="14">
        <f t="shared" si="80"/>
        <v>12</v>
      </c>
      <c r="C601" s="13" t="str">
        <f t="shared" si="81"/>
        <v>Q4</v>
      </c>
      <c r="D601" s="13" t="str">
        <f t="shared" si="82"/>
        <v>2006Q4</v>
      </c>
      <c r="E601" s="13" t="str">
        <f t="shared" si="83"/>
        <v>Argentina</v>
      </c>
      <c r="F601" s="13" t="str">
        <f t="shared" si="86"/>
        <v>Small Hydro</v>
      </c>
      <c r="G601" s="13" t="str">
        <f t="shared" si="85"/>
        <v>Asset finance investments</v>
      </c>
      <c r="H601" s="638">
        <f t="shared" si="84"/>
        <v>13.482810865158903</v>
      </c>
      <c r="I601" s="24" t="s">
        <v>506</v>
      </c>
      <c r="J601" s="25" t="s">
        <v>246</v>
      </c>
      <c r="K601" s="25" t="s">
        <v>2378</v>
      </c>
      <c r="L601" s="25" t="s">
        <v>929</v>
      </c>
      <c r="M601" s="25" t="s">
        <v>4</v>
      </c>
      <c r="N601" s="25" t="s">
        <v>85</v>
      </c>
      <c r="O601" s="25" t="s">
        <v>92</v>
      </c>
      <c r="P601" s="25" t="s">
        <v>83</v>
      </c>
      <c r="Q601" s="25" t="s">
        <v>82</v>
      </c>
      <c r="R601" s="25"/>
      <c r="S601" s="25" t="s">
        <v>126</v>
      </c>
      <c r="T601" s="25" t="s">
        <v>125</v>
      </c>
      <c r="U601" s="25" t="s">
        <v>247</v>
      </c>
      <c r="V601" s="25">
        <v>0</v>
      </c>
      <c r="W601" s="25" t="s">
        <v>553</v>
      </c>
      <c r="X601" s="25" t="s">
        <v>1752</v>
      </c>
      <c r="Y601" s="25" t="s">
        <v>1753</v>
      </c>
      <c r="Z601" s="26">
        <v>39080</v>
      </c>
      <c r="AA601" s="776">
        <v>9.4</v>
      </c>
      <c r="AB601" s="776">
        <v>0</v>
      </c>
      <c r="AC601" s="776">
        <v>0</v>
      </c>
      <c r="AD601" s="776">
        <v>0</v>
      </c>
      <c r="AE601" s="777">
        <v>13.4</v>
      </c>
      <c r="AF601" s="777">
        <v>13.4</v>
      </c>
      <c r="AG601" s="778">
        <v>13.482810865158903</v>
      </c>
    </row>
    <row r="602" spans="1:33" x14ac:dyDescent="0.2">
      <c r="A602" s="15">
        <f t="shared" si="79"/>
        <v>2006</v>
      </c>
      <c r="B602" s="14">
        <f t="shared" si="80"/>
        <v>11</v>
      </c>
      <c r="C602" s="13" t="str">
        <f t="shared" si="81"/>
        <v>Q4</v>
      </c>
      <c r="D602" s="13" t="str">
        <f t="shared" si="82"/>
        <v>2006Q4</v>
      </c>
      <c r="E602" s="13" t="str">
        <f t="shared" si="83"/>
        <v>El Salvador</v>
      </c>
      <c r="F602" s="13" t="str">
        <f t="shared" si="86"/>
        <v>Geothermal</v>
      </c>
      <c r="G602" s="13" t="str">
        <f t="shared" si="85"/>
        <v>Asset finance investments</v>
      </c>
      <c r="H602" s="638">
        <f t="shared" si="84"/>
        <v>13.401892268329993</v>
      </c>
      <c r="I602" s="24" t="s">
        <v>506</v>
      </c>
      <c r="J602" s="25" t="s">
        <v>246</v>
      </c>
      <c r="K602" s="25" t="s">
        <v>2379</v>
      </c>
      <c r="L602" s="25" t="s">
        <v>557</v>
      </c>
      <c r="M602" s="25" t="s">
        <v>1</v>
      </c>
      <c r="N602" s="25" t="s">
        <v>85</v>
      </c>
      <c r="O602" s="25" t="s">
        <v>92</v>
      </c>
      <c r="P602" s="25" t="s">
        <v>83</v>
      </c>
      <c r="Q602" s="25" t="s">
        <v>82</v>
      </c>
      <c r="R602" s="25"/>
      <c r="S602" s="25" t="s">
        <v>157</v>
      </c>
      <c r="T602" s="25" t="s">
        <v>157</v>
      </c>
      <c r="U602" s="25" t="s">
        <v>156</v>
      </c>
      <c r="V602" s="25">
        <v>0</v>
      </c>
      <c r="W602" s="25" t="s">
        <v>553</v>
      </c>
      <c r="X602" s="25" t="s">
        <v>1752</v>
      </c>
      <c r="Y602" s="25" t="s">
        <v>1753</v>
      </c>
      <c r="Z602" s="26">
        <v>39051</v>
      </c>
      <c r="AA602" s="776">
        <v>9.3000000000000007</v>
      </c>
      <c r="AB602" s="776">
        <v>0</v>
      </c>
      <c r="AC602" s="776">
        <v>0</v>
      </c>
      <c r="AD602" s="776">
        <v>0</v>
      </c>
      <c r="AE602" s="777">
        <v>13</v>
      </c>
      <c r="AF602" s="777">
        <v>13</v>
      </c>
      <c r="AG602" s="778">
        <v>13.401892268329993</v>
      </c>
    </row>
    <row r="603" spans="1:33" x14ac:dyDescent="0.2">
      <c r="A603" s="15">
        <f t="shared" si="79"/>
        <v>2006</v>
      </c>
      <c r="B603" s="14">
        <f t="shared" si="80"/>
        <v>11</v>
      </c>
      <c r="C603" s="13" t="str">
        <f t="shared" si="81"/>
        <v>Q4</v>
      </c>
      <c r="D603" s="13" t="str">
        <f t="shared" si="82"/>
        <v>2006Q4</v>
      </c>
      <c r="E603" s="13" t="str">
        <f t="shared" si="83"/>
        <v>Brazil</v>
      </c>
      <c r="F603" s="13" t="str">
        <f t="shared" si="86"/>
        <v>Biofuels</v>
      </c>
      <c r="G603" s="13" t="str">
        <f t="shared" si="85"/>
        <v>Asset finance investments</v>
      </c>
      <c r="H603" s="638">
        <f t="shared" si="84"/>
        <v>12.628074277522945</v>
      </c>
      <c r="I603" s="24" t="s">
        <v>506</v>
      </c>
      <c r="J603" s="25" t="s">
        <v>246</v>
      </c>
      <c r="K603" s="25" t="s">
        <v>2380</v>
      </c>
      <c r="L603" s="25" t="s">
        <v>1163</v>
      </c>
      <c r="M603" s="25" t="s">
        <v>31</v>
      </c>
      <c r="N603" s="25" t="s">
        <v>31</v>
      </c>
      <c r="O603" s="25" t="s">
        <v>92</v>
      </c>
      <c r="P603" s="25" t="s">
        <v>83</v>
      </c>
      <c r="Q603" s="25" t="s">
        <v>82</v>
      </c>
      <c r="R603" s="25" t="s">
        <v>91</v>
      </c>
      <c r="S603" s="25" t="s">
        <v>96</v>
      </c>
      <c r="T603" s="25" t="s">
        <v>96</v>
      </c>
      <c r="U603" s="25" t="s">
        <v>95</v>
      </c>
      <c r="V603" s="25" t="s">
        <v>230</v>
      </c>
      <c r="W603" s="25" t="s">
        <v>553</v>
      </c>
      <c r="X603" s="25" t="s">
        <v>1752</v>
      </c>
      <c r="Y603" s="25" t="s">
        <v>1753</v>
      </c>
      <c r="Z603" s="26">
        <v>39026</v>
      </c>
      <c r="AA603" s="776">
        <v>0</v>
      </c>
      <c r="AB603" s="776">
        <v>58.8</v>
      </c>
      <c r="AC603" s="776">
        <v>0</v>
      </c>
      <c r="AD603" s="776">
        <v>0</v>
      </c>
      <c r="AE603" s="777">
        <v>12.6</v>
      </c>
      <c r="AF603" s="777">
        <v>12.6</v>
      </c>
      <c r="AG603" s="778">
        <v>12.628074277522945</v>
      </c>
    </row>
    <row r="604" spans="1:33" x14ac:dyDescent="0.2">
      <c r="A604" s="15">
        <f t="shared" si="79"/>
        <v>2006</v>
      </c>
      <c r="B604" s="14">
        <f t="shared" si="80"/>
        <v>10</v>
      </c>
      <c r="C604" s="13" t="str">
        <f t="shared" si="81"/>
        <v>Q4</v>
      </c>
      <c r="D604" s="13" t="str">
        <f t="shared" si="82"/>
        <v>2006Q4</v>
      </c>
      <c r="E604" s="13" t="str">
        <f t="shared" si="83"/>
        <v>Brazil</v>
      </c>
      <c r="F604" s="13" t="str">
        <f t="shared" si="86"/>
        <v>Small Hydro</v>
      </c>
      <c r="G604" s="13" t="str">
        <f t="shared" si="85"/>
        <v>Asset finance investments</v>
      </c>
      <c r="H604" s="638">
        <f t="shared" si="84"/>
        <v>12.02673740716471</v>
      </c>
      <c r="I604" s="24" t="s">
        <v>506</v>
      </c>
      <c r="J604" s="25" t="s">
        <v>246</v>
      </c>
      <c r="K604" s="25" t="s">
        <v>2381</v>
      </c>
      <c r="L604" s="25" t="s">
        <v>655</v>
      </c>
      <c r="M604" s="25" t="s">
        <v>31</v>
      </c>
      <c r="N604" s="25" t="s">
        <v>31</v>
      </c>
      <c r="O604" s="25" t="s">
        <v>92</v>
      </c>
      <c r="P604" s="25" t="s">
        <v>83</v>
      </c>
      <c r="Q604" s="25" t="s">
        <v>82</v>
      </c>
      <c r="R604" s="25" t="s">
        <v>91</v>
      </c>
      <c r="S604" s="25" t="s">
        <v>126</v>
      </c>
      <c r="T604" s="25" t="s">
        <v>125</v>
      </c>
      <c r="U604" s="25" t="s">
        <v>342</v>
      </c>
      <c r="V604" s="25">
        <v>0</v>
      </c>
      <c r="W604" s="25" t="s">
        <v>553</v>
      </c>
      <c r="X604" s="25" t="s">
        <v>1752</v>
      </c>
      <c r="Y604" s="25" t="s">
        <v>1753</v>
      </c>
      <c r="Z604" s="26">
        <v>39010</v>
      </c>
      <c r="AA604" s="776">
        <v>4.5</v>
      </c>
      <c r="AB604" s="776">
        <v>0</v>
      </c>
      <c r="AC604" s="776">
        <v>0</v>
      </c>
      <c r="AD604" s="776">
        <v>0</v>
      </c>
      <c r="AE604" s="777">
        <v>12</v>
      </c>
      <c r="AF604" s="777">
        <v>12</v>
      </c>
      <c r="AG604" s="778">
        <v>12.02673740716471</v>
      </c>
    </row>
    <row r="605" spans="1:33" x14ac:dyDescent="0.2">
      <c r="A605" s="15">
        <f t="shared" si="79"/>
        <v>2006</v>
      </c>
      <c r="B605" s="14">
        <f t="shared" si="80"/>
        <v>12</v>
      </c>
      <c r="C605" s="13" t="str">
        <f t="shared" si="81"/>
        <v>Q4</v>
      </c>
      <c r="D605" s="13" t="str">
        <f t="shared" si="82"/>
        <v>2006Q4</v>
      </c>
      <c r="E605" s="13" t="str">
        <f t="shared" si="83"/>
        <v>Brazil</v>
      </c>
      <c r="F605" s="13" t="str">
        <f t="shared" si="86"/>
        <v>Biofuels</v>
      </c>
      <c r="G605" s="13" t="str">
        <f t="shared" si="85"/>
        <v>Asset finance investments</v>
      </c>
      <c r="H605" s="638">
        <f t="shared" si="84"/>
        <v>11.906470033093063</v>
      </c>
      <c r="I605" s="24" t="s">
        <v>506</v>
      </c>
      <c r="J605" s="25" t="s">
        <v>246</v>
      </c>
      <c r="K605" s="25" t="s">
        <v>2382</v>
      </c>
      <c r="L605" s="25" t="s">
        <v>2383</v>
      </c>
      <c r="M605" s="25" t="s">
        <v>31</v>
      </c>
      <c r="N605" s="25" t="s">
        <v>31</v>
      </c>
      <c r="O605" s="25" t="s">
        <v>92</v>
      </c>
      <c r="P605" s="25" t="s">
        <v>83</v>
      </c>
      <c r="Q605" s="25" t="s">
        <v>82</v>
      </c>
      <c r="R605" s="25" t="s">
        <v>91</v>
      </c>
      <c r="S605" s="25" t="s">
        <v>96</v>
      </c>
      <c r="T605" s="25" t="s">
        <v>96</v>
      </c>
      <c r="U605" s="25" t="s">
        <v>95</v>
      </c>
      <c r="V605" s="25" t="s">
        <v>223</v>
      </c>
      <c r="W605" s="25" t="s">
        <v>553</v>
      </c>
      <c r="X605" s="25" t="s">
        <v>1752</v>
      </c>
      <c r="Y605" s="25" t="s">
        <v>1753</v>
      </c>
      <c r="Z605" s="26">
        <v>39063</v>
      </c>
      <c r="AA605" s="776">
        <v>0</v>
      </c>
      <c r="AB605" s="776">
        <v>36</v>
      </c>
      <c r="AC605" s="776">
        <v>0</v>
      </c>
      <c r="AD605" s="776">
        <v>0</v>
      </c>
      <c r="AE605" s="777">
        <v>0</v>
      </c>
      <c r="AF605" s="777">
        <v>11.88</v>
      </c>
      <c r="AG605" s="778">
        <v>11.906470033093063</v>
      </c>
    </row>
    <row r="606" spans="1:33" x14ac:dyDescent="0.2">
      <c r="A606" s="15">
        <f t="shared" si="79"/>
        <v>2006</v>
      </c>
      <c r="B606" s="14">
        <f t="shared" si="80"/>
        <v>12</v>
      </c>
      <c r="C606" s="13" t="str">
        <f t="shared" si="81"/>
        <v>Q4</v>
      </c>
      <c r="D606" s="13" t="str">
        <f t="shared" si="82"/>
        <v>2006Q4</v>
      </c>
      <c r="E606" s="13" t="str">
        <f t="shared" si="83"/>
        <v>Argentina</v>
      </c>
      <c r="F606" s="13" t="str">
        <f t="shared" si="86"/>
        <v>Biofuels</v>
      </c>
      <c r="G606" s="13" t="str">
        <f t="shared" si="85"/>
        <v>Asset finance investments</v>
      </c>
      <c r="H606" s="638">
        <f t="shared" si="84"/>
        <v>11.822388393966738</v>
      </c>
      <c r="I606" s="24" t="s">
        <v>506</v>
      </c>
      <c r="J606" s="25" t="s">
        <v>246</v>
      </c>
      <c r="K606" s="25" t="s">
        <v>2384</v>
      </c>
      <c r="L606" s="25" t="s">
        <v>752</v>
      </c>
      <c r="M606" s="25" t="s">
        <v>4</v>
      </c>
      <c r="N606" s="25" t="s">
        <v>85</v>
      </c>
      <c r="O606" s="25" t="s">
        <v>92</v>
      </c>
      <c r="P606" s="25" t="s">
        <v>83</v>
      </c>
      <c r="Q606" s="25" t="s">
        <v>82</v>
      </c>
      <c r="R606" s="25"/>
      <c r="S606" s="25" t="s">
        <v>96</v>
      </c>
      <c r="T606" s="25" t="s">
        <v>96</v>
      </c>
      <c r="U606" s="25" t="s">
        <v>95</v>
      </c>
      <c r="V606" s="25" t="s">
        <v>223</v>
      </c>
      <c r="W606" s="25" t="s">
        <v>553</v>
      </c>
      <c r="X606" s="25" t="s">
        <v>1752</v>
      </c>
      <c r="Y606" s="25" t="s">
        <v>1753</v>
      </c>
      <c r="Z606" s="26">
        <v>39082</v>
      </c>
      <c r="AA606" s="776">
        <v>0</v>
      </c>
      <c r="AB606" s="776">
        <v>35.700000000000003</v>
      </c>
      <c r="AC606" s="776">
        <v>0</v>
      </c>
      <c r="AD606" s="776">
        <v>0</v>
      </c>
      <c r="AE606" s="777">
        <v>0</v>
      </c>
      <c r="AF606" s="777">
        <v>11.781000000000002</v>
      </c>
      <c r="AG606" s="778">
        <v>11.822388393966738</v>
      </c>
    </row>
    <row r="607" spans="1:33" x14ac:dyDescent="0.2">
      <c r="A607" s="15">
        <f t="shared" si="79"/>
        <v>2006</v>
      </c>
      <c r="B607" s="14">
        <f t="shared" si="80"/>
        <v>10</v>
      </c>
      <c r="C607" s="13" t="str">
        <f t="shared" si="81"/>
        <v>Q4</v>
      </c>
      <c r="D607" s="13" t="str">
        <f t="shared" si="82"/>
        <v>2006Q4</v>
      </c>
      <c r="E607" s="13" t="str">
        <f t="shared" si="83"/>
        <v>Brazil</v>
      </c>
      <c r="F607" s="13" t="str">
        <f t="shared" si="86"/>
        <v>Biomass &amp; Waste</v>
      </c>
      <c r="G607" s="13" t="str">
        <f t="shared" si="85"/>
        <v>Asset finance investments</v>
      </c>
      <c r="H607" s="638">
        <f t="shared" si="84"/>
        <v>11.024509289900983</v>
      </c>
      <c r="I607" s="24" t="s">
        <v>506</v>
      </c>
      <c r="J607" s="25" t="s">
        <v>246</v>
      </c>
      <c r="K607" s="25" t="s">
        <v>2385</v>
      </c>
      <c r="L607" s="25" t="s">
        <v>2386</v>
      </c>
      <c r="M607" s="25" t="s">
        <v>31</v>
      </c>
      <c r="N607" s="25" t="s">
        <v>31</v>
      </c>
      <c r="O607" s="25" t="s">
        <v>92</v>
      </c>
      <c r="P607" s="25" t="s">
        <v>83</v>
      </c>
      <c r="Q607" s="25" t="s">
        <v>82</v>
      </c>
      <c r="R607" s="25" t="s">
        <v>91</v>
      </c>
      <c r="S607" s="25" t="s">
        <v>114</v>
      </c>
      <c r="T607" s="25" t="s">
        <v>114</v>
      </c>
      <c r="U607" s="25" t="s">
        <v>113</v>
      </c>
      <c r="V607" s="25" t="s">
        <v>347</v>
      </c>
      <c r="W607" s="25" t="s">
        <v>553</v>
      </c>
      <c r="X607" s="25" t="s">
        <v>1752</v>
      </c>
      <c r="Y607" s="25" t="s">
        <v>1753</v>
      </c>
      <c r="Z607" s="26">
        <v>39021</v>
      </c>
      <c r="AA607" s="776">
        <v>5.5</v>
      </c>
      <c r="AB607" s="776">
        <v>0</v>
      </c>
      <c r="AC607" s="776">
        <v>0</v>
      </c>
      <c r="AD607" s="776">
        <v>0</v>
      </c>
      <c r="AE607" s="777">
        <v>0</v>
      </c>
      <c r="AF607" s="777">
        <v>11</v>
      </c>
      <c r="AG607" s="778">
        <v>11.024509289900983</v>
      </c>
    </row>
    <row r="608" spans="1:33" x14ac:dyDescent="0.2">
      <c r="A608" s="15">
        <f t="shared" si="79"/>
        <v>2006</v>
      </c>
      <c r="B608" s="14">
        <f t="shared" si="80"/>
        <v>12</v>
      </c>
      <c r="C608" s="13" t="str">
        <f t="shared" si="81"/>
        <v>Q4</v>
      </c>
      <c r="D608" s="13" t="str">
        <f t="shared" si="82"/>
        <v>2006Q4</v>
      </c>
      <c r="E608" s="13" t="str">
        <f t="shared" si="83"/>
        <v>Paraguay</v>
      </c>
      <c r="F608" s="13" t="str">
        <f t="shared" si="86"/>
        <v>Biofuels</v>
      </c>
      <c r="G608" s="13" t="str">
        <f t="shared" si="85"/>
        <v>Asset finance investments</v>
      </c>
      <c r="H608" s="638">
        <f t="shared" si="84"/>
        <v>8.0281051822200062</v>
      </c>
      <c r="I608" s="24" t="s">
        <v>506</v>
      </c>
      <c r="J608" s="25" t="s">
        <v>246</v>
      </c>
      <c r="K608" s="25" t="s">
        <v>2387</v>
      </c>
      <c r="L608" s="25" t="s">
        <v>693</v>
      </c>
      <c r="M608" s="25" t="s">
        <v>3</v>
      </c>
      <c r="N608" s="25" t="s">
        <v>85</v>
      </c>
      <c r="O608" s="25" t="s">
        <v>92</v>
      </c>
      <c r="P608" s="25" t="s">
        <v>83</v>
      </c>
      <c r="Q608" s="25" t="s">
        <v>82</v>
      </c>
      <c r="R608" s="25"/>
      <c r="S608" s="25" t="s">
        <v>96</v>
      </c>
      <c r="T608" s="25" t="s">
        <v>96</v>
      </c>
      <c r="U608" s="25" t="s">
        <v>98</v>
      </c>
      <c r="V608" s="25" t="s">
        <v>230</v>
      </c>
      <c r="W608" s="25" t="s">
        <v>553</v>
      </c>
      <c r="X608" s="25" t="s">
        <v>1752</v>
      </c>
      <c r="Y608" s="25" t="s">
        <v>1753</v>
      </c>
      <c r="Z608" s="26">
        <v>39082</v>
      </c>
      <c r="AA608" s="776">
        <v>0</v>
      </c>
      <c r="AB608" s="776">
        <v>30</v>
      </c>
      <c r="AC608" s="776">
        <v>0</v>
      </c>
      <c r="AD608" s="776">
        <v>0</v>
      </c>
      <c r="AE608" s="777">
        <v>8</v>
      </c>
      <c r="AF608" s="777">
        <v>8</v>
      </c>
      <c r="AG608" s="778">
        <v>8.0281051822200062</v>
      </c>
    </row>
    <row r="609" spans="1:33" x14ac:dyDescent="0.2">
      <c r="A609" s="15">
        <f t="shared" si="79"/>
        <v>2006</v>
      </c>
      <c r="B609" s="14">
        <f t="shared" si="80"/>
        <v>11</v>
      </c>
      <c r="C609" s="13" t="str">
        <f t="shared" si="81"/>
        <v>Q4</v>
      </c>
      <c r="D609" s="13" t="str">
        <f t="shared" si="82"/>
        <v>2006Q4</v>
      </c>
      <c r="E609" s="13" t="str">
        <f t="shared" si="83"/>
        <v>Brazil</v>
      </c>
      <c r="F609" s="13" t="str">
        <f t="shared" si="86"/>
        <v>Biomass &amp; Waste</v>
      </c>
      <c r="G609" s="13" t="str">
        <f t="shared" si="85"/>
        <v>Asset finance investments</v>
      </c>
      <c r="H609" s="638">
        <f t="shared" si="84"/>
        <v>7.6169336912043155</v>
      </c>
      <c r="I609" s="24" t="s">
        <v>506</v>
      </c>
      <c r="J609" s="25" t="s">
        <v>246</v>
      </c>
      <c r="K609" s="25" t="s">
        <v>2388</v>
      </c>
      <c r="L609" s="25" t="s">
        <v>571</v>
      </c>
      <c r="M609" s="25" t="s">
        <v>31</v>
      </c>
      <c r="N609" s="25" t="s">
        <v>31</v>
      </c>
      <c r="O609" s="25" t="s">
        <v>92</v>
      </c>
      <c r="P609" s="25" t="s">
        <v>83</v>
      </c>
      <c r="Q609" s="25" t="s">
        <v>82</v>
      </c>
      <c r="R609" s="25" t="s">
        <v>91</v>
      </c>
      <c r="S609" s="25" t="s">
        <v>114</v>
      </c>
      <c r="T609" s="25" t="s">
        <v>114</v>
      </c>
      <c r="U609" s="25" t="s">
        <v>113</v>
      </c>
      <c r="V609" s="25">
        <v>0</v>
      </c>
      <c r="W609" s="25" t="s">
        <v>553</v>
      </c>
      <c r="X609" s="25" t="s">
        <v>1752</v>
      </c>
      <c r="Y609" s="25" t="s">
        <v>1753</v>
      </c>
      <c r="Z609" s="26">
        <v>39027</v>
      </c>
      <c r="AA609" s="776">
        <v>3.8</v>
      </c>
      <c r="AB609" s="776">
        <v>0</v>
      </c>
      <c r="AC609" s="776">
        <v>0</v>
      </c>
      <c r="AD609" s="776">
        <v>0</v>
      </c>
      <c r="AE609" s="777">
        <v>0</v>
      </c>
      <c r="AF609" s="777">
        <v>7.6</v>
      </c>
      <c r="AG609" s="778">
        <v>7.6169336912043155</v>
      </c>
    </row>
    <row r="610" spans="1:33" x14ac:dyDescent="0.2">
      <c r="A610" s="15">
        <f t="shared" si="79"/>
        <v>2006</v>
      </c>
      <c r="B610" s="14">
        <f t="shared" si="80"/>
        <v>12</v>
      </c>
      <c r="C610" s="13" t="str">
        <f t="shared" si="81"/>
        <v>Q4</v>
      </c>
      <c r="D610" s="13" t="str">
        <f t="shared" si="82"/>
        <v>2006Q4</v>
      </c>
      <c r="E610" s="13" t="str">
        <f t="shared" si="83"/>
        <v>El Salvador</v>
      </c>
      <c r="F610" s="13" t="str">
        <f t="shared" si="86"/>
        <v>Biofuels</v>
      </c>
      <c r="G610" s="13" t="str">
        <f t="shared" si="85"/>
        <v>Asset finance investments</v>
      </c>
      <c r="H610" s="638">
        <f t="shared" si="84"/>
        <v>6.8861072200492108</v>
      </c>
      <c r="I610" s="24" t="s">
        <v>506</v>
      </c>
      <c r="J610" s="25" t="s">
        <v>246</v>
      </c>
      <c r="K610" s="25" t="s">
        <v>2389</v>
      </c>
      <c r="L610" s="25" t="s">
        <v>700</v>
      </c>
      <c r="M610" s="25" t="s">
        <v>1</v>
      </c>
      <c r="N610" s="25" t="s">
        <v>85</v>
      </c>
      <c r="O610" s="25" t="s">
        <v>92</v>
      </c>
      <c r="P610" s="25" t="s">
        <v>83</v>
      </c>
      <c r="Q610" s="25" t="s">
        <v>82</v>
      </c>
      <c r="R610" s="25"/>
      <c r="S610" s="25" t="s">
        <v>96</v>
      </c>
      <c r="T610" s="25" t="s">
        <v>96</v>
      </c>
      <c r="U610" s="25" t="s">
        <v>98</v>
      </c>
      <c r="V610" s="25" t="s">
        <v>230</v>
      </c>
      <c r="W610" s="25" t="s">
        <v>553</v>
      </c>
      <c r="X610" s="25" t="s">
        <v>1752</v>
      </c>
      <c r="Y610" s="25" t="s">
        <v>1753</v>
      </c>
      <c r="Z610" s="26">
        <v>39082</v>
      </c>
      <c r="AA610" s="776">
        <v>0</v>
      </c>
      <c r="AB610" s="776">
        <v>9.4</v>
      </c>
      <c r="AC610" s="776">
        <v>0</v>
      </c>
      <c r="AD610" s="776">
        <v>0</v>
      </c>
      <c r="AE610" s="777">
        <v>0</v>
      </c>
      <c r="AF610" s="777">
        <v>6.8620000000000001</v>
      </c>
      <c r="AG610" s="778">
        <v>6.8861072200492108</v>
      </c>
    </row>
    <row r="611" spans="1:33" x14ac:dyDescent="0.2">
      <c r="A611" s="15">
        <f t="shared" si="79"/>
        <v>2006</v>
      </c>
      <c r="B611" s="14">
        <f t="shared" si="80"/>
        <v>10</v>
      </c>
      <c r="C611" s="13" t="str">
        <f t="shared" si="81"/>
        <v>Q4</v>
      </c>
      <c r="D611" s="13" t="str">
        <f t="shared" si="82"/>
        <v>2006Q4</v>
      </c>
      <c r="E611" s="13" t="str">
        <f t="shared" si="83"/>
        <v>Brazil</v>
      </c>
      <c r="F611" s="13" t="str">
        <f t="shared" si="86"/>
        <v>Small Hydro</v>
      </c>
      <c r="G611" s="13" t="str">
        <f t="shared" si="85"/>
        <v>Asset finance investments</v>
      </c>
      <c r="H611" s="638">
        <f t="shared" si="84"/>
        <v>4.8106949628658837</v>
      </c>
      <c r="I611" s="24" t="s">
        <v>506</v>
      </c>
      <c r="J611" s="25" t="s">
        <v>246</v>
      </c>
      <c r="K611" s="25" t="s">
        <v>2390</v>
      </c>
      <c r="L611" s="25" t="s">
        <v>662</v>
      </c>
      <c r="M611" s="25" t="s">
        <v>31</v>
      </c>
      <c r="N611" s="25" t="s">
        <v>31</v>
      </c>
      <c r="O611" s="25" t="s">
        <v>92</v>
      </c>
      <c r="P611" s="25" t="s">
        <v>83</v>
      </c>
      <c r="Q611" s="25" t="s">
        <v>82</v>
      </c>
      <c r="R611" s="25" t="s">
        <v>91</v>
      </c>
      <c r="S611" s="25" t="s">
        <v>126</v>
      </c>
      <c r="T611" s="25" t="s">
        <v>125</v>
      </c>
      <c r="U611" s="25" t="s">
        <v>247</v>
      </c>
      <c r="V611" s="25">
        <v>0</v>
      </c>
      <c r="W611" s="25" t="s">
        <v>553</v>
      </c>
      <c r="X611" s="25" t="s">
        <v>1752</v>
      </c>
      <c r="Y611" s="25" t="s">
        <v>1753</v>
      </c>
      <c r="Z611" s="26">
        <v>38997</v>
      </c>
      <c r="AA611" s="776">
        <v>2.4</v>
      </c>
      <c r="AB611" s="776">
        <v>0</v>
      </c>
      <c r="AC611" s="776">
        <v>0</v>
      </c>
      <c r="AD611" s="776">
        <v>0</v>
      </c>
      <c r="AE611" s="777">
        <v>0</v>
      </c>
      <c r="AF611" s="777">
        <v>4.8</v>
      </c>
      <c r="AG611" s="778">
        <v>4.8106949628658837</v>
      </c>
    </row>
    <row r="612" spans="1:33" x14ac:dyDescent="0.2">
      <c r="A612" s="15">
        <f t="shared" si="79"/>
        <v>2006</v>
      </c>
      <c r="B612" s="14">
        <f t="shared" si="80"/>
        <v>11</v>
      </c>
      <c r="C612" s="13" t="str">
        <f t="shared" si="81"/>
        <v>Q4</v>
      </c>
      <c r="D612" s="13" t="str">
        <f t="shared" si="82"/>
        <v>2006Q4</v>
      </c>
      <c r="E612" s="13" t="str">
        <f t="shared" si="83"/>
        <v>Brazil</v>
      </c>
      <c r="F612" s="13" t="str">
        <f t="shared" si="86"/>
        <v>Biofuels</v>
      </c>
      <c r="G612" s="13" t="str">
        <f t="shared" si="85"/>
        <v>Asset finance investments</v>
      </c>
      <c r="H612" s="638">
        <f t="shared" si="84"/>
        <v>4.0089124690549029</v>
      </c>
      <c r="I612" s="24" t="s">
        <v>506</v>
      </c>
      <c r="J612" s="25" t="s">
        <v>246</v>
      </c>
      <c r="K612" s="25" t="s">
        <v>2391</v>
      </c>
      <c r="L612" s="25" t="s">
        <v>1066</v>
      </c>
      <c r="M612" s="25" t="s">
        <v>31</v>
      </c>
      <c r="N612" s="25" t="s">
        <v>31</v>
      </c>
      <c r="O612" s="25" t="s">
        <v>92</v>
      </c>
      <c r="P612" s="25" t="s">
        <v>83</v>
      </c>
      <c r="Q612" s="25" t="s">
        <v>82</v>
      </c>
      <c r="R612" s="25" t="s">
        <v>91</v>
      </c>
      <c r="S612" s="25" t="s">
        <v>96</v>
      </c>
      <c r="T612" s="25" t="s">
        <v>96</v>
      </c>
      <c r="U612" s="25" t="s">
        <v>95</v>
      </c>
      <c r="V612" s="25" t="s">
        <v>223</v>
      </c>
      <c r="W612" s="25" t="s">
        <v>553</v>
      </c>
      <c r="X612" s="25" t="s">
        <v>1752</v>
      </c>
      <c r="Y612" s="25" t="s">
        <v>1753</v>
      </c>
      <c r="Z612" s="26">
        <v>39031</v>
      </c>
      <c r="AA612" s="776">
        <v>0</v>
      </c>
      <c r="AB612" s="776">
        <v>9.6999999999999993</v>
      </c>
      <c r="AC612" s="776">
        <v>0</v>
      </c>
      <c r="AD612" s="776">
        <v>0</v>
      </c>
      <c r="AE612" s="777">
        <v>4</v>
      </c>
      <c r="AF612" s="777">
        <v>4</v>
      </c>
      <c r="AG612" s="778">
        <v>4.0089124690549029</v>
      </c>
    </row>
    <row r="613" spans="1:33" x14ac:dyDescent="0.2">
      <c r="A613" s="15">
        <f t="shared" si="79"/>
        <v>2006</v>
      </c>
      <c r="B613" s="14">
        <f t="shared" si="80"/>
        <v>12</v>
      </c>
      <c r="C613" s="13" t="str">
        <f t="shared" si="81"/>
        <v>Q4</v>
      </c>
      <c r="D613" s="13" t="str">
        <f t="shared" si="82"/>
        <v>2006Q4</v>
      </c>
      <c r="E613" s="13" t="str">
        <f t="shared" si="83"/>
        <v>Brazil</v>
      </c>
      <c r="F613" s="13" t="str">
        <f t="shared" si="86"/>
        <v>Biomass &amp; Waste</v>
      </c>
      <c r="G613" s="13" t="str">
        <f t="shared" si="85"/>
        <v>Asset finance investments</v>
      </c>
      <c r="H613" s="638">
        <f t="shared" si="84"/>
        <v>0.15233867382408631</v>
      </c>
      <c r="I613" s="24" t="s">
        <v>506</v>
      </c>
      <c r="J613" s="25" t="s">
        <v>246</v>
      </c>
      <c r="K613" s="25" t="s">
        <v>2392</v>
      </c>
      <c r="L613" s="25" t="s">
        <v>568</v>
      </c>
      <c r="M613" s="25" t="s">
        <v>31</v>
      </c>
      <c r="N613" s="25" t="s">
        <v>31</v>
      </c>
      <c r="O613" s="25" t="s">
        <v>92</v>
      </c>
      <c r="P613" s="25" t="s">
        <v>83</v>
      </c>
      <c r="Q613" s="25" t="s">
        <v>82</v>
      </c>
      <c r="R613" s="25" t="s">
        <v>91</v>
      </c>
      <c r="S613" s="25" t="s">
        <v>114</v>
      </c>
      <c r="T613" s="25" t="s">
        <v>114</v>
      </c>
      <c r="U613" s="25" t="s">
        <v>113</v>
      </c>
      <c r="V613" s="25">
        <v>0</v>
      </c>
      <c r="W613" s="25" t="s">
        <v>553</v>
      </c>
      <c r="X613" s="25" t="s">
        <v>1752</v>
      </c>
      <c r="Y613" s="25" t="s">
        <v>1753</v>
      </c>
      <c r="Z613" s="26">
        <v>39082</v>
      </c>
      <c r="AA613" s="776">
        <v>0</v>
      </c>
      <c r="AB613" s="776">
        <v>0</v>
      </c>
      <c r="AC613" s="776">
        <v>0</v>
      </c>
      <c r="AD613" s="776">
        <v>0</v>
      </c>
      <c r="AE613" s="777">
        <v>0</v>
      </c>
      <c r="AF613" s="777">
        <v>0.152</v>
      </c>
      <c r="AG613" s="778">
        <v>0.15233867382408631</v>
      </c>
    </row>
    <row r="614" spans="1:33" x14ac:dyDescent="0.2">
      <c r="A614" s="15">
        <f t="shared" si="79"/>
        <v>2012</v>
      </c>
      <c r="B614" s="14">
        <f t="shared" si="80"/>
        <v>9</v>
      </c>
      <c r="C614" s="13" t="str">
        <f t="shared" si="81"/>
        <v>Q3</v>
      </c>
      <c r="D614" s="13" t="str">
        <f t="shared" si="82"/>
        <v>2012Q3</v>
      </c>
      <c r="E614" s="13" t="str">
        <f t="shared" si="83"/>
        <v>Brazil</v>
      </c>
      <c r="F614" s="13" t="str">
        <f t="shared" si="86"/>
        <v>Wind</v>
      </c>
      <c r="G614" s="13" t="str">
        <f t="shared" si="85"/>
        <v>Asset finance investments</v>
      </c>
      <c r="H614" s="638">
        <f t="shared" si="84"/>
        <v>546.06892815211859</v>
      </c>
      <c r="I614" s="24" t="s">
        <v>506</v>
      </c>
      <c r="J614" s="25" t="s">
        <v>246</v>
      </c>
      <c r="K614" s="25" t="s">
        <v>2393</v>
      </c>
      <c r="L614" s="25" t="s">
        <v>2394</v>
      </c>
      <c r="M614" s="25" t="s">
        <v>31</v>
      </c>
      <c r="N614" s="25" t="s">
        <v>31</v>
      </c>
      <c r="O614" s="25" t="s">
        <v>92</v>
      </c>
      <c r="P614" s="25" t="s">
        <v>83</v>
      </c>
      <c r="Q614" s="25" t="s">
        <v>82</v>
      </c>
      <c r="R614" s="25" t="s">
        <v>91</v>
      </c>
      <c r="S614" s="25" t="s">
        <v>101</v>
      </c>
      <c r="T614" s="25" t="s">
        <v>101</v>
      </c>
      <c r="U614" s="25" t="s">
        <v>112</v>
      </c>
      <c r="V614" s="25">
        <v>0</v>
      </c>
      <c r="W614" s="25" t="s">
        <v>553</v>
      </c>
      <c r="X614" s="25" t="s">
        <v>1752</v>
      </c>
      <c r="Y614" s="25" t="s">
        <v>1753</v>
      </c>
      <c r="Z614" s="26">
        <v>41166</v>
      </c>
      <c r="AA614" s="776">
        <v>258</v>
      </c>
      <c r="AB614" s="776">
        <v>0</v>
      </c>
      <c r="AC614" s="776">
        <v>0</v>
      </c>
      <c r="AD614" s="776">
        <v>0</v>
      </c>
      <c r="AE614" s="777">
        <v>497</v>
      </c>
      <c r="AF614" s="777">
        <v>497</v>
      </c>
      <c r="AG614" s="778">
        <v>546.06892815211859</v>
      </c>
    </row>
    <row r="615" spans="1:33" x14ac:dyDescent="0.2">
      <c r="A615" s="15">
        <f t="shared" si="79"/>
        <v>2012</v>
      </c>
      <c r="B615" s="14">
        <f t="shared" si="80"/>
        <v>7</v>
      </c>
      <c r="C615" s="13" t="str">
        <f t="shared" si="81"/>
        <v>Q3</v>
      </c>
      <c r="D615" s="13" t="str">
        <f t="shared" si="82"/>
        <v>2012Q3</v>
      </c>
      <c r="E615" s="13" t="str">
        <f t="shared" si="83"/>
        <v>Brazil</v>
      </c>
      <c r="F615" s="13" t="str">
        <f t="shared" si="86"/>
        <v>Wind</v>
      </c>
      <c r="G615" s="13" t="str">
        <f t="shared" si="85"/>
        <v>Asset finance investments</v>
      </c>
      <c r="H615" s="638">
        <f t="shared" si="84"/>
        <v>305.66675213665872</v>
      </c>
      <c r="I615" s="24" t="s">
        <v>506</v>
      </c>
      <c r="J615" s="25" t="s">
        <v>246</v>
      </c>
      <c r="K615" s="25" t="s">
        <v>2395</v>
      </c>
      <c r="L615" s="25" t="s">
        <v>2396</v>
      </c>
      <c r="M615" s="25" t="s">
        <v>31</v>
      </c>
      <c r="N615" s="25" t="s">
        <v>31</v>
      </c>
      <c r="O615" s="25" t="s">
        <v>92</v>
      </c>
      <c r="P615" s="25" t="s">
        <v>83</v>
      </c>
      <c r="Q615" s="25" t="s">
        <v>82</v>
      </c>
      <c r="R615" s="25" t="s">
        <v>91</v>
      </c>
      <c r="S615" s="25" t="s">
        <v>101</v>
      </c>
      <c r="T615" s="25" t="s">
        <v>101</v>
      </c>
      <c r="U615" s="25" t="s">
        <v>112</v>
      </c>
      <c r="V615" s="25">
        <v>0</v>
      </c>
      <c r="W615" s="25" t="s">
        <v>553</v>
      </c>
      <c r="X615" s="25" t="s">
        <v>1752</v>
      </c>
      <c r="Y615" s="25" t="s">
        <v>1753</v>
      </c>
      <c r="Z615" s="26">
        <v>41093</v>
      </c>
      <c r="AA615" s="776">
        <v>150</v>
      </c>
      <c r="AB615" s="776">
        <v>0</v>
      </c>
      <c r="AC615" s="776">
        <v>0</v>
      </c>
      <c r="AD615" s="776">
        <v>0</v>
      </c>
      <c r="AE615" s="777">
        <v>278.2</v>
      </c>
      <c r="AF615" s="777">
        <v>278.2</v>
      </c>
      <c r="AG615" s="778">
        <v>305.66675213665872</v>
      </c>
    </row>
    <row r="616" spans="1:33" x14ac:dyDescent="0.2">
      <c r="A616" s="15">
        <f t="shared" si="79"/>
        <v>2012</v>
      </c>
      <c r="B616" s="14">
        <f t="shared" si="80"/>
        <v>9</v>
      </c>
      <c r="C616" s="13" t="str">
        <f t="shared" si="81"/>
        <v>Q3</v>
      </c>
      <c r="D616" s="13" t="str">
        <f t="shared" si="82"/>
        <v>2012Q3</v>
      </c>
      <c r="E616" s="13" t="str">
        <f t="shared" si="83"/>
        <v>Brazil</v>
      </c>
      <c r="F616" s="13" t="str">
        <f t="shared" si="86"/>
        <v>Biofuels</v>
      </c>
      <c r="G616" s="13" t="str">
        <f t="shared" si="85"/>
        <v>Asset finance investments</v>
      </c>
      <c r="H616" s="638">
        <f t="shared" si="84"/>
        <v>281.27494085903896</v>
      </c>
      <c r="I616" s="24" t="s">
        <v>506</v>
      </c>
      <c r="J616" s="25" t="s">
        <v>246</v>
      </c>
      <c r="K616" s="25" t="s">
        <v>2397</v>
      </c>
      <c r="L616" s="25" t="s">
        <v>2398</v>
      </c>
      <c r="M616" s="25" t="s">
        <v>31</v>
      </c>
      <c r="N616" s="25" t="s">
        <v>31</v>
      </c>
      <c r="O616" s="25" t="s">
        <v>92</v>
      </c>
      <c r="P616" s="25" t="s">
        <v>83</v>
      </c>
      <c r="Q616" s="25" t="s">
        <v>82</v>
      </c>
      <c r="R616" s="25" t="s">
        <v>91</v>
      </c>
      <c r="S616" s="25" t="s">
        <v>96</v>
      </c>
      <c r="T616" s="25" t="s">
        <v>96</v>
      </c>
      <c r="U616" s="25" t="s">
        <v>98</v>
      </c>
      <c r="V616" s="25" t="s">
        <v>230</v>
      </c>
      <c r="W616" s="25" t="s">
        <v>553</v>
      </c>
      <c r="X616" s="25" t="s">
        <v>1749</v>
      </c>
      <c r="Y616" s="25" t="s">
        <v>1750</v>
      </c>
      <c r="Z616" s="26">
        <v>41177</v>
      </c>
      <c r="AA616" s="776">
        <v>0</v>
      </c>
      <c r="AB616" s="776">
        <v>488</v>
      </c>
      <c r="AC616" s="776">
        <v>0</v>
      </c>
      <c r="AD616" s="776">
        <v>0</v>
      </c>
      <c r="AE616" s="777">
        <v>256</v>
      </c>
      <c r="AF616" s="777">
        <v>256</v>
      </c>
      <c r="AG616" s="778">
        <v>281.27494085903896</v>
      </c>
    </row>
    <row r="617" spans="1:33" x14ac:dyDescent="0.2">
      <c r="A617" s="15">
        <f t="shared" si="79"/>
        <v>2012</v>
      </c>
      <c r="B617" s="14">
        <f t="shared" si="80"/>
        <v>8</v>
      </c>
      <c r="C617" s="13" t="str">
        <f t="shared" si="81"/>
        <v>Q3</v>
      </c>
      <c r="D617" s="13" t="str">
        <f t="shared" si="82"/>
        <v>2012Q3</v>
      </c>
      <c r="E617" s="13" t="str">
        <f t="shared" si="83"/>
        <v>Peru</v>
      </c>
      <c r="F617" s="13" t="str">
        <f t="shared" si="86"/>
        <v>Solar</v>
      </c>
      <c r="G617" s="13" t="str">
        <f t="shared" si="85"/>
        <v>Asset finance investments</v>
      </c>
      <c r="H617" s="638">
        <f t="shared" si="84"/>
        <v>272.48509895719394</v>
      </c>
      <c r="I617" s="24" t="s">
        <v>506</v>
      </c>
      <c r="J617" s="25" t="s">
        <v>246</v>
      </c>
      <c r="K617" s="25" t="s">
        <v>2399</v>
      </c>
      <c r="L617" s="25" t="s">
        <v>2400</v>
      </c>
      <c r="M617" s="25" t="s">
        <v>20</v>
      </c>
      <c r="N617" s="25" t="s">
        <v>85</v>
      </c>
      <c r="O617" s="25" t="s">
        <v>92</v>
      </c>
      <c r="P617" s="25" t="s">
        <v>83</v>
      </c>
      <c r="Q617" s="25" t="s">
        <v>82</v>
      </c>
      <c r="R617" s="25"/>
      <c r="S617" s="25" t="s">
        <v>80</v>
      </c>
      <c r="T617" s="25" t="s">
        <v>80</v>
      </c>
      <c r="U617" s="25" t="s">
        <v>181</v>
      </c>
      <c r="V617" s="25">
        <v>0</v>
      </c>
      <c r="W617" s="25" t="s">
        <v>553</v>
      </c>
      <c r="X617" s="25" t="s">
        <v>1749</v>
      </c>
      <c r="Y617" s="25" t="s">
        <v>1750</v>
      </c>
      <c r="Z617" s="26">
        <v>41150</v>
      </c>
      <c r="AA617" s="776">
        <v>40</v>
      </c>
      <c r="AB617" s="776">
        <v>0</v>
      </c>
      <c r="AC617" s="776">
        <v>0</v>
      </c>
      <c r="AD617" s="776">
        <v>0</v>
      </c>
      <c r="AE617" s="777">
        <v>248</v>
      </c>
      <c r="AF617" s="777">
        <v>248</v>
      </c>
      <c r="AG617" s="778">
        <v>272.48509895719394</v>
      </c>
    </row>
    <row r="618" spans="1:33" x14ac:dyDescent="0.2">
      <c r="A618" s="15">
        <f t="shared" si="79"/>
        <v>2012</v>
      </c>
      <c r="B618" s="14">
        <f t="shared" si="80"/>
        <v>9</v>
      </c>
      <c r="C618" s="13" t="str">
        <f t="shared" si="81"/>
        <v>Q3</v>
      </c>
      <c r="D618" s="13" t="str">
        <f t="shared" si="82"/>
        <v>2012Q3</v>
      </c>
      <c r="E618" s="13" t="str">
        <f t="shared" si="83"/>
        <v>Brazil</v>
      </c>
      <c r="F618" s="13" t="str">
        <f t="shared" si="86"/>
        <v>Wind</v>
      </c>
      <c r="G618" s="13" t="str">
        <f t="shared" si="85"/>
        <v>Asset finance investments</v>
      </c>
      <c r="H618" s="638">
        <f t="shared" si="84"/>
        <v>221.50401592649317</v>
      </c>
      <c r="I618" s="24" t="s">
        <v>506</v>
      </c>
      <c r="J618" s="25" t="s">
        <v>246</v>
      </c>
      <c r="K618" s="25" t="s">
        <v>2401</v>
      </c>
      <c r="L618" s="25" t="s">
        <v>2402</v>
      </c>
      <c r="M618" s="25" t="s">
        <v>31</v>
      </c>
      <c r="N618" s="25" t="s">
        <v>31</v>
      </c>
      <c r="O618" s="25" t="s">
        <v>92</v>
      </c>
      <c r="P618" s="25" t="s">
        <v>83</v>
      </c>
      <c r="Q618" s="25" t="s">
        <v>82</v>
      </c>
      <c r="R618" s="25" t="s">
        <v>91</v>
      </c>
      <c r="S618" s="25" t="s">
        <v>101</v>
      </c>
      <c r="T618" s="25" t="s">
        <v>101</v>
      </c>
      <c r="U618" s="25" t="s">
        <v>112</v>
      </c>
      <c r="V618" s="25">
        <v>0</v>
      </c>
      <c r="W618" s="25" t="s">
        <v>553</v>
      </c>
      <c r="X618" s="25" t="s">
        <v>1752</v>
      </c>
      <c r="Y618" s="25" t="s">
        <v>1753</v>
      </c>
      <c r="Z618" s="26">
        <v>41169</v>
      </c>
      <c r="AA618" s="776">
        <v>78.2</v>
      </c>
      <c r="AB618" s="776">
        <v>0</v>
      </c>
      <c r="AC618" s="776">
        <v>0</v>
      </c>
      <c r="AD618" s="776">
        <v>0</v>
      </c>
      <c r="AE618" s="777">
        <v>201.6</v>
      </c>
      <c r="AF618" s="777">
        <v>201.6</v>
      </c>
      <c r="AG618" s="778">
        <v>221.50401592649317</v>
      </c>
    </row>
    <row r="619" spans="1:33" x14ac:dyDescent="0.2">
      <c r="A619" s="15">
        <f t="shared" si="79"/>
        <v>2012</v>
      </c>
      <c r="B619" s="14">
        <f t="shared" si="80"/>
        <v>7</v>
      </c>
      <c r="C619" s="13" t="str">
        <f t="shared" si="81"/>
        <v>Q3</v>
      </c>
      <c r="D619" s="13" t="str">
        <f t="shared" si="82"/>
        <v>2012Q3</v>
      </c>
      <c r="E619" s="13" t="str">
        <f t="shared" si="83"/>
        <v>Brazil</v>
      </c>
      <c r="F619" s="13" t="str">
        <f t="shared" si="86"/>
        <v>Wind</v>
      </c>
      <c r="G619" s="13" t="str">
        <f t="shared" si="85"/>
        <v>Corporate finance investments</v>
      </c>
      <c r="H619" s="638">
        <f t="shared" si="84"/>
        <v>169.75382172938089</v>
      </c>
      <c r="I619" s="24" t="s">
        <v>506</v>
      </c>
      <c r="J619" s="25" t="s">
        <v>211</v>
      </c>
      <c r="K619" s="25" t="s">
        <v>2403</v>
      </c>
      <c r="L619" s="25" t="s">
        <v>547</v>
      </c>
      <c r="M619" s="25" t="s">
        <v>31</v>
      </c>
      <c r="N619" s="25" t="s">
        <v>31</v>
      </c>
      <c r="O619" s="25" t="s">
        <v>92</v>
      </c>
      <c r="P619" s="25" t="s">
        <v>83</v>
      </c>
      <c r="Q619" s="25" t="s">
        <v>82</v>
      </c>
      <c r="R619" s="25" t="s">
        <v>91</v>
      </c>
      <c r="S619" s="25" t="s">
        <v>101</v>
      </c>
      <c r="T619" s="25" t="s">
        <v>101</v>
      </c>
      <c r="U619" s="25" t="s">
        <v>112</v>
      </c>
      <c r="V619" s="25">
        <v>0</v>
      </c>
      <c r="W619" s="25" t="s">
        <v>31</v>
      </c>
      <c r="X619" s="25" t="s">
        <v>549</v>
      </c>
      <c r="Y619" s="25" t="s">
        <v>548</v>
      </c>
      <c r="Z619" s="26">
        <v>41107</v>
      </c>
      <c r="AA619" s="776" t="s">
        <v>1823</v>
      </c>
      <c r="AB619" s="776">
        <v>0</v>
      </c>
      <c r="AC619" s="776">
        <v>154.5</v>
      </c>
      <c r="AD619" s="776">
        <v>967.4</v>
      </c>
      <c r="AE619" s="777">
        <v>154.5</v>
      </c>
      <c r="AF619" s="777">
        <v>154.5</v>
      </c>
      <c r="AG619" s="778">
        <v>169.75382172938089</v>
      </c>
    </row>
    <row r="620" spans="1:33" x14ac:dyDescent="0.2">
      <c r="A620" s="15">
        <f t="shared" si="79"/>
        <v>2012</v>
      </c>
      <c r="B620" s="14">
        <f t="shared" si="80"/>
        <v>7</v>
      </c>
      <c r="C620" s="13" t="str">
        <f t="shared" si="81"/>
        <v>Q3</v>
      </c>
      <c r="D620" s="13" t="str">
        <f t="shared" si="82"/>
        <v>2012Q3</v>
      </c>
      <c r="E620" s="13" t="str">
        <f t="shared" si="83"/>
        <v>Brazil</v>
      </c>
      <c r="F620" s="13" t="str">
        <f t="shared" si="86"/>
        <v>Biomass &amp; Waste</v>
      </c>
      <c r="G620" s="13" t="str">
        <f t="shared" si="85"/>
        <v>Asset finance investments</v>
      </c>
      <c r="H620" s="638">
        <f t="shared" si="84"/>
        <v>146.13112161817256</v>
      </c>
      <c r="I620" s="24" t="s">
        <v>506</v>
      </c>
      <c r="J620" s="25" t="s">
        <v>246</v>
      </c>
      <c r="K620" s="25" t="s">
        <v>2404</v>
      </c>
      <c r="L620" s="25" t="s">
        <v>2405</v>
      </c>
      <c r="M620" s="25" t="s">
        <v>31</v>
      </c>
      <c r="N620" s="25" t="s">
        <v>31</v>
      </c>
      <c r="O620" s="25" t="s">
        <v>92</v>
      </c>
      <c r="P620" s="25" t="s">
        <v>83</v>
      </c>
      <c r="Q620" s="25" t="s">
        <v>82</v>
      </c>
      <c r="R620" s="25" t="s">
        <v>91</v>
      </c>
      <c r="S620" s="25" t="s">
        <v>114</v>
      </c>
      <c r="T620" s="25" t="s">
        <v>114</v>
      </c>
      <c r="U620" s="25" t="s">
        <v>379</v>
      </c>
      <c r="V620" s="25" t="s">
        <v>347</v>
      </c>
      <c r="W620" s="25" t="s">
        <v>553</v>
      </c>
      <c r="X620" s="25" t="s">
        <v>1749</v>
      </c>
      <c r="Y620" s="25" t="s">
        <v>1750</v>
      </c>
      <c r="Z620" s="26">
        <v>41092</v>
      </c>
      <c r="AA620" s="776">
        <v>12.5</v>
      </c>
      <c r="AB620" s="776">
        <v>0</v>
      </c>
      <c r="AC620" s="776">
        <v>110</v>
      </c>
      <c r="AD620" s="776">
        <v>0</v>
      </c>
      <c r="AE620" s="777">
        <v>133</v>
      </c>
      <c r="AF620" s="777">
        <v>133</v>
      </c>
      <c r="AG620" s="778">
        <v>146.13112161817256</v>
      </c>
    </row>
    <row r="621" spans="1:33" x14ac:dyDescent="0.2">
      <c r="A621" s="15">
        <f t="shared" si="79"/>
        <v>2012</v>
      </c>
      <c r="B621" s="14">
        <f t="shared" si="80"/>
        <v>8</v>
      </c>
      <c r="C621" s="13" t="str">
        <f t="shared" si="81"/>
        <v>Q3</v>
      </c>
      <c r="D621" s="13" t="str">
        <f t="shared" si="82"/>
        <v>2012Q3</v>
      </c>
      <c r="E621" s="13" t="str">
        <f t="shared" si="83"/>
        <v>Dominican Republic</v>
      </c>
      <c r="F621" s="13" t="str">
        <f t="shared" si="86"/>
        <v>Solar</v>
      </c>
      <c r="G621" s="13" t="str">
        <f t="shared" si="85"/>
        <v>Asset finance investments</v>
      </c>
      <c r="H621" s="638">
        <f t="shared" si="84"/>
        <v>131.84762852767452</v>
      </c>
      <c r="I621" s="24" t="s">
        <v>506</v>
      </c>
      <c r="J621" s="25" t="s">
        <v>246</v>
      </c>
      <c r="K621" s="25" t="s">
        <v>2406</v>
      </c>
      <c r="L621" s="25" t="s">
        <v>2407</v>
      </c>
      <c r="M621" s="25" t="s">
        <v>11</v>
      </c>
      <c r="N621" s="25" t="s">
        <v>85</v>
      </c>
      <c r="O621" s="25" t="s">
        <v>84</v>
      </c>
      <c r="P621" s="25" t="s">
        <v>83</v>
      </c>
      <c r="Q621" s="25" t="s">
        <v>82</v>
      </c>
      <c r="R621" s="25"/>
      <c r="S621" s="25" t="s">
        <v>80</v>
      </c>
      <c r="T621" s="25" t="s">
        <v>80</v>
      </c>
      <c r="U621" s="25" t="s">
        <v>181</v>
      </c>
      <c r="V621" s="25">
        <v>0</v>
      </c>
      <c r="W621" s="25" t="s">
        <v>553</v>
      </c>
      <c r="X621" s="25" t="s">
        <v>2408</v>
      </c>
      <c r="Y621" s="25" t="s">
        <v>1753</v>
      </c>
      <c r="Z621" s="26">
        <v>41135</v>
      </c>
      <c r="AA621" s="776">
        <v>30</v>
      </c>
      <c r="AB621" s="776">
        <v>0</v>
      </c>
      <c r="AC621" s="776">
        <v>0</v>
      </c>
      <c r="AD621" s="776">
        <v>0</v>
      </c>
      <c r="AE621" s="777">
        <v>120</v>
      </c>
      <c r="AF621" s="777">
        <v>120</v>
      </c>
      <c r="AG621" s="778">
        <v>131.84762852767452</v>
      </c>
    </row>
    <row r="622" spans="1:33" x14ac:dyDescent="0.2">
      <c r="A622" s="15">
        <f t="shared" si="79"/>
        <v>2012</v>
      </c>
      <c r="B622" s="14">
        <f t="shared" si="80"/>
        <v>7</v>
      </c>
      <c r="C622" s="13" t="str">
        <f t="shared" si="81"/>
        <v>Q3</v>
      </c>
      <c r="D622" s="13" t="str">
        <f t="shared" si="82"/>
        <v>2012Q3</v>
      </c>
      <c r="E622" s="13" t="str">
        <f t="shared" si="83"/>
        <v>Mexico</v>
      </c>
      <c r="F622" s="13" t="str">
        <f t="shared" si="86"/>
        <v>Wind</v>
      </c>
      <c r="G622" s="13" t="str">
        <f t="shared" si="85"/>
        <v>Asset finance investments</v>
      </c>
      <c r="H622" s="638">
        <f t="shared" si="84"/>
        <v>77.526405574272601</v>
      </c>
      <c r="I622" s="24" t="s">
        <v>506</v>
      </c>
      <c r="J622" s="25" t="s">
        <v>246</v>
      </c>
      <c r="K622" s="25" t="s">
        <v>2409</v>
      </c>
      <c r="L622" s="25" t="s">
        <v>2410</v>
      </c>
      <c r="M622" s="25" t="s">
        <v>18</v>
      </c>
      <c r="N622" s="25" t="s">
        <v>85</v>
      </c>
      <c r="O622" s="25" t="s">
        <v>92</v>
      </c>
      <c r="P622" s="25" t="s">
        <v>83</v>
      </c>
      <c r="Q622" s="25" t="s">
        <v>129</v>
      </c>
      <c r="R622" s="25"/>
      <c r="S622" s="25" t="s">
        <v>101</v>
      </c>
      <c r="T622" s="25" t="s">
        <v>101</v>
      </c>
      <c r="U622" s="25" t="s">
        <v>112</v>
      </c>
      <c r="V622" s="25">
        <v>0</v>
      </c>
      <c r="W622" s="25" t="s">
        <v>553</v>
      </c>
      <c r="X622" s="25" t="s">
        <v>1752</v>
      </c>
      <c r="Y622" s="25" t="s">
        <v>1753</v>
      </c>
      <c r="Z622" s="26">
        <v>41094</v>
      </c>
      <c r="AA622" s="776">
        <v>50.4</v>
      </c>
      <c r="AB622" s="776">
        <v>0</v>
      </c>
      <c r="AC622" s="776">
        <v>0</v>
      </c>
      <c r="AD622" s="776">
        <v>0</v>
      </c>
      <c r="AE622" s="777">
        <v>0</v>
      </c>
      <c r="AF622" s="777">
        <v>70.559999999999988</v>
      </c>
      <c r="AG622" s="778">
        <v>77.526405574272601</v>
      </c>
    </row>
    <row r="623" spans="1:33" x14ac:dyDescent="0.2">
      <c r="A623" s="15">
        <f t="shared" si="79"/>
        <v>2012</v>
      </c>
      <c r="B623" s="14">
        <f t="shared" si="80"/>
        <v>7</v>
      </c>
      <c r="C623" s="13" t="str">
        <f t="shared" si="81"/>
        <v>Q3</v>
      </c>
      <c r="D623" s="13" t="str">
        <f t="shared" si="82"/>
        <v>2012Q3</v>
      </c>
      <c r="E623" s="13" t="str">
        <f t="shared" si="83"/>
        <v>Venezuela</v>
      </c>
      <c r="F623" s="13" t="str">
        <f t="shared" si="86"/>
        <v>Wind</v>
      </c>
      <c r="G623" s="13" t="str">
        <f t="shared" si="85"/>
        <v>Asset finance investments</v>
      </c>
      <c r="H623" s="638">
        <f t="shared" si="84"/>
        <v>76.911116641143465</v>
      </c>
      <c r="I623" s="24" t="s">
        <v>506</v>
      </c>
      <c r="J623" s="25" t="s">
        <v>246</v>
      </c>
      <c r="K623" s="25" t="s">
        <v>2411</v>
      </c>
      <c r="L623" s="25" t="s">
        <v>2412</v>
      </c>
      <c r="M623" s="25" t="s">
        <v>23</v>
      </c>
      <c r="N623" s="25" t="s">
        <v>85</v>
      </c>
      <c r="O623" s="25" t="s">
        <v>92</v>
      </c>
      <c r="P623" s="25" t="s">
        <v>83</v>
      </c>
      <c r="Q623" s="25" t="s">
        <v>82</v>
      </c>
      <c r="R623" s="25"/>
      <c r="S623" s="25" t="s">
        <v>101</v>
      </c>
      <c r="T623" s="25" t="s">
        <v>101</v>
      </c>
      <c r="U623" s="25" t="s">
        <v>112</v>
      </c>
      <c r="V623" s="25">
        <v>0</v>
      </c>
      <c r="W623" s="25" t="s">
        <v>553</v>
      </c>
      <c r="X623" s="25" t="s">
        <v>1752</v>
      </c>
      <c r="Y623" s="25" t="s">
        <v>1753</v>
      </c>
      <c r="Z623" s="26">
        <v>41101</v>
      </c>
      <c r="AA623" s="776">
        <v>25.2</v>
      </c>
      <c r="AB623" s="776">
        <v>0</v>
      </c>
      <c r="AC623" s="776">
        <v>0</v>
      </c>
      <c r="AD623" s="776">
        <v>0</v>
      </c>
      <c r="AE623" s="777">
        <v>70</v>
      </c>
      <c r="AF623" s="777">
        <v>70</v>
      </c>
      <c r="AG623" s="778">
        <v>76.911116641143465</v>
      </c>
    </row>
    <row r="624" spans="1:33" x14ac:dyDescent="0.2">
      <c r="A624" s="15">
        <f t="shared" si="79"/>
        <v>2012</v>
      </c>
      <c r="B624" s="14">
        <f t="shared" si="80"/>
        <v>7</v>
      </c>
      <c r="C624" s="13" t="str">
        <f t="shared" si="81"/>
        <v>Q3</v>
      </c>
      <c r="D624" s="13" t="str">
        <f t="shared" si="82"/>
        <v>2012Q3</v>
      </c>
      <c r="E624" s="13" t="str">
        <f t="shared" si="83"/>
        <v>Mexico</v>
      </c>
      <c r="F624" s="13" t="str">
        <f t="shared" si="86"/>
        <v>Geothermal</v>
      </c>
      <c r="G624" s="13" t="str">
        <f t="shared" si="85"/>
        <v>Asset finance investments</v>
      </c>
      <c r="H624" s="638">
        <f t="shared" si="84"/>
        <v>76.691370593597341</v>
      </c>
      <c r="I624" s="24" t="s">
        <v>506</v>
      </c>
      <c r="J624" s="25" t="s">
        <v>246</v>
      </c>
      <c r="K624" s="25" t="s">
        <v>2413</v>
      </c>
      <c r="L624" s="25" t="s">
        <v>2414</v>
      </c>
      <c r="M624" s="25" t="s">
        <v>18</v>
      </c>
      <c r="N624" s="25" t="s">
        <v>85</v>
      </c>
      <c r="O624" s="25" t="s">
        <v>92</v>
      </c>
      <c r="P624" s="25" t="s">
        <v>83</v>
      </c>
      <c r="Q624" s="25" t="s">
        <v>129</v>
      </c>
      <c r="R624" s="25"/>
      <c r="S624" s="25" t="s">
        <v>157</v>
      </c>
      <c r="T624" s="25" t="s">
        <v>157</v>
      </c>
      <c r="U624" s="25" t="s">
        <v>156</v>
      </c>
      <c r="V624" s="25" t="s">
        <v>248</v>
      </c>
      <c r="W624" s="25" t="s">
        <v>553</v>
      </c>
      <c r="X624" s="25" t="s">
        <v>1752</v>
      </c>
      <c r="Y624" s="25" t="s">
        <v>1753</v>
      </c>
      <c r="Z624" s="26">
        <v>41113</v>
      </c>
      <c r="AA624" s="776">
        <v>50</v>
      </c>
      <c r="AB624" s="776">
        <v>0</v>
      </c>
      <c r="AC624" s="776">
        <v>0</v>
      </c>
      <c r="AD624" s="776">
        <v>0</v>
      </c>
      <c r="AE624" s="777">
        <v>69.8</v>
      </c>
      <c r="AF624" s="777">
        <v>69.8</v>
      </c>
      <c r="AG624" s="778">
        <v>76.691370593597341</v>
      </c>
    </row>
    <row r="625" spans="1:33" x14ac:dyDescent="0.2">
      <c r="A625" s="15">
        <f t="shared" si="79"/>
        <v>2012</v>
      </c>
      <c r="B625" s="14">
        <f t="shared" si="80"/>
        <v>9</v>
      </c>
      <c r="C625" s="13" t="str">
        <f t="shared" si="81"/>
        <v>Q3</v>
      </c>
      <c r="D625" s="13" t="str">
        <f t="shared" si="82"/>
        <v>2012Q3</v>
      </c>
      <c r="E625" s="13" t="str">
        <f t="shared" si="83"/>
        <v>Chile</v>
      </c>
      <c r="F625" s="13" t="str">
        <f t="shared" si="86"/>
        <v>Solar</v>
      </c>
      <c r="G625" s="13" t="str">
        <f t="shared" si="85"/>
        <v>Asset finance investments</v>
      </c>
      <c r="H625" s="638">
        <f t="shared" si="84"/>
        <v>65.923814263837258</v>
      </c>
      <c r="I625" s="24" t="s">
        <v>506</v>
      </c>
      <c r="J625" s="25" t="s">
        <v>246</v>
      </c>
      <c r="K625" s="25" t="s">
        <v>2415</v>
      </c>
      <c r="L625" s="25" t="s">
        <v>2416</v>
      </c>
      <c r="M625" s="25" t="s">
        <v>8</v>
      </c>
      <c r="N625" s="25" t="s">
        <v>85</v>
      </c>
      <c r="O625" s="25" t="s">
        <v>92</v>
      </c>
      <c r="P625" s="25" t="s">
        <v>83</v>
      </c>
      <c r="Q625" s="25" t="s">
        <v>129</v>
      </c>
      <c r="R625" s="25"/>
      <c r="S625" s="25" t="s">
        <v>80</v>
      </c>
      <c r="T625" s="25" t="s">
        <v>80</v>
      </c>
      <c r="U625" s="25" t="s">
        <v>1166</v>
      </c>
      <c r="V625" s="25" t="s">
        <v>2417</v>
      </c>
      <c r="W625" s="25" t="s">
        <v>553</v>
      </c>
      <c r="X625" s="25" t="s">
        <v>1752</v>
      </c>
      <c r="Y625" s="25" t="s">
        <v>1753</v>
      </c>
      <c r="Z625" s="26">
        <v>41155</v>
      </c>
      <c r="AA625" s="776">
        <v>35</v>
      </c>
      <c r="AB625" s="776">
        <v>0</v>
      </c>
      <c r="AC625" s="776">
        <v>0</v>
      </c>
      <c r="AD625" s="776">
        <v>0</v>
      </c>
      <c r="AE625" s="777">
        <v>60</v>
      </c>
      <c r="AF625" s="777">
        <v>60</v>
      </c>
      <c r="AG625" s="778">
        <v>65.923814263837258</v>
      </c>
    </row>
    <row r="626" spans="1:33" x14ac:dyDescent="0.2">
      <c r="A626" s="15">
        <f t="shared" si="79"/>
        <v>2012</v>
      </c>
      <c r="B626" s="14">
        <f t="shared" si="80"/>
        <v>7</v>
      </c>
      <c r="C626" s="13" t="str">
        <f t="shared" si="81"/>
        <v>Q3</v>
      </c>
      <c r="D626" s="13" t="str">
        <f t="shared" si="82"/>
        <v>2012Q3</v>
      </c>
      <c r="E626" s="13" t="str">
        <f t="shared" si="83"/>
        <v>Mexico</v>
      </c>
      <c r="F626" s="13" t="str">
        <f t="shared" si="86"/>
        <v>Wind</v>
      </c>
      <c r="G626" s="13" t="str">
        <f t="shared" si="85"/>
        <v>Asset finance investments</v>
      </c>
      <c r="H626" s="638">
        <f t="shared" si="84"/>
        <v>33.840891322103126</v>
      </c>
      <c r="I626" s="24" t="s">
        <v>506</v>
      </c>
      <c r="J626" s="25" t="s">
        <v>246</v>
      </c>
      <c r="K626" s="25" t="s">
        <v>2418</v>
      </c>
      <c r="L626" s="25" t="s">
        <v>2419</v>
      </c>
      <c r="M626" s="25" t="s">
        <v>18</v>
      </c>
      <c r="N626" s="25" t="s">
        <v>85</v>
      </c>
      <c r="O626" s="25" t="s">
        <v>92</v>
      </c>
      <c r="P626" s="25" t="s">
        <v>83</v>
      </c>
      <c r="Q626" s="25" t="s">
        <v>129</v>
      </c>
      <c r="R626" s="25"/>
      <c r="S626" s="25" t="s">
        <v>101</v>
      </c>
      <c r="T626" s="25" t="s">
        <v>101</v>
      </c>
      <c r="U626" s="25" t="s">
        <v>112</v>
      </c>
      <c r="V626" s="25">
        <v>0</v>
      </c>
      <c r="W626" s="25" t="s">
        <v>553</v>
      </c>
      <c r="X626" s="25" t="s">
        <v>1752</v>
      </c>
      <c r="Y626" s="25" t="s">
        <v>1753</v>
      </c>
      <c r="Z626" s="26">
        <v>41116</v>
      </c>
      <c r="AA626" s="776">
        <v>22</v>
      </c>
      <c r="AB626" s="776">
        <v>0</v>
      </c>
      <c r="AC626" s="776">
        <v>0</v>
      </c>
      <c r="AD626" s="776">
        <v>0</v>
      </c>
      <c r="AE626" s="777">
        <v>0</v>
      </c>
      <c r="AF626" s="777">
        <v>30.799999999999997</v>
      </c>
      <c r="AG626" s="778">
        <v>33.840891322103126</v>
      </c>
    </row>
    <row r="627" spans="1:33" x14ac:dyDescent="0.2">
      <c r="A627" s="15">
        <f t="shared" si="79"/>
        <v>2012</v>
      </c>
      <c r="B627" s="14">
        <f t="shared" si="80"/>
        <v>7</v>
      </c>
      <c r="C627" s="13" t="str">
        <f t="shared" si="81"/>
        <v>Q3</v>
      </c>
      <c r="D627" s="13" t="str">
        <f t="shared" si="82"/>
        <v>2012Q3</v>
      </c>
      <c r="E627" s="13" t="str">
        <f t="shared" si="83"/>
        <v>Brazil</v>
      </c>
      <c r="F627" s="13" t="str">
        <f t="shared" si="86"/>
        <v>Biomass &amp; Waste</v>
      </c>
      <c r="G627" s="13" t="str">
        <f t="shared" si="85"/>
        <v>Asset finance investments</v>
      </c>
      <c r="H627" s="638">
        <f t="shared" si="84"/>
        <v>27.468255943265525</v>
      </c>
      <c r="I627" s="24" t="s">
        <v>506</v>
      </c>
      <c r="J627" s="25" t="s">
        <v>246</v>
      </c>
      <c r="K627" s="25" t="s">
        <v>2420</v>
      </c>
      <c r="L627" s="25" t="s">
        <v>2421</v>
      </c>
      <c r="M627" s="25" t="s">
        <v>31</v>
      </c>
      <c r="N627" s="25" t="s">
        <v>31</v>
      </c>
      <c r="O627" s="25" t="s">
        <v>92</v>
      </c>
      <c r="P627" s="25" t="s">
        <v>83</v>
      </c>
      <c r="Q627" s="25" t="s">
        <v>82</v>
      </c>
      <c r="R627" s="25" t="s">
        <v>91</v>
      </c>
      <c r="S627" s="25" t="s">
        <v>114</v>
      </c>
      <c r="T627" s="25" t="s">
        <v>114</v>
      </c>
      <c r="U627" s="25" t="s">
        <v>113</v>
      </c>
      <c r="V627" s="25" t="s">
        <v>347</v>
      </c>
      <c r="W627" s="25" t="s">
        <v>553</v>
      </c>
      <c r="X627" s="25" t="s">
        <v>1752</v>
      </c>
      <c r="Y627" s="25" t="s">
        <v>1753</v>
      </c>
      <c r="Z627" s="26">
        <v>41110</v>
      </c>
      <c r="AA627" s="776">
        <v>35</v>
      </c>
      <c r="AB627" s="776">
        <v>0</v>
      </c>
      <c r="AC627" s="776">
        <v>0</v>
      </c>
      <c r="AD627" s="776">
        <v>0</v>
      </c>
      <c r="AE627" s="777">
        <v>25</v>
      </c>
      <c r="AF627" s="777">
        <v>25</v>
      </c>
      <c r="AG627" s="778">
        <v>27.468255943265525</v>
      </c>
    </row>
    <row r="628" spans="1:33" x14ac:dyDescent="0.2">
      <c r="A628" s="15">
        <f t="shared" si="79"/>
        <v>2012</v>
      </c>
      <c r="B628" s="14">
        <f t="shared" si="80"/>
        <v>8</v>
      </c>
      <c r="C628" s="13" t="str">
        <f t="shared" si="81"/>
        <v>Q3</v>
      </c>
      <c r="D628" s="13" t="str">
        <f t="shared" si="82"/>
        <v>2012Q3</v>
      </c>
      <c r="E628" s="13" t="str">
        <f t="shared" si="83"/>
        <v>Brazil</v>
      </c>
      <c r="F628" s="13" t="str">
        <f t="shared" si="86"/>
        <v>Biofuels</v>
      </c>
      <c r="G628" s="13" t="str">
        <f t="shared" si="85"/>
        <v>Asset finance investments</v>
      </c>
      <c r="H628" s="638">
        <f t="shared" si="84"/>
        <v>27.468255943265525</v>
      </c>
      <c r="I628" s="24" t="s">
        <v>506</v>
      </c>
      <c r="J628" s="25" t="s">
        <v>246</v>
      </c>
      <c r="K628" s="25" t="s">
        <v>2422</v>
      </c>
      <c r="L628" s="25" t="s">
        <v>2423</v>
      </c>
      <c r="M628" s="25" t="s">
        <v>31</v>
      </c>
      <c r="N628" s="25" t="s">
        <v>31</v>
      </c>
      <c r="O628" s="25" t="s">
        <v>92</v>
      </c>
      <c r="P628" s="25" t="s">
        <v>83</v>
      </c>
      <c r="Q628" s="25" t="s">
        <v>82</v>
      </c>
      <c r="R628" s="25" t="s">
        <v>91</v>
      </c>
      <c r="S628" s="25" t="s">
        <v>96</v>
      </c>
      <c r="T628" s="25" t="s">
        <v>96</v>
      </c>
      <c r="U628" s="25" t="s">
        <v>95</v>
      </c>
      <c r="V628" s="25" t="s">
        <v>223</v>
      </c>
      <c r="W628" s="25" t="s">
        <v>553</v>
      </c>
      <c r="X628" s="25" t="s">
        <v>1752</v>
      </c>
      <c r="Y628" s="25" t="s">
        <v>1753</v>
      </c>
      <c r="Z628" s="26">
        <v>41152</v>
      </c>
      <c r="AA628" s="776">
        <v>0</v>
      </c>
      <c r="AB628" s="776">
        <v>378</v>
      </c>
      <c r="AC628" s="776">
        <v>0</v>
      </c>
      <c r="AD628" s="776">
        <v>0</v>
      </c>
      <c r="AE628" s="777">
        <v>25</v>
      </c>
      <c r="AF628" s="777">
        <v>25</v>
      </c>
      <c r="AG628" s="778">
        <v>27.468255943265525</v>
      </c>
    </row>
    <row r="629" spans="1:33" x14ac:dyDescent="0.2">
      <c r="A629" s="15">
        <f t="shared" si="79"/>
        <v>2012</v>
      </c>
      <c r="B629" s="14">
        <f t="shared" si="80"/>
        <v>8</v>
      </c>
      <c r="C629" s="13" t="str">
        <f t="shared" si="81"/>
        <v>Q3</v>
      </c>
      <c r="D629" s="13" t="str">
        <f t="shared" si="82"/>
        <v>2012Q3</v>
      </c>
      <c r="E629" s="13" t="str">
        <f t="shared" si="83"/>
        <v>Chile</v>
      </c>
      <c r="F629" s="13" t="str">
        <f t="shared" si="86"/>
        <v>Small Hydro</v>
      </c>
      <c r="G629" s="13" t="str">
        <f t="shared" si="85"/>
        <v>VC/PE investments</v>
      </c>
      <c r="H629" s="638">
        <f t="shared" si="84"/>
        <v>21.191210095110485</v>
      </c>
      <c r="I629" s="24" t="s">
        <v>506</v>
      </c>
      <c r="J629" s="25" t="s">
        <v>216</v>
      </c>
      <c r="K629" s="25" t="s">
        <v>2424</v>
      </c>
      <c r="L629" s="25" t="s">
        <v>2425</v>
      </c>
      <c r="M629" s="25" t="s">
        <v>8</v>
      </c>
      <c r="N629" s="25" t="s">
        <v>85</v>
      </c>
      <c r="O629" s="25" t="s">
        <v>92</v>
      </c>
      <c r="P629" s="25" t="s">
        <v>83</v>
      </c>
      <c r="Q629" s="25" t="s">
        <v>129</v>
      </c>
      <c r="R629" s="25"/>
      <c r="S629" s="25" t="s">
        <v>126</v>
      </c>
      <c r="T629" s="25" t="s">
        <v>125</v>
      </c>
      <c r="U629" s="25" t="s">
        <v>247</v>
      </c>
      <c r="V629" s="25">
        <v>0</v>
      </c>
      <c r="W629" s="25" t="s">
        <v>94</v>
      </c>
      <c r="X629" s="25" t="s">
        <v>508</v>
      </c>
      <c r="Y629" s="25" t="s">
        <v>507</v>
      </c>
      <c r="Z629" s="26">
        <v>41149</v>
      </c>
      <c r="AA629" s="776" t="s">
        <v>1748</v>
      </c>
      <c r="AB629" s="776" t="s">
        <v>1748</v>
      </c>
      <c r="AC629" s="776" t="s">
        <v>1748</v>
      </c>
      <c r="AD629" s="776" t="s">
        <v>1748</v>
      </c>
      <c r="AE629" s="777">
        <v>0</v>
      </c>
      <c r="AF629" s="777">
        <v>19.286999999999999</v>
      </c>
      <c r="AG629" s="778">
        <v>21.191210095110485</v>
      </c>
    </row>
    <row r="630" spans="1:33" x14ac:dyDescent="0.2">
      <c r="A630" s="15">
        <f t="shared" si="79"/>
        <v>2012</v>
      </c>
      <c r="B630" s="14">
        <f t="shared" si="80"/>
        <v>8</v>
      </c>
      <c r="C630" s="13" t="str">
        <f t="shared" si="81"/>
        <v>Q3</v>
      </c>
      <c r="D630" s="13" t="str">
        <f t="shared" si="82"/>
        <v>2012Q3</v>
      </c>
      <c r="E630" s="13" t="str">
        <f t="shared" si="83"/>
        <v>Costa Rica</v>
      </c>
      <c r="F630" s="13" t="str">
        <f t="shared" si="86"/>
        <v>Solar</v>
      </c>
      <c r="G630" s="13" t="str">
        <f t="shared" si="85"/>
        <v>Asset finance investments</v>
      </c>
      <c r="H630" s="638">
        <f t="shared" si="84"/>
        <v>9.8885721395755883</v>
      </c>
      <c r="I630" s="24" t="s">
        <v>506</v>
      </c>
      <c r="J630" s="25" t="s">
        <v>246</v>
      </c>
      <c r="K630" s="25" t="s">
        <v>2426</v>
      </c>
      <c r="L630" s="25" t="s">
        <v>2427</v>
      </c>
      <c r="M630" s="25" t="s">
        <v>10</v>
      </c>
      <c r="N630" s="25" t="s">
        <v>85</v>
      </c>
      <c r="O630" s="25" t="s">
        <v>92</v>
      </c>
      <c r="P630" s="25" t="s">
        <v>83</v>
      </c>
      <c r="Q630" s="25" t="s">
        <v>82</v>
      </c>
      <c r="R630" s="25"/>
      <c r="S630" s="25" t="s">
        <v>80</v>
      </c>
      <c r="T630" s="25" t="s">
        <v>80</v>
      </c>
      <c r="U630" s="25" t="s">
        <v>181</v>
      </c>
      <c r="V630" s="25">
        <v>0</v>
      </c>
      <c r="W630" s="25" t="s">
        <v>553</v>
      </c>
      <c r="X630" s="25" t="s">
        <v>1752</v>
      </c>
      <c r="Y630" s="25" t="s">
        <v>1753</v>
      </c>
      <c r="Z630" s="26">
        <v>41142</v>
      </c>
      <c r="AA630" s="776">
        <v>1</v>
      </c>
      <c r="AB630" s="776">
        <v>0</v>
      </c>
      <c r="AC630" s="776">
        <v>0</v>
      </c>
      <c r="AD630" s="776">
        <v>0</v>
      </c>
      <c r="AE630" s="777">
        <v>9</v>
      </c>
      <c r="AF630" s="777">
        <v>9</v>
      </c>
      <c r="AG630" s="778">
        <v>9.8885721395755883</v>
      </c>
    </row>
    <row r="631" spans="1:33" x14ac:dyDescent="0.2">
      <c r="A631" s="15">
        <f t="shared" si="79"/>
        <v>2012</v>
      </c>
      <c r="B631" s="14">
        <f t="shared" si="80"/>
        <v>9</v>
      </c>
      <c r="C631" s="13" t="str">
        <f t="shared" si="81"/>
        <v>Q3</v>
      </c>
      <c r="D631" s="13" t="str">
        <f t="shared" si="82"/>
        <v>2012Q3</v>
      </c>
      <c r="E631" s="13" t="str">
        <f t="shared" si="83"/>
        <v>Dominican Republic</v>
      </c>
      <c r="F631" s="13" t="str">
        <f t="shared" si="86"/>
        <v>Solar</v>
      </c>
      <c r="G631" s="13" t="str">
        <f t="shared" si="85"/>
        <v>Asset finance investments</v>
      </c>
      <c r="H631" s="638">
        <f t="shared" si="84"/>
        <v>6.152889331291477</v>
      </c>
      <c r="I631" s="24" t="s">
        <v>506</v>
      </c>
      <c r="J631" s="25" t="s">
        <v>246</v>
      </c>
      <c r="K631" s="25" t="s">
        <v>2428</v>
      </c>
      <c r="L631" s="25" t="s">
        <v>2429</v>
      </c>
      <c r="M631" s="25" t="s">
        <v>11</v>
      </c>
      <c r="N631" s="25" t="s">
        <v>85</v>
      </c>
      <c r="O631" s="25" t="s">
        <v>84</v>
      </c>
      <c r="P631" s="25" t="s">
        <v>83</v>
      </c>
      <c r="Q631" s="25" t="s">
        <v>82</v>
      </c>
      <c r="R631" s="25"/>
      <c r="S631" s="25" t="s">
        <v>80</v>
      </c>
      <c r="T631" s="25" t="s">
        <v>80</v>
      </c>
      <c r="U631" s="25" t="s">
        <v>181</v>
      </c>
      <c r="V631" s="25" t="s">
        <v>232</v>
      </c>
      <c r="W631" s="25" t="s">
        <v>553</v>
      </c>
      <c r="X631" s="25" t="s">
        <v>1752</v>
      </c>
      <c r="Y631" s="25" t="s">
        <v>1753</v>
      </c>
      <c r="Z631" s="26">
        <v>41167</v>
      </c>
      <c r="AA631" s="776">
        <v>1.5</v>
      </c>
      <c r="AB631" s="776">
        <v>0</v>
      </c>
      <c r="AC631" s="776">
        <v>0</v>
      </c>
      <c r="AD631" s="776">
        <v>0</v>
      </c>
      <c r="AE631" s="777">
        <v>5.6</v>
      </c>
      <c r="AF631" s="777">
        <v>5.6</v>
      </c>
      <c r="AG631" s="778">
        <v>6.152889331291477</v>
      </c>
    </row>
    <row r="632" spans="1:33" x14ac:dyDescent="0.2">
      <c r="A632" s="15">
        <f t="shared" si="79"/>
        <v>2012</v>
      </c>
      <c r="B632" s="14">
        <f t="shared" si="80"/>
        <v>7</v>
      </c>
      <c r="C632" s="13" t="str">
        <f t="shared" si="81"/>
        <v>Q3</v>
      </c>
      <c r="D632" s="13" t="str">
        <f t="shared" si="82"/>
        <v>2012Q3</v>
      </c>
      <c r="E632" s="13" t="str">
        <f t="shared" si="83"/>
        <v>Brazil</v>
      </c>
      <c r="F632" s="13" t="str">
        <f t="shared" si="86"/>
        <v>Small Hydro</v>
      </c>
      <c r="G632" s="13" t="str">
        <f t="shared" si="85"/>
        <v>Asset finance investments</v>
      </c>
      <c r="H632" s="638">
        <f t="shared" si="84"/>
        <v>4.834413046014733</v>
      </c>
      <c r="I632" s="24" t="s">
        <v>506</v>
      </c>
      <c r="J632" s="25" t="s">
        <v>246</v>
      </c>
      <c r="K632" s="25" t="s">
        <v>2430</v>
      </c>
      <c r="L632" s="25" t="s">
        <v>2431</v>
      </c>
      <c r="M632" s="25" t="s">
        <v>31</v>
      </c>
      <c r="N632" s="25" t="s">
        <v>31</v>
      </c>
      <c r="O632" s="25" t="s">
        <v>92</v>
      </c>
      <c r="P632" s="25" t="s">
        <v>83</v>
      </c>
      <c r="Q632" s="25" t="s">
        <v>82</v>
      </c>
      <c r="R632" s="25" t="s">
        <v>91</v>
      </c>
      <c r="S632" s="25" t="s">
        <v>126</v>
      </c>
      <c r="T632" s="25" t="s">
        <v>125</v>
      </c>
      <c r="U632" s="25" t="s">
        <v>247</v>
      </c>
      <c r="V632" s="25">
        <v>0</v>
      </c>
      <c r="W632" s="25" t="s">
        <v>553</v>
      </c>
      <c r="X632" s="25" t="s">
        <v>1752</v>
      </c>
      <c r="Y632" s="25" t="s">
        <v>1753</v>
      </c>
      <c r="Z632" s="26">
        <v>41092</v>
      </c>
      <c r="AA632" s="776">
        <v>1.75</v>
      </c>
      <c r="AB632" s="776">
        <v>0</v>
      </c>
      <c r="AC632" s="776">
        <v>0</v>
      </c>
      <c r="AD632" s="776">
        <v>0</v>
      </c>
      <c r="AE632" s="777">
        <v>0</v>
      </c>
      <c r="AF632" s="777">
        <v>4.4000000000000004</v>
      </c>
      <c r="AG632" s="778">
        <v>4.834413046014733</v>
      </c>
    </row>
    <row r="633" spans="1:33" x14ac:dyDescent="0.2">
      <c r="A633" s="15">
        <f t="shared" si="79"/>
        <v>2012</v>
      </c>
      <c r="B633" s="14">
        <f t="shared" si="80"/>
        <v>9</v>
      </c>
      <c r="C633" s="13" t="str">
        <f t="shared" si="81"/>
        <v>Q3</v>
      </c>
      <c r="D633" s="13" t="str">
        <f t="shared" si="82"/>
        <v>2012Q3</v>
      </c>
      <c r="E633" s="13" t="str">
        <f t="shared" si="83"/>
        <v>Chile</v>
      </c>
      <c r="F633" s="13" t="str">
        <f t="shared" si="86"/>
        <v>Solar</v>
      </c>
      <c r="G633" s="13" t="str">
        <f t="shared" si="85"/>
        <v>Asset finance investments</v>
      </c>
      <c r="H633" s="638">
        <f t="shared" si="84"/>
        <v>2.7468255943265523</v>
      </c>
      <c r="I633" s="24" t="s">
        <v>506</v>
      </c>
      <c r="J633" s="25" t="s">
        <v>246</v>
      </c>
      <c r="K633" s="25" t="s">
        <v>2432</v>
      </c>
      <c r="L633" s="25" t="s">
        <v>2433</v>
      </c>
      <c r="M633" s="25" t="s">
        <v>8</v>
      </c>
      <c r="N633" s="25" t="s">
        <v>85</v>
      </c>
      <c r="O633" s="25" t="s">
        <v>92</v>
      </c>
      <c r="P633" s="25" t="s">
        <v>83</v>
      </c>
      <c r="Q633" s="25" t="s">
        <v>129</v>
      </c>
      <c r="R633" s="25"/>
      <c r="S633" s="25" t="s">
        <v>80</v>
      </c>
      <c r="T633" s="25" t="s">
        <v>80</v>
      </c>
      <c r="U633" s="25" t="s">
        <v>181</v>
      </c>
      <c r="V633" s="25" t="s">
        <v>232</v>
      </c>
      <c r="W633" s="25" t="s">
        <v>553</v>
      </c>
      <c r="X633" s="25" t="s">
        <v>1752</v>
      </c>
      <c r="Y633" s="25" t="s">
        <v>1753</v>
      </c>
      <c r="Z633" s="26">
        <v>41164</v>
      </c>
      <c r="AA633" s="776">
        <v>1.4</v>
      </c>
      <c r="AB633" s="776">
        <v>0</v>
      </c>
      <c r="AC633" s="776">
        <v>0</v>
      </c>
      <c r="AD633" s="776">
        <v>0</v>
      </c>
      <c r="AE633" s="777">
        <v>2.5</v>
      </c>
      <c r="AF633" s="777">
        <v>2.5</v>
      </c>
      <c r="AG633" s="778">
        <v>2.7468255943265523</v>
      </c>
    </row>
    <row r="634" spans="1:33" x14ac:dyDescent="0.2">
      <c r="A634" s="15">
        <f t="shared" si="79"/>
        <v>2011</v>
      </c>
      <c r="B634" s="14">
        <f t="shared" si="80"/>
        <v>7</v>
      </c>
      <c r="C634" s="13" t="str">
        <f t="shared" si="81"/>
        <v>Q3</v>
      </c>
      <c r="D634" s="13" t="str">
        <f t="shared" si="82"/>
        <v>2011Q3</v>
      </c>
      <c r="E634" s="13" t="str">
        <f t="shared" si="83"/>
        <v>Brazil</v>
      </c>
      <c r="F634" s="13" t="str">
        <f t="shared" si="86"/>
        <v>Wind</v>
      </c>
      <c r="G634" s="13" t="str">
        <f t="shared" si="85"/>
        <v>Asset finance investments</v>
      </c>
      <c r="H634" s="638">
        <f t="shared" si="84"/>
        <v>436.40577240225775</v>
      </c>
      <c r="I634" s="24" t="s">
        <v>506</v>
      </c>
      <c r="J634" s="25" t="s">
        <v>246</v>
      </c>
      <c r="K634" s="25" t="s">
        <v>2434</v>
      </c>
      <c r="L634" s="25" t="s">
        <v>737</v>
      </c>
      <c r="M634" s="25" t="s">
        <v>31</v>
      </c>
      <c r="N634" s="25" t="s">
        <v>31</v>
      </c>
      <c r="O634" s="25" t="s">
        <v>92</v>
      </c>
      <c r="P634" s="25" t="s">
        <v>83</v>
      </c>
      <c r="Q634" s="25" t="s">
        <v>82</v>
      </c>
      <c r="R634" s="25" t="s">
        <v>91</v>
      </c>
      <c r="S634" s="25" t="s">
        <v>101</v>
      </c>
      <c r="T634" s="25" t="s">
        <v>101</v>
      </c>
      <c r="U634" s="25" t="s">
        <v>112</v>
      </c>
      <c r="V634" s="25">
        <v>0</v>
      </c>
      <c r="W634" s="25" t="s">
        <v>553</v>
      </c>
      <c r="X634" s="25" t="s">
        <v>1749</v>
      </c>
      <c r="Y634" s="25" t="s">
        <v>1750</v>
      </c>
      <c r="Z634" s="26">
        <v>40753</v>
      </c>
      <c r="AA634" s="776">
        <v>150</v>
      </c>
      <c r="AB634" s="776">
        <v>0</v>
      </c>
      <c r="AC634" s="776">
        <v>0</v>
      </c>
      <c r="AD634" s="776">
        <v>0</v>
      </c>
      <c r="AE634" s="777">
        <v>401</v>
      </c>
      <c r="AF634" s="777">
        <v>401</v>
      </c>
      <c r="AG634" s="778">
        <v>436.40577240225775</v>
      </c>
    </row>
    <row r="635" spans="1:33" x14ac:dyDescent="0.2">
      <c r="A635" s="15">
        <f t="shared" si="79"/>
        <v>2011</v>
      </c>
      <c r="B635" s="14">
        <f t="shared" si="80"/>
        <v>7</v>
      </c>
      <c r="C635" s="13" t="str">
        <f t="shared" si="81"/>
        <v>Q3</v>
      </c>
      <c r="D635" s="13" t="str">
        <f t="shared" si="82"/>
        <v>2011Q3</v>
      </c>
      <c r="E635" s="13" t="str">
        <f t="shared" si="83"/>
        <v>Brazil</v>
      </c>
      <c r="F635" s="13" t="str">
        <f t="shared" si="86"/>
        <v>Wind</v>
      </c>
      <c r="G635" s="13" t="str">
        <f t="shared" si="85"/>
        <v>Corporate finance investments</v>
      </c>
      <c r="H635" s="638">
        <f t="shared" si="84"/>
        <v>252.26647890983381</v>
      </c>
      <c r="I635" s="24" t="s">
        <v>506</v>
      </c>
      <c r="J635" s="25" t="s">
        <v>211</v>
      </c>
      <c r="K635" s="25" t="s">
        <v>2435</v>
      </c>
      <c r="L635" s="25" t="s">
        <v>547</v>
      </c>
      <c r="M635" s="25" t="s">
        <v>31</v>
      </c>
      <c r="N635" s="25" t="s">
        <v>31</v>
      </c>
      <c r="O635" s="25" t="s">
        <v>92</v>
      </c>
      <c r="P635" s="25" t="s">
        <v>83</v>
      </c>
      <c r="Q635" s="25" t="s">
        <v>82</v>
      </c>
      <c r="R635" s="25" t="s">
        <v>91</v>
      </c>
      <c r="S635" s="25" t="s">
        <v>101</v>
      </c>
      <c r="T635" s="25" t="s">
        <v>101</v>
      </c>
      <c r="U635" s="25" t="s">
        <v>112</v>
      </c>
      <c r="V635" s="25">
        <v>0</v>
      </c>
      <c r="W635" s="25" t="s">
        <v>31</v>
      </c>
      <c r="X635" s="25" t="s">
        <v>552</v>
      </c>
      <c r="Y635" s="25" t="s">
        <v>551</v>
      </c>
      <c r="Z635" s="26">
        <v>40732</v>
      </c>
      <c r="AA635" s="776" t="s">
        <v>1823</v>
      </c>
      <c r="AB635" s="776">
        <v>0</v>
      </c>
      <c r="AC635" s="776">
        <v>231.8</v>
      </c>
      <c r="AD635" s="776">
        <v>884.6</v>
      </c>
      <c r="AE635" s="777">
        <v>231.8</v>
      </c>
      <c r="AF635" s="777">
        <v>231.8</v>
      </c>
      <c r="AG635" s="778">
        <v>252.26647890983381</v>
      </c>
    </row>
    <row r="636" spans="1:33" x14ac:dyDescent="0.2">
      <c r="A636" s="15">
        <f t="shared" si="79"/>
        <v>2011</v>
      </c>
      <c r="B636" s="14">
        <f t="shared" si="80"/>
        <v>7</v>
      </c>
      <c r="C636" s="13" t="str">
        <f t="shared" si="81"/>
        <v>Q3</v>
      </c>
      <c r="D636" s="13" t="str">
        <f t="shared" si="82"/>
        <v>2011Q3</v>
      </c>
      <c r="E636" s="13" t="str">
        <f t="shared" si="83"/>
        <v>Mexico</v>
      </c>
      <c r="F636" s="13" t="str">
        <f t="shared" si="86"/>
        <v>Wind</v>
      </c>
      <c r="G636" s="13" t="str">
        <f t="shared" si="85"/>
        <v>Asset finance investments</v>
      </c>
      <c r="H636" s="638">
        <f t="shared" si="84"/>
        <v>174.12699148219761</v>
      </c>
      <c r="I636" s="24" t="s">
        <v>506</v>
      </c>
      <c r="J636" s="25" t="s">
        <v>246</v>
      </c>
      <c r="K636" s="25" t="s">
        <v>2436</v>
      </c>
      <c r="L636" s="25" t="s">
        <v>2437</v>
      </c>
      <c r="M636" s="25" t="s">
        <v>18</v>
      </c>
      <c r="N636" s="25" t="s">
        <v>85</v>
      </c>
      <c r="O636" s="25" t="s">
        <v>92</v>
      </c>
      <c r="P636" s="25" t="s">
        <v>83</v>
      </c>
      <c r="Q636" s="25" t="s">
        <v>129</v>
      </c>
      <c r="R636" s="25"/>
      <c r="S636" s="25" t="s">
        <v>101</v>
      </c>
      <c r="T636" s="25" t="s">
        <v>101</v>
      </c>
      <c r="U636" s="25" t="s">
        <v>112</v>
      </c>
      <c r="V636" s="25">
        <v>0</v>
      </c>
      <c r="W636" s="25" t="s">
        <v>553</v>
      </c>
      <c r="X636" s="25" t="s">
        <v>1752</v>
      </c>
      <c r="Y636" s="25" t="s">
        <v>1753</v>
      </c>
      <c r="Z636" s="26">
        <v>40733</v>
      </c>
      <c r="AA636" s="776">
        <v>74</v>
      </c>
      <c r="AB636" s="776">
        <v>0</v>
      </c>
      <c r="AC636" s="776">
        <v>0</v>
      </c>
      <c r="AD636" s="776">
        <v>0</v>
      </c>
      <c r="AE636" s="777">
        <v>160</v>
      </c>
      <c r="AF636" s="777">
        <v>160</v>
      </c>
      <c r="AG636" s="778">
        <v>174.12699148219761</v>
      </c>
    </row>
    <row r="637" spans="1:33" x14ac:dyDescent="0.2">
      <c r="A637" s="15">
        <f t="shared" si="79"/>
        <v>2011</v>
      </c>
      <c r="B637" s="14">
        <f t="shared" si="80"/>
        <v>7</v>
      </c>
      <c r="C637" s="13" t="str">
        <f t="shared" si="81"/>
        <v>Q3</v>
      </c>
      <c r="D637" s="13" t="str">
        <f t="shared" si="82"/>
        <v>2011Q3</v>
      </c>
      <c r="E637" s="13" t="str">
        <f t="shared" si="83"/>
        <v>Brazil</v>
      </c>
      <c r="F637" s="13" t="str">
        <f t="shared" si="86"/>
        <v>Biofuels</v>
      </c>
      <c r="G637" s="13" t="str">
        <f t="shared" si="85"/>
        <v>Asset finance investments</v>
      </c>
      <c r="H637" s="638">
        <f t="shared" si="84"/>
        <v>173.03869778543387</v>
      </c>
      <c r="I637" s="24" t="s">
        <v>506</v>
      </c>
      <c r="J637" s="25" t="s">
        <v>246</v>
      </c>
      <c r="K637" s="25" t="s">
        <v>2438</v>
      </c>
      <c r="L637" s="25" t="s">
        <v>2439</v>
      </c>
      <c r="M637" s="25" t="s">
        <v>31</v>
      </c>
      <c r="N637" s="25" t="s">
        <v>31</v>
      </c>
      <c r="O637" s="25" t="s">
        <v>92</v>
      </c>
      <c r="P637" s="25" t="s">
        <v>83</v>
      </c>
      <c r="Q637" s="25" t="s">
        <v>82</v>
      </c>
      <c r="R637" s="25" t="s">
        <v>91</v>
      </c>
      <c r="S637" s="25" t="s">
        <v>96</v>
      </c>
      <c r="T637" s="25" t="s">
        <v>96</v>
      </c>
      <c r="U637" s="25" t="s">
        <v>98</v>
      </c>
      <c r="V637" s="25" t="s">
        <v>230</v>
      </c>
      <c r="W637" s="25" t="s">
        <v>553</v>
      </c>
      <c r="X637" s="25" t="s">
        <v>1752</v>
      </c>
      <c r="Y637" s="25" t="s">
        <v>1753</v>
      </c>
      <c r="Z637" s="26">
        <v>40731</v>
      </c>
      <c r="AA637" s="776">
        <v>0</v>
      </c>
      <c r="AB637" s="776">
        <v>120</v>
      </c>
      <c r="AC637" s="776">
        <v>0</v>
      </c>
      <c r="AD637" s="776">
        <v>0</v>
      </c>
      <c r="AE637" s="777">
        <v>159</v>
      </c>
      <c r="AF637" s="777">
        <v>159</v>
      </c>
      <c r="AG637" s="778">
        <v>173.03869778543387</v>
      </c>
    </row>
    <row r="638" spans="1:33" x14ac:dyDescent="0.2">
      <c r="A638" s="15">
        <f t="shared" si="79"/>
        <v>2011</v>
      </c>
      <c r="B638" s="14">
        <f t="shared" si="80"/>
        <v>9</v>
      </c>
      <c r="C638" s="13" t="str">
        <f t="shared" si="81"/>
        <v>Q3</v>
      </c>
      <c r="D638" s="13" t="str">
        <f t="shared" si="82"/>
        <v>2011Q3</v>
      </c>
      <c r="E638" s="13" t="str">
        <f t="shared" si="83"/>
        <v>Chile</v>
      </c>
      <c r="F638" s="13" t="str">
        <f t="shared" si="86"/>
        <v>Wind</v>
      </c>
      <c r="G638" s="13" t="str">
        <f t="shared" si="85"/>
        <v>Asset finance investments</v>
      </c>
      <c r="H638" s="638">
        <f t="shared" si="84"/>
        <v>152.36111754692291</v>
      </c>
      <c r="I638" s="24" t="s">
        <v>506</v>
      </c>
      <c r="J638" s="25" t="s">
        <v>246</v>
      </c>
      <c r="K638" s="25" t="s">
        <v>2440</v>
      </c>
      <c r="L638" s="25" t="s">
        <v>725</v>
      </c>
      <c r="M638" s="25" t="s">
        <v>8</v>
      </c>
      <c r="N638" s="25" t="s">
        <v>85</v>
      </c>
      <c r="O638" s="25" t="s">
        <v>92</v>
      </c>
      <c r="P638" s="25" t="s">
        <v>83</v>
      </c>
      <c r="Q638" s="25" t="s">
        <v>129</v>
      </c>
      <c r="R638" s="25"/>
      <c r="S638" s="25" t="s">
        <v>101</v>
      </c>
      <c r="T638" s="25" t="s">
        <v>101</v>
      </c>
      <c r="U638" s="25" t="s">
        <v>112</v>
      </c>
      <c r="V638" s="25">
        <v>0</v>
      </c>
      <c r="W638" s="25" t="s">
        <v>553</v>
      </c>
      <c r="X638" s="25" t="s">
        <v>1752</v>
      </c>
      <c r="Y638" s="25" t="s">
        <v>1753</v>
      </c>
      <c r="Z638" s="26">
        <v>40801</v>
      </c>
      <c r="AA638" s="776">
        <v>100</v>
      </c>
      <c r="AB638" s="776">
        <v>0</v>
      </c>
      <c r="AC638" s="776">
        <v>0</v>
      </c>
      <c r="AD638" s="776">
        <v>0</v>
      </c>
      <c r="AE638" s="777">
        <v>0</v>
      </c>
      <c r="AF638" s="777">
        <v>140</v>
      </c>
      <c r="AG638" s="778">
        <v>152.36111754692291</v>
      </c>
    </row>
    <row r="639" spans="1:33" x14ac:dyDescent="0.2">
      <c r="A639" s="15">
        <f t="shared" si="79"/>
        <v>2011</v>
      </c>
      <c r="B639" s="14">
        <f t="shared" si="80"/>
        <v>7</v>
      </c>
      <c r="C639" s="13" t="str">
        <f t="shared" si="81"/>
        <v>Q3</v>
      </c>
      <c r="D639" s="13" t="str">
        <f t="shared" si="82"/>
        <v>2011Q3</v>
      </c>
      <c r="E639" s="13" t="str">
        <f t="shared" si="83"/>
        <v>Brazil</v>
      </c>
      <c r="F639" s="13" t="str">
        <f t="shared" si="86"/>
        <v>Biofuels</v>
      </c>
      <c r="G639" s="13" t="str">
        <f t="shared" si="85"/>
        <v>Asset finance investments</v>
      </c>
      <c r="H639" s="638">
        <f t="shared" si="84"/>
        <v>141.47818057928555</v>
      </c>
      <c r="I639" s="24" t="s">
        <v>506</v>
      </c>
      <c r="J639" s="25" t="s">
        <v>246</v>
      </c>
      <c r="K639" s="25" t="s">
        <v>2441</v>
      </c>
      <c r="L639" s="25" t="s">
        <v>688</v>
      </c>
      <c r="M639" s="25" t="s">
        <v>31</v>
      </c>
      <c r="N639" s="25" t="s">
        <v>31</v>
      </c>
      <c r="O639" s="25" t="s">
        <v>92</v>
      </c>
      <c r="P639" s="25" t="s">
        <v>83</v>
      </c>
      <c r="Q639" s="25" t="s">
        <v>82</v>
      </c>
      <c r="R639" s="25" t="s">
        <v>91</v>
      </c>
      <c r="S639" s="25" t="s">
        <v>96</v>
      </c>
      <c r="T639" s="25" t="s">
        <v>96</v>
      </c>
      <c r="U639" s="25" t="s">
        <v>98</v>
      </c>
      <c r="V639" s="25" t="s">
        <v>230</v>
      </c>
      <c r="W639" s="25" t="s">
        <v>553</v>
      </c>
      <c r="X639" s="25" t="s">
        <v>1749</v>
      </c>
      <c r="Y639" s="25" t="s">
        <v>1750</v>
      </c>
      <c r="Z639" s="26">
        <v>40737</v>
      </c>
      <c r="AA639" s="776">
        <v>0</v>
      </c>
      <c r="AB639" s="776">
        <v>0</v>
      </c>
      <c r="AC639" s="776">
        <v>0</v>
      </c>
      <c r="AD639" s="776">
        <v>0</v>
      </c>
      <c r="AE639" s="777">
        <v>130</v>
      </c>
      <c r="AF639" s="777">
        <v>130</v>
      </c>
      <c r="AG639" s="778">
        <v>141.47818057928555</v>
      </c>
    </row>
    <row r="640" spans="1:33" x14ac:dyDescent="0.2">
      <c r="A640" s="15">
        <f t="shared" si="79"/>
        <v>2011</v>
      </c>
      <c r="B640" s="14">
        <f t="shared" si="80"/>
        <v>9</v>
      </c>
      <c r="C640" s="13" t="str">
        <f t="shared" si="81"/>
        <v>Q3</v>
      </c>
      <c r="D640" s="13" t="str">
        <f t="shared" si="82"/>
        <v>2011Q3</v>
      </c>
      <c r="E640" s="13" t="str">
        <f t="shared" si="83"/>
        <v>Honduras</v>
      </c>
      <c r="F640" s="13" t="str">
        <f t="shared" si="86"/>
        <v>Small Hydro</v>
      </c>
      <c r="G640" s="13" t="str">
        <f t="shared" si="85"/>
        <v>Asset finance investments</v>
      </c>
      <c r="H640" s="638">
        <f t="shared" si="84"/>
        <v>137.12500579223061</v>
      </c>
      <c r="I640" s="24" t="s">
        <v>506</v>
      </c>
      <c r="J640" s="25" t="s">
        <v>246</v>
      </c>
      <c r="K640" s="25" t="s">
        <v>2442</v>
      </c>
      <c r="L640" s="25" t="s">
        <v>778</v>
      </c>
      <c r="M640" s="25" t="s">
        <v>16</v>
      </c>
      <c r="N640" s="25" t="s">
        <v>85</v>
      </c>
      <c r="O640" s="25" t="s">
        <v>92</v>
      </c>
      <c r="P640" s="25" t="s">
        <v>83</v>
      </c>
      <c r="Q640" s="25" t="s">
        <v>82</v>
      </c>
      <c r="R640" s="25"/>
      <c r="S640" s="25" t="s">
        <v>126</v>
      </c>
      <c r="T640" s="25" t="s">
        <v>125</v>
      </c>
      <c r="U640" s="25" t="s">
        <v>342</v>
      </c>
      <c r="V640" s="25">
        <v>0</v>
      </c>
      <c r="W640" s="25" t="s">
        <v>553</v>
      </c>
      <c r="X640" s="25" t="s">
        <v>1749</v>
      </c>
      <c r="Y640" s="25" t="s">
        <v>1750</v>
      </c>
      <c r="Z640" s="26">
        <v>40813</v>
      </c>
      <c r="AA640" s="776">
        <v>38.5</v>
      </c>
      <c r="AB640" s="776">
        <v>0</v>
      </c>
      <c r="AC640" s="776">
        <v>0</v>
      </c>
      <c r="AD640" s="776">
        <v>0</v>
      </c>
      <c r="AE640" s="777">
        <v>126</v>
      </c>
      <c r="AF640" s="777">
        <v>126</v>
      </c>
      <c r="AG640" s="778">
        <v>137.12500579223061</v>
      </c>
    </row>
    <row r="641" spans="1:33" x14ac:dyDescent="0.2">
      <c r="A641" s="15">
        <f t="shared" si="79"/>
        <v>2011</v>
      </c>
      <c r="B641" s="14">
        <f t="shared" si="80"/>
        <v>7</v>
      </c>
      <c r="C641" s="13" t="str">
        <f t="shared" si="81"/>
        <v>Q3</v>
      </c>
      <c r="D641" s="13" t="str">
        <f t="shared" si="82"/>
        <v>2011Q3</v>
      </c>
      <c r="E641" s="13" t="str">
        <f t="shared" si="83"/>
        <v>Brazil</v>
      </c>
      <c r="F641" s="13" t="str">
        <f t="shared" si="86"/>
        <v>Small Hydro</v>
      </c>
      <c r="G641" s="13" t="str">
        <f t="shared" si="85"/>
        <v>Asset finance investments</v>
      </c>
      <c r="H641" s="638">
        <f t="shared" si="84"/>
        <v>109.26468715507902</v>
      </c>
      <c r="I641" s="24" t="s">
        <v>506</v>
      </c>
      <c r="J641" s="25" t="s">
        <v>246</v>
      </c>
      <c r="K641" s="25" t="s">
        <v>2443</v>
      </c>
      <c r="L641" s="25" t="s">
        <v>739</v>
      </c>
      <c r="M641" s="25" t="s">
        <v>31</v>
      </c>
      <c r="N641" s="25" t="s">
        <v>31</v>
      </c>
      <c r="O641" s="25" t="s">
        <v>92</v>
      </c>
      <c r="P641" s="25" t="s">
        <v>83</v>
      </c>
      <c r="Q641" s="25" t="s">
        <v>82</v>
      </c>
      <c r="R641" s="25" t="s">
        <v>91</v>
      </c>
      <c r="S641" s="25" t="s">
        <v>126</v>
      </c>
      <c r="T641" s="25" t="s">
        <v>125</v>
      </c>
      <c r="U641" s="25" t="s">
        <v>247</v>
      </c>
      <c r="V641" s="25">
        <v>0</v>
      </c>
      <c r="W641" s="25" t="s">
        <v>553</v>
      </c>
      <c r="X641" s="25" t="s">
        <v>1749</v>
      </c>
      <c r="Y641" s="25" t="s">
        <v>1750</v>
      </c>
      <c r="Z641" s="26">
        <v>40743</v>
      </c>
      <c r="AA641" s="776">
        <v>25</v>
      </c>
      <c r="AB641" s="776">
        <v>0</v>
      </c>
      <c r="AC641" s="776">
        <v>0</v>
      </c>
      <c r="AD641" s="776">
        <v>0</v>
      </c>
      <c r="AE641" s="777">
        <v>100.4</v>
      </c>
      <c r="AF641" s="777">
        <v>100.4</v>
      </c>
      <c r="AG641" s="778">
        <v>109.26468715507902</v>
      </c>
    </row>
    <row r="642" spans="1:33" x14ac:dyDescent="0.2">
      <c r="A642" s="15">
        <f t="shared" si="79"/>
        <v>2011</v>
      </c>
      <c r="B642" s="14">
        <f t="shared" si="80"/>
        <v>9</v>
      </c>
      <c r="C642" s="13" t="str">
        <f t="shared" si="81"/>
        <v>Q3</v>
      </c>
      <c r="D642" s="13" t="str">
        <f t="shared" si="82"/>
        <v>2011Q3</v>
      </c>
      <c r="E642" s="13" t="str">
        <f t="shared" si="83"/>
        <v>Panama</v>
      </c>
      <c r="F642" s="13" t="str">
        <f t="shared" si="86"/>
        <v>Small Hydro</v>
      </c>
      <c r="G642" s="13" t="str">
        <f t="shared" si="85"/>
        <v>Asset finance investments</v>
      </c>
      <c r="H642" s="638">
        <f t="shared" si="84"/>
        <v>78.465975536665283</v>
      </c>
      <c r="I642" s="24" t="s">
        <v>506</v>
      </c>
      <c r="J642" s="25" t="s">
        <v>246</v>
      </c>
      <c r="K642" s="25" t="s">
        <v>2444</v>
      </c>
      <c r="L642" s="25" t="s">
        <v>2445</v>
      </c>
      <c r="M642" s="25" t="s">
        <v>19</v>
      </c>
      <c r="N642" s="25" t="s">
        <v>85</v>
      </c>
      <c r="O642" s="25" t="s">
        <v>92</v>
      </c>
      <c r="P642" s="25" t="s">
        <v>83</v>
      </c>
      <c r="Q642" s="25" t="s">
        <v>82</v>
      </c>
      <c r="R642" s="25"/>
      <c r="S642" s="25" t="s">
        <v>126</v>
      </c>
      <c r="T642" s="25" t="s">
        <v>125</v>
      </c>
      <c r="U642" s="25" t="s">
        <v>247</v>
      </c>
      <c r="V642" s="25">
        <v>0</v>
      </c>
      <c r="W642" s="25" t="s">
        <v>553</v>
      </c>
      <c r="X642" s="25" t="s">
        <v>1752</v>
      </c>
      <c r="Y642" s="25" t="s">
        <v>1753</v>
      </c>
      <c r="Z642" s="26">
        <v>40787</v>
      </c>
      <c r="AA642" s="776">
        <v>28.84</v>
      </c>
      <c r="AB642" s="776">
        <v>0</v>
      </c>
      <c r="AC642" s="776">
        <v>0</v>
      </c>
      <c r="AD642" s="776">
        <v>0</v>
      </c>
      <c r="AE642" s="777">
        <v>0</v>
      </c>
      <c r="AF642" s="777">
        <v>72.099999999999994</v>
      </c>
      <c r="AG642" s="778">
        <v>78.465975536665283</v>
      </c>
    </row>
    <row r="643" spans="1:33" x14ac:dyDescent="0.2">
      <c r="A643" s="15">
        <f t="shared" si="79"/>
        <v>2011</v>
      </c>
      <c r="B643" s="14">
        <f t="shared" si="80"/>
        <v>7</v>
      </c>
      <c r="C643" s="13" t="str">
        <f t="shared" si="81"/>
        <v>Q3</v>
      </c>
      <c r="D643" s="13" t="str">
        <f t="shared" si="82"/>
        <v>2011Q3</v>
      </c>
      <c r="E643" s="13" t="str">
        <f t="shared" si="83"/>
        <v>Argentina</v>
      </c>
      <c r="F643" s="13" t="str">
        <f t="shared" si="86"/>
        <v>Biofuels</v>
      </c>
      <c r="G643" s="13" t="str">
        <f t="shared" si="85"/>
        <v>Asset finance investments</v>
      </c>
      <c r="H643" s="638">
        <f t="shared" si="84"/>
        <v>76.180558773461456</v>
      </c>
      <c r="I643" s="24" t="s">
        <v>506</v>
      </c>
      <c r="J643" s="25" t="s">
        <v>246</v>
      </c>
      <c r="K643" s="25" t="s">
        <v>2446</v>
      </c>
      <c r="L643" s="25" t="s">
        <v>807</v>
      </c>
      <c r="M643" s="25" t="s">
        <v>4</v>
      </c>
      <c r="N643" s="25" t="s">
        <v>85</v>
      </c>
      <c r="O643" s="25" t="s">
        <v>92</v>
      </c>
      <c r="P643" s="25" t="s">
        <v>83</v>
      </c>
      <c r="Q643" s="25" t="s">
        <v>82</v>
      </c>
      <c r="R643" s="25"/>
      <c r="S643" s="25" t="s">
        <v>96</v>
      </c>
      <c r="T643" s="25" t="s">
        <v>96</v>
      </c>
      <c r="U643" s="25" t="s">
        <v>95</v>
      </c>
      <c r="V643" s="25" t="s">
        <v>223</v>
      </c>
      <c r="W643" s="25" t="s">
        <v>553</v>
      </c>
      <c r="X643" s="25" t="s">
        <v>1752</v>
      </c>
      <c r="Y643" s="25" t="s">
        <v>1753</v>
      </c>
      <c r="Z643" s="26">
        <v>40743</v>
      </c>
      <c r="AA643" s="776">
        <v>0</v>
      </c>
      <c r="AB643" s="776">
        <v>261.89999999999998</v>
      </c>
      <c r="AC643" s="776">
        <v>0</v>
      </c>
      <c r="AD643" s="776">
        <v>0</v>
      </c>
      <c r="AE643" s="777">
        <v>70</v>
      </c>
      <c r="AF643" s="777">
        <v>70</v>
      </c>
      <c r="AG643" s="778">
        <v>76.180558773461456</v>
      </c>
    </row>
    <row r="644" spans="1:33" x14ac:dyDescent="0.2">
      <c r="A644" s="15">
        <f t="shared" si="79"/>
        <v>2011</v>
      </c>
      <c r="B644" s="14">
        <f t="shared" si="80"/>
        <v>9</v>
      </c>
      <c r="C644" s="13" t="str">
        <f t="shared" si="81"/>
        <v>Q3</v>
      </c>
      <c r="D644" s="13" t="str">
        <f t="shared" si="82"/>
        <v>2011Q3</v>
      </c>
      <c r="E644" s="13" t="str">
        <f t="shared" si="83"/>
        <v>Brazil</v>
      </c>
      <c r="F644" s="13" t="str">
        <f t="shared" si="86"/>
        <v>Wind</v>
      </c>
      <c r="G644" s="13" t="str">
        <f t="shared" si="85"/>
        <v>Asset finance investments</v>
      </c>
      <c r="H644" s="638">
        <f t="shared" si="84"/>
        <v>71.283237138024646</v>
      </c>
      <c r="I644" s="24" t="s">
        <v>506</v>
      </c>
      <c r="J644" s="25" t="s">
        <v>246</v>
      </c>
      <c r="K644" s="25" t="s">
        <v>2447</v>
      </c>
      <c r="L644" s="25" t="s">
        <v>2448</v>
      </c>
      <c r="M644" s="25" t="s">
        <v>31</v>
      </c>
      <c r="N644" s="25" t="s">
        <v>31</v>
      </c>
      <c r="O644" s="25" t="s">
        <v>92</v>
      </c>
      <c r="P644" s="25" t="s">
        <v>83</v>
      </c>
      <c r="Q644" s="25" t="s">
        <v>82</v>
      </c>
      <c r="R644" s="25" t="s">
        <v>91</v>
      </c>
      <c r="S644" s="25" t="s">
        <v>101</v>
      </c>
      <c r="T644" s="25" t="s">
        <v>101</v>
      </c>
      <c r="U644" s="25" t="s">
        <v>112</v>
      </c>
      <c r="V644" s="25">
        <v>0</v>
      </c>
      <c r="W644" s="25" t="s">
        <v>553</v>
      </c>
      <c r="X644" s="25" t="s">
        <v>1749</v>
      </c>
      <c r="Y644" s="25" t="s">
        <v>1750</v>
      </c>
      <c r="Z644" s="26">
        <v>40806</v>
      </c>
      <c r="AA644" s="776">
        <v>28.8</v>
      </c>
      <c r="AB644" s="776">
        <v>0</v>
      </c>
      <c r="AC644" s="776">
        <v>0</v>
      </c>
      <c r="AD644" s="776">
        <v>0</v>
      </c>
      <c r="AE644" s="777">
        <v>65.5</v>
      </c>
      <c r="AF644" s="777">
        <v>65.5</v>
      </c>
      <c r="AG644" s="778">
        <v>71.283237138024646</v>
      </c>
    </row>
    <row r="645" spans="1:33" x14ac:dyDescent="0.2">
      <c r="A645" s="15">
        <f t="shared" ref="A645:A708" si="87">IF(K645="","",IF(AND(YEAR(Z645)&lt;2004,YEAR(Z645)&gt;1910),2004,YEAR(Z645)))</f>
        <v>2011</v>
      </c>
      <c r="B645" s="14">
        <f t="shared" ref="B645:B708" si="88">IF(K645="","",IF(ISNUMBER(Z645),MONTH(Z645),0))</f>
        <v>7</v>
      </c>
      <c r="C645" s="13" t="str">
        <f t="shared" ref="C645:C708" si="89">IF(K645="","",IF(AND(B645&gt;=1,B645&lt;=3),"Q1",IF(AND(B645&gt;3,B645&lt;=6),"Q2",IF(AND(B645&gt;6,B645&lt;=9),"Q3",IF(AND(B645&gt;9,B645&lt;=12),"Q4",0)))))</f>
        <v>Q3</v>
      </c>
      <c r="D645" s="13" t="str">
        <f t="shared" ref="D645:D708" si="90">IF(A645&lt;2006, "&lt; 2006", A645&amp;C645)</f>
        <v>2011Q3</v>
      </c>
      <c r="E645" s="13" t="str">
        <f t="shared" ref="E645:E708" si="91">IF(K645="","", M645)</f>
        <v>Venezuela</v>
      </c>
      <c r="F645" s="13" t="str">
        <f t="shared" si="86"/>
        <v>Biofuels</v>
      </c>
      <c r="G645" s="13" t="str">
        <f t="shared" si="85"/>
        <v>Asset finance investments</v>
      </c>
      <c r="H645" s="638">
        <f t="shared" ref="H645:H708" si="92">IF(K645="","",AG645)</f>
        <v>70.739090289642775</v>
      </c>
      <c r="I645" s="24" t="s">
        <v>506</v>
      </c>
      <c r="J645" s="25" t="s">
        <v>246</v>
      </c>
      <c r="K645" s="25" t="s">
        <v>2449</v>
      </c>
      <c r="L645" s="25" t="s">
        <v>2450</v>
      </c>
      <c r="M645" s="25" t="s">
        <v>23</v>
      </c>
      <c r="N645" s="25" t="s">
        <v>85</v>
      </c>
      <c r="O645" s="25" t="s">
        <v>92</v>
      </c>
      <c r="P645" s="25" t="s">
        <v>83</v>
      </c>
      <c r="Q645" s="25" t="s">
        <v>82</v>
      </c>
      <c r="R645" s="25"/>
      <c r="S645" s="25" t="s">
        <v>96</v>
      </c>
      <c r="T645" s="25" t="s">
        <v>96</v>
      </c>
      <c r="U645" s="25" t="s">
        <v>98</v>
      </c>
      <c r="V645" s="25" t="s">
        <v>230</v>
      </c>
      <c r="W645" s="25" t="s">
        <v>553</v>
      </c>
      <c r="X645" s="25" t="s">
        <v>1752</v>
      </c>
      <c r="Y645" s="25" t="s">
        <v>1753</v>
      </c>
      <c r="Z645" s="26">
        <v>40731</v>
      </c>
      <c r="AA645" s="776">
        <v>50</v>
      </c>
      <c r="AB645" s="776">
        <v>130</v>
      </c>
      <c r="AC645" s="776">
        <v>0</v>
      </c>
      <c r="AD645" s="776">
        <v>0</v>
      </c>
      <c r="AE645" s="777">
        <v>0</v>
      </c>
      <c r="AF645" s="777">
        <v>65</v>
      </c>
      <c r="AG645" s="778">
        <v>70.739090289642775</v>
      </c>
    </row>
    <row r="646" spans="1:33" x14ac:dyDescent="0.2">
      <c r="A646" s="15">
        <f t="shared" si="87"/>
        <v>2011</v>
      </c>
      <c r="B646" s="14">
        <f t="shared" si="88"/>
        <v>8</v>
      </c>
      <c r="C646" s="13" t="str">
        <f t="shared" si="89"/>
        <v>Q3</v>
      </c>
      <c r="D646" s="13" t="str">
        <f t="shared" si="90"/>
        <v>2011Q3</v>
      </c>
      <c r="E646" s="13" t="str">
        <f t="shared" si="91"/>
        <v>Brazil</v>
      </c>
      <c r="F646" s="13" t="str">
        <f t="shared" si="86"/>
        <v>Small Hydro</v>
      </c>
      <c r="G646" s="13" t="str">
        <f t="shared" ref="G646:G709" si="93">IF(K646="","",IF(OR(J646="PM",J646="MA"), "Corporate finance investments", IF(J646="VCPE", "VC/PE investments", IF(J646="AF", "Asset finance investments"))))</f>
        <v>Asset finance investments</v>
      </c>
      <c r="H646" s="638">
        <f t="shared" si="92"/>
        <v>61.270935127798282</v>
      </c>
      <c r="I646" s="24" t="s">
        <v>506</v>
      </c>
      <c r="J646" s="25" t="s">
        <v>246</v>
      </c>
      <c r="K646" s="25" t="s">
        <v>2451</v>
      </c>
      <c r="L646" s="25" t="s">
        <v>731</v>
      </c>
      <c r="M646" s="25" t="s">
        <v>31</v>
      </c>
      <c r="N646" s="25" t="s">
        <v>31</v>
      </c>
      <c r="O646" s="25" t="s">
        <v>92</v>
      </c>
      <c r="P646" s="25" t="s">
        <v>83</v>
      </c>
      <c r="Q646" s="25" t="s">
        <v>82</v>
      </c>
      <c r="R646" s="25" t="s">
        <v>91</v>
      </c>
      <c r="S646" s="25" t="s">
        <v>126</v>
      </c>
      <c r="T646" s="25" t="s">
        <v>125</v>
      </c>
      <c r="U646" s="25" t="s">
        <v>247</v>
      </c>
      <c r="V646" s="25">
        <v>0</v>
      </c>
      <c r="W646" s="25" t="s">
        <v>553</v>
      </c>
      <c r="X646" s="25" t="s">
        <v>1752</v>
      </c>
      <c r="Y646" s="25" t="s">
        <v>1753</v>
      </c>
      <c r="Z646" s="26">
        <v>40785</v>
      </c>
      <c r="AA646" s="776">
        <v>22.5</v>
      </c>
      <c r="AB646" s="776">
        <v>0</v>
      </c>
      <c r="AC646" s="776">
        <v>0</v>
      </c>
      <c r="AD646" s="776">
        <v>0</v>
      </c>
      <c r="AE646" s="777">
        <v>0</v>
      </c>
      <c r="AF646" s="777">
        <v>56.3</v>
      </c>
      <c r="AG646" s="778">
        <v>61.270935127798282</v>
      </c>
    </row>
    <row r="647" spans="1:33" x14ac:dyDescent="0.2">
      <c r="A647" s="15">
        <f t="shared" si="87"/>
        <v>2011</v>
      </c>
      <c r="B647" s="14">
        <f t="shared" si="88"/>
        <v>8</v>
      </c>
      <c r="C647" s="13" t="str">
        <f t="shared" si="89"/>
        <v>Q3</v>
      </c>
      <c r="D647" s="13" t="str">
        <f t="shared" si="90"/>
        <v>2011Q3</v>
      </c>
      <c r="E647" s="13" t="str">
        <f t="shared" si="91"/>
        <v>Brazil</v>
      </c>
      <c r="F647" s="13" t="str">
        <f t="shared" ref="F647:F710" si="94">IF(K647="","",IF(OR(T647="Wind",T647="Solar",T647="Geothermal",T647="Small Hydro",T647="Biofuels",T647="Biomass &amp; Waste"),T647,"Other Clean Energy"))</f>
        <v>Biomass &amp; Waste</v>
      </c>
      <c r="G647" s="13" t="str">
        <f t="shared" si="93"/>
        <v>Asset finance investments</v>
      </c>
      <c r="H647" s="638">
        <f t="shared" si="92"/>
        <v>60.726788279416418</v>
      </c>
      <c r="I647" s="24" t="s">
        <v>506</v>
      </c>
      <c r="J647" s="25" t="s">
        <v>246</v>
      </c>
      <c r="K647" s="25" t="s">
        <v>2452</v>
      </c>
      <c r="L647" s="25" t="s">
        <v>2453</v>
      </c>
      <c r="M647" s="25" t="s">
        <v>31</v>
      </c>
      <c r="N647" s="25" t="s">
        <v>31</v>
      </c>
      <c r="O647" s="25" t="s">
        <v>92</v>
      </c>
      <c r="P647" s="25" t="s">
        <v>83</v>
      </c>
      <c r="Q647" s="25" t="s">
        <v>82</v>
      </c>
      <c r="R647" s="25" t="s">
        <v>91</v>
      </c>
      <c r="S647" s="25" t="s">
        <v>114</v>
      </c>
      <c r="T647" s="25" t="s">
        <v>114</v>
      </c>
      <c r="U647" s="25" t="s">
        <v>113</v>
      </c>
      <c r="V647" s="25" t="s">
        <v>347</v>
      </c>
      <c r="W647" s="25" t="s">
        <v>553</v>
      </c>
      <c r="X647" s="25" t="s">
        <v>1752</v>
      </c>
      <c r="Y647" s="25" t="s">
        <v>1753</v>
      </c>
      <c r="Z647" s="26">
        <v>40771</v>
      </c>
      <c r="AA647" s="776">
        <v>20</v>
      </c>
      <c r="AB647" s="776">
        <v>0</v>
      </c>
      <c r="AC647" s="776">
        <v>0</v>
      </c>
      <c r="AD647" s="776">
        <v>0</v>
      </c>
      <c r="AE647" s="777">
        <v>0</v>
      </c>
      <c r="AF647" s="777">
        <v>55.8</v>
      </c>
      <c r="AG647" s="778">
        <v>60.726788279416418</v>
      </c>
    </row>
    <row r="648" spans="1:33" x14ac:dyDescent="0.2">
      <c r="A648" s="15">
        <f t="shared" si="87"/>
        <v>2011</v>
      </c>
      <c r="B648" s="14">
        <f t="shared" si="88"/>
        <v>8</v>
      </c>
      <c r="C648" s="13" t="str">
        <f t="shared" si="89"/>
        <v>Q3</v>
      </c>
      <c r="D648" s="13" t="str">
        <f t="shared" si="90"/>
        <v>2011Q3</v>
      </c>
      <c r="E648" s="13" t="str">
        <f t="shared" si="91"/>
        <v>Brazil</v>
      </c>
      <c r="F648" s="13" t="str">
        <f t="shared" si="94"/>
        <v>Small Hydro</v>
      </c>
      <c r="G648" s="13" t="str">
        <f t="shared" si="93"/>
        <v>Asset finance investments</v>
      </c>
      <c r="H648" s="638">
        <f t="shared" si="92"/>
        <v>51.693950596277418</v>
      </c>
      <c r="I648" s="24" t="s">
        <v>506</v>
      </c>
      <c r="J648" s="25" t="s">
        <v>246</v>
      </c>
      <c r="K648" s="25" t="s">
        <v>2454</v>
      </c>
      <c r="L648" s="25" t="s">
        <v>727</v>
      </c>
      <c r="M648" s="25" t="s">
        <v>31</v>
      </c>
      <c r="N648" s="25" t="s">
        <v>31</v>
      </c>
      <c r="O648" s="25" t="s">
        <v>92</v>
      </c>
      <c r="P648" s="25" t="s">
        <v>83</v>
      </c>
      <c r="Q648" s="25" t="s">
        <v>82</v>
      </c>
      <c r="R648" s="25" t="s">
        <v>91</v>
      </c>
      <c r="S648" s="25" t="s">
        <v>126</v>
      </c>
      <c r="T648" s="25" t="s">
        <v>125</v>
      </c>
      <c r="U648" s="25" t="s">
        <v>247</v>
      </c>
      <c r="V648" s="25">
        <v>0</v>
      </c>
      <c r="W648" s="25" t="s">
        <v>553</v>
      </c>
      <c r="X648" s="25" t="s">
        <v>1752</v>
      </c>
      <c r="Y648" s="25" t="s">
        <v>1753</v>
      </c>
      <c r="Z648" s="26">
        <v>40785</v>
      </c>
      <c r="AA648" s="776">
        <v>19</v>
      </c>
      <c r="AB648" s="776">
        <v>0</v>
      </c>
      <c r="AC648" s="776">
        <v>0</v>
      </c>
      <c r="AD648" s="776">
        <v>0</v>
      </c>
      <c r="AE648" s="777">
        <v>0</v>
      </c>
      <c r="AF648" s="777">
        <v>47.5</v>
      </c>
      <c r="AG648" s="778">
        <v>51.693950596277418</v>
      </c>
    </row>
    <row r="649" spans="1:33" x14ac:dyDescent="0.2">
      <c r="A649" s="15">
        <f t="shared" si="87"/>
        <v>2011</v>
      </c>
      <c r="B649" s="14">
        <f t="shared" si="88"/>
        <v>8</v>
      </c>
      <c r="C649" s="13" t="str">
        <f t="shared" si="89"/>
        <v>Q3</v>
      </c>
      <c r="D649" s="13" t="str">
        <f t="shared" si="90"/>
        <v>2011Q3</v>
      </c>
      <c r="E649" s="13" t="str">
        <f t="shared" si="91"/>
        <v>Brazil</v>
      </c>
      <c r="F649" s="13" t="str">
        <f t="shared" si="94"/>
        <v>Small Hydro</v>
      </c>
      <c r="G649" s="13" t="str">
        <f t="shared" si="93"/>
        <v>Asset finance investments</v>
      </c>
      <c r="H649" s="638">
        <f t="shared" si="92"/>
        <v>50.823315638866433</v>
      </c>
      <c r="I649" s="24" t="s">
        <v>506</v>
      </c>
      <c r="J649" s="25" t="s">
        <v>246</v>
      </c>
      <c r="K649" s="25" t="s">
        <v>2455</v>
      </c>
      <c r="L649" s="25" t="s">
        <v>732</v>
      </c>
      <c r="M649" s="25" t="s">
        <v>31</v>
      </c>
      <c r="N649" s="25" t="s">
        <v>31</v>
      </c>
      <c r="O649" s="25" t="s">
        <v>92</v>
      </c>
      <c r="P649" s="25" t="s">
        <v>83</v>
      </c>
      <c r="Q649" s="25" t="s">
        <v>82</v>
      </c>
      <c r="R649" s="25" t="s">
        <v>91</v>
      </c>
      <c r="S649" s="25" t="s">
        <v>126</v>
      </c>
      <c r="T649" s="25" t="s">
        <v>125</v>
      </c>
      <c r="U649" s="25" t="s">
        <v>247</v>
      </c>
      <c r="V649" s="25">
        <v>0</v>
      </c>
      <c r="W649" s="25" t="s">
        <v>553</v>
      </c>
      <c r="X649" s="25" t="s">
        <v>1752</v>
      </c>
      <c r="Y649" s="25" t="s">
        <v>1753</v>
      </c>
      <c r="Z649" s="26">
        <v>40785</v>
      </c>
      <c r="AA649" s="776">
        <v>18.7</v>
      </c>
      <c r="AB649" s="776">
        <v>0</v>
      </c>
      <c r="AC649" s="776">
        <v>0</v>
      </c>
      <c r="AD649" s="776">
        <v>0</v>
      </c>
      <c r="AE649" s="777">
        <v>0</v>
      </c>
      <c r="AF649" s="777">
        <v>46.7</v>
      </c>
      <c r="AG649" s="778">
        <v>50.823315638866433</v>
      </c>
    </row>
    <row r="650" spans="1:33" x14ac:dyDescent="0.2">
      <c r="A650" s="15">
        <f t="shared" si="87"/>
        <v>2011</v>
      </c>
      <c r="B650" s="14">
        <f t="shared" si="88"/>
        <v>9</v>
      </c>
      <c r="C650" s="13" t="str">
        <f t="shared" si="89"/>
        <v>Q3</v>
      </c>
      <c r="D650" s="13" t="str">
        <f t="shared" si="90"/>
        <v>2011Q3</v>
      </c>
      <c r="E650" s="13" t="str">
        <f t="shared" si="91"/>
        <v>Chile</v>
      </c>
      <c r="F650" s="13" t="str">
        <f t="shared" si="94"/>
        <v>Biomass &amp; Waste</v>
      </c>
      <c r="G650" s="13" t="str">
        <f t="shared" si="93"/>
        <v>Asset finance investments</v>
      </c>
      <c r="H650" s="638">
        <f t="shared" si="92"/>
        <v>45.708335264076872</v>
      </c>
      <c r="I650" s="24" t="s">
        <v>506</v>
      </c>
      <c r="J650" s="25" t="s">
        <v>246</v>
      </c>
      <c r="K650" s="25" t="s">
        <v>2456</v>
      </c>
      <c r="L650" s="25" t="s">
        <v>690</v>
      </c>
      <c r="M650" s="25" t="s">
        <v>8</v>
      </c>
      <c r="N650" s="25" t="s">
        <v>85</v>
      </c>
      <c r="O650" s="25" t="s">
        <v>92</v>
      </c>
      <c r="P650" s="25" t="s">
        <v>83</v>
      </c>
      <c r="Q650" s="25" t="s">
        <v>129</v>
      </c>
      <c r="R650" s="25"/>
      <c r="S650" s="25" t="s">
        <v>114</v>
      </c>
      <c r="T650" s="25" t="s">
        <v>114</v>
      </c>
      <c r="U650" s="25" t="s">
        <v>113</v>
      </c>
      <c r="V650" s="25" t="s">
        <v>347</v>
      </c>
      <c r="W650" s="25" t="s">
        <v>553</v>
      </c>
      <c r="X650" s="25" t="s">
        <v>1752</v>
      </c>
      <c r="Y650" s="25" t="s">
        <v>1753</v>
      </c>
      <c r="Z650" s="26">
        <v>40816</v>
      </c>
      <c r="AA650" s="776">
        <v>25</v>
      </c>
      <c r="AB650" s="776">
        <v>0</v>
      </c>
      <c r="AC650" s="776">
        <v>0</v>
      </c>
      <c r="AD650" s="776">
        <v>0</v>
      </c>
      <c r="AE650" s="777">
        <v>42</v>
      </c>
      <c r="AF650" s="777">
        <v>42</v>
      </c>
      <c r="AG650" s="778">
        <v>45.708335264076872</v>
      </c>
    </row>
    <row r="651" spans="1:33" x14ac:dyDescent="0.2">
      <c r="A651" s="15">
        <f t="shared" si="87"/>
        <v>2011</v>
      </c>
      <c r="B651" s="14">
        <f t="shared" si="88"/>
        <v>8</v>
      </c>
      <c r="C651" s="13" t="str">
        <f t="shared" si="89"/>
        <v>Q3</v>
      </c>
      <c r="D651" s="13" t="str">
        <f t="shared" si="90"/>
        <v>2011Q3</v>
      </c>
      <c r="E651" s="13" t="str">
        <f t="shared" si="91"/>
        <v>Mexico</v>
      </c>
      <c r="F651" s="13" t="str">
        <f t="shared" si="94"/>
        <v>Wind</v>
      </c>
      <c r="G651" s="13" t="str">
        <f t="shared" si="93"/>
        <v>Asset finance investments</v>
      </c>
      <c r="H651" s="638">
        <f t="shared" si="92"/>
        <v>43.880001853513797</v>
      </c>
      <c r="I651" s="24" t="s">
        <v>506</v>
      </c>
      <c r="J651" s="25" t="s">
        <v>246</v>
      </c>
      <c r="K651" s="25" t="s">
        <v>2457</v>
      </c>
      <c r="L651" s="25" t="s">
        <v>2458</v>
      </c>
      <c r="M651" s="25" t="s">
        <v>18</v>
      </c>
      <c r="N651" s="25" t="s">
        <v>85</v>
      </c>
      <c r="O651" s="25" t="s">
        <v>92</v>
      </c>
      <c r="P651" s="25" t="s">
        <v>83</v>
      </c>
      <c r="Q651" s="25" t="s">
        <v>129</v>
      </c>
      <c r="R651" s="25"/>
      <c r="S651" s="25" t="s">
        <v>101</v>
      </c>
      <c r="T651" s="25" t="s">
        <v>101</v>
      </c>
      <c r="U651" s="25" t="s">
        <v>112</v>
      </c>
      <c r="V651" s="25">
        <v>0</v>
      </c>
      <c r="W651" s="25" t="s">
        <v>553</v>
      </c>
      <c r="X651" s="25" t="s">
        <v>1752</v>
      </c>
      <c r="Y651" s="25" t="s">
        <v>1753</v>
      </c>
      <c r="Z651" s="26">
        <v>40773</v>
      </c>
      <c r="AA651" s="776">
        <v>28.8</v>
      </c>
      <c r="AB651" s="776">
        <v>0</v>
      </c>
      <c r="AC651" s="776">
        <v>0</v>
      </c>
      <c r="AD651" s="776">
        <v>0</v>
      </c>
      <c r="AE651" s="777">
        <v>0</v>
      </c>
      <c r="AF651" s="777">
        <v>40.32</v>
      </c>
      <c r="AG651" s="778">
        <v>43.880001853513797</v>
      </c>
    </row>
    <row r="652" spans="1:33" x14ac:dyDescent="0.2">
      <c r="A652" s="15">
        <f t="shared" si="87"/>
        <v>2011</v>
      </c>
      <c r="B652" s="14">
        <f t="shared" si="88"/>
        <v>8</v>
      </c>
      <c r="C652" s="13" t="str">
        <f t="shared" si="89"/>
        <v>Q3</v>
      </c>
      <c r="D652" s="13" t="str">
        <f t="shared" si="90"/>
        <v>2011Q3</v>
      </c>
      <c r="E652" s="13" t="str">
        <f t="shared" si="91"/>
        <v>Brazil</v>
      </c>
      <c r="F652" s="13" t="str">
        <f t="shared" si="94"/>
        <v>Biomass &amp; Waste</v>
      </c>
      <c r="G652" s="13" t="str">
        <f t="shared" si="93"/>
        <v>Asset finance investments</v>
      </c>
      <c r="H652" s="638">
        <f t="shared" si="92"/>
        <v>42.769942282814789</v>
      </c>
      <c r="I652" s="24" t="s">
        <v>506</v>
      </c>
      <c r="J652" s="25" t="s">
        <v>246</v>
      </c>
      <c r="K652" s="25" t="s">
        <v>2459</v>
      </c>
      <c r="L652" s="25" t="s">
        <v>734</v>
      </c>
      <c r="M652" s="25" t="s">
        <v>31</v>
      </c>
      <c r="N652" s="25" t="s">
        <v>31</v>
      </c>
      <c r="O652" s="25" t="s">
        <v>92</v>
      </c>
      <c r="P652" s="25" t="s">
        <v>83</v>
      </c>
      <c r="Q652" s="25" t="s">
        <v>82</v>
      </c>
      <c r="R652" s="25" t="s">
        <v>91</v>
      </c>
      <c r="S652" s="25" t="s">
        <v>114</v>
      </c>
      <c r="T652" s="25" t="s">
        <v>114</v>
      </c>
      <c r="U652" s="25" t="s">
        <v>113</v>
      </c>
      <c r="V652" s="25" t="s">
        <v>347</v>
      </c>
      <c r="W652" s="25" t="s">
        <v>553</v>
      </c>
      <c r="X652" s="25" t="s">
        <v>1752</v>
      </c>
      <c r="Y652" s="25" t="s">
        <v>1753</v>
      </c>
      <c r="Z652" s="26">
        <v>40773</v>
      </c>
      <c r="AA652" s="776">
        <v>30</v>
      </c>
      <c r="AB652" s="776">
        <v>0</v>
      </c>
      <c r="AC652" s="776">
        <v>0</v>
      </c>
      <c r="AD652" s="776">
        <v>0</v>
      </c>
      <c r="AE652" s="777">
        <v>39.299999999999997</v>
      </c>
      <c r="AF652" s="777">
        <v>39.299999999999997</v>
      </c>
      <c r="AG652" s="778">
        <v>42.769942282814789</v>
      </c>
    </row>
    <row r="653" spans="1:33" x14ac:dyDescent="0.2">
      <c r="A653" s="15">
        <f t="shared" si="87"/>
        <v>2011</v>
      </c>
      <c r="B653" s="14">
        <f t="shared" si="88"/>
        <v>8</v>
      </c>
      <c r="C653" s="13" t="str">
        <f t="shared" si="89"/>
        <v>Q3</v>
      </c>
      <c r="D653" s="13" t="str">
        <f t="shared" si="90"/>
        <v>2011Q3</v>
      </c>
      <c r="E653" s="13" t="str">
        <f t="shared" si="91"/>
        <v>Brazil</v>
      </c>
      <c r="F653" s="13" t="str">
        <f t="shared" si="94"/>
        <v>Biofuels</v>
      </c>
      <c r="G653" s="13" t="str">
        <f t="shared" si="93"/>
        <v>Asset finance investments</v>
      </c>
      <c r="H653" s="638">
        <f t="shared" si="92"/>
        <v>42.443454173785668</v>
      </c>
      <c r="I653" s="24" t="s">
        <v>506</v>
      </c>
      <c r="J653" s="25" t="s">
        <v>246</v>
      </c>
      <c r="K653" s="25" t="s">
        <v>2460</v>
      </c>
      <c r="L653" s="25" t="s">
        <v>2461</v>
      </c>
      <c r="M653" s="25" t="s">
        <v>31</v>
      </c>
      <c r="N653" s="25" t="s">
        <v>31</v>
      </c>
      <c r="O653" s="25" t="s">
        <v>92</v>
      </c>
      <c r="P653" s="25" t="s">
        <v>83</v>
      </c>
      <c r="Q653" s="25" t="s">
        <v>82</v>
      </c>
      <c r="R653" s="25" t="s">
        <v>91</v>
      </c>
      <c r="S653" s="25" t="s">
        <v>96</v>
      </c>
      <c r="T653" s="25" t="s">
        <v>96</v>
      </c>
      <c r="U653" s="25" t="s">
        <v>98</v>
      </c>
      <c r="V653" s="25" t="s">
        <v>230</v>
      </c>
      <c r="W653" s="25" t="s">
        <v>553</v>
      </c>
      <c r="X653" s="25" t="s">
        <v>1752</v>
      </c>
      <c r="Y653" s="25" t="s">
        <v>1753</v>
      </c>
      <c r="Z653" s="26">
        <v>40786</v>
      </c>
      <c r="AA653" s="776">
        <v>0</v>
      </c>
      <c r="AB653" s="776">
        <v>0</v>
      </c>
      <c r="AC653" s="776">
        <v>0</v>
      </c>
      <c r="AD653" s="776">
        <v>0</v>
      </c>
      <c r="AE653" s="777">
        <v>39</v>
      </c>
      <c r="AF653" s="777">
        <v>39</v>
      </c>
      <c r="AG653" s="778">
        <v>42.443454173785668</v>
      </c>
    </row>
    <row r="654" spans="1:33" x14ac:dyDescent="0.2">
      <c r="A654" s="15">
        <f t="shared" si="87"/>
        <v>2011</v>
      </c>
      <c r="B654" s="14">
        <f t="shared" si="88"/>
        <v>8</v>
      </c>
      <c r="C654" s="13" t="str">
        <f t="shared" si="89"/>
        <v>Q3</v>
      </c>
      <c r="D654" s="13" t="str">
        <f t="shared" si="90"/>
        <v>2011Q3</v>
      </c>
      <c r="E654" s="13" t="str">
        <f t="shared" si="91"/>
        <v>Ecuador</v>
      </c>
      <c r="F654" s="13" t="str">
        <f t="shared" si="94"/>
        <v>Wind</v>
      </c>
      <c r="G654" s="13" t="str">
        <f t="shared" si="93"/>
        <v>Asset finance investments</v>
      </c>
      <c r="H654" s="638">
        <f t="shared" si="92"/>
        <v>37.001985689966986</v>
      </c>
      <c r="I654" s="24" t="s">
        <v>506</v>
      </c>
      <c r="J654" s="25" t="s">
        <v>246</v>
      </c>
      <c r="K654" s="25" t="s">
        <v>2462</v>
      </c>
      <c r="L654" s="25" t="s">
        <v>1185</v>
      </c>
      <c r="M654" s="25" t="s">
        <v>12</v>
      </c>
      <c r="N654" s="25" t="s">
        <v>85</v>
      </c>
      <c r="O654" s="25" t="s">
        <v>92</v>
      </c>
      <c r="P654" s="25" t="s">
        <v>83</v>
      </c>
      <c r="Q654" s="25" t="s">
        <v>82</v>
      </c>
      <c r="R654" s="25"/>
      <c r="S654" s="25" t="s">
        <v>101</v>
      </c>
      <c r="T654" s="25" t="s">
        <v>101</v>
      </c>
      <c r="U654" s="25" t="s">
        <v>112</v>
      </c>
      <c r="V654" s="25">
        <v>0</v>
      </c>
      <c r="W654" s="25" t="s">
        <v>553</v>
      </c>
      <c r="X654" s="25" t="s">
        <v>1752</v>
      </c>
      <c r="Y654" s="25" t="s">
        <v>1753</v>
      </c>
      <c r="Z654" s="26">
        <v>40778</v>
      </c>
      <c r="AA654" s="776">
        <v>16.5</v>
      </c>
      <c r="AB654" s="776">
        <v>0</v>
      </c>
      <c r="AC654" s="776">
        <v>0</v>
      </c>
      <c r="AD654" s="776">
        <v>0</v>
      </c>
      <c r="AE654" s="777">
        <v>34</v>
      </c>
      <c r="AF654" s="777">
        <v>34</v>
      </c>
      <c r="AG654" s="778">
        <v>37.001985689966986</v>
      </c>
    </row>
    <row r="655" spans="1:33" x14ac:dyDescent="0.2">
      <c r="A655" s="15">
        <f t="shared" si="87"/>
        <v>2011</v>
      </c>
      <c r="B655" s="14">
        <f t="shared" si="88"/>
        <v>9</v>
      </c>
      <c r="C655" s="13" t="str">
        <f t="shared" si="89"/>
        <v>Q3</v>
      </c>
      <c r="D655" s="13" t="str">
        <f t="shared" si="90"/>
        <v>2011Q3</v>
      </c>
      <c r="E655" s="13" t="str">
        <f t="shared" si="91"/>
        <v>Brazil</v>
      </c>
      <c r="F655" s="13" t="str">
        <f t="shared" si="94"/>
        <v>Wind</v>
      </c>
      <c r="G655" s="13" t="str">
        <f t="shared" si="93"/>
        <v>Asset finance investments</v>
      </c>
      <c r="H655" s="638">
        <f t="shared" si="92"/>
        <v>35.369545144821387</v>
      </c>
      <c r="I655" s="24" t="s">
        <v>506</v>
      </c>
      <c r="J655" s="25" t="s">
        <v>246</v>
      </c>
      <c r="K655" s="25" t="s">
        <v>2463</v>
      </c>
      <c r="L655" s="25" t="s">
        <v>733</v>
      </c>
      <c r="M655" s="25" t="s">
        <v>31</v>
      </c>
      <c r="N655" s="25" t="s">
        <v>31</v>
      </c>
      <c r="O655" s="25" t="s">
        <v>92</v>
      </c>
      <c r="P655" s="25" t="s">
        <v>83</v>
      </c>
      <c r="Q655" s="25" t="s">
        <v>82</v>
      </c>
      <c r="R655" s="25" t="s">
        <v>91</v>
      </c>
      <c r="S655" s="25" t="s">
        <v>101</v>
      </c>
      <c r="T655" s="25" t="s">
        <v>101</v>
      </c>
      <c r="U655" s="25" t="s">
        <v>112</v>
      </c>
      <c r="V655" s="25">
        <v>0</v>
      </c>
      <c r="W655" s="25" t="s">
        <v>553</v>
      </c>
      <c r="X655" s="25" t="s">
        <v>1771</v>
      </c>
      <c r="Y655" s="25" t="s">
        <v>1750</v>
      </c>
      <c r="Z655" s="26">
        <v>40806</v>
      </c>
      <c r="AA655" s="776">
        <v>86.4</v>
      </c>
      <c r="AB655" s="776">
        <v>0</v>
      </c>
      <c r="AC655" s="776">
        <v>0</v>
      </c>
      <c r="AD655" s="776">
        <v>0</v>
      </c>
      <c r="AE655" s="777">
        <v>32.5</v>
      </c>
      <c r="AF655" s="777">
        <v>32.5</v>
      </c>
      <c r="AG655" s="778">
        <v>35.369545144821387</v>
      </c>
    </row>
    <row r="656" spans="1:33" x14ac:dyDescent="0.2">
      <c r="A656" s="15">
        <f t="shared" si="87"/>
        <v>2011</v>
      </c>
      <c r="B656" s="14">
        <f t="shared" si="88"/>
        <v>8</v>
      </c>
      <c r="C656" s="13" t="str">
        <f t="shared" si="89"/>
        <v>Q3</v>
      </c>
      <c r="D656" s="13" t="str">
        <f t="shared" si="90"/>
        <v>2011Q3</v>
      </c>
      <c r="E656" s="13" t="str">
        <f t="shared" si="91"/>
        <v>Brazil</v>
      </c>
      <c r="F656" s="13" t="str">
        <f t="shared" si="94"/>
        <v>Biofuels</v>
      </c>
      <c r="G656" s="13" t="str">
        <f t="shared" si="93"/>
        <v>Asset finance investments</v>
      </c>
      <c r="H656" s="638">
        <f t="shared" si="92"/>
        <v>34.281251448057645</v>
      </c>
      <c r="I656" s="24" t="s">
        <v>506</v>
      </c>
      <c r="J656" s="25" t="s">
        <v>246</v>
      </c>
      <c r="K656" s="25" t="s">
        <v>2464</v>
      </c>
      <c r="L656" s="25" t="s">
        <v>2465</v>
      </c>
      <c r="M656" s="25" t="s">
        <v>31</v>
      </c>
      <c r="N656" s="25" t="s">
        <v>31</v>
      </c>
      <c r="O656" s="25" t="s">
        <v>92</v>
      </c>
      <c r="P656" s="25" t="s">
        <v>83</v>
      </c>
      <c r="Q656" s="25" t="s">
        <v>82</v>
      </c>
      <c r="R656" s="25" t="s">
        <v>91</v>
      </c>
      <c r="S656" s="25" t="s">
        <v>96</v>
      </c>
      <c r="T656" s="25" t="s">
        <v>96</v>
      </c>
      <c r="U656" s="25" t="s">
        <v>95</v>
      </c>
      <c r="V656" s="25" t="s">
        <v>223</v>
      </c>
      <c r="W656" s="25" t="s">
        <v>553</v>
      </c>
      <c r="X656" s="25" t="s">
        <v>1752</v>
      </c>
      <c r="Y656" s="25" t="s">
        <v>1753</v>
      </c>
      <c r="Z656" s="26">
        <v>40773</v>
      </c>
      <c r="AA656" s="776">
        <v>0</v>
      </c>
      <c r="AB656" s="776">
        <v>90</v>
      </c>
      <c r="AC656" s="776">
        <v>0</v>
      </c>
      <c r="AD656" s="776">
        <v>0</v>
      </c>
      <c r="AE656" s="777">
        <v>0</v>
      </c>
      <c r="AF656" s="777">
        <v>31.499999999999996</v>
      </c>
      <c r="AG656" s="778">
        <v>34.281251448057645</v>
      </c>
    </row>
    <row r="657" spans="1:33" x14ac:dyDescent="0.2">
      <c r="A657" s="15">
        <f t="shared" si="87"/>
        <v>2011</v>
      </c>
      <c r="B657" s="14">
        <f t="shared" si="88"/>
        <v>8</v>
      </c>
      <c r="C657" s="13" t="str">
        <f t="shared" si="89"/>
        <v>Q3</v>
      </c>
      <c r="D657" s="13" t="str">
        <f t="shared" si="90"/>
        <v>2011Q3</v>
      </c>
      <c r="E657" s="13" t="str">
        <f t="shared" si="91"/>
        <v>Brazil</v>
      </c>
      <c r="F657" s="13" t="str">
        <f t="shared" si="94"/>
        <v>Small Hydro</v>
      </c>
      <c r="G657" s="13" t="str">
        <f t="shared" si="93"/>
        <v>Asset finance investments</v>
      </c>
      <c r="H657" s="638">
        <f t="shared" si="92"/>
        <v>32.648810902912054</v>
      </c>
      <c r="I657" s="24" t="s">
        <v>506</v>
      </c>
      <c r="J657" s="25" t="s">
        <v>246</v>
      </c>
      <c r="K657" s="25" t="s">
        <v>2466</v>
      </c>
      <c r="L657" s="25" t="s">
        <v>730</v>
      </c>
      <c r="M657" s="25" t="s">
        <v>31</v>
      </c>
      <c r="N657" s="25" t="s">
        <v>31</v>
      </c>
      <c r="O657" s="25" t="s">
        <v>92</v>
      </c>
      <c r="P657" s="25" t="s">
        <v>83</v>
      </c>
      <c r="Q657" s="25" t="s">
        <v>82</v>
      </c>
      <c r="R657" s="25" t="s">
        <v>91</v>
      </c>
      <c r="S657" s="25" t="s">
        <v>126</v>
      </c>
      <c r="T657" s="25" t="s">
        <v>125</v>
      </c>
      <c r="U657" s="25" t="s">
        <v>247</v>
      </c>
      <c r="V657" s="25">
        <v>0</v>
      </c>
      <c r="W657" s="25" t="s">
        <v>553</v>
      </c>
      <c r="X657" s="25" t="s">
        <v>1752</v>
      </c>
      <c r="Y657" s="25" t="s">
        <v>1753</v>
      </c>
      <c r="Z657" s="26">
        <v>40785</v>
      </c>
      <c r="AA657" s="776">
        <v>12</v>
      </c>
      <c r="AB657" s="776">
        <v>0</v>
      </c>
      <c r="AC657" s="776">
        <v>0</v>
      </c>
      <c r="AD657" s="776">
        <v>0</v>
      </c>
      <c r="AE657" s="777">
        <v>0</v>
      </c>
      <c r="AF657" s="777">
        <v>30</v>
      </c>
      <c r="AG657" s="778">
        <v>32.648810902912054</v>
      </c>
    </row>
    <row r="658" spans="1:33" x14ac:dyDescent="0.2">
      <c r="A658" s="15">
        <f t="shared" si="87"/>
        <v>2011</v>
      </c>
      <c r="B658" s="14">
        <f t="shared" si="88"/>
        <v>8</v>
      </c>
      <c r="C658" s="13" t="str">
        <f t="shared" si="89"/>
        <v>Q3</v>
      </c>
      <c r="D658" s="13" t="str">
        <f t="shared" si="90"/>
        <v>2011Q3</v>
      </c>
      <c r="E658" s="13" t="str">
        <f t="shared" si="91"/>
        <v>Brazil</v>
      </c>
      <c r="F658" s="13" t="str">
        <f t="shared" si="94"/>
        <v>Small Hydro</v>
      </c>
      <c r="G658" s="13" t="str">
        <f t="shared" si="93"/>
        <v>Asset finance investments</v>
      </c>
      <c r="H658" s="638">
        <f t="shared" si="92"/>
        <v>32.431152163559311</v>
      </c>
      <c r="I658" s="24" t="s">
        <v>506</v>
      </c>
      <c r="J658" s="25" t="s">
        <v>246</v>
      </c>
      <c r="K658" s="25" t="s">
        <v>2467</v>
      </c>
      <c r="L658" s="25" t="s">
        <v>729</v>
      </c>
      <c r="M658" s="25" t="s">
        <v>31</v>
      </c>
      <c r="N658" s="25" t="s">
        <v>31</v>
      </c>
      <c r="O658" s="25" t="s">
        <v>92</v>
      </c>
      <c r="P658" s="25" t="s">
        <v>83</v>
      </c>
      <c r="Q658" s="25" t="s">
        <v>82</v>
      </c>
      <c r="R658" s="25" t="s">
        <v>91</v>
      </c>
      <c r="S658" s="25" t="s">
        <v>126</v>
      </c>
      <c r="T658" s="25" t="s">
        <v>125</v>
      </c>
      <c r="U658" s="25" t="s">
        <v>247</v>
      </c>
      <c r="V658" s="25">
        <v>0</v>
      </c>
      <c r="W658" s="25" t="s">
        <v>553</v>
      </c>
      <c r="X658" s="25" t="s">
        <v>1752</v>
      </c>
      <c r="Y658" s="25" t="s">
        <v>1753</v>
      </c>
      <c r="Z658" s="26">
        <v>40785</v>
      </c>
      <c r="AA658" s="776">
        <v>11.9</v>
      </c>
      <c r="AB658" s="776">
        <v>0</v>
      </c>
      <c r="AC658" s="776">
        <v>0</v>
      </c>
      <c r="AD658" s="776">
        <v>0</v>
      </c>
      <c r="AE658" s="777">
        <v>0</v>
      </c>
      <c r="AF658" s="777">
        <v>29.8</v>
      </c>
      <c r="AG658" s="778">
        <v>32.431152163559311</v>
      </c>
    </row>
    <row r="659" spans="1:33" x14ac:dyDescent="0.2">
      <c r="A659" s="15">
        <f t="shared" si="87"/>
        <v>2011</v>
      </c>
      <c r="B659" s="14">
        <f t="shared" si="88"/>
        <v>9</v>
      </c>
      <c r="C659" s="13" t="str">
        <f t="shared" si="89"/>
        <v>Q3</v>
      </c>
      <c r="D659" s="13" t="str">
        <f t="shared" si="90"/>
        <v>2011Q3</v>
      </c>
      <c r="E659" s="13" t="str">
        <f t="shared" si="91"/>
        <v>Brazil</v>
      </c>
      <c r="F659" s="13" t="str">
        <f t="shared" si="94"/>
        <v>Small Hydro</v>
      </c>
      <c r="G659" s="13" t="str">
        <f t="shared" si="93"/>
        <v>Asset finance investments</v>
      </c>
      <c r="H659" s="638">
        <f t="shared" si="92"/>
        <v>27.207342419093379</v>
      </c>
      <c r="I659" s="24" t="s">
        <v>506</v>
      </c>
      <c r="J659" s="25" t="s">
        <v>246</v>
      </c>
      <c r="K659" s="25" t="s">
        <v>2468</v>
      </c>
      <c r="L659" s="25" t="s">
        <v>705</v>
      </c>
      <c r="M659" s="25" t="s">
        <v>31</v>
      </c>
      <c r="N659" s="25" t="s">
        <v>31</v>
      </c>
      <c r="O659" s="25" t="s">
        <v>92</v>
      </c>
      <c r="P659" s="25" t="s">
        <v>83</v>
      </c>
      <c r="Q659" s="25" t="s">
        <v>82</v>
      </c>
      <c r="R659" s="25" t="s">
        <v>91</v>
      </c>
      <c r="S659" s="25" t="s">
        <v>126</v>
      </c>
      <c r="T659" s="25" t="s">
        <v>125</v>
      </c>
      <c r="U659" s="25" t="s">
        <v>247</v>
      </c>
      <c r="V659" s="25">
        <v>0</v>
      </c>
      <c r="W659" s="25" t="s">
        <v>553</v>
      </c>
      <c r="X659" s="25" t="s">
        <v>1752</v>
      </c>
      <c r="Y659" s="25" t="s">
        <v>1753</v>
      </c>
      <c r="Z659" s="26">
        <v>40816</v>
      </c>
      <c r="AA659" s="776">
        <v>10</v>
      </c>
      <c r="AB659" s="776">
        <v>0</v>
      </c>
      <c r="AC659" s="776">
        <v>0</v>
      </c>
      <c r="AD659" s="776">
        <v>0</v>
      </c>
      <c r="AE659" s="777">
        <v>0</v>
      </c>
      <c r="AF659" s="777">
        <v>25</v>
      </c>
      <c r="AG659" s="778">
        <v>27.207342419093379</v>
      </c>
    </row>
    <row r="660" spans="1:33" x14ac:dyDescent="0.2">
      <c r="A660" s="15">
        <f t="shared" si="87"/>
        <v>2011</v>
      </c>
      <c r="B660" s="14">
        <f t="shared" si="88"/>
        <v>7</v>
      </c>
      <c r="C660" s="13" t="str">
        <f t="shared" si="89"/>
        <v>Q3</v>
      </c>
      <c r="D660" s="13" t="str">
        <f t="shared" si="90"/>
        <v>2011Q3</v>
      </c>
      <c r="E660" s="13" t="str">
        <f t="shared" si="91"/>
        <v>Uruguay</v>
      </c>
      <c r="F660" s="13" t="str">
        <f t="shared" si="94"/>
        <v>Biofuels</v>
      </c>
      <c r="G660" s="13" t="str">
        <f t="shared" si="93"/>
        <v>Asset finance investments</v>
      </c>
      <c r="H660" s="638">
        <f t="shared" si="92"/>
        <v>27.207342419093379</v>
      </c>
      <c r="I660" s="24" t="s">
        <v>506</v>
      </c>
      <c r="J660" s="25" t="s">
        <v>246</v>
      </c>
      <c r="K660" s="25" t="s">
        <v>2469</v>
      </c>
      <c r="L660" s="25" t="s">
        <v>2470</v>
      </c>
      <c r="M660" s="25" t="s">
        <v>22</v>
      </c>
      <c r="N660" s="25" t="s">
        <v>85</v>
      </c>
      <c r="O660" s="25" t="s">
        <v>92</v>
      </c>
      <c r="P660" s="25" t="s">
        <v>83</v>
      </c>
      <c r="Q660" s="25" t="s">
        <v>82</v>
      </c>
      <c r="R660" s="25"/>
      <c r="S660" s="25" t="s">
        <v>96</v>
      </c>
      <c r="T660" s="25" t="s">
        <v>96</v>
      </c>
      <c r="U660" s="25" t="s">
        <v>95</v>
      </c>
      <c r="V660" s="25" t="s">
        <v>223</v>
      </c>
      <c r="W660" s="25" t="s">
        <v>553</v>
      </c>
      <c r="X660" s="25" t="s">
        <v>1752</v>
      </c>
      <c r="Y660" s="25" t="s">
        <v>1753</v>
      </c>
      <c r="Z660" s="26">
        <v>40745</v>
      </c>
      <c r="AA660" s="776">
        <v>0</v>
      </c>
      <c r="AB660" s="776">
        <v>55</v>
      </c>
      <c r="AC660" s="776">
        <v>0</v>
      </c>
      <c r="AD660" s="776">
        <v>0</v>
      </c>
      <c r="AE660" s="777">
        <v>25</v>
      </c>
      <c r="AF660" s="777">
        <v>25</v>
      </c>
      <c r="AG660" s="778">
        <v>27.207342419093379</v>
      </c>
    </row>
    <row r="661" spans="1:33" x14ac:dyDescent="0.2">
      <c r="A661" s="15">
        <f t="shared" si="87"/>
        <v>2011</v>
      </c>
      <c r="B661" s="14">
        <f t="shared" si="88"/>
        <v>9</v>
      </c>
      <c r="C661" s="13" t="str">
        <f t="shared" si="89"/>
        <v>Q3</v>
      </c>
      <c r="D661" s="13" t="str">
        <f t="shared" si="90"/>
        <v>2011Q3</v>
      </c>
      <c r="E661" s="13" t="str">
        <f t="shared" si="91"/>
        <v>Brazil</v>
      </c>
      <c r="F661" s="13" t="str">
        <f t="shared" si="94"/>
        <v>Small Hydro</v>
      </c>
      <c r="G661" s="13" t="str">
        <f t="shared" si="93"/>
        <v>Asset finance investments</v>
      </c>
      <c r="H661" s="638">
        <f t="shared" si="92"/>
        <v>25.139584395242281</v>
      </c>
      <c r="I661" s="24" t="s">
        <v>506</v>
      </c>
      <c r="J661" s="25" t="s">
        <v>246</v>
      </c>
      <c r="K661" s="25" t="s">
        <v>2471</v>
      </c>
      <c r="L661" s="25" t="s">
        <v>719</v>
      </c>
      <c r="M661" s="25" t="s">
        <v>31</v>
      </c>
      <c r="N661" s="25" t="s">
        <v>31</v>
      </c>
      <c r="O661" s="25" t="s">
        <v>92</v>
      </c>
      <c r="P661" s="25" t="s">
        <v>83</v>
      </c>
      <c r="Q661" s="25" t="s">
        <v>82</v>
      </c>
      <c r="R661" s="25" t="s">
        <v>91</v>
      </c>
      <c r="S661" s="25" t="s">
        <v>126</v>
      </c>
      <c r="T661" s="25" t="s">
        <v>125</v>
      </c>
      <c r="U661" s="25" t="s">
        <v>247</v>
      </c>
      <c r="V661" s="25">
        <v>0</v>
      </c>
      <c r="W661" s="25" t="s">
        <v>553</v>
      </c>
      <c r="X661" s="25" t="s">
        <v>1752</v>
      </c>
      <c r="Y661" s="25" t="s">
        <v>1753</v>
      </c>
      <c r="Z661" s="26">
        <v>40794</v>
      </c>
      <c r="AA661" s="776">
        <v>9</v>
      </c>
      <c r="AB661" s="776">
        <v>0</v>
      </c>
      <c r="AC661" s="776">
        <v>0</v>
      </c>
      <c r="AD661" s="776">
        <v>0</v>
      </c>
      <c r="AE661" s="777">
        <v>23.1</v>
      </c>
      <c r="AF661" s="777">
        <v>23.1</v>
      </c>
      <c r="AG661" s="778">
        <v>25.139584395242281</v>
      </c>
    </row>
    <row r="662" spans="1:33" x14ac:dyDescent="0.2">
      <c r="A662" s="15">
        <f t="shared" si="87"/>
        <v>2011</v>
      </c>
      <c r="B662" s="14">
        <f t="shared" si="88"/>
        <v>7</v>
      </c>
      <c r="C662" s="13" t="str">
        <f t="shared" si="89"/>
        <v>Q3</v>
      </c>
      <c r="D662" s="13" t="str">
        <f t="shared" si="90"/>
        <v>2011Q3</v>
      </c>
      <c r="E662" s="13" t="str">
        <f t="shared" si="91"/>
        <v>Brazil</v>
      </c>
      <c r="F662" s="13" t="str">
        <f t="shared" si="94"/>
        <v>Biomass &amp; Waste</v>
      </c>
      <c r="G662" s="13" t="str">
        <f t="shared" si="93"/>
        <v>Asset finance investments</v>
      </c>
      <c r="H662" s="638">
        <f t="shared" si="92"/>
        <v>22.854167632038436</v>
      </c>
      <c r="I662" s="24" t="s">
        <v>506</v>
      </c>
      <c r="J662" s="25" t="s">
        <v>246</v>
      </c>
      <c r="K662" s="25" t="s">
        <v>2472</v>
      </c>
      <c r="L662" s="25" t="s">
        <v>2473</v>
      </c>
      <c r="M662" s="25" t="s">
        <v>31</v>
      </c>
      <c r="N662" s="25" t="s">
        <v>31</v>
      </c>
      <c r="O662" s="25" t="s">
        <v>92</v>
      </c>
      <c r="P662" s="25" t="s">
        <v>83</v>
      </c>
      <c r="Q662" s="25" t="s">
        <v>82</v>
      </c>
      <c r="R662" s="25" t="s">
        <v>91</v>
      </c>
      <c r="S662" s="25" t="s">
        <v>114</v>
      </c>
      <c r="T662" s="25" t="s">
        <v>114</v>
      </c>
      <c r="U662" s="25" t="s">
        <v>113</v>
      </c>
      <c r="V662" s="25" t="s">
        <v>685</v>
      </c>
      <c r="W662" s="25" t="s">
        <v>553</v>
      </c>
      <c r="X662" s="25" t="s">
        <v>1749</v>
      </c>
      <c r="Y662" s="25" t="s">
        <v>1750</v>
      </c>
      <c r="Z662" s="26">
        <v>40741</v>
      </c>
      <c r="AA662" s="776">
        <v>4</v>
      </c>
      <c r="AB662" s="776">
        <v>0</v>
      </c>
      <c r="AC662" s="776">
        <v>0</v>
      </c>
      <c r="AD662" s="776">
        <v>0</v>
      </c>
      <c r="AE662" s="777">
        <v>21</v>
      </c>
      <c r="AF662" s="777">
        <v>21</v>
      </c>
      <c r="AG662" s="778">
        <v>22.854167632038436</v>
      </c>
    </row>
    <row r="663" spans="1:33" x14ac:dyDescent="0.2">
      <c r="A663" s="15">
        <f t="shared" si="87"/>
        <v>2011</v>
      </c>
      <c r="B663" s="14">
        <f t="shared" si="88"/>
        <v>9</v>
      </c>
      <c r="C663" s="13" t="str">
        <f t="shared" si="89"/>
        <v>Q3</v>
      </c>
      <c r="D663" s="13" t="str">
        <f t="shared" si="90"/>
        <v>2011Q3</v>
      </c>
      <c r="E663" s="13" t="str">
        <f t="shared" si="91"/>
        <v>Brazil</v>
      </c>
      <c r="F663" s="13" t="str">
        <f t="shared" si="94"/>
        <v>Small Hydro</v>
      </c>
      <c r="G663" s="13" t="str">
        <f t="shared" si="93"/>
        <v>Asset finance investments</v>
      </c>
      <c r="H663" s="638">
        <f t="shared" si="92"/>
        <v>21.765873935274701</v>
      </c>
      <c r="I663" s="24" t="s">
        <v>506</v>
      </c>
      <c r="J663" s="25" t="s">
        <v>246</v>
      </c>
      <c r="K663" s="25" t="s">
        <v>2474</v>
      </c>
      <c r="L663" s="25" t="s">
        <v>717</v>
      </c>
      <c r="M663" s="25" t="s">
        <v>31</v>
      </c>
      <c r="N663" s="25" t="s">
        <v>31</v>
      </c>
      <c r="O663" s="25" t="s">
        <v>92</v>
      </c>
      <c r="P663" s="25" t="s">
        <v>83</v>
      </c>
      <c r="Q663" s="25" t="s">
        <v>82</v>
      </c>
      <c r="R663" s="25" t="s">
        <v>91</v>
      </c>
      <c r="S663" s="25" t="s">
        <v>126</v>
      </c>
      <c r="T663" s="25" t="s">
        <v>125</v>
      </c>
      <c r="U663" s="25" t="s">
        <v>247</v>
      </c>
      <c r="V663" s="25">
        <v>0</v>
      </c>
      <c r="W663" s="25" t="s">
        <v>553</v>
      </c>
      <c r="X663" s="25" t="s">
        <v>1752</v>
      </c>
      <c r="Y663" s="25" t="s">
        <v>1753</v>
      </c>
      <c r="Z663" s="26">
        <v>40794</v>
      </c>
      <c r="AA663" s="776">
        <v>8</v>
      </c>
      <c r="AB663" s="776">
        <v>0</v>
      </c>
      <c r="AC663" s="776">
        <v>0</v>
      </c>
      <c r="AD663" s="776">
        <v>0</v>
      </c>
      <c r="AE663" s="777">
        <v>0</v>
      </c>
      <c r="AF663" s="777">
        <v>20</v>
      </c>
      <c r="AG663" s="778">
        <v>21.765873935274701</v>
      </c>
    </row>
    <row r="664" spans="1:33" x14ac:dyDescent="0.2">
      <c r="A664" s="15">
        <f t="shared" si="87"/>
        <v>2011</v>
      </c>
      <c r="B664" s="14">
        <f t="shared" si="88"/>
        <v>8</v>
      </c>
      <c r="C664" s="13" t="str">
        <f t="shared" si="89"/>
        <v>Q3</v>
      </c>
      <c r="D664" s="13" t="str">
        <f t="shared" si="90"/>
        <v>2011Q3</v>
      </c>
      <c r="E664" s="13" t="str">
        <f t="shared" si="91"/>
        <v>Paraguay</v>
      </c>
      <c r="F664" s="13" t="str">
        <f t="shared" si="94"/>
        <v>Biofuels</v>
      </c>
      <c r="G664" s="13" t="str">
        <f t="shared" si="93"/>
        <v>Asset finance investments</v>
      </c>
      <c r="H664" s="638">
        <f t="shared" si="92"/>
        <v>20.459921499158217</v>
      </c>
      <c r="I664" s="24" t="s">
        <v>506</v>
      </c>
      <c r="J664" s="25" t="s">
        <v>246</v>
      </c>
      <c r="K664" s="25" t="s">
        <v>2475</v>
      </c>
      <c r="L664" s="25" t="s">
        <v>694</v>
      </c>
      <c r="M664" s="25" t="s">
        <v>3</v>
      </c>
      <c r="N664" s="25" t="s">
        <v>85</v>
      </c>
      <c r="O664" s="25" t="s">
        <v>92</v>
      </c>
      <c r="P664" s="25" t="s">
        <v>83</v>
      </c>
      <c r="Q664" s="25" t="s">
        <v>82</v>
      </c>
      <c r="R664" s="25"/>
      <c r="S664" s="25" t="s">
        <v>96</v>
      </c>
      <c r="T664" s="25" t="s">
        <v>96</v>
      </c>
      <c r="U664" s="25" t="s">
        <v>98</v>
      </c>
      <c r="V664" s="25" t="s">
        <v>230</v>
      </c>
      <c r="W664" s="25" t="s">
        <v>553</v>
      </c>
      <c r="X664" s="25" t="s">
        <v>1752</v>
      </c>
      <c r="Y664" s="25" t="s">
        <v>1753</v>
      </c>
      <c r="Z664" s="26">
        <v>40786</v>
      </c>
      <c r="AA664" s="776">
        <v>0</v>
      </c>
      <c r="AB664" s="776">
        <v>40</v>
      </c>
      <c r="AC664" s="776">
        <v>0</v>
      </c>
      <c r="AD664" s="776">
        <v>0</v>
      </c>
      <c r="AE664" s="777">
        <v>0</v>
      </c>
      <c r="AF664" s="777">
        <v>18.799999999999997</v>
      </c>
      <c r="AG664" s="778">
        <v>20.459921499158217</v>
      </c>
    </row>
    <row r="665" spans="1:33" x14ac:dyDescent="0.2">
      <c r="A665" s="15">
        <f t="shared" si="87"/>
        <v>2011</v>
      </c>
      <c r="B665" s="14">
        <f t="shared" si="88"/>
        <v>8</v>
      </c>
      <c r="C665" s="13" t="str">
        <f t="shared" si="89"/>
        <v>Q3</v>
      </c>
      <c r="D665" s="13" t="str">
        <f t="shared" si="90"/>
        <v>2011Q3</v>
      </c>
      <c r="E665" s="13" t="str">
        <f t="shared" si="91"/>
        <v>Colombia</v>
      </c>
      <c r="F665" s="13" t="str">
        <f t="shared" si="94"/>
        <v>Solar</v>
      </c>
      <c r="G665" s="13" t="str">
        <f t="shared" si="93"/>
        <v>Asset finance investments</v>
      </c>
      <c r="H665" s="638">
        <f t="shared" si="92"/>
        <v>18.718651584336243</v>
      </c>
      <c r="I665" s="24" t="s">
        <v>506</v>
      </c>
      <c r="J665" s="25" t="s">
        <v>246</v>
      </c>
      <c r="K665" s="25" t="s">
        <v>2476</v>
      </c>
      <c r="L665" s="25" t="s">
        <v>2477</v>
      </c>
      <c r="M665" s="25" t="s">
        <v>9</v>
      </c>
      <c r="N665" s="25" t="s">
        <v>85</v>
      </c>
      <c r="O665" s="25" t="s">
        <v>92</v>
      </c>
      <c r="P665" s="25" t="s">
        <v>83</v>
      </c>
      <c r="Q665" s="25" t="s">
        <v>82</v>
      </c>
      <c r="R665" s="25"/>
      <c r="S665" s="25" t="s">
        <v>80</v>
      </c>
      <c r="T665" s="25" t="s">
        <v>80</v>
      </c>
      <c r="U665" s="25" t="s">
        <v>181</v>
      </c>
      <c r="V665" s="25" t="s">
        <v>232</v>
      </c>
      <c r="W665" s="25" t="s">
        <v>553</v>
      </c>
      <c r="X665" s="25" t="s">
        <v>1752</v>
      </c>
      <c r="Y665" s="25" t="s">
        <v>1753</v>
      </c>
      <c r="Z665" s="26">
        <v>40771</v>
      </c>
      <c r="AA665" s="776">
        <v>4</v>
      </c>
      <c r="AB665" s="776">
        <v>0</v>
      </c>
      <c r="AC665" s="776">
        <v>0</v>
      </c>
      <c r="AD665" s="776">
        <v>0</v>
      </c>
      <c r="AE665" s="777">
        <v>0</v>
      </c>
      <c r="AF665" s="777">
        <v>17.2</v>
      </c>
      <c r="AG665" s="778">
        <v>18.718651584336243</v>
      </c>
    </row>
    <row r="666" spans="1:33" x14ac:dyDescent="0.2">
      <c r="A666" s="15">
        <f t="shared" si="87"/>
        <v>2011</v>
      </c>
      <c r="B666" s="14">
        <f t="shared" si="88"/>
        <v>7</v>
      </c>
      <c r="C666" s="13" t="str">
        <f t="shared" si="89"/>
        <v>Q3</v>
      </c>
      <c r="D666" s="13" t="str">
        <f t="shared" si="90"/>
        <v>2011Q3</v>
      </c>
      <c r="E666" s="13" t="str">
        <f t="shared" si="91"/>
        <v>Brazil</v>
      </c>
      <c r="F666" s="13" t="str">
        <f t="shared" si="94"/>
        <v>Biomass &amp; Waste</v>
      </c>
      <c r="G666" s="13" t="str">
        <f t="shared" si="93"/>
        <v>Asset finance investments</v>
      </c>
      <c r="H666" s="638">
        <f t="shared" si="92"/>
        <v>12.145357655883284</v>
      </c>
      <c r="I666" s="24" t="s">
        <v>506</v>
      </c>
      <c r="J666" s="25" t="s">
        <v>246</v>
      </c>
      <c r="K666" s="25" t="s">
        <v>2478</v>
      </c>
      <c r="L666" s="25" t="s">
        <v>686</v>
      </c>
      <c r="M666" s="25" t="s">
        <v>31</v>
      </c>
      <c r="N666" s="25" t="s">
        <v>31</v>
      </c>
      <c r="O666" s="25" t="s">
        <v>92</v>
      </c>
      <c r="P666" s="25" t="s">
        <v>83</v>
      </c>
      <c r="Q666" s="25" t="s">
        <v>82</v>
      </c>
      <c r="R666" s="25" t="s">
        <v>91</v>
      </c>
      <c r="S666" s="25" t="s">
        <v>114</v>
      </c>
      <c r="T666" s="25" t="s">
        <v>114</v>
      </c>
      <c r="U666" s="25" t="s">
        <v>113</v>
      </c>
      <c r="V666" s="25" t="s">
        <v>685</v>
      </c>
      <c r="W666" s="25" t="s">
        <v>553</v>
      </c>
      <c r="X666" s="25" t="s">
        <v>1749</v>
      </c>
      <c r="Y666" s="25" t="s">
        <v>1750</v>
      </c>
      <c r="Z666" s="26">
        <v>40743</v>
      </c>
      <c r="AA666" s="776">
        <v>4</v>
      </c>
      <c r="AB666" s="776">
        <v>0</v>
      </c>
      <c r="AC666" s="776">
        <v>0</v>
      </c>
      <c r="AD666" s="776">
        <v>0</v>
      </c>
      <c r="AE666" s="777">
        <v>0</v>
      </c>
      <c r="AF666" s="777">
        <v>11.16</v>
      </c>
      <c r="AG666" s="778">
        <v>12.145357655883284</v>
      </c>
    </row>
    <row r="667" spans="1:33" x14ac:dyDescent="0.2">
      <c r="A667" s="15">
        <f t="shared" si="87"/>
        <v>2011</v>
      </c>
      <c r="B667" s="14">
        <f t="shared" si="88"/>
        <v>8</v>
      </c>
      <c r="C667" s="13" t="str">
        <f t="shared" si="89"/>
        <v>Q3</v>
      </c>
      <c r="D667" s="13" t="str">
        <f t="shared" si="90"/>
        <v>2011Q3</v>
      </c>
      <c r="E667" s="13" t="str">
        <f t="shared" si="91"/>
        <v>Panama</v>
      </c>
      <c r="F667" s="13" t="str">
        <f t="shared" si="94"/>
        <v>Small Hydro</v>
      </c>
      <c r="G667" s="13" t="str">
        <f t="shared" si="93"/>
        <v>Asset finance investments</v>
      </c>
      <c r="H667" s="638">
        <f t="shared" si="92"/>
        <v>11.427083816019218</v>
      </c>
      <c r="I667" s="24" t="s">
        <v>506</v>
      </c>
      <c r="J667" s="25" t="s">
        <v>246</v>
      </c>
      <c r="K667" s="25" t="s">
        <v>2479</v>
      </c>
      <c r="L667" s="25" t="s">
        <v>702</v>
      </c>
      <c r="M667" s="25" t="s">
        <v>19</v>
      </c>
      <c r="N667" s="25" t="s">
        <v>85</v>
      </c>
      <c r="O667" s="25" t="s">
        <v>92</v>
      </c>
      <c r="P667" s="25" t="s">
        <v>83</v>
      </c>
      <c r="Q667" s="25" t="s">
        <v>82</v>
      </c>
      <c r="R667" s="25"/>
      <c r="S667" s="25" t="s">
        <v>126</v>
      </c>
      <c r="T667" s="25" t="s">
        <v>125</v>
      </c>
      <c r="U667" s="25" t="s">
        <v>247</v>
      </c>
      <c r="V667" s="25">
        <v>0</v>
      </c>
      <c r="W667" s="25" t="s">
        <v>553</v>
      </c>
      <c r="X667" s="25" t="s">
        <v>1749</v>
      </c>
      <c r="Y667" s="25" t="s">
        <v>1750</v>
      </c>
      <c r="Z667" s="26">
        <v>40778</v>
      </c>
      <c r="AA667" s="776">
        <v>8.6</v>
      </c>
      <c r="AB667" s="776">
        <v>0</v>
      </c>
      <c r="AC667" s="776">
        <v>0</v>
      </c>
      <c r="AD667" s="776">
        <v>0</v>
      </c>
      <c r="AE667" s="777">
        <v>10.5</v>
      </c>
      <c r="AF667" s="777">
        <v>10.5</v>
      </c>
      <c r="AG667" s="778">
        <v>11.427083816019218</v>
      </c>
    </row>
    <row r="668" spans="1:33" x14ac:dyDescent="0.2">
      <c r="A668" s="15">
        <f t="shared" si="87"/>
        <v>2011</v>
      </c>
      <c r="B668" s="14">
        <f t="shared" si="88"/>
        <v>9</v>
      </c>
      <c r="C668" s="13" t="str">
        <f t="shared" si="89"/>
        <v>Q3</v>
      </c>
      <c r="D668" s="13" t="str">
        <f t="shared" si="90"/>
        <v>2011Q3</v>
      </c>
      <c r="E668" s="13" t="str">
        <f t="shared" si="91"/>
        <v>Brazil</v>
      </c>
      <c r="F668" s="13" t="str">
        <f t="shared" si="94"/>
        <v>Small Hydro</v>
      </c>
      <c r="G668" s="13" t="str">
        <f t="shared" si="93"/>
        <v>Asset finance investments</v>
      </c>
      <c r="H668" s="638">
        <f t="shared" si="92"/>
        <v>6.0944447018769159</v>
      </c>
      <c r="I668" s="24" t="s">
        <v>506</v>
      </c>
      <c r="J668" s="25" t="s">
        <v>246</v>
      </c>
      <c r="K668" s="25" t="s">
        <v>2480</v>
      </c>
      <c r="L668" s="25" t="s">
        <v>715</v>
      </c>
      <c r="M668" s="25" t="s">
        <v>31</v>
      </c>
      <c r="N668" s="25" t="s">
        <v>31</v>
      </c>
      <c r="O668" s="25" t="s">
        <v>92</v>
      </c>
      <c r="P668" s="25" t="s">
        <v>83</v>
      </c>
      <c r="Q668" s="25" t="s">
        <v>82</v>
      </c>
      <c r="R668" s="25" t="s">
        <v>91</v>
      </c>
      <c r="S668" s="25" t="s">
        <v>126</v>
      </c>
      <c r="T668" s="25" t="s">
        <v>125</v>
      </c>
      <c r="U668" s="25" t="s">
        <v>247</v>
      </c>
      <c r="V668" s="25">
        <v>0</v>
      </c>
      <c r="W668" s="25" t="s">
        <v>553</v>
      </c>
      <c r="X668" s="25" t="s">
        <v>1752</v>
      </c>
      <c r="Y668" s="25" t="s">
        <v>1753</v>
      </c>
      <c r="Z668" s="26">
        <v>40794</v>
      </c>
      <c r="AA668" s="776">
        <v>2.25</v>
      </c>
      <c r="AB668" s="776">
        <v>0</v>
      </c>
      <c r="AC668" s="776">
        <v>0</v>
      </c>
      <c r="AD668" s="776">
        <v>0</v>
      </c>
      <c r="AE668" s="777">
        <v>0</v>
      </c>
      <c r="AF668" s="777">
        <v>5.6</v>
      </c>
      <c r="AG668" s="778">
        <v>6.0944447018769159</v>
      </c>
    </row>
    <row r="669" spans="1:33" x14ac:dyDescent="0.2">
      <c r="A669" s="15">
        <f t="shared" si="87"/>
        <v>2011</v>
      </c>
      <c r="B669" s="14">
        <f t="shared" si="88"/>
        <v>7</v>
      </c>
      <c r="C669" s="13" t="str">
        <f t="shared" si="89"/>
        <v>Q3</v>
      </c>
      <c r="D669" s="13" t="str">
        <f t="shared" si="90"/>
        <v>2011Q3</v>
      </c>
      <c r="E669" s="13" t="str">
        <f t="shared" si="91"/>
        <v>Mexico</v>
      </c>
      <c r="F669" s="13" t="str">
        <f t="shared" si="94"/>
        <v>Solar</v>
      </c>
      <c r="G669" s="13" t="str">
        <f t="shared" si="93"/>
        <v>Asset finance investments</v>
      </c>
      <c r="H669" s="638">
        <f t="shared" si="92"/>
        <v>5.8963752490659154</v>
      </c>
      <c r="I669" s="24" t="s">
        <v>506</v>
      </c>
      <c r="J669" s="25" t="s">
        <v>246</v>
      </c>
      <c r="K669" s="25" t="s">
        <v>2481</v>
      </c>
      <c r="L669" s="25" t="s">
        <v>2482</v>
      </c>
      <c r="M669" s="25" t="s">
        <v>18</v>
      </c>
      <c r="N669" s="25" t="s">
        <v>85</v>
      </c>
      <c r="O669" s="25" t="s">
        <v>92</v>
      </c>
      <c r="P669" s="25" t="s">
        <v>83</v>
      </c>
      <c r="Q669" s="25" t="s">
        <v>129</v>
      </c>
      <c r="R669" s="25"/>
      <c r="S669" s="25" t="s">
        <v>80</v>
      </c>
      <c r="T669" s="25" t="s">
        <v>80</v>
      </c>
      <c r="U669" s="25" t="s">
        <v>181</v>
      </c>
      <c r="V669" s="25" t="s">
        <v>232</v>
      </c>
      <c r="W669" s="25" t="s">
        <v>553</v>
      </c>
      <c r="X669" s="25" t="s">
        <v>1752</v>
      </c>
      <c r="Y669" s="25" t="s">
        <v>1753</v>
      </c>
      <c r="Z669" s="26">
        <v>40755</v>
      </c>
      <c r="AA669" s="776">
        <v>1.26</v>
      </c>
      <c r="AB669" s="776">
        <v>0</v>
      </c>
      <c r="AC669" s="776">
        <v>0</v>
      </c>
      <c r="AD669" s="776">
        <v>0</v>
      </c>
      <c r="AE669" s="777">
        <v>0</v>
      </c>
      <c r="AF669" s="777">
        <v>5.4180000000000001</v>
      </c>
      <c r="AG669" s="778">
        <v>5.8963752490659154</v>
      </c>
    </row>
    <row r="670" spans="1:33" x14ac:dyDescent="0.2">
      <c r="A670" s="15">
        <f t="shared" si="87"/>
        <v>2010</v>
      </c>
      <c r="B670" s="14">
        <f t="shared" si="88"/>
        <v>8</v>
      </c>
      <c r="C670" s="13" t="str">
        <f t="shared" si="89"/>
        <v>Q3</v>
      </c>
      <c r="D670" s="13" t="str">
        <f t="shared" si="90"/>
        <v>2010Q3</v>
      </c>
      <c r="E670" s="13" t="str">
        <f t="shared" si="91"/>
        <v>Chile</v>
      </c>
      <c r="F670" s="13" t="str">
        <f t="shared" si="94"/>
        <v>Wind</v>
      </c>
      <c r="G670" s="13" t="str">
        <f t="shared" si="93"/>
        <v>Asset finance investments</v>
      </c>
      <c r="H670" s="638">
        <f t="shared" si="92"/>
        <v>260.51044616665411</v>
      </c>
      <c r="I670" s="24" t="s">
        <v>506</v>
      </c>
      <c r="J670" s="25" t="s">
        <v>246</v>
      </c>
      <c r="K670" s="25" t="s">
        <v>2483</v>
      </c>
      <c r="L670" s="25" t="s">
        <v>796</v>
      </c>
      <c r="M670" s="25" t="s">
        <v>8</v>
      </c>
      <c r="N670" s="25" t="s">
        <v>85</v>
      </c>
      <c r="O670" s="25" t="s">
        <v>92</v>
      </c>
      <c r="P670" s="25" t="s">
        <v>83</v>
      </c>
      <c r="Q670" s="25" t="s">
        <v>129</v>
      </c>
      <c r="R670" s="25"/>
      <c r="S670" s="25" t="s">
        <v>101</v>
      </c>
      <c r="T670" s="25" t="s">
        <v>101</v>
      </c>
      <c r="U670" s="25" t="s">
        <v>112</v>
      </c>
      <c r="V670" s="25">
        <v>0</v>
      </c>
      <c r="W670" s="25" t="s">
        <v>553</v>
      </c>
      <c r="X670" s="25" t="s">
        <v>1752</v>
      </c>
      <c r="Y670" s="25" t="s">
        <v>1753</v>
      </c>
      <c r="Z670" s="26">
        <v>40421</v>
      </c>
      <c r="AA670" s="776">
        <v>100</v>
      </c>
      <c r="AB670" s="776">
        <v>0</v>
      </c>
      <c r="AC670" s="776">
        <v>0</v>
      </c>
      <c r="AD670" s="776">
        <v>0</v>
      </c>
      <c r="AE670" s="777">
        <v>250</v>
      </c>
      <c r="AF670" s="777">
        <v>250</v>
      </c>
      <c r="AG670" s="778">
        <v>260.51044616665411</v>
      </c>
    </row>
    <row r="671" spans="1:33" x14ac:dyDescent="0.2">
      <c r="A671" s="15">
        <f t="shared" si="87"/>
        <v>2010</v>
      </c>
      <c r="B671" s="14">
        <f t="shared" si="88"/>
        <v>9</v>
      </c>
      <c r="C671" s="13" t="str">
        <f t="shared" si="89"/>
        <v>Q3</v>
      </c>
      <c r="D671" s="13" t="str">
        <f t="shared" si="90"/>
        <v>2010Q3</v>
      </c>
      <c r="E671" s="13" t="str">
        <f t="shared" si="91"/>
        <v>Brazil</v>
      </c>
      <c r="F671" s="13" t="str">
        <f t="shared" si="94"/>
        <v>Small Hydro</v>
      </c>
      <c r="G671" s="13" t="str">
        <f t="shared" si="93"/>
        <v>Asset finance investments</v>
      </c>
      <c r="H671" s="638">
        <f t="shared" si="92"/>
        <v>241.75369404265504</v>
      </c>
      <c r="I671" s="24" t="s">
        <v>506</v>
      </c>
      <c r="J671" s="25" t="s">
        <v>246</v>
      </c>
      <c r="K671" s="25" t="s">
        <v>2484</v>
      </c>
      <c r="L671" s="25" t="s">
        <v>801</v>
      </c>
      <c r="M671" s="25" t="s">
        <v>31</v>
      </c>
      <c r="N671" s="25" t="s">
        <v>31</v>
      </c>
      <c r="O671" s="25" t="s">
        <v>92</v>
      </c>
      <c r="P671" s="25" t="s">
        <v>83</v>
      </c>
      <c r="Q671" s="25" t="s">
        <v>82</v>
      </c>
      <c r="R671" s="25" t="s">
        <v>91</v>
      </c>
      <c r="S671" s="25" t="s">
        <v>126</v>
      </c>
      <c r="T671" s="25" t="s">
        <v>125</v>
      </c>
      <c r="U671" s="25" t="s">
        <v>342</v>
      </c>
      <c r="V671" s="25">
        <v>0</v>
      </c>
      <c r="W671" s="25" t="s">
        <v>553</v>
      </c>
      <c r="X671" s="25" t="s">
        <v>1749</v>
      </c>
      <c r="Y671" s="25" t="s">
        <v>1750</v>
      </c>
      <c r="Z671" s="26">
        <v>40431</v>
      </c>
      <c r="AA671" s="776">
        <v>48</v>
      </c>
      <c r="AB671" s="776">
        <v>0</v>
      </c>
      <c r="AC671" s="776">
        <v>0</v>
      </c>
      <c r="AD671" s="776">
        <v>0</v>
      </c>
      <c r="AE671" s="777">
        <v>232</v>
      </c>
      <c r="AF671" s="777">
        <v>232</v>
      </c>
      <c r="AG671" s="778">
        <v>241.75369404265504</v>
      </c>
    </row>
    <row r="672" spans="1:33" x14ac:dyDescent="0.2">
      <c r="A672" s="15">
        <f t="shared" si="87"/>
        <v>2010</v>
      </c>
      <c r="B672" s="14">
        <f t="shared" si="88"/>
        <v>7</v>
      </c>
      <c r="C672" s="13" t="str">
        <f t="shared" si="89"/>
        <v>Q3</v>
      </c>
      <c r="D672" s="13" t="str">
        <f t="shared" si="90"/>
        <v>2010Q3</v>
      </c>
      <c r="E672" s="13" t="str">
        <f t="shared" si="91"/>
        <v>Brazil</v>
      </c>
      <c r="F672" s="13" t="str">
        <f t="shared" si="94"/>
        <v>Wind</v>
      </c>
      <c r="G672" s="13" t="str">
        <f t="shared" si="93"/>
        <v>Asset finance investments</v>
      </c>
      <c r="H672" s="638">
        <f t="shared" si="92"/>
        <v>232.3753179806555</v>
      </c>
      <c r="I672" s="24" t="s">
        <v>506</v>
      </c>
      <c r="J672" s="25" t="s">
        <v>246</v>
      </c>
      <c r="K672" s="25" t="s">
        <v>2485</v>
      </c>
      <c r="L672" s="25" t="s">
        <v>2486</v>
      </c>
      <c r="M672" s="25" t="s">
        <v>31</v>
      </c>
      <c r="N672" s="25" t="s">
        <v>31</v>
      </c>
      <c r="O672" s="25" t="s">
        <v>92</v>
      </c>
      <c r="P672" s="25" t="s">
        <v>83</v>
      </c>
      <c r="Q672" s="25" t="s">
        <v>82</v>
      </c>
      <c r="R672" s="25" t="s">
        <v>91</v>
      </c>
      <c r="S672" s="25" t="s">
        <v>101</v>
      </c>
      <c r="T672" s="25" t="s">
        <v>101</v>
      </c>
      <c r="U672" s="25" t="s">
        <v>112</v>
      </c>
      <c r="V672" s="25">
        <v>0</v>
      </c>
      <c r="W672" s="25" t="s">
        <v>553</v>
      </c>
      <c r="X672" s="25" t="s">
        <v>1749</v>
      </c>
      <c r="Y672" s="25" t="s">
        <v>1750</v>
      </c>
      <c r="Z672" s="26">
        <v>40368</v>
      </c>
      <c r="AA672" s="776">
        <v>90</v>
      </c>
      <c r="AB672" s="776">
        <v>0</v>
      </c>
      <c r="AC672" s="776">
        <v>0</v>
      </c>
      <c r="AD672" s="776">
        <v>0</v>
      </c>
      <c r="AE672" s="777">
        <v>223</v>
      </c>
      <c r="AF672" s="777">
        <v>223</v>
      </c>
      <c r="AG672" s="778">
        <v>232.3753179806555</v>
      </c>
    </row>
    <row r="673" spans="1:33" x14ac:dyDescent="0.2">
      <c r="A673" s="15">
        <f t="shared" si="87"/>
        <v>2010</v>
      </c>
      <c r="B673" s="14">
        <f t="shared" si="88"/>
        <v>7</v>
      </c>
      <c r="C673" s="13" t="str">
        <f t="shared" si="89"/>
        <v>Q3</v>
      </c>
      <c r="D673" s="13" t="str">
        <f t="shared" si="90"/>
        <v>2010Q3</v>
      </c>
      <c r="E673" s="13" t="str">
        <f t="shared" si="91"/>
        <v>Mexico</v>
      </c>
      <c r="F673" s="13" t="str">
        <f t="shared" si="94"/>
        <v>Wind</v>
      </c>
      <c r="G673" s="13" t="str">
        <f t="shared" si="93"/>
        <v>Asset finance investments</v>
      </c>
      <c r="H673" s="638">
        <f t="shared" si="92"/>
        <v>224.03898370332257</v>
      </c>
      <c r="I673" s="24" t="s">
        <v>506</v>
      </c>
      <c r="J673" s="25" t="s">
        <v>246</v>
      </c>
      <c r="K673" s="25" t="s">
        <v>2487</v>
      </c>
      <c r="L673" s="25" t="s">
        <v>809</v>
      </c>
      <c r="M673" s="25" t="s">
        <v>18</v>
      </c>
      <c r="N673" s="25" t="s">
        <v>85</v>
      </c>
      <c r="O673" s="25" t="s">
        <v>92</v>
      </c>
      <c r="P673" s="25" t="s">
        <v>83</v>
      </c>
      <c r="Q673" s="25" t="s">
        <v>129</v>
      </c>
      <c r="R673" s="25"/>
      <c r="S673" s="25" t="s">
        <v>101</v>
      </c>
      <c r="T673" s="25" t="s">
        <v>101</v>
      </c>
      <c r="U673" s="25" t="s">
        <v>112</v>
      </c>
      <c r="V673" s="25">
        <v>0</v>
      </c>
      <c r="W673" s="25" t="s">
        <v>553</v>
      </c>
      <c r="X673" s="25" t="s">
        <v>1771</v>
      </c>
      <c r="Y673" s="25" t="s">
        <v>1750</v>
      </c>
      <c r="Z673" s="26">
        <v>40388</v>
      </c>
      <c r="AA673" s="776">
        <v>102</v>
      </c>
      <c r="AB673" s="776">
        <v>0</v>
      </c>
      <c r="AC673" s="776">
        <v>0</v>
      </c>
      <c r="AD673" s="776">
        <v>0</v>
      </c>
      <c r="AE673" s="777">
        <v>215</v>
      </c>
      <c r="AF673" s="777">
        <v>215</v>
      </c>
      <c r="AG673" s="778">
        <v>224.03898370332257</v>
      </c>
    </row>
    <row r="674" spans="1:33" x14ac:dyDescent="0.2">
      <c r="A674" s="15">
        <f t="shared" si="87"/>
        <v>2010</v>
      </c>
      <c r="B674" s="14">
        <f t="shared" si="88"/>
        <v>9</v>
      </c>
      <c r="C674" s="13" t="str">
        <f t="shared" si="89"/>
        <v>Q3</v>
      </c>
      <c r="D674" s="13" t="str">
        <f t="shared" si="90"/>
        <v>2010Q3</v>
      </c>
      <c r="E674" s="13" t="str">
        <f t="shared" si="91"/>
        <v>Brazil</v>
      </c>
      <c r="F674" s="13" t="str">
        <f t="shared" si="94"/>
        <v>Small Hydro</v>
      </c>
      <c r="G674" s="13" t="str">
        <f t="shared" si="93"/>
        <v>VC/PE investments</v>
      </c>
      <c r="H674" s="638">
        <f t="shared" si="92"/>
        <v>211.53448228732316</v>
      </c>
      <c r="I674" s="24" t="s">
        <v>506</v>
      </c>
      <c r="J674" s="25" t="s">
        <v>216</v>
      </c>
      <c r="K674" s="25" t="s">
        <v>513</v>
      </c>
      <c r="L674" s="25" t="s">
        <v>214</v>
      </c>
      <c r="M674" s="25" t="s">
        <v>31</v>
      </c>
      <c r="N674" s="25" t="s">
        <v>31</v>
      </c>
      <c r="O674" s="25" t="s">
        <v>92</v>
      </c>
      <c r="P674" s="25" t="s">
        <v>83</v>
      </c>
      <c r="Q674" s="25" t="s">
        <v>82</v>
      </c>
      <c r="R674" s="25" t="s">
        <v>91</v>
      </c>
      <c r="S674" s="25" t="s">
        <v>126</v>
      </c>
      <c r="T674" s="25" t="s">
        <v>125</v>
      </c>
      <c r="U674" s="25" t="s">
        <v>247</v>
      </c>
      <c r="V674" s="25">
        <v>0</v>
      </c>
      <c r="W674" s="25" t="s">
        <v>94</v>
      </c>
      <c r="X674" s="25" t="s">
        <v>508</v>
      </c>
      <c r="Y674" s="25" t="s">
        <v>507</v>
      </c>
      <c r="Z674" s="26">
        <v>40443</v>
      </c>
      <c r="AA674" s="776" t="s">
        <v>1748</v>
      </c>
      <c r="AB674" s="776" t="s">
        <v>1748</v>
      </c>
      <c r="AC674" s="776" t="s">
        <v>1748</v>
      </c>
      <c r="AD674" s="776" t="s">
        <v>1748</v>
      </c>
      <c r="AE674" s="777">
        <v>203</v>
      </c>
      <c r="AF674" s="777">
        <v>203</v>
      </c>
      <c r="AG674" s="778">
        <v>211.53448228732316</v>
      </c>
    </row>
    <row r="675" spans="1:33" x14ac:dyDescent="0.2">
      <c r="A675" s="15">
        <f t="shared" si="87"/>
        <v>2010</v>
      </c>
      <c r="B675" s="14">
        <f t="shared" si="88"/>
        <v>7</v>
      </c>
      <c r="C675" s="13" t="str">
        <f t="shared" si="89"/>
        <v>Q3</v>
      </c>
      <c r="D675" s="13" t="str">
        <f t="shared" si="90"/>
        <v>2010Q3</v>
      </c>
      <c r="E675" s="13" t="str">
        <f t="shared" si="91"/>
        <v>Colombia</v>
      </c>
      <c r="F675" s="13" t="str">
        <f t="shared" si="94"/>
        <v>Biofuels</v>
      </c>
      <c r="G675" s="13" t="str">
        <f t="shared" si="93"/>
        <v>Asset finance investments</v>
      </c>
      <c r="H675" s="638">
        <f t="shared" si="92"/>
        <v>145.88584985332631</v>
      </c>
      <c r="I675" s="24" t="s">
        <v>506</v>
      </c>
      <c r="J675" s="25" t="s">
        <v>246</v>
      </c>
      <c r="K675" s="25" t="s">
        <v>2488</v>
      </c>
      <c r="L675" s="25" t="s">
        <v>738</v>
      </c>
      <c r="M675" s="25" t="s">
        <v>9</v>
      </c>
      <c r="N675" s="25" t="s">
        <v>85</v>
      </c>
      <c r="O675" s="25" t="s">
        <v>92</v>
      </c>
      <c r="P675" s="25" t="s">
        <v>83</v>
      </c>
      <c r="Q675" s="25" t="s">
        <v>82</v>
      </c>
      <c r="R675" s="25"/>
      <c r="S675" s="25" t="s">
        <v>96</v>
      </c>
      <c r="T675" s="25" t="s">
        <v>96</v>
      </c>
      <c r="U675" s="25" t="s">
        <v>98</v>
      </c>
      <c r="V675" s="25" t="s">
        <v>230</v>
      </c>
      <c r="W675" s="25" t="s">
        <v>553</v>
      </c>
      <c r="X675" s="25" t="s">
        <v>1752</v>
      </c>
      <c r="Y675" s="25" t="s">
        <v>1753</v>
      </c>
      <c r="Z675" s="26">
        <v>40374</v>
      </c>
      <c r="AA675" s="776">
        <v>40</v>
      </c>
      <c r="AB675" s="776">
        <v>115</v>
      </c>
      <c r="AC675" s="776">
        <v>0</v>
      </c>
      <c r="AD675" s="776">
        <v>0</v>
      </c>
      <c r="AE675" s="777">
        <v>140</v>
      </c>
      <c r="AF675" s="777">
        <v>140</v>
      </c>
      <c r="AG675" s="778">
        <v>145.88584985332631</v>
      </c>
    </row>
    <row r="676" spans="1:33" x14ac:dyDescent="0.2">
      <c r="A676" s="15">
        <f t="shared" si="87"/>
        <v>2010</v>
      </c>
      <c r="B676" s="14">
        <f t="shared" si="88"/>
        <v>8</v>
      </c>
      <c r="C676" s="13" t="str">
        <f t="shared" si="89"/>
        <v>Q3</v>
      </c>
      <c r="D676" s="13" t="str">
        <f t="shared" si="90"/>
        <v>2010Q3</v>
      </c>
      <c r="E676" s="13" t="str">
        <f t="shared" si="91"/>
        <v>Argentina</v>
      </c>
      <c r="F676" s="13" t="str">
        <f t="shared" si="94"/>
        <v>Biofuels</v>
      </c>
      <c r="G676" s="13" t="str">
        <f t="shared" si="93"/>
        <v>Asset finance investments</v>
      </c>
      <c r="H676" s="638">
        <f t="shared" si="92"/>
        <v>105.97564950059491</v>
      </c>
      <c r="I676" s="24" t="s">
        <v>506</v>
      </c>
      <c r="J676" s="25" t="s">
        <v>246</v>
      </c>
      <c r="K676" s="25" t="s">
        <v>2489</v>
      </c>
      <c r="L676" s="25" t="s">
        <v>812</v>
      </c>
      <c r="M676" s="25" t="s">
        <v>4</v>
      </c>
      <c r="N676" s="25" t="s">
        <v>85</v>
      </c>
      <c r="O676" s="25" t="s">
        <v>92</v>
      </c>
      <c r="P676" s="25" t="s">
        <v>83</v>
      </c>
      <c r="Q676" s="25" t="s">
        <v>82</v>
      </c>
      <c r="R676" s="25"/>
      <c r="S676" s="25" t="s">
        <v>96</v>
      </c>
      <c r="T676" s="25" t="s">
        <v>96</v>
      </c>
      <c r="U676" s="25" t="s">
        <v>95</v>
      </c>
      <c r="V676" s="25" t="s">
        <v>223</v>
      </c>
      <c r="W676" s="25" t="s">
        <v>553</v>
      </c>
      <c r="X676" s="25" t="s">
        <v>1752</v>
      </c>
      <c r="Y676" s="25" t="s">
        <v>1753</v>
      </c>
      <c r="Z676" s="26">
        <v>40403</v>
      </c>
      <c r="AA676" s="776">
        <v>18</v>
      </c>
      <c r="AB676" s="776">
        <v>285</v>
      </c>
      <c r="AC676" s="776">
        <v>0</v>
      </c>
      <c r="AD676" s="776">
        <v>0</v>
      </c>
      <c r="AE676" s="777">
        <v>101.7</v>
      </c>
      <c r="AF676" s="777">
        <v>101.7</v>
      </c>
      <c r="AG676" s="778">
        <v>105.97564950059491</v>
      </c>
    </row>
    <row r="677" spans="1:33" x14ac:dyDescent="0.2">
      <c r="A677" s="15">
        <f t="shared" si="87"/>
        <v>2010</v>
      </c>
      <c r="B677" s="14">
        <f t="shared" si="88"/>
        <v>7</v>
      </c>
      <c r="C677" s="13" t="str">
        <f t="shared" si="89"/>
        <v>Q3</v>
      </c>
      <c r="D677" s="13" t="str">
        <f t="shared" si="90"/>
        <v>2010Q3</v>
      </c>
      <c r="E677" s="13" t="str">
        <f t="shared" si="91"/>
        <v>Brazil</v>
      </c>
      <c r="F677" s="13" t="str">
        <f t="shared" si="94"/>
        <v>Wind</v>
      </c>
      <c r="G677" s="13" t="str">
        <f t="shared" si="93"/>
        <v>Corporate finance investments</v>
      </c>
      <c r="H677" s="638">
        <f t="shared" si="92"/>
        <v>95.138414940062091</v>
      </c>
      <c r="I677" s="24" t="s">
        <v>506</v>
      </c>
      <c r="J677" s="25" t="s">
        <v>211</v>
      </c>
      <c r="K677" s="25" t="s">
        <v>2490</v>
      </c>
      <c r="L677" s="25" t="s">
        <v>547</v>
      </c>
      <c r="M677" s="25" t="s">
        <v>31</v>
      </c>
      <c r="N677" s="25" t="s">
        <v>31</v>
      </c>
      <c r="O677" s="25" t="s">
        <v>92</v>
      </c>
      <c r="P677" s="25" t="s">
        <v>83</v>
      </c>
      <c r="Q677" s="25" t="s">
        <v>82</v>
      </c>
      <c r="R677" s="25" t="s">
        <v>91</v>
      </c>
      <c r="S677" s="25" t="s">
        <v>101</v>
      </c>
      <c r="T677" s="25" t="s">
        <v>101</v>
      </c>
      <c r="U677" s="25" t="s">
        <v>112</v>
      </c>
      <c r="V677" s="25">
        <v>0</v>
      </c>
      <c r="W677" s="25" t="s">
        <v>31</v>
      </c>
      <c r="X677" s="25" t="s">
        <v>208</v>
      </c>
      <c r="Y677" s="25" t="s">
        <v>208</v>
      </c>
      <c r="Z677" s="26">
        <v>40372</v>
      </c>
      <c r="AA677" s="776" t="s">
        <v>1823</v>
      </c>
      <c r="AB677" s="776">
        <v>0</v>
      </c>
      <c r="AC677" s="776">
        <v>91.3</v>
      </c>
      <c r="AD677" s="776">
        <v>0</v>
      </c>
      <c r="AE677" s="777">
        <v>91.3</v>
      </c>
      <c r="AF677" s="777">
        <v>91.3</v>
      </c>
      <c r="AG677" s="778">
        <v>95.138414940062091</v>
      </c>
    </row>
    <row r="678" spans="1:33" x14ac:dyDescent="0.2">
      <c r="A678" s="15">
        <f t="shared" si="87"/>
        <v>2010</v>
      </c>
      <c r="B678" s="14">
        <f t="shared" si="88"/>
        <v>7</v>
      </c>
      <c r="C678" s="13" t="str">
        <f t="shared" si="89"/>
        <v>Q3</v>
      </c>
      <c r="D678" s="13" t="str">
        <f t="shared" si="90"/>
        <v>2010Q3</v>
      </c>
      <c r="E678" s="13" t="str">
        <f t="shared" si="91"/>
        <v>Brazil</v>
      </c>
      <c r="F678" s="13" t="str">
        <f t="shared" si="94"/>
        <v>Biofuels</v>
      </c>
      <c r="G678" s="13" t="str">
        <f t="shared" si="93"/>
        <v>Asset finance investments</v>
      </c>
      <c r="H678" s="638">
        <f t="shared" si="92"/>
        <v>82.060790542496051</v>
      </c>
      <c r="I678" s="24" t="s">
        <v>506</v>
      </c>
      <c r="J678" s="25" t="s">
        <v>246</v>
      </c>
      <c r="K678" s="25" t="s">
        <v>2491</v>
      </c>
      <c r="L678" s="25" t="s">
        <v>913</v>
      </c>
      <c r="M678" s="25" t="s">
        <v>31</v>
      </c>
      <c r="N678" s="25" t="s">
        <v>31</v>
      </c>
      <c r="O678" s="25" t="s">
        <v>92</v>
      </c>
      <c r="P678" s="25" t="s">
        <v>83</v>
      </c>
      <c r="Q678" s="25" t="s">
        <v>82</v>
      </c>
      <c r="R678" s="25" t="s">
        <v>91</v>
      </c>
      <c r="S678" s="25" t="s">
        <v>96</v>
      </c>
      <c r="T678" s="25" t="s">
        <v>96</v>
      </c>
      <c r="U678" s="25" t="s">
        <v>95</v>
      </c>
      <c r="V678" s="25" t="s">
        <v>223</v>
      </c>
      <c r="W678" s="25" t="s">
        <v>553</v>
      </c>
      <c r="X678" s="25" t="s">
        <v>1749</v>
      </c>
      <c r="Y678" s="25" t="s">
        <v>1750</v>
      </c>
      <c r="Z678" s="26">
        <v>40375</v>
      </c>
      <c r="AA678" s="776">
        <v>0</v>
      </c>
      <c r="AB678" s="776">
        <v>225</v>
      </c>
      <c r="AC678" s="776">
        <v>0</v>
      </c>
      <c r="AD678" s="776">
        <v>0</v>
      </c>
      <c r="AE678" s="777">
        <v>0</v>
      </c>
      <c r="AF678" s="777">
        <v>78.75</v>
      </c>
      <c r="AG678" s="778">
        <v>82.060790542496051</v>
      </c>
    </row>
    <row r="679" spans="1:33" x14ac:dyDescent="0.2">
      <c r="A679" s="15">
        <f t="shared" si="87"/>
        <v>2010</v>
      </c>
      <c r="B679" s="14">
        <f t="shared" si="88"/>
        <v>8</v>
      </c>
      <c r="C679" s="13" t="str">
        <f t="shared" si="89"/>
        <v>Q3</v>
      </c>
      <c r="D679" s="13" t="str">
        <f t="shared" si="90"/>
        <v>2010Q3</v>
      </c>
      <c r="E679" s="13" t="str">
        <f t="shared" si="91"/>
        <v>Brazil</v>
      </c>
      <c r="F679" s="13" t="str">
        <f t="shared" si="94"/>
        <v>Wind</v>
      </c>
      <c r="G679" s="13" t="str">
        <f t="shared" si="93"/>
        <v>Asset finance investments</v>
      </c>
      <c r="H679" s="638">
        <f t="shared" si="92"/>
        <v>76.069050280663006</v>
      </c>
      <c r="I679" s="24" t="s">
        <v>506</v>
      </c>
      <c r="J679" s="25" t="s">
        <v>246</v>
      </c>
      <c r="K679" s="25" t="s">
        <v>2492</v>
      </c>
      <c r="L679" s="25" t="s">
        <v>1067</v>
      </c>
      <c r="M679" s="25" t="s">
        <v>31</v>
      </c>
      <c r="N679" s="25" t="s">
        <v>31</v>
      </c>
      <c r="O679" s="25" t="s">
        <v>92</v>
      </c>
      <c r="P679" s="25" t="s">
        <v>83</v>
      </c>
      <c r="Q679" s="25" t="s">
        <v>82</v>
      </c>
      <c r="R679" s="25" t="s">
        <v>91</v>
      </c>
      <c r="S679" s="25" t="s">
        <v>101</v>
      </c>
      <c r="T679" s="25" t="s">
        <v>101</v>
      </c>
      <c r="U679" s="25" t="s">
        <v>112</v>
      </c>
      <c r="V679" s="25">
        <v>0</v>
      </c>
      <c r="W679" s="25" t="s">
        <v>553</v>
      </c>
      <c r="X679" s="25" t="s">
        <v>1749</v>
      </c>
      <c r="Y679" s="25" t="s">
        <v>1750</v>
      </c>
      <c r="Z679" s="26">
        <v>40420</v>
      </c>
      <c r="AA679" s="776">
        <v>28.05</v>
      </c>
      <c r="AB679" s="776">
        <v>0</v>
      </c>
      <c r="AC679" s="776">
        <v>0</v>
      </c>
      <c r="AD679" s="776">
        <v>0</v>
      </c>
      <c r="AE679" s="777">
        <v>73</v>
      </c>
      <c r="AF679" s="777">
        <v>73</v>
      </c>
      <c r="AG679" s="778">
        <v>76.069050280663006</v>
      </c>
    </row>
    <row r="680" spans="1:33" x14ac:dyDescent="0.2">
      <c r="A680" s="15">
        <f t="shared" si="87"/>
        <v>2010</v>
      </c>
      <c r="B680" s="14">
        <f t="shared" si="88"/>
        <v>9</v>
      </c>
      <c r="C680" s="13" t="str">
        <f t="shared" si="89"/>
        <v>Q3</v>
      </c>
      <c r="D680" s="13" t="str">
        <f t="shared" si="90"/>
        <v>2010Q3</v>
      </c>
      <c r="E680" s="13" t="str">
        <f t="shared" si="91"/>
        <v>Brazil</v>
      </c>
      <c r="F680" s="13" t="str">
        <f t="shared" si="94"/>
        <v>Biomass &amp; Waste</v>
      </c>
      <c r="G680" s="13" t="str">
        <f t="shared" si="93"/>
        <v>VC/PE investments</v>
      </c>
      <c r="H680" s="638">
        <f t="shared" si="92"/>
        <v>72.734516569729834</v>
      </c>
      <c r="I680" s="24" t="s">
        <v>506</v>
      </c>
      <c r="J680" s="25" t="s">
        <v>216</v>
      </c>
      <c r="K680" s="25" t="s">
        <v>512</v>
      </c>
      <c r="L680" s="25" t="s">
        <v>511</v>
      </c>
      <c r="M680" s="25" t="s">
        <v>31</v>
      </c>
      <c r="N680" s="25" t="s">
        <v>31</v>
      </c>
      <c r="O680" s="25" t="s">
        <v>92</v>
      </c>
      <c r="P680" s="25" t="s">
        <v>83</v>
      </c>
      <c r="Q680" s="25" t="s">
        <v>82</v>
      </c>
      <c r="R680" s="25" t="s">
        <v>91</v>
      </c>
      <c r="S680" s="25" t="s">
        <v>114</v>
      </c>
      <c r="T680" s="25" t="s">
        <v>114</v>
      </c>
      <c r="U680" s="25" t="s">
        <v>113</v>
      </c>
      <c r="V680" s="25" t="s">
        <v>347</v>
      </c>
      <c r="W680" s="25" t="s">
        <v>94</v>
      </c>
      <c r="X680" s="25" t="s">
        <v>508</v>
      </c>
      <c r="Y680" s="25" t="s">
        <v>507</v>
      </c>
      <c r="Z680" s="26">
        <v>40443</v>
      </c>
      <c r="AA680" s="776" t="s">
        <v>1748</v>
      </c>
      <c r="AB680" s="776" t="s">
        <v>1748</v>
      </c>
      <c r="AC680" s="776" t="s">
        <v>1748</v>
      </c>
      <c r="AD680" s="776" t="s">
        <v>1748</v>
      </c>
      <c r="AE680" s="777">
        <v>69.8</v>
      </c>
      <c r="AF680" s="777">
        <v>69.8</v>
      </c>
      <c r="AG680" s="778">
        <v>72.734516569729834</v>
      </c>
    </row>
    <row r="681" spans="1:33" x14ac:dyDescent="0.2">
      <c r="A681" s="15">
        <f t="shared" si="87"/>
        <v>2010</v>
      </c>
      <c r="B681" s="14">
        <f t="shared" si="88"/>
        <v>7</v>
      </c>
      <c r="C681" s="13" t="str">
        <f t="shared" si="89"/>
        <v>Q3</v>
      </c>
      <c r="D681" s="13" t="str">
        <f t="shared" si="90"/>
        <v>2010Q3</v>
      </c>
      <c r="E681" s="13" t="str">
        <f t="shared" si="91"/>
        <v>Brazil</v>
      </c>
      <c r="F681" s="13" t="str">
        <f t="shared" si="94"/>
        <v>Biofuels</v>
      </c>
      <c r="G681" s="13" t="str">
        <f t="shared" si="93"/>
        <v>Asset finance investments</v>
      </c>
      <c r="H681" s="638">
        <f t="shared" si="92"/>
        <v>33.663159853655046</v>
      </c>
      <c r="I681" s="24" t="s">
        <v>506</v>
      </c>
      <c r="J681" s="25" t="s">
        <v>246</v>
      </c>
      <c r="K681" s="25" t="s">
        <v>2493</v>
      </c>
      <c r="L681" s="25" t="s">
        <v>2494</v>
      </c>
      <c r="M681" s="25" t="s">
        <v>31</v>
      </c>
      <c r="N681" s="25" t="s">
        <v>31</v>
      </c>
      <c r="O681" s="25" t="s">
        <v>92</v>
      </c>
      <c r="P681" s="25" t="s">
        <v>83</v>
      </c>
      <c r="Q681" s="25" t="s">
        <v>82</v>
      </c>
      <c r="R681" s="25" t="s">
        <v>91</v>
      </c>
      <c r="S681" s="25" t="s">
        <v>96</v>
      </c>
      <c r="T681" s="25" t="s">
        <v>96</v>
      </c>
      <c r="U681" s="25" t="s">
        <v>95</v>
      </c>
      <c r="V681" s="25" t="s">
        <v>223</v>
      </c>
      <c r="W681" s="25" t="s">
        <v>553</v>
      </c>
      <c r="X681" s="25" t="s">
        <v>1752</v>
      </c>
      <c r="Y681" s="25" t="s">
        <v>1753</v>
      </c>
      <c r="Z681" s="26">
        <v>40386</v>
      </c>
      <c r="AA681" s="776">
        <v>0</v>
      </c>
      <c r="AB681" s="776">
        <v>92.3</v>
      </c>
      <c r="AC681" s="776">
        <v>0</v>
      </c>
      <c r="AD681" s="776">
        <v>0</v>
      </c>
      <c r="AE681" s="777">
        <v>0</v>
      </c>
      <c r="AF681" s="777">
        <v>32.305</v>
      </c>
      <c r="AG681" s="778">
        <v>33.663159853655046</v>
      </c>
    </row>
    <row r="682" spans="1:33" x14ac:dyDescent="0.2">
      <c r="A682" s="15">
        <f t="shared" si="87"/>
        <v>2010</v>
      </c>
      <c r="B682" s="14">
        <f t="shared" si="88"/>
        <v>9</v>
      </c>
      <c r="C682" s="13" t="str">
        <f t="shared" si="89"/>
        <v>Q3</v>
      </c>
      <c r="D682" s="13" t="str">
        <f t="shared" si="90"/>
        <v>2010Q3</v>
      </c>
      <c r="E682" s="13" t="str">
        <f t="shared" si="91"/>
        <v>Uruguay</v>
      </c>
      <c r="F682" s="13" t="str">
        <f t="shared" si="94"/>
        <v>Wind</v>
      </c>
      <c r="G682" s="13" t="str">
        <f t="shared" si="93"/>
        <v>Asset finance investments</v>
      </c>
      <c r="H682" s="638">
        <f t="shared" si="92"/>
        <v>26.051044616665408</v>
      </c>
      <c r="I682" s="24" t="s">
        <v>506</v>
      </c>
      <c r="J682" s="25" t="s">
        <v>246</v>
      </c>
      <c r="K682" s="25" t="s">
        <v>2495</v>
      </c>
      <c r="L682" s="25" t="s">
        <v>2496</v>
      </c>
      <c r="M682" s="25" t="s">
        <v>22</v>
      </c>
      <c r="N682" s="25" t="s">
        <v>85</v>
      </c>
      <c r="O682" s="25" t="s">
        <v>92</v>
      </c>
      <c r="P682" s="25" t="s">
        <v>83</v>
      </c>
      <c r="Q682" s="25" t="s">
        <v>82</v>
      </c>
      <c r="R682" s="25"/>
      <c r="S682" s="25" t="s">
        <v>101</v>
      </c>
      <c r="T682" s="25" t="s">
        <v>101</v>
      </c>
      <c r="U682" s="25" t="s">
        <v>112</v>
      </c>
      <c r="V682" s="25">
        <v>0</v>
      </c>
      <c r="W682" s="25" t="s">
        <v>553</v>
      </c>
      <c r="X682" s="25" t="s">
        <v>1752</v>
      </c>
      <c r="Y682" s="25" t="s">
        <v>1753</v>
      </c>
      <c r="Z682" s="26">
        <v>40451</v>
      </c>
      <c r="AA682" s="776">
        <v>10</v>
      </c>
      <c r="AB682" s="776">
        <v>0</v>
      </c>
      <c r="AC682" s="776">
        <v>0</v>
      </c>
      <c r="AD682" s="776">
        <v>0</v>
      </c>
      <c r="AE682" s="777">
        <v>25</v>
      </c>
      <c r="AF682" s="777">
        <v>25</v>
      </c>
      <c r="AG682" s="778">
        <v>26.051044616665408</v>
      </c>
    </row>
    <row r="683" spans="1:33" x14ac:dyDescent="0.2">
      <c r="A683" s="15">
        <f t="shared" si="87"/>
        <v>2010</v>
      </c>
      <c r="B683" s="14">
        <f t="shared" si="88"/>
        <v>9</v>
      </c>
      <c r="C683" s="13" t="str">
        <f t="shared" si="89"/>
        <v>Q3</v>
      </c>
      <c r="D683" s="13" t="str">
        <f t="shared" si="90"/>
        <v>2010Q3</v>
      </c>
      <c r="E683" s="13" t="str">
        <f t="shared" si="91"/>
        <v>Brazil</v>
      </c>
      <c r="F683" s="13" t="str">
        <f t="shared" si="94"/>
        <v>Small Hydro</v>
      </c>
      <c r="G683" s="13" t="str">
        <f t="shared" si="93"/>
        <v>Asset finance investments</v>
      </c>
      <c r="H683" s="638">
        <f t="shared" si="92"/>
        <v>24.748492385832137</v>
      </c>
      <c r="I683" s="24" t="s">
        <v>506</v>
      </c>
      <c r="J683" s="25" t="s">
        <v>246</v>
      </c>
      <c r="K683" s="25" t="s">
        <v>2497</v>
      </c>
      <c r="L683" s="25" t="s">
        <v>803</v>
      </c>
      <c r="M683" s="25" t="s">
        <v>31</v>
      </c>
      <c r="N683" s="25" t="s">
        <v>31</v>
      </c>
      <c r="O683" s="25" t="s">
        <v>92</v>
      </c>
      <c r="P683" s="25" t="s">
        <v>83</v>
      </c>
      <c r="Q683" s="25" t="s">
        <v>82</v>
      </c>
      <c r="R683" s="25" t="s">
        <v>91</v>
      </c>
      <c r="S683" s="25" t="s">
        <v>126</v>
      </c>
      <c r="T683" s="25" t="s">
        <v>125</v>
      </c>
      <c r="U683" s="25" t="s">
        <v>247</v>
      </c>
      <c r="V683" s="25">
        <v>0</v>
      </c>
      <c r="W683" s="25" t="s">
        <v>553</v>
      </c>
      <c r="X683" s="25" t="s">
        <v>1752</v>
      </c>
      <c r="Y683" s="25" t="s">
        <v>1753</v>
      </c>
      <c r="Z683" s="26">
        <v>40431</v>
      </c>
      <c r="AA683" s="776">
        <v>9.5</v>
      </c>
      <c r="AB683" s="776">
        <v>0</v>
      </c>
      <c r="AC683" s="776">
        <v>0</v>
      </c>
      <c r="AD683" s="776">
        <v>0</v>
      </c>
      <c r="AE683" s="777">
        <v>0</v>
      </c>
      <c r="AF683" s="777">
        <v>23.75</v>
      </c>
      <c r="AG683" s="778">
        <v>24.748492385832137</v>
      </c>
    </row>
    <row r="684" spans="1:33" x14ac:dyDescent="0.2">
      <c r="A684" s="15">
        <f t="shared" si="87"/>
        <v>2010</v>
      </c>
      <c r="B684" s="14">
        <f t="shared" si="88"/>
        <v>9</v>
      </c>
      <c r="C684" s="13" t="str">
        <f t="shared" si="89"/>
        <v>Q3</v>
      </c>
      <c r="D684" s="13" t="str">
        <f t="shared" si="90"/>
        <v>2010Q3</v>
      </c>
      <c r="E684" s="13" t="str">
        <f t="shared" si="91"/>
        <v>Brazil</v>
      </c>
      <c r="F684" s="13" t="str">
        <f t="shared" si="94"/>
        <v>Small Hydro</v>
      </c>
      <c r="G684" s="13" t="str">
        <f t="shared" si="93"/>
        <v>Asset finance investments</v>
      </c>
      <c r="H684" s="638">
        <f t="shared" si="92"/>
        <v>22.924919262665565</v>
      </c>
      <c r="I684" s="24" t="s">
        <v>506</v>
      </c>
      <c r="J684" s="25" t="s">
        <v>246</v>
      </c>
      <c r="K684" s="25" t="s">
        <v>2498</v>
      </c>
      <c r="L684" s="25" t="s">
        <v>798</v>
      </c>
      <c r="M684" s="25" t="s">
        <v>31</v>
      </c>
      <c r="N684" s="25" t="s">
        <v>31</v>
      </c>
      <c r="O684" s="25" t="s">
        <v>92</v>
      </c>
      <c r="P684" s="25" t="s">
        <v>83</v>
      </c>
      <c r="Q684" s="25" t="s">
        <v>82</v>
      </c>
      <c r="R684" s="25" t="s">
        <v>91</v>
      </c>
      <c r="S684" s="25" t="s">
        <v>126</v>
      </c>
      <c r="T684" s="25" t="s">
        <v>125</v>
      </c>
      <c r="U684" s="25" t="s">
        <v>247</v>
      </c>
      <c r="V684" s="25">
        <v>0</v>
      </c>
      <c r="W684" s="25" t="s">
        <v>553</v>
      </c>
      <c r="X684" s="25" t="s">
        <v>1752</v>
      </c>
      <c r="Y684" s="25" t="s">
        <v>1753</v>
      </c>
      <c r="Z684" s="26">
        <v>40431</v>
      </c>
      <c r="AA684" s="776">
        <v>8.8059999999999992</v>
      </c>
      <c r="AB684" s="776">
        <v>0</v>
      </c>
      <c r="AC684" s="776">
        <v>0</v>
      </c>
      <c r="AD684" s="776">
        <v>0</v>
      </c>
      <c r="AE684" s="777">
        <v>0</v>
      </c>
      <c r="AF684" s="777">
        <v>22</v>
      </c>
      <c r="AG684" s="778">
        <v>22.924919262665565</v>
      </c>
    </row>
    <row r="685" spans="1:33" x14ac:dyDescent="0.2">
      <c r="A685" s="15">
        <f t="shared" si="87"/>
        <v>2010</v>
      </c>
      <c r="B685" s="14">
        <f t="shared" si="88"/>
        <v>8</v>
      </c>
      <c r="C685" s="13" t="str">
        <f t="shared" si="89"/>
        <v>Q3</v>
      </c>
      <c r="D685" s="13" t="str">
        <f t="shared" si="90"/>
        <v>2010Q3</v>
      </c>
      <c r="E685" s="13" t="str">
        <f t="shared" si="91"/>
        <v>Brazil</v>
      </c>
      <c r="F685" s="13" t="str">
        <f t="shared" si="94"/>
        <v>Biofuels</v>
      </c>
      <c r="G685" s="13" t="str">
        <f t="shared" si="93"/>
        <v>Asset finance investments</v>
      </c>
      <c r="H685" s="638">
        <f t="shared" si="92"/>
        <v>22.50810254879892</v>
      </c>
      <c r="I685" s="24" t="s">
        <v>506</v>
      </c>
      <c r="J685" s="25" t="s">
        <v>246</v>
      </c>
      <c r="K685" s="25" t="s">
        <v>2499</v>
      </c>
      <c r="L685" s="25" t="s">
        <v>675</v>
      </c>
      <c r="M685" s="25" t="s">
        <v>31</v>
      </c>
      <c r="N685" s="25" t="s">
        <v>31</v>
      </c>
      <c r="O685" s="25" t="s">
        <v>92</v>
      </c>
      <c r="P685" s="25" t="s">
        <v>83</v>
      </c>
      <c r="Q685" s="25" t="s">
        <v>82</v>
      </c>
      <c r="R685" s="25" t="s">
        <v>91</v>
      </c>
      <c r="S685" s="25" t="s">
        <v>96</v>
      </c>
      <c r="T685" s="25" t="s">
        <v>96</v>
      </c>
      <c r="U685" s="25" t="s">
        <v>95</v>
      </c>
      <c r="V685" s="25">
        <v>0</v>
      </c>
      <c r="W685" s="25" t="s">
        <v>553</v>
      </c>
      <c r="X685" s="25" t="s">
        <v>1752</v>
      </c>
      <c r="Y685" s="25" t="s">
        <v>1753</v>
      </c>
      <c r="Z685" s="26">
        <v>40401</v>
      </c>
      <c r="AA685" s="776">
        <v>0</v>
      </c>
      <c r="AB685" s="776">
        <v>54</v>
      </c>
      <c r="AC685" s="776">
        <v>0</v>
      </c>
      <c r="AD685" s="776">
        <v>0</v>
      </c>
      <c r="AE685" s="777">
        <v>0</v>
      </c>
      <c r="AF685" s="777">
        <v>21.6</v>
      </c>
      <c r="AG685" s="778">
        <v>22.50810254879892</v>
      </c>
    </row>
    <row r="686" spans="1:33" x14ac:dyDescent="0.2">
      <c r="A686" s="15">
        <f t="shared" si="87"/>
        <v>2010</v>
      </c>
      <c r="B686" s="14">
        <f t="shared" si="88"/>
        <v>8</v>
      </c>
      <c r="C686" s="13" t="str">
        <f t="shared" si="89"/>
        <v>Q3</v>
      </c>
      <c r="D686" s="13" t="str">
        <f t="shared" si="90"/>
        <v>2010Q3</v>
      </c>
      <c r="E686" s="13" t="str">
        <f t="shared" si="91"/>
        <v>Argentina</v>
      </c>
      <c r="F686" s="13" t="str">
        <f t="shared" si="94"/>
        <v>Biofuels</v>
      </c>
      <c r="G686" s="13" t="str">
        <f t="shared" si="93"/>
        <v>Asset finance investments</v>
      </c>
      <c r="H686" s="638">
        <f t="shared" si="92"/>
        <v>21.700520165682288</v>
      </c>
      <c r="I686" s="24" t="s">
        <v>506</v>
      </c>
      <c r="J686" s="25" t="s">
        <v>246</v>
      </c>
      <c r="K686" s="25" t="s">
        <v>2500</v>
      </c>
      <c r="L686" s="25" t="s">
        <v>735</v>
      </c>
      <c r="M686" s="25" t="s">
        <v>4</v>
      </c>
      <c r="N686" s="25" t="s">
        <v>85</v>
      </c>
      <c r="O686" s="25" t="s">
        <v>92</v>
      </c>
      <c r="P686" s="25" t="s">
        <v>83</v>
      </c>
      <c r="Q686" s="25" t="s">
        <v>82</v>
      </c>
      <c r="R686" s="25"/>
      <c r="S686" s="25" t="s">
        <v>96</v>
      </c>
      <c r="T686" s="25" t="s">
        <v>96</v>
      </c>
      <c r="U686" s="25" t="s">
        <v>95</v>
      </c>
      <c r="V686" s="25" t="s">
        <v>223</v>
      </c>
      <c r="W686" s="25" t="s">
        <v>553</v>
      </c>
      <c r="X686" s="25" t="s">
        <v>1752</v>
      </c>
      <c r="Y686" s="25" t="s">
        <v>1753</v>
      </c>
      <c r="Z686" s="26">
        <v>40410</v>
      </c>
      <c r="AA686" s="776">
        <v>0</v>
      </c>
      <c r="AB686" s="776">
        <v>59.5</v>
      </c>
      <c r="AC686" s="776">
        <v>0</v>
      </c>
      <c r="AD686" s="776">
        <v>0</v>
      </c>
      <c r="AE686" s="777">
        <v>0</v>
      </c>
      <c r="AF686" s="777">
        <v>20.824999999999999</v>
      </c>
      <c r="AG686" s="778">
        <v>21.700520165682288</v>
      </c>
    </row>
    <row r="687" spans="1:33" x14ac:dyDescent="0.2">
      <c r="A687" s="15">
        <f t="shared" si="87"/>
        <v>2010</v>
      </c>
      <c r="B687" s="14">
        <f t="shared" si="88"/>
        <v>7</v>
      </c>
      <c r="C687" s="13" t="str">
        <f t="shared" si="89"/>
        <v>Q3</v>
      </c>
      <c r="D687" s="13" t="str">
        <f t="shared" si="90"/>
        <v>2010Q3</v>
      </c>
      <c r="E687" s="13" t="str">
        <f t="shared" si="91"/>
        <v>Brazil</v>
      </c>
      <c r="F687" s="13" t="str">
        <f t="shared" si="94"/>
        <v>Biofuels</v>
      </c>
      <c r="G687" s="13" t="str">
        <f t="shared" si="93"/>
        <v>Asset finance investments</v>
      </c>
      <c r="H687" s="638">
        <f t="shared" si="92"/>
        <v>20.84083569333233</v>
      </c>
      <c r="I687" s="24" t="s">
        <v>506</v>
      </c>
      <c r="J687" s="25" t="s">
        <v>246</v>
      </c>
      <c r="K687" s="25" t="s">
        <v>2501</v>
      </c>
      <c r="L687" s="25" t="s">
        <v>2502</v>
      </c>
      <c r="M687" s="25" t="s">
        <v>31</v>
      </c>
      <c r="N687" s="25" t="s">
        <v>31</v>
      </c>
      <c r="O687" s="25" t="s">
        <v>92</v>
      </c>
      <c r="P687" s="25" t="s">
        <v>83</v>
      </c>
      <c r="Q687" s="25" t="s">
        <v>82</v>
      </c>
      <c r="R687" s="25" t="s">
        <v>91</v>
      </c>
      <c r="S687" s="25" t="s">
        <v>96</v>
      </c>
      <c r="T687" s="25" t="s">
        <v>96</v>
      </c>
      <c r="U687" s="25" t="s">
        <v>95</v>
      </c>
      <c r="V687" s="25" t="s">
        <v>223</v>
      </c>
      <c r="W687" s="25" t="s">
        <v>553</v>
      </c>
      <c r="X687" s="25" t="s">
        <v>1752</v>
      </c>
      <c r="Y687" s="25" t="s">
        <v>1753</v>
      </c>
      <c r="Z687" s="26">
        <v>40386</v>
      </c>
      <c r="AA687" s="776">
        <v>0</v>
      </c>
      <c r="AB687" s="776">
        <v>54</v>
      </c>
      <c r="AC687" s="776">
        <v>0</v>
      </c>
      <c r="AD687" s="776">
        <v>0</v>
      </c>
      <c r="AE687" s="777">
        <v>0</v>
      </c>
      <c r="AF687" s="777">
        <v>20</v>
      </c>
      <c r="AG687" s="778">
        <v>20.84083569333233</v>
      </c>
    </row>
    <row r="688" spans="1:33" x14ac:dyDescent="0.2">
      <c r="A688" s="15">
        <f t="shared" si="87"/>
        <v>2010</v>
      </c>
      <c r="B688" s="14">
        <f t="shared" si="88"/>
        <v>8</v>
      </c>
      <c r="C688" s="13" t="str">
        <f t="shared" si="89"/>
        <v>Q3</v>
      </c>
      <c r="D688" s="13" t="str">
        <f t="shared" si="90"/>
        <v>2010Q3</v>
      </c>
      <c r="E688" s="13" t="str">
        <f t="shared" si="91"/>
        <v>Brazil</v>
      </c>
      <c r="F688" s="13" t="str">
        <f t="shared" si="94"/>
        <v>Small Hydro</v>
      </c>
      <c r="G688" s="13" t="str">
        <f t="shared" si="93"/>
        <v>Asset finance investments</v>
      </c>
      <c r="H688" s="638">
        <f t="shared" si="92"/>
        <v>20.21561062253236</v>
      </c>
      <c r="I688" s="24" t="s">
        <v>506</v>
      </c>
      <c r="J688" s="25" t="s">
        <v>246</v>
      </c>
      <c r="K688" s="25" t="s">
        <v>2503</v>
      </c>
      <c r="L688" s="25" t="s">
        <v>811</v>
      </c>
      <c r="M688" s="25" t="s">
        <v>31</v>
      </c>
      <c r="N688" s="25" t="s">
        <v>31</v>
      </c>
      <c r="O688" s="25" t="s">
        <v>92</v>
      </c>
      <c r="P688" s="25" t="s">
        <v>83</v>
      </c>
      <c r="Q688" s="25" t="s">
        <v>82</v>
      </c>
      <c r="R688" s="25" t="s">
        <v>91</v>
      </c>
      <c r="S688" s="25" t="s">
        <v>126</v>
      </c>
      <c r="T688" s="25" t="s">
        <v>125</v>
      </c>
      <c r="U688" s="25" t="s">
        <v>247</v>
      </c>
      <c r="V688" s="25">
        <v>0</v>
      </c>
      <c r="W688" s="25" t="s">
        <v>553</v>
      </c>
      <c r="X688" s="25" t="s">
        <v>1749</v>
      </c>
      <c r="Y688" s="25" t="s">
        <v>1750</v>
      </c>
      <c r="Z688" s="26">
        <v>40406</v>
      </c>
      <c r="AA688" s="776">
        <v>7</v>
      </c>
      <c r="AB688" s="776">
        <v>0</v>
      </c>
      <c r="AC688" s="776">
        <v>0</v>
      </c>
      <c r="AD688" s="776">
        <v>0</v>
      </c>
      <c r="AE688" s="777">
        <v>19.399999999999999</v>
      </c>
      <c r="AF688" s="777">
        <v>19.399999999999999</v>
      </c>
      <c r="AG688" s="778">
        <v>20.21561062253236</v>
      </c>
    </row>
    <row r="689" spans="1:33" x14ac:dyDescent="0.2">
      <c r="A689" s="15">
        <f t="shared" si="87"/>
        <v>2010</v>
      </c>
      <c r="B689" s="14">
        <f t="shared" si="88"/>
        <v>8</v>
      </c>
      <c r="C689" s="13" t="str">
        <f t="shared" si="89"/>
        <v>Q3</v>
      </c>
      <c r="D689" s="13" t="str">
        <f t="shared" si="90"/>
        <v>2010Q3</v>
      </c>
      <c r="E689" s="13" t="str">
        <f t="shared" si="91"/>
        <v>Brazil</v>
      </c>
      <c r="F689" s="13" t="str">
        <f t="shared" si="94"/>
        <v>Biofuels</v>
      </c>
      <c r="G689" s="13" t="str">
        <f t="shared" si="93"/>
        <v>Asset finance investments</v>
      </c>
      <c r="H689" s="638">
        <f t="shared" si="92"/>
        <v>10.420417846666165</v>
      </c>
      <c r="I689" s="24" t="s">
        <v>506</v>
      </c>
      <c r="J689" s="25" t="s">
        <v>246</v>
      </c>
      <c r="K689" s="25" t="s">
        <v>2504</v>
      </c>
      <c r="L689" s="25" t="s">
        <v>2505</v>
      </c>
      <c r="M689" s="25" t="s">
        <v>31</v>
      </c>
      <c r="N689" s="25" t="s">
        <v>31</v>
      </c>
      <c r="O689" s="25" t="s">
        <v>92</v>
      </c>
      <c r="P689" s="25" t="s">
        <v>83</v>
      </c>
      <c r="Q689" s="25" t="s">
        <v>82</v>
      </c>
      <c r="R689" s="25" t="s">
        <v>91</v>
      </c>
      <c r="S689" s="25" t="s">
        <v>96</v>
      </c>
      <c r="T689" s="25" t="s">
        <v>96</v>
      </c>
      <c r="U689" s="25" t="s">
        <v>95</v>
      </c>
      <c r="V689" s="25" t="s">
        <v>223</v>
      </c>
      <c r="W689" s="25" t="s">
        <v>553</v>
      </c>
      <c r="X689" s="25" t="s">
        <v>1752</v>
      </c>
      <c r="Y689" s="25" t="s">
        <v>1753</v>
      </c>
      <c r="Z689" s="26">
        <v>40421</v>
      </c>
      <c r="AA689" s="776">
        <v>0</v>
      </c>
      <c r="AB689" s="776">
        <v>25.2</v>
      </c>
      <c r="AC689" s="776">
        <v>0</v>
      </c>
      <c r="AD689" s="776">
        <v>0</v>
      </c>
      <c r="AE689" s="777">
        <v>0</v>
      </c>
      <c r="AF689" s="777">
        <v>10</v>
      </c>
      <c r="AG689" s="778">
        <v>10.420417846666165</v>
      </c>
    </row>
    <row r="690" spans="1:33" x14ac:dyDescent="0.2">
      <c r="A690" s="15">
        <f t="shared" si="87"/>
        <v>2010</v>
      </c>
      <c r="B690" s="14">
        <f t="shared" si="88"/>
        <v>9</v>
      </c>
      <c r="C690" s="13" t="str">
        <f t="shared" si="89"/>
        <v>Q3</v>
      </c>
      <c r="D690" s="13" t="str">
        <f t="shared" si="90"/>
        <v>2010Q3</v>
      </c>
      <c r="E690" s="13" t="str">
        <f t="shared" si="91"/>
        <v>Brazil</v>
      </c>
      <c r="F690" s="13" t="str">
        <f t="shared" si="94"/>
        <v>Small Hydro</v>
      </c>
      <c r="G690" s="13" t="str">
        <f t="shared" si="93"/>
        <v>Asset finance investments</v>
      </c>
      <c r="H690" s="638">
        <f t="shared" si="92"/>
        <v>6.7732716003330058</v>
      </c>
      <c r="I690" s="24" t="s">
        <v>506</v>
      </c>
      <c r="J690" s="25" t="s">
        <v>246</v>
      </c>
      <c r="K690" s="25" t="s">
        <v>2506</v>
      </c>
      <c r="L690" s="25" t="s">
        <v>797</v>
      </c>
      <c r="M690" s="25" t="s">
        <v>31</v>
      </c>
      <c r="N690" s="25" t="s">
        <v>31</v>
      </c>
      <c r="O690" s="25" t="s">
        <v>92</v>
      </c>
      <c r="P690" s="25" t="s">
        <v>83</v>
      </c>
      <c r="Q690" s="25" t="s">
        <v>82</v>
      </c>
      <c r="R690" s="25" t="s">
        <v>91</v>
      </c>
      <c r="S690" s="25" t="s">
        <v>126</v>
      </c>
      <c r="T690" s="25" t="s">
        <v>125</v>
      </c>
      <c r="U690" s="25" t="s">
        <v>247</v>
      </c>
      <c r="V690" s="25">
        <v>0</v>
      </c>
      <c r="W690" s="25" t="s">
        <v>553</v>
      </c>
      <c r="X690" s="25" t="s">
        <v>1752</v>
      </c>
      <c r="Y690" s="25" t="s">
        <v>1753</v>
      </c>
      <c r="Z690" s="26">
        <v>40431</v>
      </c>
      <c r="AA690" s="776">
        <v>2.6</v>
      </c>
      <c r="AB690" s="776">
        <v>0</v>
      </c>
      <c r="AC690" s="776">
        <v>0</v>
      </c>
      <c r="AD690" s="776">
        <v>0</v>
      </c>
      <c r="AE690" s="777">
        <v>0</v>
      </c>
      <c r="AF690" s="777">
        <v>6.5</v>
      </c>
      <c r="AG690" s="778">
        <v>6.7732716003330058</v>
      </c>
    </row>
    <row r="691" spans="1:33" x14ac:dyDescent="0.2">
      <c r="A691" s="15">
        <f t="shared" si="87"/>
        <v>2010</v>
      </c>
      <c r="B691" s="14">
        <f t="shared" si="88"/>
        <v>9</v>
      </c>
      <c r="C691" s="13" t="str">
        <f t="shared" si="89"/>
        <v>Q3</v>
      </c>
      <c r="D691" s="13" t="str">
        <f t="shared" si="90"/>
        <v>2010Q3</v>
      </c>
      <c r="E691" s="13" t="str">
        <f t="shared" si="91"/>
        <v>Brazil</v>
      </c>
      <c r="F691" s="13" t="str">
        <f t="shared" si="94"/>
        <v>Small Hydro</v>
      </c>
      <c r="G691" s="13" t="str">
        <f t="shared" si="93"/>
        <v>Asset finance investments</v>
      </c>
      <c r="H691" s="638">
        <f t="shared" si="92"/>
        <v>5.2102089233330826</v>
      </c>
      <c r="I691" s="24" t="s">
        <v>506</v>
      </c>
      <c r="J691" s="25" t="s">
        <v>246</v>
      </c>
      <c r="K691" s="25" t="s">
        <v>2507</v>
      </c>
      <c r="L691" s="25" t="s">
        <v>802</v>
      </c>
      <c r="M691" s="25" t="s">
        <v>31</v>
      </c>
      <c r="N691" s="25" t="s">
        <v>31</v>
      </c>
      <c r="O691" s="25" t="s">
        <v>92</v>
      </c>
      <c r="P691" s="25" t="s">
        <v>83</v>
      </c>
      <c r="Q691" s="25" t="s">
        <v>82</v>
      </c>
      <c r="R691" s="25" t="s">
        <v>91</v>
      </c>
      <c r="S691" s="25" t="s">
        <v>126</v>
      </c>
      <c r="T691" s="25" t="s">
        <v>125</v>
      </c>
      <c r="U691" s="25" t="s">
        <v>247</v>
      </c>
      <c r="V691" s="25">
        <v>0</v>
      </c>
      <c r="W691" s="25" t="s">
        <v>553</v>
      </c>
      <c r="X691" s="25" t="s">
        <v>1752</v>
      </c>
      <c r="Y691" s="25" t="s">
        <v>1753</v>
      </c>
      <c r="Z691" s="26">
        <v>40431</v>
      </c>
      <c r="AA691" s="776">
        <v>2</v>
      </c>
      <c r="AB691" s="776">
        <v>0</v>
      </c>
      <c r="AC691" s="776">
        <v>0</v>
      </c>
      <c r="AD691" s="776">
        <v>0</v>
      </c>
      <c r="AE691" s="777">
        <v>0</v>
      </c>
      <c r="AF691" s="777">
        <v>5</v>
      </c>
      <c r="AG691" s="778">
        <v>5.2102089233330826</v>
      </c>
    </row>
    <row r="692" spans="1:33" x14ac:dyDescent="0.2">
      <c r="A692" s="15">
        <f t="shared" si="87"/>
        <v>2010</v>
      </c>
      <c r="B692" s="14">
        <f t="shared" si="88"/>
        <v>9</v>
      </c>
      <c r="C692" s="13" t="str">
        <f t="shared" si="89"/>
        <v>Q3</v>
      </c>
      <c r="D692" s="13" t="str">
        <f t="shared" si="90"/>
        <v>2010Q3</v>
      </c>
      <c r="E692" s="13" t="str">
        <f t="shared" si="91"/>
        <v>Brazil</v>
      </c>
      <c r="F692" s="13" t="str">
        <f t="shared" si="94"/>
        <v>Small Hydro</v>
      </c>
      <c r="G692" s="13" t="str">
        <f t="shared" si="93"/>
        <v>Asset finance investments</v>
      </c>
      <c r="H692" s="638">
        <f t="shared" si="92"/>
        <v>3.3866358001665029</v>
      </c>
      <c r="I692" s="24" t="s">
        <v>506</v>
      </c>
      <c r="J692" s="25" t="s">
        <v>246</v>
      </c>
      <c r="K692" s="25" t="s">
        <v>2508</v>
      </c>
      <c r="L692" s="25" t="s">
        <v>806</v>
      </c>
      <c r="M692" s="25" t="s">
        <v>31</v>
      </c>
      <c r="N692" s="25" t="s">
        <v>31</v>
      </c>
      <c r="O692" s="25" t="s">
        <v>92</v>
      </c>
      <c r="P692" s="25" t="s">
        <v>83</v>
      </c>
      <c r="Q692" s="25" t="s">
        <v>82</v>
      </c>
      <c r="R692" s="25" t="s">
        <v>91</v>
      </c>
      <c r="S692" s="25" t="s">
        <v>126</v>
      </c>
      <c r="T692" s="25" t="s">
        <v>125</v>
      </c>
      <c r="U692" s="25" t="s">
        <v>247</v>
      </c>
      <c r="V692" s="25">
        <v>0</v>
      </c>
      <c r="W692" s="25" t="s">
        <v>553</v>
      </c>
      <c r="X692" s="25" t="s">
        <v>1752</v>
      </c>
      <c r="Y692" s="25" t="s">
        <v>1753</v>
      </c>
      <c r="Z692" s="26">
        <v>40431</v>
      </c>
      <c r="AA692" s="776">
        <v>1.3</v>
      </c>
      <c r="AB692" s="776">
        <v>0</v>
      </c>
      <c r="AC692" s="776">
        <v>0</v>
      </c>
      <c r="AD692" s="776">
        <v>0</v>
      </c>
      <c r="AE692" s="777">
        <v>0</v>
      </c>
      <c r="AF692" s="777">
        <v>3.25</v>
      </c>
      <c r="AG692" s="778">
        <v>3.3866358001665029</v>
      </c>
    </row>
    <row r="693" spans="1:33" x14ac:dyDescent="0.2">
      <c r="A693" s="15">
        <f t="shared" si="87"/>
        <v>2010</v>
      </c>
      <c r="B693" s="14">
        <f t="shared" si="88"/>
        <v>8</v>
      </c>
      <c r="C693" s="13" t="str">
        <f t="shared" si="89"/>
        <v>Q3</v>
      </c>
      <c r="D693" s="13" t="str">
        <f t="shared" si="90"/>
        <v>2010Q3</v>
      </c>
      <c r="E693" s="13" t="str">
        <f t="shared" si="91"/>
        <v>Brazil</v>
      </c>
      <c r="F693" s="13" t="str">
        <f t="shared" si="94"/>
        <v>Biofuels</v>
      </c>
      <c r="G693" s="13" t="str">
        <f t="shared" si="93"/>
        <v>Asset finance investments</v>
      </c>
      <c r="H693" s="638">
        <f t="shared" si="92"/>
        <v>0.89615593481329026</v>
      </c>
      <c r="I693" s="24" t="s">
        <v>506</v>
      </c>
      <c r="J693" s="25" t="s">
        <v>246</v>
      </c>
      <c r="K693" s="25" t="s">
        <v>2509</v>
      </c>
      <c r="L693" s="25" t="s">
        <v>1018</v>
      </c>
      <c r="M693" s="25" t="s">
        <v>31</v>
      </c>
      <c r="N693" s="25" t="s">
        <v>31</v>
      </c>
      <c r="O693" s="25" t="s">
        <v>92</v>
      </c>
      <c r="P693" s="25" t="s">
        <v>83</v>
      </c>
      <c r="Q693" s="25" t="s">
        <v>82</v>
      </c>
      <c r="R693" s="25" t="s">
        <v>91</v>
      </c>
      <c r="S693" s="25" t="s">
        <v>96</v>
      </c>
      <c r="T693" s="25" t="s">
        <v>96</v>
      </c>
      <c r="U693" s="25" t="s">
        <v>95</v>
      </c>
      <c r="V693" s="25" t="s">
        <v>223</v>
      </c>
      <c r="W693" s="25" t="s">
        <v>553</v>
      </c>
      <c r="X693" s="25" t="s">
        <v>1752</v>
      </c>
      <c r="Y693" s="25" t="s">
        <v>1753</v>
      </c>
      <c r="Z693" s="26">
        <v>40421</v>
      </c>
      <c r="AA693" s="776">
        <v>0</v>
      </c>
      <c r="AB693" s="776">
        <v>55.1</v>
      </c>
      <c r="AC693" s="776">
        <v>0</v>
      </c>
      <c r="AD693" s="776">
        <v>0</v>
      </c>
      <c r="AE693" s="777">
        <v>0.86</v>
      </c>
      <c r="AF693" s="777">
        <v>0.86</v>
      </c>
      <c r="AG693" s="778">
        <v>0.89615593481329026</v>
      </c>
    </row>
    <row r="694" spans="1:33" x14ac:dyDescent="0.2">
      <c r="A694" s="15">
        <f t="shared" si="87"/>
        <v>2009</v>
      </c>
      <c r="B694" s="14">
        <f t="shared" si="88"/>
        <v>7</v>
      </c>
      <c r="C694" s="13" t="str">
        <f t="shared" si="89"/>
        <v>Q3</v>
      </c>
      <c r="D694" s="13" t="str">
        <f t="shared" si="90"/>
        <v>2009Q3</v>
      </c>
      <c r="E694" s="13" t="str">
        <f t="shared" si="91"/>
        <v>Brazil</v>
      </c>
      <c r="F694" s="13" t="str">
        <f t="shared" si="94"/>
        <v>Wind</v>
      </c>
      <c r="G694" s="13" t="str">
        <f t="shared" si="93"/>
        <v>Asset finance investments</v>
      </c>
      <c r="H694" s="638">
        <f t="shared" si="92"/>
        <v>386.46400000000006</v>
      </c>
      <c r="I694" s="24" t="s">
        <v>506</v>
      </c>
      <c r="J694" s="25" t="s">
        <v>246</v>
      </c>
      <c r="K694" s="25" t="s">
        <v>2510</v>
      </c>
      <c r="L694" s="25" t="s">
        <v>1003</v>
      </c>
      <c r="M694" s="25" t="s">
        <v>31</v>
      </c>
      <c r="N694" s="25" t="s">
        <v>31</v>
      </c>
      <c r="O694" s="25" t="s">
        <v>92</v>
      </c>
      <c r="P694" s="25" t="s">
        <v>83</v>
      </c>
      <c r="Q694" s="25" t="s">
        <v>82</v>
      </c>
      <c r="R694" s="25" t="s">
        <v>91</v>
      </c>
      <c r="S694" s="25" t="s">
        <v>101</v>
      </c>
      <c r="T694" s="25" t="s">
        <v>101</v>
      </c>
      <c r="U694" s="25" t="s">
        <v>112</v>
      </c>
      <c r="V694" s="25">
        <v>0</v>
      </c>
      <c r="W694" s="25" t="s">
        <v>553</v>
      </c>
      <c r="X694" s="25" t="s">
        <v>1752</v>
      </c>
      <c r="Y694" s="25" t="s">
        <v>1753</v>
      </c>
      <c r="Z694" s="26">
        <v>40025</v>
      </c>
      <c r="AA694" s="776">
        <v>135</v>
      </c>
      <c r="AB694" s="776">
        <v>0</v>
      </c>
      <c r="AC694" s="776">
        <v>0</v>
      </c>
      <c r="AD694" s="776">
        <v>0</v>
      </c>
      <c r="AE694" s="777">
        <v>371.6</v>
      </c>
      <c r="AF694" s="777">
        <v>371.6</v>
      </c>
      <c r="AG694" s="778">
        <v>386.46400000000006</v>
      </c>
    </row>
    <row r="695" spans="1:33" x14ac:dyDescent="0.2">
      <c r="A695" s="15">
        <f t="shared" si="87"/>
        <v>2009</v>
      </c>
      <c r="B695" s="14">
        <f t="shared" si="88"/>
        <v>9</v>
      </c>
      <c r="C695" s="13" t="str">
        <f t="shared" si="89"/>
        <v>Q3</v>
      </c>
      <c r="D695" s="13" t="str">
        <f t="shared" si="90"/>
        <v>2009Q3</v>
      </c>
      <c r="E695" s="13" t="str">
        <f t="shared" si="91"/>
        <v>Brazil</v>
      </c>
      <c r="F695" s="13" t="str">
        <f t="shared" si="94"/>
        <v>Wind</v>
      </c>
      <c r="G695" s="13" t="str">
        <f t="shared" si="93"/>
        <v>Asset finance investments</v>
      </c>
      <c r="H695" s="638">
        <f t="shared" si="92"/>
        <v>178.15200000000002</v>
      </c>
      <c r="I695" s="24" t="s">
        <v>506</v>
      </c>
      <c r="J695" s="25" t="s">
        <v>246</v>
      </c>
      <c r="K695" s="25" t="s">
        <v>2511</v>
      </c>
      <c r="L695" s="25" t="s">
        <v>897</v>
      </c>
      <c r="M695" s="25" t="s">
        <v>31</v>
      </c>
      <c r="N695" s="25" t="s">
        <v>31</v>
      </c>
      <c r="O695" s="25" t="s">
        <v>92</v>
      </c>
      <c r="P695" s="25" t="s">
        <v>83</v>
      </c>
      <c r="Q695" s="25" t="s">
        <v>82</v>
      </c>
      <c r="R695" s="25" t="s">
        <v>91</v>
      </c>
      <c r="S695" s="25" t="s">
        <v>101</v>
      </c>
      <c r="T695" s="25" t="s">
        <v>101</v>
      </c>
      <c r="U695" s="25" t="s">
        <v>112</v>
      </c>
      <c r="V695" s="25">
        <v>0</v>
      </c>
      <c r="W695" s="25" t="s">
        <v>553</v>
      </c>
      <c r="X695" s="25" t="s">
        <v>1752</v>
      </c>
      <c r="Y695" s="25" t="s">
        <v>1753</v>
      </c>
      <c r="Z695" s="26">
        <v>40081</v>
      </c>
      <c r="AA695" s="776">
        <v>51</v>
      </c>
      <c r="AB695" s="776">
        <v>0</v>
      </c>
      <c r="AC695" s="776">
        <v>0</v>
      </c>
      <c r="AD695" s="776">
        <v>0</v>
      </c>
      <c r="AE695" s="777">
        <v>171.3</v>
      </c>
      <c r="AF695" s="777">
        <v>171.3</v>
      </c>
      <c r="AG695" s="778">
        <v>178.15200000000002</v>
      </c>
    </row>
    <row r="696" spans="1:33" x14ac:dyDescent="0.2">
      <c r="A696" s="15">
        <f t="shared" si="87"/>
        <v>2009</v>
      </c>
      <c r="B696" s="14">
        <f t="shared" si="88"/>
        <v>9</v>
      </c>
      <c r="C696" s="13" t="str">
        <f t="shared" si="89"/>
        <v>Q3</v>
      </c>
      <c r="D696" s="13" t="str">
        <f t="shared" si="90"/>
        <v>2009Q3</v>
      </c>
      <c r="E696" s="13" t="str">
        <f t="shared" si="91"/>
        <v>Brazil</v>
      </c>
      <c r="F696" s="13" t="str">
        <f t="shared" si="94"/>
        <v>Biofuels</v>
      </c>
      <c r="G696" s="13" t="str">
        <f t="shared" si="93"/>
        <v>Asset finance investments</v>
      </c>
      <c r="H696" s="638">
        <f t="shared" si="92"/>
        <v>156</v>
      </c>
      <c r="I696" s="24" t="s">
        <v>506</v>
      </c>
      <c r="J696" s="25" t="s">
        <v>246</v>
      </c>
      <c r="K696" s="25" t="s">
        <v>2512</v>
      </c>
      <c r="L696" s="25" t="s">
        <v>2513</v>
      </c>
      <c r="M696" s="25" t="s">
        <v>31</v>
      </c>
      <c r="N696" s="25" t="s">
        <v>31</v>
      </c>
      <c r="O696" s="25" t="s">
        <v>92</v>
      </c>
      <c r="P696" s="25" t="s">
        <v>83</v>
      </c>
      <c r="Q696" s="25" t="s">
        <v>82</v>
      </c>
      <c r="R696" s="25" t="s">
        <v>91</v>
      </c>
      <c r="S696" s="25" t="s">
        <v>96</v>
      </c>
      <c r="T696" s="25" t="s">
        <v>96</v>
      </c>
      <c r="U696" s="25" t="s">
        <v>98</v>
      </c>
      <c r="V696" s="25" t="s">
        <v>230</v>
      </c>
      <c r="W696" s="25" t="s">
        <v>553</v>
      </c>
      <c r="X696" s="25" t="s">
        <v>1752</v>
      </c>
      <c r="Y696" s="25" t="s">
        <v>1753</v>
      </c>
      <c r="Z696" s="26">
        <v>40086</v>
      </c>
      <c r="AA696" s="776">
        <v>90</v>
      </c>
      <c r="AB696" s="776">
        <v>300</v>
      </c>
      <c r="AC696" s="776">
        <v>0</v>
      </c>
      <c r="AD696" s="776">
        <v>0</v>
      </c>
      <c r="AE696" s="777">
        <v>0</v>
      </c>
      <c r="AF696" s="777">
        <v>150</v>
      </c>
      <c r="AG696" s="778">
        <v>156</v>
      </c>
    </row>
    <row r="697" spans="1:33" x14ac:dyDescent="0.2">
      <c r="A697" s="15">
        <f t="shared" si="87"/>
        <v>2009</v>
      </c>
      <c r="B697" s="14">
        <f t="shared" si="88"/>
        <v>9</v>
      </c>
      <c r="C697" s="13" t="str">
        <f t="shared" si="89"/>
        <v>Q3</v>
      </c>
      <c r="D697" s="13" t="str">
        <f t="shared" si="90"/>
        <v>2009Q3</v>
      </c>
      <c r="E697" s="13" t="str">
        <f t="shared" si="91"/>
        <v>Mexico</v>
      </c>
      <c r="F697" s="13" t="str">
        <f t="shared" si="94"/>
        <v>Geothermal</v>
      </c>
      <c r="G697" s="13" t="str">
        <f t="shared" si="93"/>
        <v>Asset finance investments</v>
      </c>
      <c r="H697" s="638">
        <f t="shared" si="92"/>
        <v>132.08000000000001</v>
      </c>
      <c r="I697" s="24" t="s">
        <v>506</v>
      </c>
      <c r="J697" s="25" t="s">
        <v>246</v>
      </c>
      <c r="K697" s="25" t="s">
        <v>2514</v>
      </c>
      <c r="L697" s="25" t="s">
        <v>901</v>
      </c>
      <c r="M697" s="25" t="s">
        <v>18</v>
      </c>
      <c r="N697" s="25" t="s">
        <v>85</v>
      </c>
      <c r="O697" s="25" t="s">
        <v>92</v>
      </c>
      <c r="P697" s="25" t="s">
        <v>83</v>
      </c>
      <c r="Q697" s="25" t="s">
        <v>129</v>
      </c>
      <c r="R697" s="25"/>
      <c r="S697" s="25" t="s">
        <v>157</v>
      </c>
      <c r="T697" s="25" t="s">
        <v>157</v>
      </c>
      <c r="U697" s="25" t="s">
        <v>156</v>
      </c>
      <c r="V697" s="25" t="s">
        <v>248</v>
      </c>
      <c r="W697" s="25" t="s">
        <v>553</v>
      </c>
      <c r="X697" s="25" t="s">
        <v>1752</v>
      </c>
      <c r="Y697" s="25" t="s">
        <v>1753</v>
      </c>
      <c r="Z697" s="26">
        <v>40067</v>
      </c>
      <c r="AA697" s="776">
        <v>0</v>
      </c>
      <c r="AB697" s="776">
        <v>0</v>
      </c>
      <c r="AC697" s="776">
        <v>0</v>
      </c>
      <c r="AD697" s="776">
        <v>0</v>
      </c>
      <c r="AE697" s="777">
        <v>127</v>
      </c>
      <c r="AF697" s="777">
        <v>127</v>
      </c>
      <c r="AG697" s="778">
        <v>132.08000000000001</v>
      </c>
    </row>
    <row r="698" spans="1:33" x14ac:dyDescent="0.2">
      <c r="A698" s="15">
        <f t="shared" si="87"/>
        <v>2009</v>
      </c>
      <c r="B698" s="14">
        <f t="shared" si="88"/>
        <v>8</v>
      </c>
      <c r="C698" s="13" t="str">
        <f t="shared" si="89"/>
        <v>Q3</v>
      </c>
      <c r="D698" s="13" t="str">
        <f t="shared" si="90"/>
        <v>2009Q3</v>
      </c>
      <c r="E698" s="13" t="str">
        <f t="shared" si="91"/>
        <v>Brazil</v>
      </c>
      <c r="F698" s="13" t="str">
        <f t="shared" si="94"/>
        <v>Small Hydro</v>
      </c>
      <c r="G698" s="13" t="str">
        <f t="shared" si="93"/>
        <v>Asset finance investments</v>
      </c>
      <c r="H698" s="638">
        <f t="shared" si="92"/>
        <v>112.42399999999999</v>
      </c>
      <c r="I698" s="24" t="s">
        <v>506</v>
      </c>
      <c r="J698" s="25" t="s">
        <v>246</v>
      </c>
      <c r="K698" s="25" t="s">
        <v>2515</v>
      </c>
      <c r="L698" s="25" t="s">
        <v>1032</v>
      </c>
      <c r="M698" s="25" t="s">
        <v>31</v>
      </c>
      <c r="N698" s="25" t="s">
        <v>31</v>
      </c>
      <c r="O698" s="25" t="s">
        <v>92</v>
      </c>
      <c r="P698" s="25" t="s">
        <v>83</v>
      </c>
      <c r="Q698" s="25" t="s">
        <v>82</v>
      </c>
      <c r="R698" s="25" t="s">
        <v>91</v>
      </c>
      <c r="S698" s="25" t="s">
        <v>126</v>
      </c>
      <c r="T698" s="25" t="s">
        <v>125</v>
      </c>
      <c r="U698" s="25" t="s">
        <v>247</v>
      </c>
      <c r="V698" s="25">
        <v>0</v>
      </c>
      <c r="W698" s="25" t="s">
        <v>553</v>
      </c>
      <c r="X698" s="25" t="s">
        <v>1752</v>
      </c>
      <c r="Y698" s="25" t="s">
        <v>1753</v>
      </c>
      <c r="Z698" s="26">
        <v>40042</v>
      </c>
      <c r="AA698" s="776">
        <v>31.2</v>
      </c>
      <c r="AB698" s="776">
        <v>0</v>
      </c>
      <c r="AC698" s="776">
        <v>0</v>
      </c>
      <c r="AD698" s="776">
        <v>0</v>
      </c>
      <c r="AE698" s="777">
        <v>108.1</v>
      </c>
      <c r="AF698" s="777">
        <v>108.1</v>
      </c>
      <c r="AG698" s="778">
        <v>112.42399999999999</v>
      </c>
    </row>
    <row r="699" spans="1:33" x14ac:dyDescent="0.2">
      <c r="A699" s="15">
        <f t="shared" si="87"/>
        <v>2009</v>
      </c>
      <c r="B699" s="14">
        <f t="shared" si="88"/>
        <v>7</v>
      </c>
      <c r="C699" s="13" t="str">
        <f t="shared" si="89"/>
        <v>Q3</v>
      </c>
      <c r="D699" s="13" t="str">
        <f t="shared" si="90"/>
        <v>2009Q3</v>
      </c>
      <c r="E699" s="13" t="str">
        <f t="shared" si="91"/>
        <v>Brazil</v>
      </c>
      <c r="F699" s="13" t="str">
        <f t="shared" si="94"/>
        <v>Biofuels</v>
      </c>
      <c r="G699" s="13" t="str">
        <f t="shared" si="93"/>
        <v>Asset finance investments</v>
      </c>
      <c r="H699" s="638">
        <f t="shared" si="92"/>
        <v>112.32000000000001</v>
      </c>
      <c r="I699" s="24" t="s">
        <v>506</v>
      </c>
      <c r="J699" s="25" t="s">
        <v>246</v>
      </c>
      <c r="K699" s="25" t="s">
        <v>2516</v>
      </c>
      <c r="L699" s="25" t="s">
        <v>648</v>
      </c>
      <c r="M699" s="25" t="s">
        <v>31</v>
      </c>
      <c r="N699" s="25" t="s">
        <v>31</v>
      </c>
      <c r="O699" s="25" t="s">
        <v>92</v>
      </c>
      <c r="P699" s="25" t="s">
        <v>83</v>
      </c>
      <c r="Q699" s="25" t="s">
        <v>82</v>
      </c>
      <c r="R699" s="25" t="s">
        <v>91</v>
      </c>
      <c r="S699" s="25" t="s">
        <v>96</v>
      </c>
      <c r="T699" s="25" t="s">
        <v>96</v>
      </c>
      <c r="U699" s="25" t="s">
        <v>98</v>
      </c>
      <c r="V699" s="25">
        <v>0</v>
      </c>
      <c r="W699" s="25" t="s">
        <v>553</v>
      </c>
      <c r="X699" s="25" t="s">
        <v>1752</v>
      </c>
      <c r="Y699" s="25" t="s">
        <v>1753</v>
      </c>
      <c r="Z699" s="26">
        <v>40025</v>
      </c>
      <c r="AA699" s="776">
        <v>12</v>
      </c>
      <c r="AB699" s="776">
        <v>120</v>
      </c>
      <c r="AC699" s="776">
        <v>0</v>
      </c>
      <c r="AD699" s="776">
        <v>0</v>
      </c>
      <c r="AE699" s="777">
        <v>0</v>
      </c>
      <c r="AF699" s="777">
        <v>108</v>
      </c>
      <c r="AG699" s="778">
        <v>112.32000000000001</v>
      </c>
    </row>
    <row r="700" spans="1:33" x14ac:dyDescent="0.2">
      <c r="A700" s="15">
        <f t="shared" si="87"/>
        <v>2009</v>
      </c>
      <c r="B700" s="14">
        <f t="shared" si="88"/>
        <v>8</v>
      </c>
      <c r="C700" s="13" t="str">
        <f t="shared" si="89"/>
        <v>Q3</v>
      </c>
      <c r="D700" s="13" t="str">
        <f t="shared" si="90"/>
        <v>2009Q3</v>
      </c>
      <c r="E700" s="13" t="str">
        <f t="shared" si="91"/>
        <v>Brazil</v>
      </c>
      <c r="F700" s="13" t="str">
        <f t="shared" si="94"/>
        <v>Biomass &amp; Waste</v>
      </c>
      <c r="G700" s="13" t="str">
        <f t="shared" si="93"/>
        <v>Asset finance investments</v>
      </c>
      <c r="H700" s="638">
        <f t="shared" si="92"/>
        <v>108.05600000000001</v>
      </c>
      <c r="I700" s="24" t="s">
        <v>506</v>
      </c>
      <c r="J700" s="25" t="s">
        <v>246</v>
      </c>
      <c r="K700" s="25" t="s">
        <v>2517</v>
      </c>
      <c r="L700" s="25" t="s">
        <v>926</v>
      </c>
      <c r="M700" s="25" t="s">
        <v>31</v>
      </c>
      <c r="N700" s="25" t="s">
        <v>31</v>
      </c>
      <c r="O700" s="25" t="s">
        <v>92</v>
      </c>
      <c r="P700" s="25" t="s">
        <v>83</v>
      </c>
      <c r="Q700" s="25" t="s">
        <v>82</v>
      </c>
      <c r="R700" s="25" t="s">
        <v>91</v>
      </c>
      <c r="S700" s="25" t="s">
        <v>114</v>
      </c>
      <c r="T700" s="25" t="s">
        <v>114</v>
      </c>
      <c r="U700" s="25" t="s">
        <v>113</v>
      </c>
      <c r="V700" s="25" t="s">
        <v>347</v>
      </c>
      <c r="W700" s="25" t="s">
        <v>553</v>
      </c>
      <c r="X700" s="25" t="s">
        <v>1749</v>
      </c>
      <c r="Y700" s="25" t="s">
        <v>1750</v>
      </c>
      <c r="Z700" s="26">
        <v>40056</v>
      </c>
      <c r="AA700" s="776">
        <v>60</v>
      </c>
      <c r="AB700" s="776">
        <v>0</v>
      </c>
      <c r="AC700" s="776">
        <v>0</v>
      </c>
      <c r="AD700" s="776">
        <v>0</v>
      </c>
      <c r="AE700" s="777">
        <v>103.9</v>
      </c>
      <c r="AF700" s="777">
        <v>103.9</v>
      </c>
      <c r="AG700" s="778">
        <v>108.05600000000001</v>
      </c>
    </row>
    <row r="701" spans="1:33" x14ac:dyDescent="0.2">
      <c r="A701" s="15">
        <f t="shared" si="87"/>
        <v>2009</v>
      </c>
      <c r="B701" s="14">
        <f t="shared" si="88"/>
        <v>8</v>
      </c>
      <c r="C701" s="13" t="str">
        <f t="shared" si="89"/>
        <v>Q3</v>
      </c>
      <c r="D701" s="13" t="str">
        <f t="shared" si="90"/>
        <v>2009Q3</v>
      </c>
      <c r="E701" s="13" t="str">
        <f t="shared" si="91"/>
        <v>Brazil</v>
      </c>
      <c r="F701" s="13" t="str">
        <f t="shared" si="94"/>
        <v>Small Hydro</v>
      </c>
      <c r="G701" s="13" t="str">
        <f t="shared" si="93"/>
        <v>Asset finance investments</v>
      </c>
      <c r="H701" s="638">
        <f t="shared" si="92"/>
        <v>104</v>
      </c>
      <c r="I701" s="24" t="s">
        <v>506</v>
      </c>
      <c r="J701" s="25" t="s">
        <v>246</v>
      </c>
      <c r="K701" s="25" t="s">
        <v>2518</v>
      </c>
      <c r="L701" s="25" t="s">
        <v>908</v>
      </c>
      <c r="M701" s="25" t="s">
        <v>31</v>
      </c>
      <c r="N701" s="25" t="s">
        <v>31</v>
      </c>
      <c r="O701" s="25" t="s">
        <v>92</v>
      </c>
      <c r="P701" s="25" t="s">
        <v>83</v>
      </c>
      <c r="Q701" s="25" t="s">
        <v>82</v>
      </c>
      <c r="R701" s="25" t="s">
        <v>91</v>
      </c>
      <c r="S701" s="25" t="s">
        <v>126</v>
      </c>
      <c r="T701" s="25" t="s">
        <v>125</v>
      </c>
      <c r="U701" s="25" t="s">
        <v>342</v>
      </c>
      <c r="V701" s="25">
        <v>0</v>
      </c>
      <c r="W701" s="25" t="s">
        <v>553</v>
      </c>
      <c r="X701" s="25" t="s">
        <v>1749</v>
      </c>
      <c r="Y701" s="25" t="s">
        <v>1750</v>
      </c>
      <c r="Z701" s="26">
        <v>40045</v>
      </c>
      <c r="AA701" s="776">
        <v>39</v>
      </c>
      <c r="AB701" s="776">
        <v>0</v>
      </c>
      <c r="AC701" s="776">
        <v>0</v>
      </c>
      <c r="AD701" s="776">
        <v>0</v>
      </c>
      <c r="AE701" s="777">
        <v>100</v>
      </c>
      <c r="AF701" s="777">
        <v>100</v>
      </c>
      <c r="AG701" s="778">
        <v>104</v>
      </c>
    </row>
    <row r="702" spans="1:33" x14ac:dyDescent="0.2">
      <c r="A702" s="15">
        <f t="shared" si="87"/>
        <v>2009</v>
      </c>
      <c r="B702" s="14">
        <f t="shared" si="88"/>
        <v>8</v>
      </c>
      <c r="C702" s="13" t="str">
        <f t="shared" si="89"/>
        <v>Q3</v>
      </c>
      <c r="D702" s="13" t="str">
        <f t="shared" si="90"/>
        <v>2009Q3</v>
      </c>
      <c r="E702" s="13" t="str">
        <f t="shared" si="91"/>
        <v>Brazil</v>
      </c>
      <c r="F702" s="13" t="str">
        <f t="shared" si="94"/>
        <v>Biofuels</v>
      </c>
      <c r="G702" s="13" t="str">
        <f t="shared" si="93"/>
        <v>Asset finance investments</v>
      </c>
      <c r="H702" s="638">
        <f t="shared" si="92"/>
        <v>93.600000000000009</v>
      </c>
      <c r="I702" s="24" t="s">
        <v>506</v>
      </c>
      <c r="J702" s="25" t="s">
        <v>246</v>
      </c>
      <c r="K702" s="25" t="s">
        <v>2519</v>
      </c>
      <c r="L702" s="25" t="s">
        <v>2520</v>
      </c>
      <c r="M702" s="25" t="s">
        <v>31</v>
      </c>
      <c r="N702" s="25" t="s">
        <v>31</v>
      </c>
      <c r="O702" s="25" t="s">
        <v>92</v>
      </c>
      <c r="P702" s="25" t="s">
        <v>83</v>
      </c>
      <c r="Q702" s="25" t="s">
        <v>82</v>
      </c>
      <c r="R702" s="25" t="s">
        <v>91</v>
      </c>
      <c r="S702" s="25" t="s">
        <v>96</v>
      </c>
      <c r="T702" s="25" t="s">
        <v>96</v>
      </c>
      <c r="U702" s="25" t="s">
        <v>98</v>
      </c>
      <c r="V702" s="25" t="s">
        <v>230</v>
      </c>
      <c r="W702" s="25" t="s">
        <v>553</v>
      </c>
      <c r="X702" s="25" t="s">
        <v>1749</v>
      </c>
      <c r="Y702" s="25" t="s">
        <v>1750</v>
      </c>
      <c r="Z702" s="26">
        <v>40056</v>
      </c>
      <c r="AA702" s="776">
        <v>0</v>
      </c>
      <c r="AB702" s="776">
        <v>134</v>
      </c>
      <c r="AC702" s="776">
        <v>0</v>
      </c>
      <c r="AD702" s="776">
        <v>0</v>
      </c>
      <c r="AE702" s="777">
        <v>90</v>
      </c>
      <c r="AF702" s="777">
        <v>90</v>
      </c>
      <c r="AG702" s="778">
        <v>93.600000000000009</v>
      </c>
    </row>
    <row r="703" spans="1:33" x14ac:dyDescent="0.2">
      <c r="A703" s="15">
        <f t="shared" si="87"/>
        <v>2009</v>
      </c>
      <c r="B703" s="14">
        <f t="shared" si="88"/>
        <v>7</v>
      </c>
      <c r="C703" s="13" t="str">
        <f t="shared" si="89"/>
        <v>Q3</v>
      </c>
      <c r="D703" s="13" t="str">
        <f t="shared" si="90"/>
        <v>2009Q3</v>
      </c>
      <c r="E703" s="13" t="str">
        <f t="shared" si="91"/>
        <v>Brazil</v>
      </c>
      <c r="F703" s="13" t="str">
        <f t="shared" si="94"/>
        <v>Biofuels</v>
      </c>
      <c r="G703" s="13" t="str">
        <f t="shared" si="93"/>
        <v>Asset finance investments</v>
      </c>
      <c r="H703" s="638">
        <f t="shared" si="92"/>
        <v>92.664000000000001</v>
      </c>
      <c r="I703" s="24" t="s">
        <v>506</v>
      </c>
      <c r="J703" s="25" t="s">
        <v>246</v>
      </c>
      <c r="K703" s="25" t="s">
        <v>2521</v>
      </c>
      <c r="L703" s="25" t="s">
        <v>923</v>
      </c>
      <c r="M703" s="25" t="s">
        <v>31</v>
      </c>
      <c r="N703" s="25" t="s">
        <v>31</v>
      </c>
      <c r="O703" s="25" t="s">
        <v>92</v>
      </c>
      <c r="P703" s="25" t="s">
        <v>83</v>
      </c>
      <c r="Q703" s="25" t="s">
        <v>82</v>
      </c>
      <c r="R703" s="25" t="s">
        <v>91</v>
      </c>
      <c r="S703" s="25" t="s">
        <v>96</v>
      </c>
      <c r="T703" s="25" t="s">
        <v>96</v>
      </c>
      <c r="U703" s="25" t="s">
        <v>98</v>
      </c>
      <c r="V703" s="25" t="s">
        <v>230</v>
      </c>
      <c r="W703" s="25" t="s">
        <v>553</v>
      </c>
      <c r="X703" s="25" t="s">
        <v>1749</v>
      </c>
      <c r="Y703" s="25" t="s">
        <v>1750</v>
      </c>
      <c r="Z703" s="26">
        <v>40007</v>
      </c>
      <c r="AA703" s="776">
        <v>12</v>
      </c>
      <c r="AB703" s="776">
        <v>120</v>
      </c>
      <c r="AC703" s="776">
        <v>0</v>
      </c>
      <c r="AD703" s="776">
        <v>0</v>
      </c>
      <c r="AE703" s="777">
        <v>89.1</v>
      </c>
      <c r="AF703" s="777">
        <v>89.1</v>
      </c>
      <c r="AG703" s="778">
        <v>92.664000000000001</v>
      </c>
    </row>
    <row r="704" spans="1:33" x14ac:dyDescent="0.2">
      <c r="A704" s="15">
        <f t="shared" si="87"/>
        <v>2009</v>
      </c>
      <c r="B704" s="14">
        <f t="shared" si="88"/>
        <v>8</v>
      </c>
      <c r="C704" s="13" t="str">
        <f t="shared" si="89"/>
        <v>Q3</v>
      </c>
      <c r="D704" s="13" t="str">
        <f t="shared" si="90"/>
        <v>2009Q3</v>
      </c>
      <c r="E704" s="13" t="str">
        <f t="shared" si="91"/>
        <v>Brazil</v>
      </c>
      <c r="F704" s="13" t="str">
        <f t="shared" si="94"/>
        <v>Biofuels</v>
      </c>
      <c r="G704" s="13" t="str">
        <f t="shared" si="93"/>
        <v>Asset finance investments</v>
      </c>
      <c r="H704" s="638">
        <f t="shared" si="92"/>
        <v>88.4</v>
      </c>
      <c r="I704" s="24" t="s">
        <v>506</v>
      </c>
      <c r="J704" s="25" t="s">
        <v>246</v>
      </c>
      <c r="K704" s="25" t="s">
        <v>2522</v>
      </c>
      <c r="L704" s="25" t="s">
        <v>2523</v>
      </c>
      <c r="M704" s="25" t="s">
        <v>31</v>
      </c>
      <c r="N704" s="25" t="s">
        <v>31</v>
      </c>
      <c r="O704" s="25" t="s">
        <v>92</v>
      </c>
      <c r="P704" s="25" t="s">
        <v>83</v>
      </c>
      <c r="Q704" s="25" t="s">
        <v>82</v>
      </c>
      <c r="R704" s="25" t="s">
        <v>91</v>
      </c>
      <c r="S704" s="25" t="s">
        <v>96</v>
      </c>
      <c r="T704" s="25" t="s">
        <v>96</v>
      </c>
      <c r="U704" s="25" t="s">
        <v>98</v>
      </c>
      <c r="V704" s="25" t="s">
        <v>230</v>
      </c>
      <c r="W704" s="25" t="s">
        <v>553</v>
      </c>
      <c r="X704" s="25" t="s">
        <v>1752</v>
      </c>
      <c r="Y704" s="25" t="s">
        <v>1753</v>
      </c>
      <c r="Z704" s="26">
        <v>40056</v>
      </c>
      <c r="AA704" s="776">
        <v>0</v>
      </c>
      <c r="AB704" s="776">
        <v>84</v>
      </c>
      <c r="AC704" s="776">
        <v>0</v>
      </c>
      <c r="AD704" s="776">
        <v>0</v>
      </c>
      <c r="AE704" s="777">
        <v>85</v>
      </c>
      <c r="AF704" s="777">
        <v>85</v>
      </c>
      <c r="AG704" s="778">
        <v>88.4</v>
      </c>
    </row>
    <row r="705" spans="1:33" x14ac:dyDescent="0.2">
      <c r="A705" s="15">
        <f t="shared" si="87"/>
        <v>2009</v>
      </c>
      <c r="B705" s="14">
        <f t="shared" si="88"/>
        <v>7</v>
      </c>
      <c r="C705" s="13" t="str">
        <f t="shared" si="89"/>
        <v>Q3</v>
      </c>
      <c r="D705" s="13" t="str">
        <f t="shared" si="90"/>
        <v>2009Q3</v>
      </c>
      <c r="E705" s="13" t="str">
        <f t="shared" si="91"/>
        <v>Chile</v>
      </c>
      <c r="F705" s="13" t="str">
        <f t="shared" si="94"/>
        <v>Biomass &amp; Waste</v>
      </c>
      <c r="G705" s="13" t="str">
        <f t="shared" si="93"/>
        <v>Asset finance investments</v>
      </c>
      <c r="H705" s="638">
        <f t="shared" si="92"/>
        <v>78</v>
      </c>
      <c r="I705" s="24" t="s">
        <v>506</v>
      </c>
      <c r="J705" s="25" t="s">
        <v>246</v>
      </c>
      <c r="K705" s="25" t="s">
        <v>2524</v>
      </c>
      <c r="L705" s="25" t="s">
        <v>1011</v>
      </c>
      <c r="M705" s="25" t="s">
        <v>8</v>
      </c>
      <c r="N705" s="25" t="s">
        <v>85</v>
      </c>
      <c r="O705" s="25" t="s">
        <v>92</v>
      </c>
      <c r="P705" s="25" t="s">
        <v>83</v>
      </c>
      <c r="Q705" s="25" t="s">
        <v>129</v>
      </c>
      <c r="R705" s="25"/>
      <c r="S705" s="25" t="s">
        <v>114</v>
      </c>
      <c r="T705" s="25" t="s">
        <v>114</v>
      </c>
      <c r="U705" s="25" t="s">
        <v>113</v>
      </c>
      <c r="V705" s="25" t="s">
        <v>347</v>
      </c>
      <c r="W705" s="25" t="s">
        <v>553</v>
      </c>
      <c r="X705" s="25" t="s">
        <v>1749</v>
      </c>
      <c r="Y705" s="25" t="s">
        <v>1750</v>
      </c>
      <c r="Z705" s="26">
        <v>40025</v>
      </c>
      <c r="AA705" s="776">
        <v>40</v>
      </c>
      <c r="AB705" s="776">
        <v>0</v>
      </c>
      <c r="AC705" s="776">
        <v>0</v>
      </c>
      <c r="AD705" s="776">
        <v>0</v>
      </c>
      <c r="AE705" s="777">
        <v>75</v>
      </c>
      <c r="AF705" s="777">
        <v>75</v>
      </c>
      <c r="AG705" s="778">
        <v>78</v>
      </c>
    </row>
    <row r="706" spans="1:33" x14ac:dyDescent="0.2">
      <c r="A706" s="15">
        <f t="shared" si="87"/>
        <v>2009</v>
      </c>
      <c r="B706" s="14">
        <f t="shared" si="88"/>
        <v>7</v>
      </c>
      <c r="C706" s="13" t="str">
        <f t="shared" si="89"/>
        <v>Q3</v>
      </c>
      <c r="D706" s="13" t="str">
        <f t="shared" si="90"/>
        <v>2009Q3</v>
      </c>
      <c r="E706" s="13" t="str">
        <f t="shared" si="91"/>
        <v>Brazil</v>
      </c>
      <c r="F706" s="13" t="str">
        <f t="shared" si="94"/>
        <v>Biomass &amp; Waste</v>
      </c>
      <c r="G706" s="13" t="str">
        <f t="shared" si="93"/>
        <v>Asset finance investments</v>
      </c>
      <c r="H706" s="638">
        <f t="shared" si="92"/>
        <v>72.540000000000006</v>
      </c>
      <c r="I706" s="24" t="s">
        <v>506</v>
      </c>
      <c r="J706" s="25" t="s">
        <v>246</v>
      </c>
      <c r="K706" s="25" t="s">
        <v>2525</v>
      </c>
      <c r="L706" s="25" t="s">
        <v>818</v>
      </c>
      <c r="M706" s="25" t="s">
        <v>31</v>
      </c>
      <c r="N706" s="25" t="s">
        <v>31</v>
      </c>
      <c r="O706" s="25" t="s">
        <v>92</v>
      </c>
      <c r="P706" s="25" t="s">
        <v>83</v>
      </c>
      <c r="Q706" s="25" t="s">
        <v>82</v>
      </c>
      <c r="R706" s="25" t="s">
        <v>91</v>
      </c>
      <c r="S706" s="25" t="s">
        <v>114</v>
      </c>
      <c r="T706" s="25" t="s">
        <v>114</v>
      </c>
      <c r="U706" s="25" t="s">
        <v>113</v>
      </c>
      <c r="V706" s="25" t="s">
        <v>347</v>
      </c>
      <c r="W706" s="25" t="s">
        <v>553</v>
      </c>
      <c r="X706" s="25" t="s">
        <v>1752</v>
      </c>
      <c r="Y706" s="25" t="s">
        <v>1753</v>
      </c>
      <c r="Z706" s="26">
        <v>40025</v>
      </c>
      <c r="AA706" s="776">
        <v>25</v>
      </c>
      <c r="AB706" s="776">
        <v>0</v>
      </c>
      <c r="AC706" s="776">
        <v>0</v>
      </c>
      <c r="AD706" s="776">
        <v>0</v>
      </c>
      <c r="AE706" s="777">
        <v>0</v>
      </c>
      <c r="AF706" s="777">
        <v>69.75</v>
      </c>
      <c r="AG706" s="778">
        <v>72.540000000000006</v>
      </c>
    </row>
    <row r="707" spans="1:33" x14ac:dyDescent="0.2">
      <c r="A707" s="15">
        <f t="shared" si="87"/>
        <v>2009</v>
      </c>
      <c r="B707" s="14">
        <f t="shared" si="88"/>
        <v>7</v>
      </c>
      <c r="C707" s="13" t="str">
        <f t="shared" si="89"/>
        <v>Q3</v>
      </c>
      <c r="D707" s="13" t="str">
        <f t="shared" si="90"/>
        <v>2009Q3</v>
      </c>
      <c r="E707" s="13" t="str">
        <f t="shared" si="91"/>
        <v>Argentina</v>
      </c>
      <c r="F707" s="13" t="str">
        <f t="shared" si="94"/>
        <v>Wind</v>
      </c>
      <c r="G707" s="13" t="str">
        <f t="shared" si="93"/>
        <v>Asset finance investments</v>
      </c>
      <c r="H707" s="638">
        <f t="shared" si="92"/>
        <v>69.263999999999996</v>
      </c>
      <c r="I707" s="24" t="s">
        <v>506</v>
      </c>
      <c r="J707" s="25" t="s">
        <v>246</v>
      </c>
      <c r="K707" s="25" t="s">
        <v>2526</v>
      </c>
      <c r="L707" s="25" t="s">
        <v>1002</v>
      </c>
      <c r="M707" s="25" t="s">
        <v>4</v>
      </c>
      <c r="N707" s="25" t="s">
        <v>85</v>
      </c>
      <c r="O707" s="25" t="s">
        <v>92</v>
      </c>
      <c r="P707" s="25" t="s">
        <v>83</v>
      </c>
      <c r="Q707" s="25" t="s">
        <v>82</v>
      </c>
      <c r="R707" s="25"/>
      <c r="S707" s="25" t="s">
        <v>101</v>
      </c>
      <c r="T707" s="25" t="s">
        <v>101</v>
      </c>
      <c r="U707" s="25" t="s">
        <v>112</v>
      </c>
      <c r="V707" s="25">
        <v>0</v>
      </c>
      <c r="W707" s="25" t="s">
        <v>553</v>
      </c>
      <c r="X707" s="25" t="s">
        <v>1749</v>
      </c>
      <c r="Y707" s="25" t="s">
        <v>1750</v>
      </c>
      <c r="Z707" s="26">
        <v>40025</v>
      </c>
      <c r="AA707" s="776">
        <v>23.1</v>
      </c>
      <c r="AB707" s="776">
        <v>0</v>
      </c>
      <c r="AC707" s="776">
        <v>0</v>
      </c>
      <c r="AD707" s="776">
        <v>0</v>
      </c>
      <c r="AE707" s="777">
        <v>66.599999999999994</v>
      </c>
      <c r="AF707" s="777">
        <v>66.599999999999994</v>
      </c>
      <c r="AG707" s="778">
        <v>69.263999999999996</v>
      </c>
    </row>
    <row r="708" spans="1:33" x14ac:dyDescent="0.2">
      <c r="A708" s="15">
        <f t="shared" si="87"/>
        <v>2009</v>
      </c>
      <c r="B708" s="14">
        <f t="shared" si="88"/>
        <v>9</v>
      </c>
      <c r="C708" s="13" t="str">
        <f t="shared" si="89"/>
        <v>Q3</v>
      </c>
      <c r="D708" s="13" t="str">
        <f t="shared" si="90"/>
        <v>2009Q3</v>
      </c>
      <c r="E708" s="13" t="str">
        <f t="shared" si="91"/>
        <v>Brazil</v>
      </c>
      <c r="F708" s="13" t="str">
        <f t="shared" si="94"/>
        <v>Biomass &amp; Waste</v>
      </c>
      <c r="G708" s="13" t="str">
        <f t="shared" si="93"/>
        <v>Asset finance investments</v>
      </c>
      <c r="H708" s="638">
        <f t="shared" si="92"/>
        <v>68.64</v>
      </c>
      <c r="I708" s="24" t="s">
        <v>506</v>
      </c>
      <c r="J708" s="25" t="s">
        <v>246</v>
      </c>
      <c r="K708" s="25" t="s">
        <v>2527</v>
      </c>
      <c r="L708" s="25" t="s">
        <v>711</v>
      </c>
      <c r="M708" s="25" t="s">
        <v>31</v>
      </c>
      <c r="N708" s="25" t="s">
        <v>31</v>
      </c>
      <c r="O708" s="25" t="s">
        <v>92</v>
      </c>
      <c r="P708" s="25" t="s">
        <v>83</v>
      </c>
      <c r="Q708" s="25" t="s">
        <v>82</v>
      </c>
      <c r="R708" s="25" t="s">
        <v>91</v>
      </c>
      <c r="S708" s="25" t="s">
        <v>114</v>
      </c>
      <c r="T708" s="25" t="s">
        <v>114</v>
      </c>
      <c r="U708" s="25" t="s">
        <v>113</v>
      </c>
      <c r="V708" s="25" t="s">
        <v>347</v>
      </c>
      <c r="W708" s="25" t="s">
        <v>553</v>
      </c>
      <c r="X708" s="25" t="s">
        <v>1752</v>
      </c>
      <c r="Y708" s="25" t="s">
        <v>1753</v>
      </c>
      <c r="Z708" s="26">
        <v>40086</v>
      </c>
      <c r="AA708" s="776">
        <v>33</v>
      </c>
      <c r="AB708" s="776">
        <v>0</v>
      </c>
      <c r="AC708" s="776">
        <v>0</v>
      </c>
      <c r="AD708" s="776">
        <v>0</v>
      </c>
      <c r="AE708" s="777">
        <v>0</v>
      </c>
      <c r="AF708" s="777">
        <v>66</v>
      </c>
      <c r="AG708" s="778">
        <v>68.64</v>
      </c>
    </row>
    <row r="709" spans="1:33" x14ac:dyDescent="0.2">
      <c r="A709" s="15">
        <f t="shared" ref="A709:A772" si="95">IF(K709="","",IF(AND(YEAR(Z709)&lt;2004,YEAR(Z709)&gt;1910),2004,YEAR(Z709)))</f>
        <v>2009</v>
      </c>
      <c r="B709" s="14">
        <f t="shared" ref="B709:B772" si="96">IF(K709="","",IF(ISNUMBER(Z709),MONTH(Z709),0))</f>
        <v>9</v>
      </c>
      <c r="C709" s="13" t="str">
        <f t="shared" ref="C709:C772" si="97">IF(K709="","",IF(AND(B709&gt;=1,B709&lt;=3),"Q1",IF(AND(B709&gt;3,B709&lt;=6),"Q2",IF(AND(B709&gt;6,B709&lt;=9),"Q3",IF(AND(B709&gt;9,B709&lt;=12),"Q4",0)))))</f>
        <v>Q3</v>
      </c>
      <c r="D709" s="13" t="str">
        <f t="shared" ref="D709:D772" si="98">IF(A709&lt;2006, "&lt; 2006", A709&amp;C709)</f>
        <v>2009Q3</v>
      </c>
      <c r="E709" s="13" t="str">
        <f t="shared" ref="E709:E772" si="99">IF(K709="","", M709)</f>
        <v>Brazil</v>
      </c>
      <c r="F709" s="13" t="str">
        <f t="shared" si="94"/>
        <v>Small Hydro</v>
      </c>
      <c r="G709" s="13" t="str">
        <f t="shared" si="93"/>
        <v>Asset finance investments</v>
      </c>
      <c r="H709" s="638">
        <f t="shared" ref="H709:H772" si="100">IF(K709="","",AG709)</f>
        <v>67.600000000000009</v>
      </c>
      <c r="I709" s="24" t="s">
        <v>506</v>
      </c>
      <c r="J709" s="25" t="s">
        <v>246</v>
      </c>
      <c r="K709" s="25" t="s">
        <v>2528</v>
      </c>
      <c r="L709" s="25" t="s">
        <v>864</v>
      </c>
      <c r="M709" s="25" t="s">
        <v>31</v>
      </c>
      <c r="N709" s="25" t="s">
        <v>31</v>
      </c>
      <c r="O709" s="25" t="s">
        <v>92</v>
      </c>
      <c r="P709" s="25" t="s">
        <v>83</v>
      </c>
      <c r="Q709" s="25" t="s">
        <v>82</v>
      </c>
      <c r="R709" s="25" t="s">
        <v>91</v>
      </c>
      <c r="S709" s="25" t="s">
        <v>126</v>
      </c>
      <c r="T709" s="25" t="s">
        <v>125</v>
      </c>
      <c r="U709" s="25" t="s">
        <v>247</v>
      </c>
      <c r="V709" s="25">
        <v>0</v>
      </c>
      <c r="W709" s="25" t="s">
        <v>553</v>
      </c>
      <c r="X709" s="25" t="s">
        <v>1749</v>
      </c>
      <c r="Y709" s="25" t="s">
        <v>1750</v>
      </c>
      <c r="Z709" s="26">
        <v>40070</v>
      </c>
      <c r="AA709" s="776">
        <v>20</v>
      </c>
      <c r="AB709" s="776">
        <v>0</v>
      </c>
      <c r="AC709" s="776">
        <v>0</v>
      </c>
      <c r="AD709" s="776">
        <v>0</v>
      </c>
      <c r="AE709" s="777">
        <v>65</v>
      </c>
      <c r="AF709" s="777">
        <v>65</v>
      </c>
      <c r="AG709" s="778">
        <v>67.600000000000009</v>
      </c>
    </row>
    <row r="710" spans="1:33" x14ac:dyDescent="0.2">
      <c r="A710" s="15">
        <f t="shared" si="95"/>
        <v>2009</v>
      </c>
      <c r="B710" s="14">
        <f t="shared" si="96"/>
        <v>7</v>
      </c>
      <c r="C710" s="13" t="str">
        <f t="shared" si="97"/>
        <v>Q3</v>
      </c>
      <c r="D710" s="13" t="str">
        <f t="shared" si="98"/>
        <v>2009Q3</v>
      </c>
      <c r="E710" s="13" t="str">
        <f t="shared" si="99"/>
        <v>Brazil</v>
      </c>
      <c r="F710" s="13" t="str">
        <f t="shared" si="94"/>
        <v>Small Hydro</v>
      </c>
      <c r="G710" s="13" t="str">
        <f t="shared" ref="G710:G773" si="101">IF(K710="","",IF(OR(J710="PM",J710="MA"), "Corporate finance investments", IF(J710="VCPE", "VC/PE investments", IF(J710="AF", "Asset finance investments"))))</f>
        <v>Asset finance investments</v>
      </c>
      <c r="H710" s="638">
        <f t="shared" si="100"/>
        <v>64.896000000000001</v>
      </c>
      <c r="I710" s="24" t="s">
        <v>506</v>
      </c>
      <c r="J710" s="25" t="s">
        <v>246</v>
      </c>
      <c r="K710" s="25" t="s">
        <v>2529</v>
      </c>
      <c r="L710" s="25" t="s">
        <v>865</v>
      </c>
      <c r="M710" s="25" t="s">
        <v>31</v>
      </c>
      <c r="N710" s="25" t="s">
        <v>31</v>
      </c>
      <c r="O710" s="25" t="s">
        <v>92</v>
      </c>
      <c r="P710" s="25" t="s">
        <v>83</v>
      </c>
      <c r="Q710" s="25" t="s">
        <v>82</v>
      </c>
      <c r="R710" s="25" t="s">
        <v>91</v>
      </c>
      <c r="S710" s="25" t="s">
        <v>126</v>
      </c>
      <c r="T710" s="25" t="s">
        <v>125</v>
      </c>
      <c r="U710" s="25" t="s">
        <v>247</v>
      </c>
      <c r="V710" s="25">
        <v>0</v>
      </c>
      <c r="W710" s="25" t="s">
        <v>553</v>
      </c>
      <c r="X710" s="25" t="s">
        <v>1749</v>
      </c>
      <c r="Y710" s="25" t="s">
        <v>1750</v>
      </c>
      <c r="Z710" s="26">
        <v>40015</v>
      </c>
      <c r="AA710" s="776">
        <v>25</v>
      </c>
      <c r="AB710" s="776">
        <v>0</v>
      </c>
      <c r="AC710" s="776">
        <v>0</v>
      </c>
      <c r="AD710" s="776">
        <v>0</v>
      </c>
      <c r="AE710" s="777">
        <v>62.4</v>
      </c>
      <c r="AF710" s="777">
        <v>62.4</v>
      </c>
      <c r="AG710" s="778">
        <v>64.896000000000001</v>
      </c>
    </row>
    <row r="711" spans="1:33" x14ac:dyDescent="0.2">
      <c r="A711" s="15">
        <f t="shared" si="95"/>
        <v>2009</v>
      </c>
      <c r="B711" s="14">
        <f t="shared" si="96"/>
        <v>8</v>
      </c>
      <c r="C711" s="13" t="str">
        <f t="shared" si="97"/>
        <v>Q3</v>
      </c>
      <c r="D711" s="13" t="str">
        <f t="shared" si="98"/>
        <v>2009Q3</v>
      </c>
      <c r="E711" s="13" t="str">
        <f t="shared" si="99"/>
        <v>Brazil</v>
      </c>
      <c r="F711" s="13" t="str">
        <f t="shared" ref="F711:F774" si="102">IF(K711="","",IF(OR(T711="Wind",T711="Solar",T711="Geothermal",T711="Small Hydro",T711="Biofuels",T711="Biomass &amp; Waste"),T711,"Other Clean Energy"))</f>
        <v>Small Hydro</v>
      </c>
      <c r="G711" s="13" t="str">
        <f t="shared" si="101"/>
        <v>Asset finance investments</v>
      </c>
      <c r="H711" s="638">
        <f t="shared" si="100"/>
        <v>60.631999999999998</v>
      </c>
      <c r="I711" s="24" t="s">
        <v>506</v>
      </c>
      <c r="J711" s="25" t="s">
        <v>246</v>
      </c>
      <c r="K711" s="25" t="s">
        <v>2530</v>
      </c>
      <c r="L711" s="25" t="s">
        <v>899</v>
      </c>
      <c r="M711" s="25" t="s">
        <v>31</v>
      </c>
      <c r="N711" s="25" t="s">
        <v>31</v>
      </c>
      <c r="O711" s="25" t="s">
        <v>92</v>
      </c>
      <c r="P711" s="25" t="s">
        <v>83</v>
      </c>
      <c r="Q711" s="25" t="s">
        <v>82</v>
      </c>
      <c r="R711" s="25" t="s">
        <v>91</v>
      </c>
      <c r="S711" s="25" t="s">
        <v>126</v>
      </c>
      <c r="T711" s="25" t="s">
        <v>125</v>
      </c>
      <c r="U711" s="25" t="s">
        <v>247</v>
      </c>
      <c r="V711" s="25">
        <v>0</v>
      </c>
      <c r="W711" s="25" t="s">
        <v>553</v>
      </c>
      <c r="X711" s="25" t="s">
        <v>1749</v>
      </c>
      <c r="Y711" s="25" t="s">
        <v>1750</v>
      </c>
      <c r="Z711" s="26">
        <v>40055</v>
      </c>
      <c r="AA711" s="776">
        <v>16</v>
      </c>
      <c r="AB711" s="776">
        <v>0</v>
      </c>
      <c r="AC711" s="776">
        <v>0</v>
      </c>
      <c r="AD711" s="776">
        <v>0</v>
      </c>
      <c r="AE711" s="777">
        <v>58.3</v>
      </c>
      <c r="AF711" s="777">
        <v>58.3</v>
      </c>
      <c r="AG711" s="778">
        <v>60.631999999999998</v>
      </c>
    </row>
    <row r="712" spans="1:33" x14ac:dyDescent="0.2">
      <c r="A712" s="15">
        <f t="shared" si="95"/>
        <v>2009</v>
      </c>
      <c r="B712" s="14">
        <f t="shared" si="96"/>
        <v>8</v>
      </c>
      <c r="C712" s="13" t="str">
        <f t="shared" si="97"/>
        <v>Q3</v>
      </c>
      <c r="D712" s="13" t="str">
        <f t="shared" si="98"/>
        <v>2009Q3</v>
      </c>
      <c r="E712" s="13" t="str">
        <f t="shared" si="99"/>
        <v>Brazil</v>
      </c>
      <c r="F712" s="13" t="str">
        <f t="shared" si="102"/>
        <v>Small Hydro</v>
      </c>
      <c r="G712" s="13" t="str">
        <f t="shared" si="101"/>
        <v>Asset finance investments</v>
      </c>
      <c r="H712" s="638">
        <f t="shared" si="100"/>
        <v>58.864000000000004</v>
      </c>
      <c r="I712" s="24" t="s">
        <v>506</v>
      </c>
      <c r="J712" s="25" t="s">
        <v>246</v>
      </c>
      <c r="K712" s="25" t="s">
        <v>2531</v>
      </c>
      <c r="L712" s="25" t="s">
        <v>900</v>
      </c>
      <c r="M712" s="25" t="s">
        <v>31</v>
      </c>
      <c r="N712" s="25" t="s">
        <v>31</v>
      </c>
      <c r="O712" s="25" t="s">
        <v>92</v>
      </c>
      <c r="P712" s="25" t="s">
        <v>83</v>
      </c>
      <c r="Q712" s="25" t="s">
        <v>82</v>
      </c>
      <c r="R712" s="25" t="s">
        <v>91</v>
      </c>
      <c r="S712" s="25" t="s">
        <v>126</v>
      </c>
      <c r="T712" s="25" t="s">
        <v>125</v>
      </c>
      <c r="U712" s="25" t="s">
        <v>247</v>
      </c>
      <c r="V712" s="25">
        <v>0</v>
      </c>
      <c r="W712" s="25" t="s">
        <v>553</v>
      </c>
      <c r="X712" s="25" t="s">
        <v>1749</v>
      </c>
      <c r="Y712" s="25" t="s">
        <v>1750</v>
      </c>
      <c r="Z712" s="26">
        <v>40055</v>
      </c>
      <c r="AA712" s="776">
        <v>16</v>
      </c>
      <c r="AB712" s="776">
        <v>0</v>
      </c>
      <c r="AC712" s="776">
        <v>0</v>
      </c>
      <c r="AD712" s="776">
        <v>0</v>
      </c>
      <c r="AE712" s="777">
        <v>56.6</v>
      </c>
      <c r="AF712" s="777">
        <v>56.6</v>
      </c>
      <c r="AG712" s="778">
        <v>58.864000000000004</v>
      </c>
    </row>
    <row r="713" spans="1:33" x14ac:dyDescent="0.2">
      <c r="A713" s="15">
        <f t="shared" si="95"/>
        <v>2009</v>
      </c>
      <c r="B713" s="14">
        <f t="shared" si="96"/>
        <v>8</v>
      </c>
      <c r="C713" s="13" t="str">
        <f t="shared" si="97"/>
        <v>Q3</v>
      </c>
      <c r="D713" s="13" t="str">
        <f t="shared" si="98"/>
        <v>2009Q3</v>
      </c>
      <c r="E713" s="13" t="str">
        <f t="shared" si="99"/>
        <v>Brazil</v>
      </c>
      <c r="F713" s="13" t="str">
        <f t="shared" si="102"/>
        <v>Biomass &amp; Waste</v>
      </c>
      <c r="G713" s="13" t="str">
        <f t="shared" si="101"/>
        <v>Asset finance investments</v>
      </c>
      <c r="H713" s="638">
        <f t="shared" si="100"/>
        <v>56.576000000000001</v>
      </c>
      <c r="I713" s="24" t="s">
        <v>506</v>
      </c>
      <c r="J713" s="25" t="s">
        <v>246</v>
      </c>
      <c r="K713" s="25" t="s">
        <v>2532</v>
      </c>
      <c r="L713" s="25" t="s">
        <v>1039</v>
      </c>
      <c r="M713" s="25" t="s">
        <v>31</v>
      </c>
      <c r="N713" s="25" t="s">
        <v>31</v>
      </c>
      <c r="O713" s="25" t="s">
        <v>92</v>
      </c>
      <c r="P713" s="25" t="s">
        <v>83</v>
      </c>
      <c r="Q713" s="25" t="s">
        <v>82</v>
      </c>
      <c r="R713" s="25" t="s">
        <v>91</v>
      </c>
      <c r="S713" s="25" t="s">
        <v>114</v>
      </c>
      <c r="T713" s="25" t="s">
        <v>114</v>
      </c>
      <c r="U713" s="25" t="s">
        <v>113</v>
      </c>
      <c r="V713" s="25" t="s">
        <v>347</v>
      </c>
      <c r="W713" s="25" t="s">
        <v>553</v>
      </c>
      <c r="X713" s="25" t="s">
        <v>1749</v>
      </c>
      <c r="Y713" s="25" t="s">
        <v>1750</v>
      </c>
      <c r="Z713" s="26">
        <v>40056</v>
      </c>
      <c r="AA713" s="776">
        <v>45</v>
      </c>
      <c r="AB713" s="776">
        <v>0</v>
      </c>
      <c r="AC713" s="776">
        <v>0</v>
      </c>
      <c r="AD713" s="776">
        <v>0</v>
      </c>
      <c r="AE713" s="777">
        <v>54.4</v>
      </c>
      <c r="AF713" s="777">
        <v>54.4</v>
      </c>
      <c r="AG713" s="778">
        <v>56.576000000000001</v>
      </c>
    </row>
    <row r="714" spans="1:33" x14ac:dyDescent="0.2">
      <c r="A714" s="15">
        <f t="shared" si="95"/>
        <v>2009</v>
      </c>
      <c r="B714" s="14">
        <f t="shared" si="96"/>
        <v>9</v>
      </c>
      <c r="C714" s="13" t="str">
        <f t="shared" si="97"/>
        <v>Q3</v>
      </c>
      <c r="D714" s="13" t="str">
        <f t="shared" si="98"/>
        <v>2009Q3</v>
      </c>
      <c r="E714" s="13" t="str">
        <f t="shared" si="99"/>
        <v>Panama</v>
      </c>
      <c r="F714" s="13" t="str">
        <f t="shared" si="102"/>
        <v>Small Hydro</v>
      </c>
      <c r="G714" s="13" t="str">
        <f t="shared" si="101"/>
        <v>Asset finance investments</v>
      </c>
      <c r="H714" s="638">
        <f t="shared" si="100"/>
        <v>52.260000000000005</v>
      </c>
      <c r="I714" s="24" t="s">
        <v>506</v>
      </c>
      <c r="J714" s="25" t="s">
        <v>246</v>
      </c>
      <c r="K714" s="25" t="s">
        <v>2533</v>
      </c>
      <c r="L714" s="25" t="s">
        <v>882</v>
      </c>
      <c r="M714" s="25" t="s">
        <v>19</v>
      </c>
      <c r="N714" s="25" t="s">
        <v>85</v>
      </c>
      <c r="O714" s="25" t="s">
        <v>92</v>
      </c>
      <c r="P714" s="25" t="s">
        <v>83</v>
      </c>
      <c r="Q714" s="25" t="s">
        <v>82</v>
      </c>
      <c r="R714" s="25"/>
      <c r="S714" s="25" t="s">
        <v>126</v>
      </c>
      <c r="T714" s="25" t="s">
        <v>125</v>
      </c>
      <c r="U714" s="25" t="s">
        <v>247</v>
      </c>
      <c r="V714" s="25">
        <v>0</v>
      </c>
      <c r="W714" s="25" t="s">
        <v>553</v>
      </c>
      <c r="X714" s="25" t="s">
        <v>1752</v>
      </c>
      <c r="Y714" s="25" t="s">
        <v>1753</v>
      </c>
      <c r="Z714" s="26">
        <v>40072</v>
      </c>
      <c r="AA714" s="776">
        <v>20</v>
      </c>
      <c r="AB714" s="776">
        <v>0</v>
      </c>
      <c r="AC714" s="776">
        <v>0</v>
      </c>
      <c r="AD714" s="776">
        <v>0</v>
      </c>
      <c r="AE714" s="777">
        <v>0</v>
      </c>
      <c r="AF714" s="777">
        <v>50.25</v>
      </c>
      <c r="AG714" s="778">
        <v>52.260000000000005</v>
      </c>
    </row>
    <row r="715" spans="1:33" x14ac:dyDescent="0.2">
      <c r="A715" s="15">
        <f t="shared" si="95"/>
        <v>2009</v>
      </c>
      <c r="B715" s="14">
        <f t="shared" si="96"/>
        <v>7</v>
      </c>
      <c r="C715" s="13" t="str">
        <f t="shared" si="97"/>
        <v>Q3</v>
      </c>
      <c r="D715" s="13" t="str">
        <f t="shared" si="98"/>
        <v>2009Q3</v>
      </c>
      <c r="E715" s="13" t="str">
        <f t="shared" si="99"/>
        <v>Brazil</v>
      </c>
      <c r="F715" s="13" t="str">
        <f t="shared" si="102"/>
        <v>Small Hydro</v>
      </c>
      <c r="G715" s="13" t="str">
        <f t="shared" si="101"/>
        <v>Asset finance investments</v>
      </c>
      <c r="H715" s="638">
        <f t="shared" si="100"/>
        <v>48.36</v>
      </c>
      <c r="I715" s="24" t="s">
        <v>506</v>
      </c>
      <c r="J715" s="25" t="s">
        <v>246</v>
      </c>
      <c r="K715" s="25" t="s">
        <v>2534</v>
      </c>
      <c r="L715" s="25" t="s">
        <v>927</v>
      </c>
      <c r="M715" s="25" t="s">
        <v>31</v>
      </c>
      <c r="N715" s="25" t="s">
        <v>31</v>
      </c>
      <c r="O715" s="25" t="s">
        <v>92</v>
      </c>
      <c r="P715" s="25" t="s">
        <v>83</v>
      </c>
      <c r="Q715" s="25" t="s">
        <v>82</v>
      </c>
      <c r="R715" s="25" t="s">
        <v>91</v>
      </c>
      <c r="S715" s="25" t="s">
        <v>126</v>
      </c>
      <c r="T715" s="25" t="s">
        <v>125</v>
      </c>
      <c r="U715" s="25" t="s">
        <v>247</v>
      </c>
      <c r="V715" s="25">
        <v>0</v>
      </c>
      <c r="W715" s="25" t="s">
        <v>553</v>
      </c>
      <c r="X715" s="25" t="s">
        <v>1749</v>
      </c>
      <c r="Y715" s="25" t="s">
        <v>1750</v>
      </c>
      <c r="Z715" s="26">
        <v>40007</v>
      </c>
      <c r="AA715" s="776">
        <v>19</v>
      </c>
      <c r="AB715" s="776">
        <v>0</v>
      </c>
      <c r="AC715" s="776">
        <v>0</v>
      </c>
      <c r="AD715" s="776">
        <v>0</v>
      </c>
      <c r="AE715" s="777">
        <v>46.5</v>
      </c>
      <c r="AF715" s="777">
        <v>46.5</v>
      </c>
      <c r="AG715" s="778">
        <v>48.36</v>
      </c>
    </row>
    <row r="716" spans="1:33" x14ac:dyDescent="0.2">
      <c r="A716" s="15">
        <f t="shared" si="95"/>
        <v>2009</v>
      </c>
      <c r="B716" s="14">
        <f t="shared" si="96"/>
        <v>9</v>
      </c>
      <c r="C716" s="13" t="str">
        <f t="shared" si="97"/>
        <v>Q3</v>
      </c>
      <c r="D716" s="13" t="str">
        <f t="shared" si="98"/>
        <v>2009Q3</v>
      </c>
      <c r="E716" s="13" t="str">
        <f t="shared" si="99"/>
        <v>Chile</v>
      </c>
      <c r="F716" s="13" t="str">
        <f t="shared" si="102"/>
        <v>Wind</v>
      </c>
      <c r="G716" s="13" t="str">
        <f t="shared" si="101"/>
        <v>Asset finance investments</v>
      </c>
      <c r="H716" s="638">
        <f t="shared" si="100"/>
        <v>44.72</v>
      </c>
      <c r="I716" s="24" t="s">
        <v>506</v>
      </c>
      <c r="J716" s="25" t="s">
        <v>246</v>
      </c>
      <c r="K716" s="25" t="s">
        <v>2535</v>
      </c>
      <c r="L716" s="25" t="s">
        <v>2536</v>
      </c>
      <c r="M716" s="25" t="s">
        <v>8</v>
      </c>
      <c r="N716" s="25" t="s">
        <v>85</v>
      </c>
      <c r="O716" s="25" t="s">
        <v>92</v>
      </c>
      <c r="P716" s="25" t="s">
        <v>83</v>
      </c>
      <c r="Q716" s="25" t="s">
        <v>129</v>
      </c>
      <c r="R716" s="25"/>
      <c r="S716" s="25" t="s">
        <v>101</v>
      </c>
      <c r="T716" s="25" t="s">
        <v>101</v>
      </c>
      <c r="U716" s="25" t="s">
        <v>112</v>
      </c>
      <c r="V716" s="25">
        <v>0</v>
      </c>
      <c r="W716" s="25" t="s">
        <v>553</v>
      </c>
      <c r="X716" s="25" t="s">
        <v>1752</v>
      </c>
      <c r="Y716" s="25" t="s">
        <v>1753</v>
      </c>
      <c r="Z716" s="26">
        <v>40086</v>
      </c>
      <c r="AA716" s="776">
        <v>20</v>
      </c>
      <c r="AB716" s="776">
        <v>0</v>
      </c>
      <c r="AC716" s="776">
        <v>0</v>
      </c>
      <c r="AD716" s="776">
        <v>0</v>
      </c>
      <c r="AE716" s="777">
        <v>43</v>
      </c>
      <c r="AF716" s="777">
        <v>43</v>
      </c>
      <c r="AG716" s="778">
        <v>44.72</v>
      </c>
    </row>
    <row r="717" spans="1:33" x14ac:dyDescent="0.2">
      <c r="A717" s="15">
        <f t="shared" si="95"/>
        <v>2009</v>
      </c>
      <c r="B717" s="14">
        <f t="shared" si="96"/>
        <v>9</v>
      </c>
      <c r="C717" s="13" t="str">
        <f t="shared" si="97"/>
        <v>Q3</v>
      </c>
      <c r="D717" s="13" t="str">
        <f t="shared" si="98"/>
        <v>2009Q3</v>
      </c>
      <c r="E717" s="13" t="str">
        <f t="shared" si="99"/>
        <v>Brazil</v>
      </c>
      <c r="F717" s="13" t="str">
        <f t="shared" si="102"/>
        <v>Biomass &amp; Waste</v>
      </c>
      <c r="G717" s="13" t="str">
        <f t="shared" si="101"/>
        <v>Asset finance investments</v>
      </c>
      <c r="H717" s="638">
        <f t="shared" si="100"/>
        <v>40.912559999999999</v>
      </c>
      <c r="I717" s="24" t="s">
        <v>506</v>
      </c>
      <c r="J717" s="25" t="s">
        <v>246</v>
      </c>
      <c r="K717" s="25" t="s">
        <v>2537</v>
      </c>
      <c r="L717" s="25" t="s">
        <v>2538</v>
      </c>
      <c r="M717" s="25" t="s">
        <v>31</v>
      </c>
      <c r="N717" s="25" t="s">
        <v>31</v>
      </c>
      <c r="O717" s="25" t="s">
        <v>92</v>
      </c>
      <c r="P717" s="25" t="s">
        <v>83</v>
      </c>
      <c r="Q717" s="25" t="s">
        <v>82</v>
      </c>
      <c r="R717" s="25" t="s">
        <v>91</v>
      </c>
      <c r="S717" s="25" t="s">
        <v>114</v>
      </c>
      <c r="T717" s="25" t="s">
        <v>114</v>
      </c>
      <c r="U717" s="25" t="s">
        <v>113</v>
      </c>
      <c r="V717" s="25" t="s">
        <v>347</v>
      </c>
      <c r="W717" s="25" t="s">
        <v>553</v>
      </c>
      <c r="X717" s="25" t="s">
        <v>1752</v>
      </c>
      <c r="Y717" s="25" t="s">
        <v>1753</v>
      </c>
      <c r="Z717" s="26">
        <v>40086</v>
      </c>
      <c r="AA717" s="776">
        <v>14.1</v>
      </c>
      <c r="AB717" s="776">
        <v>0</v>
      </c>
      <c r="AC717" s="776">
        <v>0</v>
      </c>
      <c r="AD717" s="776">
        <v>0</v>
      </c>
      <c r="AE717" s="777">
        <v>0</v>
      </c>
      <c r="AF717" s="777">
        <v>39.338999999999999</v>
      </c>
      <c r="AG717" s="778">
        <v>40.912559999999999</v>
      </c>
    </row>
    <row r="718" spans="1:33" x14ac:dyDescent="0.2">
      <c r="A718" s="15">
        <f t="shared" si="95"/>
        <v>2009</v>
      </c>
      <c r="B718" s="14">
        <f t="shared" si="96"/>
        <v>8</v>
      </c>
      <c r="C718" s="13" t="str">
        <f t="shared" si="97"/>
        <v>Q3</v>
      </c>
      <c r="D718" s="13" t="str">
        <f t="shared" si="98"/>
        <v>2009Q3</v>
      </c>
      <c r="E718" s="13" t="str">
        <f t="shared" si="99"/>
        <v>Brazil</v>
      </c>
      <c r="F718" s="13" t="str">
        <f t="shared" si="102"/>
        <v>Small Hydro</v>
      </c>
      <c r="G718" s="13" t="str">
        <f t="shared" si="101"/>
        <v>Asset finance investments</v>
      </c>
      <c r="H718" s="638">
        <f t="shared" si="100"/>
        <v>40.56</v>
      </c>
      <c r="I718" s="24" t="s">
        <v>506</v>
      </c>
      <c r="J718" s="25" t="s">
        <v>246</v>
      </c>
      <c r="K718" s="25" t="s">
        <v>2539</v>
      </c>
      <c r="L718" s="25" t="s">
        <v>909</v>
      </c>
      <c r="M718" s="25" t="s">
        <v>31</v>
      </c>
      <c r="N718" s="25" t="s">
        <v>31</v>
      </c>
      <c r="O718" s="25" t="s">
        <v>92</v>
      </c>
      <c r="P718" s="25" t="s">
        <v>83</v>
      </c>
      <c r="Q718" s="25" t="s">
        <v>82</v>
      </c>
      <c r="R718" s="25" t="s">
        <v>91</v>
      </c>
      <c r="S718" s="25" t="s">
        <v>126</v>
      </c>
      <c r="T718" s="25" t="s">
        <v>125</v>
      </c>
      <c r="U718" s="25" t="s">
        <v>247</v>
      </c>
      <c r="V718" s="25">
        <v>0</v>
      </c>
      <c r="W718" s="25" t="s">
        <v>553</v>
      </c>
      <c r="X718" s="25" t="s">
        <v>1752</v>
      </c>
      <c r="Y718" s="25" t="s">
        <v>1753</v>
      </c>
      <c r="Z718" s="26">
        <v>40043</v>
      </c>
      <c r="AA718" s="776">
        <v>15.6</v>
      </c>
      <c r="AB718" s="776">
        <v>0</v>
      </c>
      <c r="AC718" s="776">
        <v>0</v>
      </c>
      <c r="AD718" s="776">
        <v>0</v>
      </c>
      <c r="AE718" s="777">
        <v>0</v>
      </c>
      <c r="AF718" s="777">
        <v>39</v>
      </c>
      <c r="AG718" s="778">
        <v>40.56</v>
      </c>
    </row>
    <row r="719" spans="1:33" x14ac:dyDescent="0.2">
      <c r="A719" s="15">
        <f t="shared" si="95"/>
        <v>2009</v>
      </c>
      <c r="B719" s="14">
        <f t="shared" si="96"/>
        <v>8</v>
      </c>
      <c r="C719" s="13" t="str">
        <f t="shared" si="97"/>
        <v>Q3</v>
      </c>
      <c r="D719" s="13" t="str">
        <f t="shared" si="98"/>
        <v>2009Q3</v>
      </c>
      <c r="E719" s="13" t="str">
        <f t="shared" si="99"/>
        <v>Brazil</v>
      </c>
      <c r="F719" s="13" t="str">
        <f t="shared" si="102"/>
        <v>Small Hydro</v>
      </c>
      <c r="G719" s="13" t="str">
        <f t="shared" si="101"/>
        <v>Asset finance investments</v>
      </c>
      <c r="H719" s="638">
        <f t="shared" si="100"/>
        <v>39.122720000000001</v>
      </c>
      <c r="I719" s="24" t="s">
        <v>506</v>
      </c>
      <c r="J719" s="25" t="s">
        <v>246</v>
      </c>
      <c r="K719" s="25" t="s">
        <v>2540</v>
      </c>
      <c r="L719" s="25" t="s">
        <v>986</v>
      </c>
      <c r="M719" s="25" t="s">
        <v>31</v>
      </c>
      <c r="N719" s="25" t="s">
        <v>31</v>
      </c>
      <c r="O719" s="25" t="s">
        <v>92</v>
      </c>
      <c r="P719" s="25" t="s">
        <v>83</v>
      </c>
      <c r="Q719" s="25" t="s">
        <v>82</v>
      </c>
      <c r="R719" s="25" t="s">
        <v>91</v>
      </c>
      <c r="S719" s="25" t="s">
        <v>126</v>
      </c>
      <c r="T719" s="25" t="s">
        <v>125</v>
      </c>
      <c r="U719" s="25" t="s">
        <v>247</v>
      </c>
      <c r="V719" s="25">
        <v>0</v>
      </c>
      <c r="W719" s="25" t="s">
        <v>553</v>
      </c>
      <c r="X719" s="25" t="s">
        <v>1749</v>
      </c>
      <c r="Y719" s="25" t="s">
        <v>1750</v>
      </c>
      <c r="Z719" s="26">
        <v>40055</v>
      </c>
      <c r="AA719" s="776">
        <v>11.85</v>
      </c>
      <c r="AB719" s="776">
        <v>0</v>
      </c>
      <c r="AC719" s="776">
        <v>0</v>
      </c>
      <c r="AD719" s="776">
        <v>0</v>
      </c>
      <c r="AE719" s="777">
        <v>37.618000000000002</v>
      </c>
      <c r="AF719" s="777">
        <v>37.618000000000002</v>
      </c>
      <c r="AG719" s="778">
        <v>39.122720000000001</v>
      </c>
    </row>
    <row r="720" spans="1:33" x14ac:dyDescent="0.2">
      <c r="A720" s="15">
        <f t="shared" si="95"/>
        <v>2009</v>
      </c>
      <c r="B720" s="14">
        <f t="shared" si="96"/>
        <v>7</v>
      </c>
      <c r="C720" s="13" t="str">
        <f t="shared" si="97"/>
        <v>Q3</v>
      </c>
      <c r="D720" s="13" t="str">
        <f t="shared" si="98"/>
        <v>2009Q3</v>
      </c>
      <c r="E720" s="13" t="str">
        <f t="shared" si="99"/>
        <v>Argentina</v>
      </c>
      <c r="F720" s="13" t="str">
        <f t="shared" si="102"/>
        <v>Biomass &amp; Waste</v>
      </c>
      <c r="G720" s="13" t="str">
        <f t="shared" si="101"/>
        <v>Asset finance investments</v>
      </c>
      <c r="H720" s="638">
        <f t="shared" si="100"/>
        <v>38.156040000000004</v>
      </c>
      <c r="I720" s="24" t="s">
        <v>506</v>
      </c>
      <c r="J720" s="25" t="s">
        <v>246</v>
      </c>
      <c r="K720" s="25" t="s">
        <v>2541</v>
      </c>
      <c r="L720" s="25" t="s">
        <v>2542</v>
      </c>
      <c r="M720" s="25" t="s">
        <v>4</v>
      </c>
      <c r="N720" s="25" t="s">
        <v>85</v>
      </c>
      <c r="O720" s="25" t="s">
        <v>92</v>
      </c>
      <c r="P720" s="25" t="s">
        <v>83</v>
      </c>
      <c r="Q720" s="25" t="s">
        <v>82</v>
      </c>
      <c r="R720" s="25"/>
      <c r="S720" s="25" t="s">
        <v>114</v>
      </c>
      <c r="T720" s="25" t="s">
        <v>114</v>
      </c>
      <c r="U720" s="25" t="s">
        <v>113</v>
      </c>
      <c r="V720" s="25" t="s">
        <v>813</v>
      </c>
      <c r="W720" s="25" t="s">
        <v>553</v>
      </c>
      <c r="X720" s="25" t="s">
        <v>1752</v>
      </c>
      <c r="Y720" s="25" t="s">
        <v>1753</v>
      </c>
      <c r="Z720" s="26">
        <v>39999</v>
      </c>
      <c r="AA720" s="776">
        <v>13.15</v>
      </c>
      <c r="AB720" s="776">
        <v>0</v>
      </c>
      <c r="AC720" s="776">
        <v>0</v>
      </c>
      <c r="AD720" s="776">
        <v>0</v>
      </c>
      <c r="AE720" s="777">
        <v>0</v>
      </c>
      <c r="AF720" s="777">
        <v>36.688500000000005</v>
      </c>
      <c r="AG720" s="778">
        <v>38.156040000000004</v>
      </c>
    </row>
    <row r="721" spans="1:33" x14ac:dyDescent="0.2">
      <c r="A721" s="15">
        <f t="shared" si="95"/>
        <v>2009</v>
      </c>
      <c r="B721" s="14">
        <f t="shared" si="96"/>
        <v>7</v>
      </c>
      <c r="C721" s="13" t="str">
        <f t="shared" si="97"/>
        <v>Q3</v>
      </c>
      <c r="D721" s="13" t="str">
        <f t="shared" si="98"/>
        <v>2009Q3</v>
      </c>
      <c r="E721" s="13" t="str">
        <f t="shared" si="99"/>
        <v>Brazil</v>
      </c>
      <c r="F721" s="13" t="str">
        <f t="shared" si="102"/>
        <v>Small Hydro</v>
      </c>
      <c r="G721" s="13" t="str">
        <f t="shared" si="101"/>
        <v>Asset finance investments</v>
      </c>
      <c r="H721" s="638">
        <f t="shared" si="100"/>
        <v>36.711999999999996</v>
      </c>
      <c r="I721" s="24" t="s">
        <v>506</v>
      </c>
      <c r="J721" s="25" t="s">
        <v>246</v>
      </c>
      <c r="K721" s="25" t="s">
        <v>2543</v>
      </c>
      <c r="L721" s="25" t="s">
        <v>922</v>
      </c>
      <c r="M721" s="25" t="s">
        <v>31</v>
      </c>
      <c r="N721" s="25" t="s">
        <v>31</v>
      </c>
      <c r="O721" s="25" t="s">
        <v>92</v>
      </c>
      <c r="P721" s="25" t="s">
        <v>83</v>
      </c>
      <c r="Q721" s="25" t="s">
        <v>82</v>
      </c>
      <c r="R721" s="25" t="s">
        <v>91</v>
      </c>
      <c r="S721" s="25" t="s">
        <v>126</v>
      </c>
      <c r="T721" s="25" t="s">
        <v>125</v>
      </c>
      <c r="U721" s="25" t="s">
        <v>247</v>
      </c>
      <c r="V721" s="25">
        <v>0</v>
      </c>
      <c r="W721" s="25" t="s">
        <v>553</v>
      </c>
      <c r="X721" s="25" t="s">
        <v>1749</v>
      </c>
      <c r="Y721" s="25" t="s">
        <v>1750</v>
      </c>
      <c r="Z721" s="26">
        <v>40014</v>
      </c>
      <c r="AA721" s="776">
        <v>12</v>
      </c>
      <c r="AB721" s="776">
        <v>0</v>
      </c>
      <c r="AC721" s="776">
        <v>0</v>
      </c>
      <c r="AD721" s="776">
        <v>0</v>
      </c>
      <c r="AE721" s="777">
        <v>35.299999999999997</v>
      </c>
      <c r="AF721" s="777">
        <v>35.299999999999997</v>
      </c>
      <c r="AG721" s="778">
        <v>36.711999999999996</v>
      </c>
    </row>
    <row r="722" spans="1:33" x14ac:dyDescent="0.2">
      <c r="A722" s="15">
        <f t="shared" si="95"/>
        <v>2009</v>
      </c>
      <c r="B722" s="14">
        <f t="shared" si="96"/>
        <v>7</v>
      </c>
      <c r="C722" s="13" t="str">
        <f t="shared" si="97"/>
        <v>Q3</v>
      </c>
      <c r="D722" s="13" t="str">
        <f t="shared" si="98"/>
        <v>2009Q3</v>
      </c>
      <c r="E722" s="13" t="str">
        <f t="shared" si="99"/>
        <v>Brazil</v>
      </c>
      <c r="F722" s="13" t="str">
        <f t="shared" si="102"/>
        <v>Small Hydro</v>
      </c>
      <c r="G722" s="13" t="str">
        <f t="shared" si="101"/>
        <v>Asset finance investments</v>
      </c>
      <c r="H722" s="638">
        <f t="shared" si="100"/>
        <v>35.464000000000006</v>
      </c>
      <c r="I722" s="24" t="s">
        <v>506</v>
      </c>
      <c r="J722" s="25" t="s">
        <v>246</v>
      </c>
      <c r="K722" s="25" t="s">
        <v>2544</v>
      </c>
      <c r="L722" s="25" t="s">
        <v>924</v>
      </c>
      <c r="M722" s="25" t="s">
        <v>31</v>
      </c>
      <c r="N722" s="25" t="s">
        <v>31</v>
      </c>
      <c r="O722" s="25" t="s">
        <v>92</v>
      </c>
      <c r="P722" s="25" t="s">
        <v>83</v>
      </c>
      <c r="Q722" s="25" t="s">
        <v>82</v>
      </c>
      <c r="R722" s="25" t="s">
        <v>91</v>
      </c>
      <c r="S722" s="25" t="s">
        <v>126</v>
      </c>
      <c r="T722" s="25" t="s">
        <v>125</v>
      </c>
      <c r="U722" s="25" t="s">
        <v>247</v>
      </c>
      <c r="V722" s="25">
        <v>0</v>
      </c>
      <c r="W722" s="25" t="s">
        <v>553</v>
      </c>
      <c r="X722" s="25" t="s">
        <v>1752</v>
      </c>
      <c r="Y722" s="25" t="s">
        <v>1753</v>
      </c>
      <c r="Z722" s="26">
        <v>40025</v>
      </c>
      <c r="AA722" s="776">
        <v>13.1</v>
      </c>
      <c r="AB722" s="776">
        <v>0</v>
      </c>
      <c r="AC722" s="776">
        <v>0</v>
      </c>
      <c r="AD722" s="776">
        <v>0</v>
      </c>
      <c r="AE722" s="777">
        <v>34.1</v>
      </c>
      <c r="AF722" s="777">
        <v>34.1</v>
      </c>
      <c r="AG722" s="778">
        <v>35.464000000000006</v>
      </c>
    </row>
    <row r="723" spans="1:33" x14ac:dyDescent="0.2">
      <c r="A723" s="15">
        <f t="shared" si="95"/>
        <v>2009</v>
      </c>
      <c r="B723" s="14">
        <f t="shared" si="96"/>
        <v>8</v>
      </c>
      <c r="C723" s="13" t="str">
        <f t="shared" si="97"/>
        <v>Q3</v>
      </c>
      <c r="D723" s="13" t="str">
        <f t="shared" si="98"/>
        <v>2009Q3</v>
      </c>
      <c r="E723" s="13" t="str">
        <f t="shared" si="99"/>
        <v>Uruguay</v>
      </c>
      <c r="F723" s="13" t="str">
        <f t="shared" si="102"/>
        <v>Biomass &amp; Waste</v>
      </c>
      <c r="G723" s="13" t="str">
        <f t="shared" si="101"/>
        <v>Asset finance investments</v>
      </c>
      <c r="H723" s="638">
        <f t="shared" si="100"/>
        <v>29.12</v>
      </c>
      <c r="I723" s="24" t="s">
        <v>506</v>
      </c>
      <c r="J723" s="25" t="s">
        <v>246</v>
      </c>
      <c r="K723" s="25" t="s">
        <v>2545</v>
      </c>
      <c r="L723" s="25" t="s">
        <v>640</v>
      </c>
      <c r="M723" s="25" t="s">
        <v>22</v>
      </c>
      <c r="N723" s="25" t="s">
        <v>85</v>
      </c>
      <c r="O723" s="25" t="s">
        <v>92</v>
      </c>
      <c r="P723" s="25" t="s">
        <v>83</v>
      </c>
      <c r="Q723" s="25" t="s">
        <v>82</v>
      </c>
      <c r="R723" s="25"/>
      <c r="S723" s="25" t="s">
        <v>114</v>
      </c>
      <c r="T723" s="25" t="s">
        <v>114</v>
      </c>
      <c r="U723" s="25" t="s">
        <v>379</v>
      </c>
      <c r="V723" s="25" t="s">
        <v>347</v>
      </c>
      <c r="W723" s="25" t="s">
        <v>553</v>
      </c>
      <c r="X723" s="25" t="s">
        <v>1752</v>
      </c>
      <c r="Y723" s="25" t="s">
        <v>1753</v>
      </c>
      <c r="Z723" s="26">
        <v>40055</v>
      </c>
      <c r="AA723" s="776">
        <v>14</v>
      </c>
      <c r="AB723" s="776">
        <v>0</v>
      </c>
      <c r="AC723" s="776">
        <v>8.6999999999999993</v>
      </c>
      <c r="AD723" s="776">
        <v>0</v>
      </c>
      <c r="AE723" s="777">
        <v>0</v>
      </c>
      <c r="AF723" s="777">
        <v>28</v>
      </c>
      <c r="AG723" s="778">
        <v>29.12</v>
      </c>
    </row>
    <row r="724" spans="1:33" x14ac:dyDescent="0.2">
      <c r="A724" s="15">
        <f t="shared" si="95"/>
        <v>2009</v>
      </c>
      <c r="B724" s="14">
        <f t="shared" si="96"/>
        <v>9</v>
      </c>
      <c r="C724" s="13" t="str">
        <f t="shared" si="97"/>
        <v>Q3</v>
      </c>
      <c r="D724" s="13" t="str">
        <f t="shared" si="98"/>
        <v>2009Q3</v>
      </c>
      <c r="E724" s="13" t="str">
        <f t="shared" si="99"/>
        <v>Brazil</v>
      </c>
      <c r="F724" s="13" t="str">
        <f t="shared" si="102"/>
        <v>Biofuels</v>
      </c>
      <c r="G724" s="13" t="str">
        <f t="shared" si="101"/>
        <v>Asset finance investments</v>
      </c>
      <c r="H724" s="638">
        <f t="shared" si="100"/>
        <v>26</v>
      </c>
      <c r="I724" s="24" t="s">
        <v>506</v>
      </c>
      <c r="J724" s="25" t="s">
        <v>246</v>
      </c>
      <c r="K724" s="25" t="s">
        <v>2546</v>
      </c>
      <c r="L724" s="25" t="s">
        <v>2547</v>
      </c>
      <c r="M724" s="25" t="s">
        <v>31</v>
      </c>
      <c r="N724" s="25" t="s">
        <v>31</v>
      </c>
      <c r="O724" s="25" t="s">
        <v>92</v>
      </c>
      <c r="P724" s="25" t="s">
        <v>83</v>
      </c>
      <c r="Q724" s="25" t="s">
        <v>82</v>
      </c>
      <c r="R724" s="25" t="s">
        <v>91</v>
      </c>
      <c r="S724" s="25" t="s">
        <v>96</v>
      </c>
      <c r="T724" s="25" t="s">
        <v>96</v>
      </c>
      <c r="U724" s="25" t="s">
        <v>95</v>
      </c>
      <c r="V724" s="25" t="s">
        <v>223</v>
      </c>
      <c r="W724" s="25" t="s">
        <v>553</v>
      </c>
      <c r="X724" s="25" t="s">
        <v>1752</v>
      </c>
      <c r="Y724" s="25" t="s">
        <v>1753</v>
      </c>
      <c r="Z724" s="26">
        <v>40066</v>
      </c>
      <c r="AA724" s="776">
        <v>0</v>
      </c>
      <c r="AB724" s="776">
        <v>78</v>
      </c>
      <c r="AC724" s="776">
        <v>0</v>
      </c>
      <c r="AD724" s="776">
        <v>0</v>
      </c>
      <c r="AE724" s="777">
        <v>0</v>
      </c>
      <c r="AF724" s="777">
        <v>25</v>
      </c>
      <c r="AG724" s="778">
        <v>26</v>
      </c>
    </row>
    <row r="725" spans="1:33" x14ac:dyDescent="0.2">
      <c r="A725" s="15">
        <f t="shared" si="95"/>
        <v>2009</v>
      </c>
      <c r="B725" s="14">
        <f t="shared" si="96"/>
        <v>7</v>
      </c>
      <c r="C725" s="13" t="str">
        <f t="shared" si="97"/>
        <v>Q3</v>
      </c>
      <c r="D725" s="13" t="str">
        <f t="shared" si="98"/>
        <v>2009Q3</v>
      </c>
      <c r="E725" s="13" t="str">
        <f t="shared" si="99"/>
        <v>Brazil</v>
      </c>
      <c r="F725" s="13" t="str">
        <f t="shared" si="102"/>
        <v>Biomass &amp; Waste</v>
      </c>
      <c r="G725" s="13" t="str">
        <f t="shared" si="101"/>
        <v>Asset finance investments</v>
      </c>
      <c r="H725" s="638">
        <f t="shared" si="100"/>
        <v>22.880000000000003</v>
      </c>
      <c r="I725" s="24" t="s">
        <v>506</v>
      </c>
      <c r="J725" s="25" t="s">
        <v>246</v>
      </c>
      <c r="K725" s="25" t="s">
        <v>2548</v>
      </c>
      <c r="L725" s="25" t="s">
        <v>2549</v>
      </c>
      <c r="M725" s="25" t="s">
        <v>31</v>
      </c>
      <c r="N725" s="25" t="s">
        <v>31</v>
      </c>
      <c r="O725" s="25" t="s">
        <v>92</v>
      </c>
      <c r="P725" s="25" t="s">
        <v>83</v>
      </c>
      <c r="Q725" s="25" t="s">
        <v>82</v>
      </c>
      <c r="R725" s="25" t="s">
        <v>91</v>
      </c>
      <c r="S725" s="25" t="s">
        <v>114</v>
      </c>
      <c r="T725" s="25" t="s">
        <v>114</v>
      </c>
      <c r="U725" s="25" t="s">
        <v>113</v>
      </c>
      <c r="V725" s="25" t="s">
        <v>347</v>
      </c>
      <c r="W725" s="25" t="s">
        <v>553</v>
      </c>
      <c r="X725" s="25" t="s">
        <v>1749</v>
      </c>
      <c r="Y725" s="25" t="s">
        <v>1750</v>
      </c>
      <c r="Z725" s="26">
        <v>40014</v>
      </c>
      <c r="AA725" s="776">
        <v>18</v>
      </c>
      <c r="AB725" s="776">
        <v>0</v>
      </c>
      <c r="AC725" s="776">
        <v>0</v>
      </c>
      <c r="AD725" s="776">
        <v>0</v>
      </c>
      <c r="AE725" s="777">
        <v>22</v>
      </c>
      <c r="AF725" s="777">
        <v>22</v>
      </c>
      <c r="AG725" s="778">
        <v>22.880000000000003</v>
      </c>
    </row>
    <row r="726" spans="1:33" x14ac:dyDescent="0.2">
      <c r="A726" s="15">
        <f t="shared" si="95"/>
        <v>2009</v>
      </c>
      <c r="B726" s="14">
        <f t="shared" si="96"/>
        <v>8</v>
      </c>
      <c r="C726" s="13" t="str">
        <f t="shared" si="97"/>
        <v>Q3</v>
      </c>
      <c r="D726" s="13" t="str">
        <f t="shared" si="98"/>
        <v>2009Q3</v>
      </c>
      <c r="E726" s="13" t="str">
        <f t="shared" si="99"/>
        <v>Brazil</v>
      </c>
      <c r="F726" s="13" t="str">
        <f t="shared" si="102"/>
        <v>Biofuels</v>
      </c>
      <c r="G726" s="13" t="str">
        <f t="shared" si="101"/>
        <v>Asset finance investments</v>
      </c>
      <c r="H726" s="638">
        <f t="shared" si="100"/>
        <v>22.880000000000003</v>
      </c>
      <c r="I726" s="24" t="s">
        <v>506</v>
      </c>
      <c r="J726" s="25" t="s">
        <v>246</v>
      </c>
      <c r="K726" s="25" t="s">
        <v>2550</v>
      </c>
      <c r="L726" s="25" t="s">
        <v>906</v>
      </c>
      <c r="M726" s="25" t="s">
        <v>31</v>
      </c>
      <c r="N726" s="25" t="s">
        <v>31</v>
      </c>
      <c r="O726" s="25" t="s">
        <v>92</v>
      </c>
      <c r="P726" s="25" t="s">
        <v>83</v>
      </c>
      <c r="Q726" s="25" t="s">
        <v>82</v>
      </c>
      <c r="R726" s="25" t="s">
        <v>91</v>
      </c>
      <c r="S726" s="25" t="s">
        <v>96</v>
      </c>
      <c r="T726" s="25" t="s">
        <v>96</v>
      </c>
      <c r="U726" s="25" t="s">
        <v>95</v>
      </c>
      <c r="V726" s="25" t="s">
        <v>223</v>
      </c>
      <c r="W726" s="25" t="s">
        <v>553</v>
      </c>
      <c r="X726" s="25" t="s">
        <v>1749</v>
      </c>
      <c r="Y726" s="25" t="s">
        <v>1750</v>
      </c>
      <c r="Z726" s="26">
        <v>40040</v>
      </c>
      <c r="AA726" s="776">
        <v>0</v>
      </c>
      <c r="AB726" s="776">
        <v>144</v>
      </c>
      <c r="AC726" s="776">
        <v>0</v>
      </c>
      <c r="AD726" s="776">
        <v>0</v>
      </c>
      <c r="AE726" s="777">
        <v>22</v>
      </c>
      <c r="AF726" s="777">
        <v>22</v>
      </c>
      <c r="AG726" s="778">
        <v>22.880000000000003</v>
      </c>
    </row>
    <row r="727" spans="1:33" x14ac:dyDescent="0.2">
      <c r="A727" s="15">
        <f t="shared" si="95"/>
        <v>2009</v>
      </c>
      <c r="B727" s="14">
        <f t="shared" si="96"/>
        <v>9</v>
      </c>
      <c r="C727" s="13" t="str">
        <f t="shared" si="97"/>
        <v>Q3</v>
      </c>
      <c r="D727" s="13" t="str">
        <f t="shared" si="98"/>
        <v>2009Q3</v>
      </c>
      <c r="E727" s="13" t="str">
        <f t="shared" si="99"/>
        <v>Brazil</v>
      </c>
      <c r="F727" s="13" t="str">
        <f t="shared" si="102"/>
        <v>Wind</v>
      </c>
      <c r="G727" s="13" t="str">
        <f t="shared" si="101"/>
        <v>Asset finance investments</v>
      </c>
      <c r="H727" s="638">
        <f t="shared" si="100"/>
        <v>18.72</v>
      </c>
      <c r="I727" s="24" t="s">
        <v>506</v>
      </c>
      <c r="J727" s="25" t="s">
        <v>246</v>
      </c>
      <c r="K727" s="25" t="s">
        <v>2551</v>
      </c>
      <c r="L727" s="25" t="s">
        <v>2552</v>
      </c>
      <c r="M727" s="25" t="s">
        <v>31</v>
      </c>
      <c r="N727" s="25" t="s">
        <v>31</v>
      </c>
      <c r="O727" s="25" t="s">
        <v>92</v>
      </c>
      <c r="P727" s="25" t="s">
        <v>83</v>
      </c>
      <c r="Q727" s="25" t="s">
        <v>82</v>
      </c>
      <c r="R727" s="25" t="s">
        <v>91</v>
      </c>
      <c r="S727" s="25" t="s">
        <v>101</v>
      </c>
      <c r="T727" s="25" t="s">
        <v>101</v>
      </c>
      <c r="U727" s="25" t="s">
        <v>112</v>
      </c>
      <c r="V727" s="25">
        <v>0</v>
      </c>
      <c r="W727" s="25" t="s">
        <v>553</v>
      </c>
      <c r="X727" s="25" t="s">
        <v>1752</v>
      </c>
      <c r="Y727" s="25" t="s">
        <v>1753</v>
      </c>
      <c r="Z727" s="26">
        <v>40085</v>
      </c>
      <c r="AA727" s="776">
        <v>0</v>
      </c>
      <c r="AB727" s="776">
        <v>0</v>
      </c>
      <c r="AC727" s="776">
        <v>0</v>
      </c>
      <c r="AD727" s="776">
        <v>0</v>
      </c>
      <c r="AE727" s="777">
        <v>18</v>
      </c>
      <c r="AF727" s="777">
        <v>18</v>
      </c>
      <c r="AG727" s="778">
        <v>18.72</v>
      </c>
    </row>
    <row r="728" spans="1:33" x14ac:dyDescent="0.2">
      <c r="A728" s="15">
        <f t="shared" si="95"/>
        <v>2009</v>
      </c>
      <c r="B728" s="14">
        <f t="shared" si="96"/>
        <v>8</v>
      </c>
      <c r="C728" s="13" t="str">
        <f t="shared" si="97"/>
        <v>Q3</v>
      </c>
      <c r="D728" s="13" t="str">
        <f t="shared" si="98"/>
        <v>2009Q3</v>
      </c>
      <c r="E728" s="13" t="str">
        <f t="shared" si="99"/>
        <v>Brazil</v>
      </c>
      <c r="F728" s="13" t="str">
        <f t="shared" si="102"/>
        <v>Biofuels</v>
      </c>
      <c r="G728" s="13" t="str">
        <f t="shared" si="101"/>
        <v>Asset finance investments</v>
      </c>
      <c r="H728" s="638">
        <f t="shared" si="100"/>
        <v>18.2</v>
      </c>
      <c r="I728" s="24" t="s">
        <v>506</v>
      </c>
      <c r="J728" s="25" t="s">
        <v>246</v>
      </c>
      <c r="K728" s="25" t="s">
        <v>2553</v>
      </c>
      <c r="L728" s="25" t="s">
        <v>844</v>
      </c>
      <c r="M728" s="25" t="s">
        <v>31</v>
      </c>
      <c r="N728" s="25" t="s">
        <v>31</v>
      </c>
      <c r="O728" s="25" t="s">
        <v>92</v>
      </c>
      <c r="P728" s="25" t="s">
        <v>83</v>
      </c>
      <c r="Q728" s="25" t="s">
        <v>82</v>
      </c>
      <c r="R728" s="25" t="s">
        <v>91</v>
      </c>
      <c r="S728" s="25" t="s">
        <v>96</v>
      </c>
      <c r="T728" s="25" t="s">
        <v>96</v>
      </c>
      <c r="U728" s="25" t="s">
        <v>98</v>
      </c>
      <c r="V728" s="25" t="s">
        <v>230</v>
      </c>
      <c r="W728" s="25" t="s">
        <v>553</v>
      </c>
      <c r="X728" s="25" t="s">
        <v>1752</v>
      </c>
      <c r="Y728" s="25" t="s">
        <v>1753</v>
      </c>
      <c r="Z728" s="26">
        <v>40056</v>
      </c>
      <c r="AA728" s="776">
        <v>8</v>
      </c>
      <c r="AB728" s="776">
        <v>35</v>
      </c>
      <c r="AC728" s="776">
        <v>0</v>
      </c>
      <c r="AD728" s="776">
        <v>0</v>
      </c>
      <c r="AE728" s="777">
        <v>0</v>
      </c>
      <c r="AF728" s="777">
        <v>17.5</v>
      </c>
      <c r="AG728" s="778">
        <v>18.2</v>
      </c>
    </row>
    <row r="729" spans="1:33" x14ac:dyDescent="0.2">
      <c r="A729" s="15">
        <f t="shared" si="95"/>
        <v>2009</v>
      </c>
      <c r="B729" s="14">
        <f t="shared" si="96"/>
        <v>9</v>
      </c>
      <c r="C729" s="13" t="str">
        <f t="shared" si="97"/>
        <v>Q3</v>
      </c>
      <c r="D729" s="13" t="str">
        <f t="shared" si="98"/>
        <v>2009Q3</v>
      </c>
      <c r="E729" s="13" t="str">
        <f t="shared" si="99"/>
        <v>Chile</v>
      </c>
      <c r="F729" s="13" t="str">
        <f t="shared" si="102"/>
        <v>Small Hydro</v>
      </c>
      <c r="G729" s="13" t="str">
        <f t="shared" si="101"/>
        <v>Asset finance investments</v>
      </c>
      <c r="H729" s="638">
        <f t="shared" si="100"/>
        <v>17.68</v>
      </c>
      <c r="I729" s="24" t="s">
        <v>506</v>
      </c>
      <c r="J729" s="25" t="s">
        <v>246</v>
      </c>
      <c r="K729" s="25" t="s">
        <v>2554</v>
      </c>
      <c r="L729" s="25" t="s">
        <v>1053</v>
      </c>
      <c r="M729" s="25" t="s">
        <v>8</v>
      </c>
      <c r="N729" s="25" t="s">
        <v>85</v>
      </c>
      <c r="O729" s="25" t="s">
        <v>92</v>
      </c>
      <c r="P729" s="25" t="s">
        <v>83</v>
      </c>
      <c r="Q729" s="25" t="s">
        <v>129</v>
      </c>
      <c r="R729" s="25"/>
      <c r="S729" s="25" t="s">
        <v>126</v>
      </c>
      <c r="T729" s="25" t="s">
        <v>125</v>
      </c>
      <c r="U729" s="25" t="s">
        <v>247</v>
      </c>
      <c r="V729" s="25">
        <v>0</v>
      </c>
      <c r="W729" s="25" t="s">
        <v>553</v>
      </c>
      <c r="X729" s="25" t="s">
        <v>1749</v>
      </c>
      <c r="Y729" s="25" t="s">
        <v>1750</v>
      </c>
      <c r="Z729" s="26">
        <v>40086</v>
      </c>
      <c r="AA729" s="776">
        <v>5</v>
      </c>
      <c r="AB729" s="776">
        <v>0</v>
      </c>
      <c r="AC729" s="776">
        <v>0</v>
      </c>
      <c r="AD729" s="776">
        <v>0</v>
      </c>
      <c r="AE729" s="777">
        <v>17</v>
      </c>
      <c r="AF729" s="777">
        <v>17</v>
      </c>
      <c r="AG729" s="778">
        <v>17.68</v>
      </c>
    </row>
    <row r="730" spans="1:33" x14ac:dyDescent="0.2">
      <c r="A730" s="15">
        <f t="shared" si="95"/>
        <v>2009</v>
      </c>
      <c r="B730" s="14">
        <f t="shared" si="96"/>
        <v>9</v>
      </c>
      <c r="C730" s="13" t="str">
        <f t="shared" si="97"/>
        <v>Q3</v>
      </c>
      <c r="D730" s="13" t="str">
        <f t="shared" si="98"/>
        <v>2009Q3</v>
      </c>
      <c r="E730" s="13" t="str">
        <f t="shared" si="99"/>
        <v>Brazil</v>
      </c>
      <c r="F730" s="13" t="str">
        <f t="shared" si="102"/>
        <v>Wind</v>
      </c>
      <c r="G730" s="13" t="str">
        <f t="shared" si="101"/>
        <v>Asset finance investments</v>
      </c>
      <c r="H730" s="638">
        <f t="shared" si="100"/>
        <v>13.624000000000001</v>
      </c>
      <c r="I730" s="24" t="s">
        <v>506</v>
      </c>
      <c r="J730" s="25" t="s">
        <v>246</v>
      </c>
      <c r="K730" s="25" t="s">
        <v>2555</v>
      </c>
      <c r="L730" s="25" t="s">
        <v>895</v>
      </c>
      <c r="M730" s="25" t="s">
        <v>31</v>
      </c>
      <c r="N730" s="25" t="s">
        <v>31</v>
      </c>
      <c r="O730" s="25" t="s">
        <v>92</v>
      </c>
      <c r="P730" s="25" t="s">
        <v>83</v>
      </c>
      <c r="Q730" s="25" t="s">
        <v>82</v>
      </c>
      <c r="R730" s="25" t="s">
        <v>91</v>
      </c>
      <c r="S730" s="25" t="s">
        <v>101</v>
      </c>
      <c r="T730" s="25" t="s">
        <v>101</v>
      </c>
      <c r="U730" s="25" t="s">
        <v>112</v>
      </c>
      <c r="V730" s="25">
        <v>0</v>
      </c>
      <c r="W730" s="25" t="s">
        <v>553</v>
      </c>
      <c r="X730" s="25" t="s">
        <v>1752</v>
      </c>
      <c r="Y730" s="25" t="s">
        <v>1753</v>
      </c>
      <c r="Z730" s="26">
        <v>40086</v>
      </c>
      <c r="AA730" s="776">
        <v>6.3</v>
      </c>
      <c r="AB730" s="776">
        <v>0</v>
      </c>
      <c r="AC730" s="776">
        <v>0</v>
      </c>
      <c r="AD730" s="776">
        <v>0</v>
      </c>
      <c r="AE730" s="777">
        <v>13.1</v>
      </c>
      <c r="AF730" s="777">
        <v>13.1</v>
      </c>
      <c r="AG730" s="778">
        <v>13.624000000000001</v>
      </c>
    </row>
    <row r="731" spans="1:33" x14ac:dyDescent="0.2">
      <c r="A731" s="15">
        <f t="shared" si="95"/>
        <v>2009</v>
      </c>
      <c r="B731" s="14">
        <f t="shared" si="96"/>
        <v>9</v>
      </c>
      <c r="C731" s="13" t="str">
        <f t="shared" si="97"/>
        <v>Q3</v>
      </c>
      <c r="D731" s="13" t="str">
        <f t="shared" si="98"/>
        <v>2009Q3</v>
      </c>
      <c r="E731" s="13" t="str">
        <f t="shared" si="99"/>
        <v>Brazil</v>
      </c>
      <c r="F731" s="13" t="str">
        <f t="shared" si="102"/>
        <v>Biofuels</v>
      </c>
      <c r="G731" s="13" t="str">
        <f t="shared" si="101"/>
        <v>Asset finance investments</v>
      </c>
      <c r="H731" s="638">
        <f t="shared" si="100"/>
        <v>12.093120000000001</v>
      </c>
      <c r="I731" s="24" t="s">
        <v>506</v>
      </c>
      <c r="J731" s="25" t="s">
        <v>246</v>
      </c>
      <c r="K731" s="25" t="s">
        <v>2556</v>
      </c>
      <c r="L731" s="25" t="s">
        <v>2557</v>
      </c>
      <c r="M731" s="25" t="s">
        <v>31</v>
      </c>
      <c r="N731" s="25" t="s">
        <v>31</v>
      </c>
      <c r="O731" s="25" t="s">
        <v>92</v>
      </c>
      <c r="P731" s="25" t="s">
        <v>83</v>
      </c>
      <c r="Q731" s="25" t="s">
        <v>82</v>
      </c>
      <c r="R731" s="25" t="s">
        <v>91</v>
      </c>
      <c r="S731" s="25" t="s">
        <v>96</v>
      </c>
      <c r="T731" s="25" t="s">
        <v>96</v>
      </c>
      <c r="U731" s="25" t="s">
        <v>95</v>
      </c>
      <c r="V731" s="25" t="s">
        <v>223</v>
      </c>
      <c r="W731" s="25" t="s">
        <v>553</v>
      </c>
      <c r="X731" s="25" t="s">
        <v>1752</v>
      </c>
      <c r="Y731" s="25" t="s">
        <v>1753</v>
      </c>
      <c r="Z731" s="26">
        <v>40066</v>
      </c>
      <c r="AA731" s="776">
        <v>0</v>
      </c>
      <c r="AB731" s="776">
        <v>30.6</v>
      </c>
      <c r="AC731" s="776">
        <v>0</v>
      </c>
      <c r="AD731" s="776">
        <v>0</v>
      </c>
      <c r="AE731" s="777">
        <v>0</v>
      </c>
      <c r="AF731" s="777">
        <v>11.628</v>
      </c>
      <c r="AG731" s="778">
        <v>12.093120000000001</v>
      </c>
    </row>
    <row r="732" spans="1:33" x14ac:dyDescent="0.2">
      <c r="A732" s="15">
        <f t="shared" si="95"/>
        <v>2009</v>
      </c>
      <c r="B732" s="14">
        <f t="shared" si="96"/>
        <v>9</v>
      </c>
      <c r="C732" s="13" t="str">
        <f t="shared" si="97"/>
        <v>Q3</v>
      </c>
      <c r="D732" s="13" t="str">
        <f t="shared" si="98"/>
        <v>2009Q3</v>
      </c>
      <c r="E732" s="13" t="str">
        <f t="shared" si="99"/>
        <v>Brazil</v>
      </c>
      <c r="F732" s="13" t="str">
        <f t="shared" si="102"/>
        <v>Biofuels</v>
      </c>
      <c r="G732" s="13" t="str">
        <f t="shared" si="101"/>
        <v>Asset finance investments</v>
      </c>
      <c r="H732" s="638">
        <f t="shared" si="100"/>
        <v>10.907520000000002</v>
      </c>
      <c r="I732" s="24" t="s">
        <v>506</v>
      </c>
      <c r="J732" s="25" t="s">
        <v>246</v>
      </c>
      <c r="K732" s="25" t="s">
        <v>2558</v>
      </c>
      <c r="L732" s="25" t="s">
        <v>2559</v>
      </c>
      <c r="M732" s="25" t="s">
        <v>31</v>
      </c>
      <c r="N732" s="25" t="s">
        <v>31</v>
      </c>
      <c r="O732" s="25" t="s">
        <v>92</v>
      </c>
      <c r="P732" s="25" t="s">
        <v>83</v>
      </c>
      <c r="Q732" s="25" t="s">
        <v>82</v>
      </c>
      <c r="R732" s="25" t="s">
        <v>91</v>
      </c>
      <c r="S732" s="25" t="s">
        <v>96</v>
      </c>
      <c r="T732" s="25" t="s">
        <v>96</v>
      </c>
      <c r="U732" s="25" t="s">
        <v>95</v>
      </c>
      <c r="V732" s="25" t="s">
        <v>223</v>
      </c>
      <c r="W732" s="25" t="s">
        <v>553</v>
      </c>
      <c r="X732" s="25" t="s">
        <v>1752</v>
      </c>
      <c r="Y732" s="25" t="s">
        <v>1753</v>
      </c>
      <c r="Z732" s="26">
        <v>40066</v>
      </c>
      <c r="AA732" s="776">
        <v>0</v>
      </c>
      <c r="AB732" s="776">
        <v>27.6</v>
      </c>
      <c r="AC732" s="776">
        <v>0</v>
      </c>
      <c r="AD732" s="776">
        <v>0</v>
      </c>
      <c r="AE732" s="777">
        <v>0</v>
      </c>
      <c r="AF732" s="777">
        <v>10.488000000000001</v>
      </c>
      <c r="AG732" s="778">
        <v>10.907520000000002</v>
      </c>
    </row>
    <row r="733" spans="1:33" x14ac:dyDescent="0.2">
      <c r="A733" s="15">
        <f t="shared" si="95"/>
        <v>2009</v>
      </c>
      <c r="B733" s="14">
        <f t="shared" si="96"/>
        <v>9</v>
      </c>
      <c r="C733" s="13" t="str">
        <f t="shared" si="97"/>
        <v>Q3</v>
      </c>
      <c r="D733" s="13" t="str">
        <f t="shared" si="98"/>
        <v>2009Q3</v>
      </c>
      <c r="E733" s="13" t="str">
        <f t="shared" si="99"/>
        <v>Brazil</v>
      </c>
      <c r="F733" s="13" t="str">
        <f t="shared" si="102"/>
        <v>Small Hydro</v>
      </c>
      <c r="G733" s="13" t="str">
        <f t="shared" si="101"/>
        <v>Asset finance investments</v>
      </c>
      <c r="H733" s="638">
        <f t="shared" si="100"/>
        <v>10.4</v>
      </c>
      <c r="I733" s="24" t="s">
        <v>506</v>
      </c>
      <c r="J733" s="25" t="s">
        <v>246</v>
      </c>
      <c r="K733" s="25" t="s">
        <v>2560</v>
      </c>
      <c r="L733" s="25" t="s">
        <v>581</v>
      </c>
      <c r="M733" s="25" t="s">
        <v>31</v>
      </c>
      <c r="N733" s="25" t="s">
        <v>31</v>
      </c>
      <c r="O733" s="25" t="s">
        <v>92</v>
      </c>
      <c r="P733" s="25" t="s">
        <v>83</v>
      </c>
      <c r="Q733" s="25" t="s">
        <v>82</v>
      </c>
      <c r="R733" s="25" t="s">
        <v>91</v>
      </c>
      <c r="S733" s="25" t="s">
        <v>126</v>
      </c>
      <c r="T733" s="25" t="s">
        <v>125</v>
      </c>
      <c r="U733" s="25" t="s">
        <v>247</v>
      </c>
      <c r="V733" s="25">
        <v>0</v>
      </c>
      <c r="W733" s="25" t="s">
        <v>553</v>
      </c>
      <c r="X733" s="25" t="s">
        <v>1752</v>
      </c>
      <c r="Y733" s="25" t="s">
        <v>1753</v>
      </c>
      <c r="Z733" s="26">
        <v>40057</v>
      </c>
      <c r="AA733" s="776">
        <v>4</v>
      </c>
      <c r="AB733" s="776">
        <v>0</v>
      </c>
      <c r="AC733" s="776">
        <v>0</v>
      </c>
      <c r="AD733" s="776">
        <v>0</v>
      </c>
      <c r="AE733" s="777">
        <v>0</v>
      </c>
      <c r="AF733" s="777">
        <v>10</v>
      </c>
      <c r="AG733" s="778">
        <v>10.4</v>
      </c>
    </row>
    <row r="734" spans="1:33" x14ac:dyDescent="0.2">
      <c r="A734" s="15">
        <f t="shared" si="95"/>
        <v>2009</v>
      </c>
      <c r="B734" s="14">
        <f t="shared" si="96"/>
        <v>7</v>
      </c>
      <c r="C734" s="13" t="str">
        <f t="shared" si="97"/>
        <v>Q3</v>
      </c>
      <c r="D734" s="13" t="str">
        <f t="shared" si="98"/>
        <v>2009Q3</v>
      </c>
      <c r="E734" s="13" t="str">
        <f t="shared" si="99"/>
        <v>Brazil</v>
      </c>
      <c r="F734" s="13" t="str">
        <f t="shared" si="102"/>
        <v>Biofuels</v>
      </c>
      <c r="G734" s="13" t="str">
        <f t="shared" si="101"/>
        <v>Asset finance investments</v>
      </c>
      <c r="H734" s="638">
        <f t="shared" si="100"/>
        <v>8.5363199999999999</v>
      </c>
      <c r="I734" s="24" t="s">
        <v>506</v>
      </c>
      <c r="J734" s="25" t="s">
        <v>246</v>
      </c>
      <c r="K734" s="25" t="s">
        <v>2561</v>
      </c>
      <c r="L734" s="25" t="s">
        <v>2562</v>
      </c>
      <c r="M734" s="25" t="s">
        <v>31</v>
      </c>
      <c r="N734" s="25" t="s">
        <v>31</v>
      </c>
      <c r="O734" s="25" t="s">
        <v>92</v>
      </c>
      <c r="P734" s="25" t="s">
        <v>83</v>
      </c>
      <c r="Q734" s="25" t="s">
        <v>82</v>
      </c>
      <c r="R734" s="25" t="s">
        <v>91</v>
      </c>
      <c r="S734" s="25" t="s">
        <v>96</v>
      </c>
      <c r="T734" s="25" t="s">
        <v>96</v>
      </c>
      <c r="U734" s="25" t="s">
        <v>95</v>
      </c>
      <c r="V734" s="25" t="s">
        <v>223</v>
      </c>
      <c r="W734" s="25" t="s">
        <v>553</v>
      </c>
      <c r="X734" s="25" t="s">
        <v>1752</v>
      </c>
      <c r="Y734" s="25" t="s">
        <v>1753</v>
      </c>
      <c r="Z734" s="26">
        <v>40018</v>
      </c>
      <c r="AA734" s="776">
        <v>0</v>
      </c>
      <c r="AB734" s="776">
        <v>21.6</v>
      </c>
      <c r="AC734" s="776">
        <v>0</v>
      </c>
      <c r="AD734" s="776">
        <v>0</v>
      </c>
      <c r="AE734" s="777">
        <v>0</v>
      </c>
      <c r="AF734" s="777">
        <v>8.2080000000000002</v>
      </c>
      <c r="AG734" s="778">
        <v>8.5363199999999999</v>
      </c>
    </row>
    <row r="735" spans="1:33" x14ac:dyDescent="0.2">
      <c r="A735" s="15">
        <f t="shared" si="95"/>
        <v>2009</v>
      </c>
      <c r="B735" s="14">
        <f t="shared" si="96"/>
        <v>8</v>
      </c>
      <c r="C735" s="13" t="str">
        <f t="shared" si="97"/>
        <v>Q3</v>
      </c>
      <c r="D735" s="13" t="str">
        <f t="shared" si="98"/>
        <v>2009Q3</v>
      </c>
      <c r="E735" s="13" t="str">
        <f t="shared" si="99"/>
        <v>Brazil</v>
      </c>
      <c r="F735" s="13" t="str">
        <f t="shared" si="102"/>
        <v>Small Hydro</v>
      </c>
      <c r="G735" s="13" t="str">
        <f t="shared" si="101"/>
        <v>Asset finance investments</v>
      </c>
      <c r="H735" s="638">
        <f t="shared" si="100"/>
        <v>6.6560000000000006</v>
      </c>
      <c r="I735" s="24" t="s">
        <v>506</v>
      </c>
      <c r="J735" s="25" t="s">
        <v>246</v>
      </c>
      <c r="K735" s="25" t="s">
        <v>2563</v>
      </c>
      <c r="L735" s="25" t="s">
        <v>910</v>
      </c>
      <c r="M735" s="25" t="s">
        <v>31</v>
      </c>
      <c r="N735" s="25" t="s">
        <v>31</v>
      </c>
      <c r="O735" s="25" t="s">
        <v>92</v>
      </c>
      <c r="P735" s="25" t="s">
        <v>83</v>
      </c>
      <c r="Q735" s="25" t="s">
        <v>82</v>
      </c>
      <c r="R735" s="25" t="s">
        <v>91</v>
      </c>
      <c r="S735" s="25" t="s">
        <v>126</v>
      </c>
      <c r="T735" s="25" t="s">
        <v>125</v>
      </c>
      <c r="U735" s="25" t="s">
        <v>247</v>
      </c>
      <c r="V735" s="25">
        <v>0</v>
      </c>
      <c r="W735" s="25" t="s">
        <v>553</v>
      </c>
      <c r="X735" s="25" t="s">
        <v>1752</v>
      </c>
      <c r="Y735" s="25" t="s">
        <v>1753</v>
      </c>
      <c r="Z735" s="26">
        <v>40043</v>
      </c>
      <c r="AA735" s="776">
        <v>3</v>
      </c>
      <c r="AB735" s="776">
        <v>0</v>
      </c>
      <c r="AC735" s="776">
        <v>0</v>
      </c>
      <c r="AD735" s="776">
        <v>0</v>
      </c>
      <c r="AE735" s="777">
        <v>6.4</v>
      </c>
      <c r="AF735" s="777">
        <v>6.4</v>
      </c>
      <c r="AG735" s="778">
        <v>6.6560000000000006</v>
      </c>
    </row>
    <row r="736" spans="1:33" x14ac:dyDescent="0.2">
      <c r="A736" s="15">
        <f t="shared" si="95"/>
        <v>2009</v>
      </c>
      <c r="B736" s="14">
        <f t="shared" si="96"/>
        <v>9</v>
      </c>
      <c r="C736" s="13" t="str">
        <f t="shared" si="97"/>
        <v>Q3</v>
      </c>
      <c r="D736" s="13" t="str">
        <f t="shared" si="98"/>
        <v>2009Q3</v>
      </c>
      <c r="E736" s="13" t="str">
        <f t="shared" si="99"/>
        <v>Chile</v>
      </c>
      <c r="F736" s="13" t="str">
        <f t="shared" si="102"/>
        <v>Wind</v>
      </c>
      <c r="G736" s="13" t="str">
        <f t="shared" si="101"/>
        <v>Asset finance investments</v>
      </c>
      <c r="H736" s="638">
        <f t="shared" si="100"/>
        <v>5.2</v>
      </c>
      <c r="I736" s="24" t="s">
        <v>506</v>
      </c>
      <c r="J736" s="25" t="s">
        <v>246</v>
      </c>
      <c r="K736" s="25" t="s">
        <v>2564</v>
      </c>
      <c r="L736" s="25" t="s">
        <v>1071</v>
      </c>
      <c r="M736" s="25" t="s">
        <v>8</v>
      </c>
      <c r="N736" s="25" t="s">
        <v>85</v>
      </c>
      <c r="O736" s="25" t="s">
        <v>92</v>
      </c>
      <c r="P736" s="25" t="s">
        <v>83</v>
      </c>
      <c r="Q736" s="25" t="s">
        <v>129</v>
      </c>
      <c r="R736" s="25"/>
      <c r="S736" s="25" t="s">
        <v>101</v>
      </c>
      <c r="T736" s="25" t="s">
        <v>101</v>
      </c>
      <c r="U736" s="25" t="s">
        <v>112</v>
      </c>
      <c r="V736" s="25">
        <v>0</v>
      </c>
      <c r="W736" s="25" t="s">
        <v>553</v>
      </c>
      <c r="X736" s="25" t="s">
        <v>1752</v>
      </c>
      <c r="Y736" s="25" t="s">
        <v>1753</v>
      </c>
      <c r="Z736" s="26">
        <v>40085</v>
      </c>
      <c r="AA736" s="776">
        <v>2.2999999999999998</v>
      </c>
      <c r="AB736" s="776">
        <v>0</v>
      </c>
      <c r="AC736" s="776">
        <v>0</v>
      </c>
      <c r="AD736" s="776">
        <v>0</v>
      </c>
      <c r="AE736" s="777">
        <v>5</v>
      </c>
      <c r="AF736" s="777">
        <v>5</v>
      </c>
      <c r="AG736" s="778">
        <v>5.2</v>
      </c>
    </row>
    <row r="737" spans="1:33" x14ac:dyDescent="0.2">
      <c r="A737" s="15">
        <f t="shared" si="95"/>
        <v>2009</v>
      </c>
      <c r="B737" s="14">
        <f t="shared" si="96"/>
        <v>9</v>
      </c>
      <c r="C737" s="13" t="str">
        <f t="shared" si="97"/>
        <v>Q3</v>
      </c>
      <c r="D737" s="13" t="str">
        <f t="shared" si="98"/>
        <v>2009Q3</v>
      </c>
      <c r="E737" s="13" t="str">
        <f t="shared" si="99"/>
        <v>Argentina</v>
      </c>
      <c r="F737" s="13" t="str">
        <f t="shared" si="102"/>
        <v>Biofuels</v>
      </c>
      <c r="G737" s="13" t="str">
        <f t="shared" si="101"/>
        <v>Asset finance investments</v>
      </c>
      <c r="H737" s="638">
        <f t="shared" si="100"/>
        <v>5.0980800000000004</v>
      </c>
      <c r="I737" s="24" t="s">
        <v>506</v>
      </c>
      <c r="J737" s="25" t="s">
        <v>246</v>
      </c>
      <c r="K737" s="25" t="s">
        <v>2565</v>
      </c>
      <c r="L737" s="25" t="s">
        <v>997</v>
      </c>
      <c r="M737" s="25" t="s">
        <v>4</v>
      </c>
      <c r="N737" s="25" t="s">
        <v>85</v>
      </c>
      <c r="O737" s="25" t="s">
        <v>92</v>
      </c>
      <c r="P737" s="25" t="s">
        <v>83</v>
      </c>
      <c r="Q737" s="25" t="s">
        <v>82</v>
      </c>
      <c r="R737" s="25"/>
      <c r="S737" s="25" t="s">
        <v>96</v>
      </c>
      <c r="T737" s="25" t="s">
        <v>96</v>
      </c>
      <c r="U737" s="25" t="s">
        <v>95</v>
      </c>
      <c r="V737" s="25" t="s">
        <v>223</v>
      </c>
      <c r="W737" s="25" t="s">
        <v>553</v>
      </c>
      <c r="X737" s="25" t="s">
        <v>1752</v>
      </c>
      <c r="Y737" s="25" t="s">
        <v>1753</v>
      </c>
      <c r="Z737" s="26">
        <v>40086</v>
      </c>
      <c r="AA737" s="776">
        <v>0</v>
      </c>
      <c r="AB737" s="776">
        <v>12.9</v>
      </c>
      <c r="AC737" s="776">
        <v>0</v>
      </c>
      <c r="AD737" s="776">
        <v>0</v>
      </c>
      <c r="AE737" s="777">
        <v>0</v>
      </c>
      <c r="AF737" s="777">
        <v>4.9020000000000001</v>
      </c>
      <c r="AG737" s="778">
        <v>5.0980800000000004</v>
      </c>
    </row>
    <row r="738" spans="1:33" x14ac:dyDescent="0.2">
      <c r="A738" s="15">
        <f t="shared" si="95"/>
        <v>2009</v>
      </c>
      <c r="B738" s="14">
        <f t="shared" si="96"/>
        <v>8</v>
      </c>
      <c r="C738" s="13" t="str">
        <f t="shared" si="97"/>
        <v>Q3</v>
      </c>
      <c r="D738" s="13" t="str">
        <f t="shared" si="98"/>
        <v>2009Q3</v>
      </c>
      <c r="E738" s="13" t="str">
        <f t="shared" si="99"/>
        <v>Brazil</v>
      </c>
      <c r="F738" s="13" t="str">
        <f t="shared" si="102"/>
        <v>Small Hydro</v>
      </c>
      <c r="G738" s="13" t="str">
        <f t="shared" si="101"/>
        <v>Asset finance investments</v>
      </c>
      <c r="H738" s="638">
        <f t="shared" si="100"/>
        <v>3.9000000000000004</v>
      </c>
      <c r="I738" s="24" t="s">
        <v>506</v>
      </c>
      <c r="J738" s="25" t="s">
        <v>246</v>
      </c>
      <c r="K738" s="25" t="s">
        <v>2566</v>
      </c>
      <c r="L738" s="25" t="s">
        <v>912</v>
      </c>
      <c r="M738" s="25" t="s">
        <v>31</v>
      </c>
      <c r="N738" s="25" t="s">
        <v>31</v>
      </c>
      <c r="O738" s="25" t="s">
        <v>92</v>
      </c>
      <c r="P738" s="25" t="s">
        <v>83</v>
      </c>
      <c r="Q738" s="25" t="s">
        <v>82</v>
      </c>
      <c r="R738" s="25" t="s">
        <v>91</v>
      </c>
      <c r="S738" s="25" t="s">
        <v>126</v>
      </c>
      <c r="T738" s="25" t="s">
        <v>125</v>
      </c>
      <c r="U738" s="25" t="s">
        <v>247</v>
      </c>
      <c r="V738" s="25">
        <v>0</v>
      </c>
      <c r="W738" s="25" t="s">
        <v>553</v>
      </c>
      <c r="X738" s="25" t="s">
        <v>1752</v>
      </c>
      <c r="Y738" s="25" t="s">
        <v>1753</v>
      </c>
      <c r="Z738" s="26">
        <v>40043</v>
      </c>
      <c r="AA738" s="776">
        <v>1.5</v>
      </c>
      <c r="AB738" s="776">
        <v>0</v>
      </c>
      <c r="AC738" s="776">
        <v>0</v>
      </c>
      <c r="AD738" s="776">
        <v>0</v>
      </c>
      <c r="AE738" s="777">
        <v>0</v>
      </c>
      <c r="AF738" s="777">
        <v>3.75</v>
      </c>
      <c r="AG738" s="778">
        <v>3.9000000000000004</v>
      </c>
    </row>
    <row r="739" spans="1:33" x14ac:dyDescent="0.2">
      <c r="A739" s="15">
        <f t="shared" si="95"/>
        <v>2009</v>
      </c>
      <c r="B739" s="14">
        <f t="shared" si="96"/>
        <v>9</v>
      </c>
      <c r="C739" s="13" t="str">
        <f t="shared" si="97"/>
        <v>Q3</v>
      </c>
      <c r="D739" s="13" t="str">
        <f t="shared" si="98"/>
        <v>2009Q3</v>
      </c>
      <c r="E739" s="13" t="str">
        <f t="shared" si="99"/>
        <v>Chile</v>
      </c>
      <c r="F739" s="13" t="str">
        <f t="shared" si="102"/>
        <v>Small Hydro</v>
      </c>
      <c r="G739" s="13" t="str">
        <f t="shared" si="101"/>
        <v>VC/PE investments</v>
      </c>
      <c r="H739" s="638">
        <f t="shared" si="100"/>
        <v>2.3919999999999999</v>
      </c>
      <c r="I739" s="24" t="s">
        <v>506</v>
      </c>
      <c r="J739" s="25" t="s">
        <v>216</v>
      </c>
      <c r="K739" s="25" t="s">
        <v>522</v>
      </c>
      <c r="L739" s="25" t="s">
        <v>521</v>
      </c>
      <c r="M739" s="25" t="s">
        <v>8</v>
      </c>
      <c r="N739" s="25" t="s">
        <v>85</v>
      </c>
      <c r="O739" s="25" t="s">
        <v>92</v>
      </c>
      <c r="P739" s="25" t="s">
        <v>83</v>
      </c>
      <c r="Q739" s="25" t="s">
        <v>129</v>
      </c>
      <c r="R739" s="25"/>
      <c r="S739" s="25" t="s">
        <v>126</v>
      </c>
      <c r="T739" s="25" t="s">
        <v>125</v>
      </c>
      <c r="U739" s="25">
        <v>0</v>
      </c>
      <c r="V739" s="25">
        <v>0</v>
      </c>
      <c r="W739" s="25" t="s">
        <v>94</v>
      </c>
      <c r="X739" s="25" t="s">
        <v>505</v>
      </c>
      <c r="Y739" s="25" t="s">
        <v>504</v>
      </c>
      <c r="Z739" s="26">
        <v>40072</v>
      </c>
      <c r="AA739" s="776" t="s">
        <v>1748</v>
      </c>
      <c r="AB739" s="776" t="s">
        <v>1748</v>
      </c>
      <c r="AC739" s="776" t="s">
        <v>1748</v>
      </c>
      <c r="AD739" s="776" t="s">
        <v>1748</v>
      </c>
      <c r="AE739" s="777">
        <v>2.2999999999999998</v>
      </c>
      <c r="AF739" s="777">
        <v>2.2999999999999998</v>
      </c>
      <c r="AG739" s="778">
        <v>2.3919999999999999</v>
      </c>
    </row>
    <row r="740" spans="1:33" x14ac:dyDescent="0.2">
      <c r="A740" s="15">
        <f t="shared" si="95"/>
        <v>2009</v>
      </c>
      <c r="B740" s="14">
        <f t="shared" si="96"/>
        <v>8</v>
      </c>
      <c r="C740" s="13" t="str">
        <f t="shared" si="97"/>
        <v>Q3</v>
      </c>
      <c r="D740" s="13" t="str">
        <f t="shared" si="98"/>
        <v>2009Q3</v>
      </c>
      <c r="E740" s="13" t="str">
        <f t="shared" si="99"/>
        <v>Argentina</v>
      </c>
      <c r="F740" s="13" t="str">
        <f t="shared" si="102"/>
        <v>Wind</v>
      </c>
      <c r="G740" s="13" t="str">
        <f t="shared" si="101"/>
        <v>Asset finance investments</v>
      </c>
      <c r="H740" s="638">
        <f t="shared" si="100"/>
        <v>0.312</v>
      </c>
      <c r="I740" s="24" t="s">
        <v>506</v>
      </c>
      <c r="J740" s="25" t="s">
        <v>246</v>
      </c>
      <c r="K740" s="25" t="s">
        <v>2567</v>
      </c>
      <c r="L740" s="25" t="s">
        <v>848</v>
      </c>
      <c r="M740" s="25" t="s">
        <v>4</v>
      </c>
      <c r="N740" s="25" t="s">
        <v>85</v>
      </c>
      <c r="O740" s="25" t="s">
        <v>92</v>
      </c>
      <c r="P740" s="25" t="s">
        <v>83</v>
      </c>
      <c r="Q740" s="25" t="s">
        <v>82</v>
      </c>
      <c r="R740" s="25"/>
      <c r="S740" s="25" t="s">
        <v>101</v>
      </c>
      <c r="T740" s="25" t="s">
        <v>101</v>
      </c>
      <c r="U740" s="25" t="s">
        <v>112</v>
      </c>
      <c r="V740" s="25">
        <v>0</v>
      </c>
      <c r="W740" s="25" t="s">
        <v>553</v>
      </c>
      <c r="X740" s="25" t="s">
        <v>1752</v>
      </c>
      <c r="Y740" s="25" t="s">
        <v>1753</v>
      </c>
      <c r="Z740" s="26">
        <v>40056</v>
      </c>
      <c r="AA740" s="776">
        <v>3</v>
      </c>
      <c r="AB740" s="776">
        <v>0</v>
      </c>
      <c r="AC740" s="776">
        <v>0</v>
      </c>
      <c r="AD740" s="776">
        <v>0</v>
      </c>
      <c r="AE740" s="777">
        <v>0.3</v>
      </c>
      <c r="AF740" s="777">
        <v>0.3</v>
      </c>
      <c r="AG740" s="778">
        <v>0.312</v>
      </c>
    </row>
    <row r="741" spans="1:33" x14ac:dyDescent="0.2">
      <c r="A741" s="15">
        <f t="shared" si="95"/>
        <v>2008</v>
      </c>
      <c r="B741" s="14">
        <f t="shared" si="96"/>
        <v>8</v>
      </c>
      <c r="C741" s="13" t="str">
        <f t="shared" si="97"/>
        <v>Q3</v>
      </c>
      <c r="D741" s="13" t="str">
        <f t="shared" si="98"/>
        <v>2008Q3</v>
      </c>
      <c r="E741" s="13" t="str">
        <f t="shared" si="99"/>
        <v>Brazil</v>
      </c>
      <c r="F741" s="13" t="str">
        <f t="shared" si="102"/>
        <v>Biofuels</v>
      </c>
      <c r="G741" s="13" t="str">
        <f t="shared" si="101"/>
        <v>Asset finance investments</v>
      </c>
      <c r="H741" s="638">
        <f t="shared" si="100"/>
        <v>1133</v>
      </c>
      <c r="I741" s="24" t="s">
        <v>506</v>
      </c>
      <c r="J741" s="25" t="s">
        <v>246</v>
      </c>
      <c r="K741" s="25" t="s">
        <v>2568</v>
      </c>
      <c r="L741" s="25" t="s">
        <v>2569</v>
      </c>
      <c r="M741" s="25" t="s">
        <v>31</v>
      </c>
      <c r="N741" s="25" t="s">
        <v>31</v>
      </c>
      <c r="O741" s="25" t="s">
        <v>92</v>
      </c>
      <c r="P741" s="25" t="s">
        <v>83</v>
      </c>
      <c r="Q741" s="25" t="s">
        <v>82</v>
      </c>
      <c r="R741" s="25" t="s">
        <v>91</v>
      </c>
      <c r="S741" s="25" t="s">
        <v>96</v>
      </c>
      <c r="T741" s="25" t="s">
        <v>96</v>
      </c>
      <c r="U741" s="25" t="s">
        <v>98</v>
      </c>
      <c r="V741" s="25" t="s">
        <v>230</v>
      </c>
      <c r="W741" s="25" t="s">
        <v>553</v>
      </c>
      <c r="X741" s="25" t="s">
        <v>1749</v>
      </c>
      <c r="Y741" s="25" t="s">
        <v>1750</v>
      </c>
      <c r="Z741" s="26">
        <v>39673</v>
      </c>
      <c r="AA741" s="776">
        <v>297.89999999999998</v>
      </c>
      <c r="AB741" s="776">
        <v>1440</v>
      </c>
      <c r="AC741" s="776">
        <v>0</v>
      </c>
      <c r="AD741" s="776">
        <v>0</v>
      </c>
      <c r="AE741" s="777">
        <v>1100</v>
      </c>
      <c r="AF741" s="777">
        <v>1100</v>
      </c>
      <c r="AG741" s="778">
        <v>1133</v>
      </c>
    </row>
    <row r="742" spans="1:33" x14ac:dyDescent="0.2">
      <c r="A742" s="15">
        <f t="shared" si="95"/>
        <v>2008</v>
      </c>
      <c r="B742" s="14">
        <f t="shared" si="96"/>
        <v>9</v>
      </c>
      <c r="C742" s="13" t="str">
        <f t="shared" si="97"/>
        <v>Q3</v>
      </c>
      <c r="D742" s="13" t="str">
        <f t="shared" si="98"/>
        <v>2008Q3</v>
      </c>
      <c r="E742" s="13" t="str">
        <f t="shared" si="99"/>
        <v>Brazil</v>
      </c>
      <c r="F742" s="13" t="str">
        <f t="shared" si="102"/>
        <v>Biofuels</v>
      </c>
      <c r="G742" s="13" t="str">
        <f t="shared" si="101"/>
        <v>Corporate finance investments</v>
      </c>
      <c r="H742" s="638">
        <f t="shared" si="100"/>
        <v>501.71300000000002</v>
      </c>
      <c r="I742" s="24" t="s">
        <v>506</v>
      </c>
      <c r="J742" s="25" t="s">
        <v>211</v>
      </c>
      <c r="K742" s="25" t="s">
        <v>2570</v>
      </c>
      <c r="L742" s="25" t="s">
        <v>550</v>
      </c>
      <c r="M742" s="25" t="s">
        <v>31</v>
      </c>
      <c r="N742" s="25" t="s">
        <v>31</v>
      </c>
      <c r="O742" s="25" t="s">
        <v>92</v>
      </c>
      <c r="P742" s="25" t="s">
        <v>83</v>
      </c>
      <c r="Q742" s="25" t="s">
        <v>82</v>
      </c>
      <c r="R742" s="25" t="s">
        <v>91</v>
      </c>
      <c r="S742" s="25" t="s">
        <v>96</v>
      </c>
      <c r="T742" s="25" t="s">
        <v>96</v>
      </c>
      <c r="U742" s="25">
        <v>0</v>
      </c>
      <c r="V742" s="25">
        <v>0</v>
      </c>
      <c r="W742" s="25" t="s">
        <v>31</v>
      </c>
      <c r="X742" s="25" t="s">
        <v>549</v>
      </c>
      <c r="Y742" s="25" t="s">
        <v>548</v>
      </c>
      <c r="Z742" s="26">
        <v>39714</v>
      </c>
      <c r="AA742" s="776" t="s">
        <v>1823</v>
      </c>
      <c r="AB742" s="776">
        <v>0</v>
      </c>
      <c r="AC742" s="776">
        <v>487.1</v>
      </c>
      <c r="AD742" s="776">
        <v>2338.4</v>
      </c>
      <c r="AE742" s="777">
        <v>487.1</v>
      </c>
      <c r="AF742" s="777">
        <v>487.1</v>
      </c>
      <c r="AG742" s="778">
        <v>501.71300000000002</v>
      </c>
    </row>
    <row r="743" spans="1:33" x14ac:dyDescent="0.2">
      <c r="A743" s="15">
        <f t="shared" si="95"/>
        <v>2008</v>
      </c>
      <c r="B743" s="14">
        <f t="shared" si="96"/>
        <v>8</v>
      </c>
      <c r="C743" s="13" t="str">
        <f t="shared" si="97"/>
        <v>Q3</v>
      </c>
      <c r="D743" s="13" t="str">
        <f t="shared" si="98"/>
        <v>2008Q3</v>
      </c>
      <c r="E743" s="13" t="str">
        <f t="shared" si="99"/>
        <v>Brazil</v>
      </c>
      <c r="F743" s="13" t="str">
        <f t="shared" si="102"/>
        <v>Biofuels</v>
      </c>
      <c r="G743" s="13" t="str">
        <f t="shared" si="101"/>
        <v>Asset finance investments</v>
      </c>
      <c r="H743" s="638">
        <f t="shared" si="100"/>
        <v>444.34199999999998</v>
      </c>
      <c r="I743" s="24" t="s">
        <v>506</v>
      </c>
      <c r="J743" s="25" t="s">
        <v>246</v>
      </c>
      <c r="K743" s="25" t="s">
        <v>2571</v>
      </c>
      <c r="L743" s="25" t="s">
        <v>2572</v>
      </c>
      <c r="M743" s="25" t="s">
        <v>31</v>
      </c>
      <c r="N743" s="25" t="s">
        <v>31</v>
      </c>
      <c r="O743" s="25" t="s">
        <v>92</v>
      </c>
      <c r="P743" s="25" t="s">
        <v>83</v>
      </c>
      <c r="Q743" s="25" t="s">
        <v>82</v>
      </c>
      <c r="R743" s="25" t="s">
        <v>91</v>
      </c>
      <c r="S743" s="25" t="s">
        <v>96</v>
      </c>
      <c r="T743" s="25" t="s">
        <v>96</v>
      </c>
      <c r="U743" s="25" t="s">
        <v>98</v>
      </c>
      <c r="V743" s="25" t="s">
        <v>230</v>
      </c>
      <c r="W743" s="25" t="s">
        <v>553</v>
      </c>
      <c r="X743" s="25" t="s">
        <v>1752</v>
      </c>
      <c r="Y743" s="25" t="s">
        <v>1753</v>
      </c>
      <c r="Z743" s="26">
        <v>39681</v>
      </c>
      <c r="AA743" s="776">
        <v>90</v>
      </c>
      <c r="AB743" s="776">
        <v>160</v>
      </c>
      <c r="AC743" s="776">
        <v>0</v>
      </c>
      <c r="AD743" s="776">
        <v>0</v>
      </c>
      <c r="AE743" s="777">
        <v>431.4</v>
      </c>
      <c r="AF743" s="777">
        <v>431.4</v>
      </c>
      <c r="AG743" s="778">
        <v>444.34199999999998</v>
      </c>
    </row>
    <row r="744" spans="1:33" x14ac:dyDescent="0.2">
      <c r="A744" s="15">
        <f t="shared" si="95"/>
        <v>2008</v>
      </c>
      <c r="B744" s="14">
        <f t="shared" si="96"/>
        <v>8</v>
      </c>
      <c r="C744" s="13" t="str">
        <f t="shared" si="97"/>
        <v>Q3</v>
      </c>
      <c r="D744" s="13" t="str">
        <f t="shared" si="98"/>
        <v>2008Q3</v>
      </c>
      <c r="E744" s="13" t="str">
        <f t="shared" si="99"/>
        <v>Brazil</v>
      </c>
      <c r="F744" s="13" t="str">
        <f t="shared" si="102"/>
        <v>Biofuels</v>
      </c>
      <c r="G744" s="13" t="str">
        <f t="shared" si="101"/>
        <v>Asset finance investments</v>
      </c>
      <c r="H744" s="638">
        <f t="shared" si="100"/>
        <v>293.55</v>
      </c>
      <c r="I744" s="24" t="s">
        <v>506</v>
      </c>
      <c r="J744" s="25" t="s">
        <v>246</v>
      </c>
      <c r="K744" s="25" t="s">
        <v>2573</v>
      </c>
      <c r="L744" s="25" t="s">
        <v>1087</v>
      </c>
      <c r="M744" s="25" t="s">
        <v>31</v>
      </c>
      <c r="N744" s="25" t="s">
        <v>31</v>
      </c>
      <c r="O744" s="25" t="s">
        <v>92</v>
      </c>
      <c r="P744" s="25" t="s">
        <v>83</v>
      </c>
      <c r="Q744" s="25" t="s">
        <v>82</v>
      </c>
      <c r="R744" s="25" t="s">
        <v>91</v>
      </c>
      <c r="S744" s="25" t="s">
        <v>96</v>
      </c>
      <c r="T744" s="25" t="s">
        <v>96</v>
      </c>
      <c r="U744" s="25" t="s">
        <v>98</v>
      </c>
      <c r="V744" s="25" t="s">
        <v>230</v>
      </c>
      <c r="W744" s="25" t="s">
        <v>553</v>
      </c>
      <c r="X744" s="25" t="s">
        <v>1752</v>
      </c>
      <c r="Y744" s="25" t="s">
        <v>1753</v>
      </c>
      <c r="Z744" s="26">
        <v>39668</v>
      </c>
      <c r="AA744" s="776">
        <v>41</v>
      </c>
      <c r="AB744" s="776">
        <v>370</v>
      </c>
      <c r="AC744" s="776">
        <v>0</v>
      </c>
      <c r="AD744" s="776">
        <v>0</v>
      </c>
      <c r="AE744" s="777">
        <v>285</v>
      </c>
      <c r="AF744" s="777">
        <v>285</v>
      </c>
      <c r="AG744" s="778">
        <v>293.55</v>
      </c>
    </row>
    <row r="745" spans="1:33" x14ac:dyDescent="0.2">
      <c r="A745" s="15">
        <f t="shared" si="95"/>
        <v>2008</v>
      </c>
      <c r="B745" s="14">
        <f t="shared" si="96"/>
        <v>9</v>
      </c>
      <c r="C745" s="13" t="str">
        <f t="shared" si="97"/>
        <v>Q3</v>
      </c>
      <c r="D745" s="13" t="str">
        <f t="shared" si="98"/>
        <v>2008Q3</v>
      </c>
      <c r="E745" s="13" t="str">
        <f t="shared" si="99"/>
        <v>Brazil</v>
      </c>
      <c r="F745" s="13" t="str">
        <f t="shared" si="102"/>
        <v>Biofuels</v>
      </c>
      <c r="G745" s="13" t="str">
        <f t="shared" si="101"/>
        <v>Asset finance investments</v>
      </c>
      <c r="H745" s="638">
        <f t="shared" si="100"/>
        <v>175.1</v>
      </c>
      <c r="I745" s="24" t="s">
        <v>506</v>
      </c>
      <c r="J745" s="25" t="s">
        <v>246</v>
      </c>
      <c r="K745" s="25" t="s">
        <v>2574</v>
      </c>
      <c r="L745" s="25" t="s">
        <v>1073</v>
      </c>
      <c r="M745" s="25" t="s">
        <v>31</v>
      </c>
      <c r="N745" s="25" t="s">
        <v>31</v>
      </c>
      <c r="O745" s="25" t="s">
        <v>92</v>
      </c>
      <c r="P745" s="25" t="s">
        <v>83</v>
      </c>
      <c r="Q745" s="25" t="s">
        <v>82</v>
      </c>
      <c r="R745" s="25" t="s">
        <v>91</v>
      </c>
      <c r="S745" s="25" t="s">
        <v>96</v>
      </c>
      <c r="T745" s="25" t="s">
        <v>96</v>
      </c>
      <c r="U745" s="25" t="s">
        <v>98</v>
      </c>
      <c r="V745" s="25" t="s">
        <v>230</v>
      </c>
      <c r="W745" s="25" t="s">
        <v>553</v>
      </c>
      <c r="X745" s="25" t="s">
        <v>1752</v>
      </c>
      <c r="Y745" s="25" t="s">
        <v>1753</v>
      </c>
      <c r="Z745" s="26">
        <v>39692.619444444397</v>
      </c>
      <c r="AA745" s="776">
        <v>0</v>
      </c>
      <c r="AB745" s="776">
        <v>243</v>
      </c>
      <c r="AC745" s="776">
        <v>0</v>
      </c>
      <c r="AD745" s="776">
        <v>0</v>
      </c>
      <c r="AE745" s="777">
        <v>170</v>
      </c>
      <c r="AF745" s="777">
        <v>170</v>
      </c>
      <c r="AG745" s="778">
        <v>175.1</v>
      </c>
    </row>
    <row r="746" spans="1:33" x14ac:dyDescent="0.2">
      <c r="A746" s="15">
        <f t="shared" si="95"/>
        <v>2008</v>
      </c>
      <c r="B746" s="14">
        <f t="shared" si="96"/>
        <v>9</v>
      </c>
      <c r="C746" s="13" t="str">
        <f t="shared" si="97"/>
        <v>Q3</v>
      </c>
      <c r="D746" s="13" t="str">
        <f t="shared" si="98"/>
        <v>2008Q3</v>
      </c>
      <c r="E746" s="13" t="str">
        <f t="shared" si="99"/>
        <v>Chile</v>
      </c>
      <c r="F746" s="13" t="str">
        <f t="shared" si="102"/>
        <v>Wind</v>
      </c>
      <c r="G746" s="13" t="str">
        <f t="shared" si="101"/>
        <v>Asset finance investments</v>
      </c>
      <c r="H746" s="638">
        <f t="shared" si="100"/>
        <v>144.20000000000002</v>
      </c>
      <c r="I746" s="24" t="s">
        <v>506</v>
      </c>
      <c r="J746" s="25" t="s">
        <v>246</v>
      </c>
      <c r="K746" s="25" t="s">
        <v>2575</v>
      </c>
      <c r="L746" s="25" t="s">
        <v>1036</v>
      </c>
      <c r="M746" s="25" t="s">
        <v>8</v>
      </c>
      <c r="N746" s="25" t="s">
        <v>85</v>
      </c>
      <c r="O746" s="25" t="s">
        <v>92</v>
      </c>
      <c r="P746" s="25" t="s">
        <v>83</v>
      </c>
      <c r="Q746" s="25" t="s">
        <v>129</v>
      </c>
      <c r="R746" s="25"/>
      <c r="S746" s="25" t="s">
        <v>101</v>
      </c>
      <c r="T746" s="25" t="s">
        <v>101</v>
      </c>
      <c r="U746" s="25" t="s">
        <v>112</v>
      </c>
      <c r="V746" s="25">
        <v>0</v>
      </c>
      <c r="W746" s="25" t="s">
        <v>553</v>
      </c>
      <c r="X746" s="25" t="s">
        <v>1749</v>
      </c>
      <c r="Y746" s="25" t="s">
        <v>1750</v>
      </c>
      <c r="Z746" s="26">
        <v>39714</v>
      </c>
      <c r="AA746" s="776">
        <v>46</v>
      </c>
      <c r="AB746" s="776">
        <v>0</v>
      </c>
      <c r="AC746" s="776">
        <v>0</v>
      </c>
      <c r="AD746" s="776">
        <v>0</v>
      </c>
      <c r="AE746" s="777">
        <v>140</v>
      </c>
      <c r="AF746" s="777">
        <v>140</v>
      </c>
      <c r="AG746" s="778">
        <v>144.20000000000002</v>
      </c>
    </row>
    <row r="747" spans="1:33" x14ac:dyDescent="0.2">
      <c r="A747" s="15">
        <f t="shared" si="95"/>
        <v>2008</v>
      </c>
      <c r="B747" s="14">
        <f t="shared" si="96"/>
        <v>8</v>
      </c>
      <c r="C747" s="13" t="str">
        <f t="shared" si="97"/>
        <v>Q3</v>
      </c>
      <c r="D747" s="13" t="str">
        <f t="shared" si="98"/>
        <v>2008Q3</v>
      </c>
      <c r="E747" s="13" t="str">
        <f t="shared" si="99"/>
        <v>Brazil</v>
      </c>
      <c r="F747" s="13" t="str">
        <f t="shared" si="102"/>
        <v>Biofuels</v>
      </c>
      <c r="G747" s="13" t="str">
        <f t="shared" si="101"/>
        <v>Asset finance investments</v>
      </c>
      <c r="H747" s="638">
        <f t="shared" si="100"/>
        <v>138.535</v>
      </c>
      <c r="I747" s="24" t="s">
        <v>506</v>
      </c>
      <c r="J747" s="25" t="s">
        <v>246</v>
      </c>
      <c r="K747" s="25" t="s">
        <v>2576</v>
      </c>
      <c r="L747" s="25" t="s">
        <v>1082</v>
      </c>
      <c r="M747" s="25" t="s">
        <v>31</v>
      </c>
      <c r="N747" s="25" t="s">
        <v>31</v>
      </c>
      <c r="O747" s="25" t="s">
        <v>92</v>
      </c>
      <c r="P747" s="25" t="s">
        <v>83</v>
      </c>
      <c r="Q747" s="25" t="s">
        <v>82</v>
      </c>
      <c r="R747" s="25" t="s">
        <v>91</v>
      </c>
      <c r="S747" s="25" t="s">
        <v>96</v>
      </c>
      <c r="T747" s="25" t="s">
        <v>96</v>
      </c>
      <c r="U747" s="25" t="s">
        <v>98</v>
      </c>
      <c r="V747" s="25" t="s">
        <v>230</v>
      </c>
      <c r="W747" s="25" t="s">
        <v>553</v>
      </c>
      <c r="X747" s="25" t="s">
        <v>1749</v>
      </c>
      <c r="Y747" s="25" t="s">
        <v>1750</v>
      </c>
      <c r="Z747" s="26">
        <v>39672</v>
      </c>
      <c r="AA747" s="776">
        <v>30</v>
      </c>
      <c r="AB747" s="776">
        <v>90</v>
      </c>
      <c r="AC747" s="776">
        <v>0</v>
      </c>
      <c r="AD747" s="776">
        <v>0</v>
      </c>
      <c r="AE747" s="777">
        <v>134.5</v>
      </c>
      <c r="AF747" s="777">
        <v>134.5</v>
      </c>
      <c r="AG747" s="778">
        <v>138.535</v>
      </c>
    </row>
    <row r="748" spans="1:33" x14ac:dyDescent="0.2">
      <c r="A748" s="15">
        <f t="shared" si="95"/>
        <v>2008</v>
      </c>
      <c r="B748" s="14">
        <f t="shared" si="96"/>
        <v>7</v>
      </c>
      <c r="C748" s="13" t="str">
        <f t="shared" si="97"/>
        <v>Q3</v>
      </c>
      <c r="D748" s="13" t="str">
        <f t="shared" si="98"/>
        <v>2008Q3</v>
      </c>
      <c r="E748" s="13" t="str">
        <f t="shared" si="99"/>
        <v>Brazil</v>
      </c>
      <c r="F748" s="13" t="str">
        <f t="shared" si="102"/>
        <v>Biofuels</v>
      </c>
      <c r="G748" s="13" t="str">
        <f t="shared" si="101"/>
        <v>Asset finance investments</v>
      </c>
      <c r="H748" s="638">
        <f t="shared" si="100"/>
        <v>127.72</v>
      </c>
      <c r="I748" s="24" t="s">
        <v>506</v>
      </c>
      <c r="J748" s="25" t="s">
        <v>246</v>
      </c>
      <c r="K748" s="25" t="s">
        <v>2577</v>
      </c>
      <c r="L748" s="25" t="s">
        <v>2578</v>
      </c>
      <c r="M748" s="25" t="s">
        <v>31</v>
      </c>
      <c r="N748" s="25" t="s">
        <v>31</v>
      </c>
      <c r="O748" s="25" t="s">
        <v>92</v>
      </c>
      <c r="P748" s="25" t="s">
        <v>83</v>
      </c>
      <c r="Q748" s="25" t="s">
        <v>82</v>
      </c>
      <c r="R748" s="25" t="s">
        <v>91</v>
      </c>
      <c r="S748" s="25" t="s">
        <v>96</v>
      </c>
      <c r="T748" s="25" t="s">
        <v>96</v>
      </c>
      <c r="U748" s="25" t="s">
        <v>98</v>
      </c>
      <c r="V748" s="25" t="s">
        <v>230</v>
      </c>
      <c r="W748" s="25" t="s">
        <v>553</v>
      </c>
      <c r="X748" s="25" t="s">
        <v>1749</v>
      </c>
      <c r="Y748" s="25" t="s">
        <v>1750</v>
      </c>
      <c r="Z748" s="26">
        <v>39637</v>
      </c>
      <c r="AA748" s="776">
        <v>37.1</v>
      </c>
      <c r="AB748" s="776">
        <v>5</v>
      </c>
      <c r="AC748" s="776">
        <v>0</v>
      </c>
      <c r="AD748" s="776">
        <v>0</v>
      </c>
      <c r="AE748" s="777">
        <v>124</v>
      </c>
      <c r="AF748" s="777">
        <v>124</v>
      </c>
      <c r="AG748" s="778">
        <v>127.72</v>
      </c>
    </row>
    <row r="749" spans="1:33" x14ac:dyDescent="0.2">
      <c r="A749" s="15">
        <f t="shared" si="95"/>
        <v>2008</v>
      </c>
      <c r="B749" s="14">
        <f t="shared" si="96"/>
        <v>7</v>
      </c>
      <c r="C749" s="13" t="str">
        <f t="shared" si="97"/>
        <v>Q3</v>
      </c>
      <c r="D749" s="13" t="str">
        <f t="shared" si="98"/>
        <v>2008Q3</v>
      </c>
      <c r="E749" s="13" t="str">
        <f t="shared" si="99"/>
        <v>Costa Rica</v>
      </c>
      <c r="F749" s="13" t="str">
        <f t="shared" si="102"/>
        <v>Wind</v>
      </c>
      <c r="G749" s="13" t="str">
        <f t="shared" si="101"/>
        <v>Asset finance investments</v>
      </c>
      <c r="H749" s="638">
        <f t="shared" si="100"/>
        <v>113.3</v>
      </c>
      <c r="I749" s="24" t="s">
        <v>506</v>
      </c>
      <c r="J749" s="25" t="s">
        <v>246</v>
      </c>
      <c r="K749" s="25" t="s">
        <v>2579</v>
      </c>
      <c r="L749" s="25" t="s">
        <v>1157</v>
      </c>
      <c r="M749" s="25" t="s">
        <v>10</v>
      </c>
      <c r="N749" s="25" t="s">
        <v>85</v>
      </c>
      <c r="O749" s="25" t="s">
        <v>92</v>
      </c>
      <c r="P749" s="25" t="s">
        <v>83</v>
      </c>
      <c r="Q749" s="25" t="s">
        <v>82</v>
      </c>
      <c r="R749" s="25"/>
      <c r="S749" s="25" t="s">
        <v>101</v>
      </c>
      <c r="T749" s="25" t="s">
        <v>101</v>
      </c>
      <c r="U749" s="25" t="s">
        <v>112</v>
      </c>
      <c r="V749" s="25">
        <v>0</v>
      </c>
      <c r="W749" s="25" t="s">
        <v>553</v>
      </c>
      <c r="X749" s="25" t="s">
        <v>1749</v>
      </c>
      <c r="Y749" s="25" t="s">
        <v>1750</v>
      </c>
      <c r="Z749" s="26">
        <v>39658</v>
      </c>
      <c r="AA749" s="776">
        <v>49.5</v>
      </c>
      <c r="AB749" s="776">
        <v>0</v>
      </c>
      <c r="AC749" s="776">
        <v>0</v>
      </c>
      <c r="AD749" s="776">
        <v>0</v>
      </c>
      <c r="AE749" s="777">
        <v>110</v>
      </c>
      <c r="AF749" s="777">
        <v>110</v>
      </c>
      <c r="AG749" s="778">
        <v>113.3</v>
      </c>
    </row>
    <row r="750" spans="1:33" x14ac:dyDescent="0.2">
      <c r="A750" s="15">
        <f t="shared" si="95"/>
        <v>2008</v>
      </c>
      <c r="B750" s="14">
        <f t="shared" si="96"/>
        <v>8</v>
      </c>
      <c r="C750" s="13" t="str">
        <f t="shared" si="97"/>
        <v>Q3</v>
      </c>
      <c r="D750" s="13" t="str">
        <f t="shared" si="98"/>
        <v>2008Q3</v>
      </c>
      <c r="E750" s="13" t="str">
        <f t="shared" si="99"/>
        <v>Brazil</v>
      </c>
      <c r="F750" s="13" t="str">
        <f t="shared" si="102"/>
        <v>Biofuels</v>
      </c>
      <c r="G750" s="13" t="str">
        <f t="shared" si="101"/>
        <v>Asset finance investments</v>
      </c>
      <c r="H750" s="638">
        <f t="shared" si="100"/>
        <v>101.97</v>
      </c>
      <c r="I750" s="24" t="s">
        <v>506</v>
      </c>
      <c r="J750" s="25" t="s">
        <v>246</v>
      </c>
      <c r="K750" s="25" t="s">
        <v>2580</v>
      </c>
      <c r="L750" s="25" t="s">
        <v>1083</v>
      </c>
      <c r="M750" s="25" t="s">
        <v>31</v>
      </c>
      <c r="N750" s="25" t="s">
        <v>31</v>
      </c>
      <c r="O750" s="25" t="s">
        <v>92</v>
      </c>
      <c r="P750" s="25" t="s">
        <v>83</v>
      </c>
      <c r="Q750" s="25" t="s">
        <v>82</v>
      </c>
      <c r="R750" s="25" t="s">
        <v>91</v>
      </c>
      <c r="S750" s="25" t="s">
        <v>96</v>
      </c>
      <c r="T750" s="25" t="s">
        <v>96</v>
      </c>
      <c r="U750" s="25" t="s">
        <v>95</v>
      </c>
      <c r="V750" s="25">
        <v>0</v>
      </c>
      <c r="W750" s="25" t="s">
        <v>553</v>
      </c>
      <c r="X750" s="25" t="s">
        <v>1749</v>
      </c>
      <c r="Y750" s="25" t="s">
        <v>1750</v>
      </c>
      <c r="Z750" s="26">
        <v>39671</v>
      </c>
      <c r="AA750" s="776">
        <v>0</v>
      </c>
      <c r="AB750" s="776">
        <v>122</v>
      </c>
      <c r="AC750" s="776">
        <v>0</v>
      </c>
      <c r="AD750" s="776">
        <v>0</v>
      </c>
      <c r="AE750" s="777">
        <v>99</v>
      </c>
      <c r="AF750" s="777">
        <v>99</v>
      </c>
      <c r="AG750" s="778">
        <v>101.97</v>
      </c>
    </row>
    <row r="751" spans="1:33" x14ac:dyDescent="0.2">
      <c r="A751" s="15">
        <f t="shared" si="95"/>
        <v>2008</v>
      </c>
      <c r="B751" s="14">
        <f t="shared" si="96"/>
        <v>8</v>
      </c>
      <c r="C751" s="13" t="str">
        <f t="shared" si="97"/>
        <v>Q3</v>
      </c>
      <c r="D751" s="13" t="str">
        <f t="shared" si="98"/>
        <v>2008Q3</v>
      </c>
      <c r="E751" s="13" t="str">
        <f t="shared" si="99"/>
        <v>Brazil</v>
      </c>
      <c r="F751" s="13" t="str">
        <f t="shared" si="102"/>
        <v>Small Hydro</v>
      </c>
      <c r="G751" s="13" t="str">
        <f t="shared" si="101"/>
        <v>Asset finance investments</v>
      </c>
      <c r="H751" s="638">
        <f t="shared" si="100"/>
        <v>86.664200000000008</v>
      </c>
      <c r="I751" s="24" t="s">
        <v>506</v>
      </c>
      <c r="J751" s="25" t="s">
        <v>246</v>
      </c>
      <c r="K751" s="25" t="s">
        <v>2581</v>
      </c>
      <c r="L751" s="25" t="s">
        <v>1081</v>
      </c>
      <c r="M751" s="25" t="s">
        <v>31</v>
      </c>
      <c r="N751" s="25" t="s">
        <v>31</v>
      </c>
      <c r="O751" s="25" t="s">
        <v>92</v>
      </c>
      <c r="P751" s="25" t="s">
        <v>83</v>
      </c>
      <c r="Q751" s="25" t="s">
        <v>82</v>
      </c>
      <c r="R751" s="25" t="s">
        <v>91</v>
      </c>
      <c r="S751" s="25" t="s">
        <v>126</v>
      </c>
      <c r="T751" s="25" t="s">
        <v>125</v>
      </c>
      <c r="U751" s="25" t="s">
        <v>247</v>
      </c>
      <c r="V751" s="25">
        <v>0</v>
      </c>
      <c r="W751" s="25" t="s">
        <v>553</v>
      </c>
      <c r="X751" s="25" t="s">
        <v>1752</v>
      </c>
      <c r="Y751" s="25" t="s">
        <v>1753</v>
      </c>
      <c r="Z751" s="26">
        <v>39673</v>
      </c>
      <c r="AA751" s="776">
        <v>28.5</v>
      </c>
      <c r="AB751" s="776">
        <v>0</v>
      </c>
      <c r="AC751" s="776">
        <v>0</v>
      </c>
      <c r="AD751" s="776">
        <v>0</v>
      </c>
      <c r="AE751" s="777">
        <v>84.14</v>
      </c>
      <c r="AF751" s="777">
        <v>84.14</v>
      </c>
      <c r="AG751" s="778">
        <v>86.664200000000008</v>
      </c>
    </row>
    <row r="752" spans="1:33" x14ac:dyDescent="0.2">
      <c r="A752" s="15">
        <f t="shared" si="95"/>
        <v>2008</v>
      </c>
      <c r="B752" s="14">
        <f t="shared" si="96"/>
        <v>8</v>
      </c>
      <c r="C752" s="13" t="str">
        <f t="shared" si="97"/>
        <v>Q3</v>
      </c>
      <c r="D752" s="13" t="str">
        <f t="shared" si="98"/>
        <v>2008Q3</v>
      </c>
      <c r="E752" s="13" t="str">
        <f t="shared" si="99"/>
        <v>Brazil</v>
      </c>
      <c r="F752" s="13" t="str">
        <f t="shared" si="102"/>
        <v>Wind</v>
      </c>
      <c r="G752" s="13" t="str">
        <f t="shared" si="101"/>
        <v>Asset finance investments</v>
      </c>
      <c r="H752" s="638">
        <f t="shared" si="100"/>
        <v>83.121000000000009</v>
      </c>
      <c r="I752" s="24" t="s">
        <v>506</v>
      </c>
      <c r="J752" s="25" t="s">
        <v>246</v>
      </c>
      <c r="K752" s="25" t="s">
        <v>2582</v>
      </c>
      <c r="L752" s="25" t="s">
        <v>1161</v>
      </c>
      <c r="M752" s="25" t="s">
        <v>31</v>
      </c>
      <c r="N752" s="25" t="s">
        <v>31</v>
      </c>
      <c r="O752" s="25" t="s">
        <v>92</v>
      </c>
      <c r="P752" s="25" t="s">
        <v>83</v>
      </c>
      <c r="Q752" s="25" t="s">
        <v>82</v>
      </c>
      <c r="R752" s="25" t="s">
        <v>91</v>
      </c>
      <c r="S752" s="25" t="s">
        <v>101</v>
      </c>
      <c r="T752" s="25" t="s">
        <v>101</v>
      </c>
      <c r="U752" s="25" t="s">
        <v>112</v>
      </c>
      <c r="V752" s="25">
        <v>0</v>
      </c>
      <c r="W752" s="25" t="s">
        <v>553</v>
      </c>
      <c r="X752" s="25" t="s">
        <v>1749</v>
      </c>
      <c r="Y752" s="25" t="s">
        <v>1750</v>
      </c>
      <c r="Z752" s="26">
        <v>39691</v>
      </c>
      <c r="AA752" s="776">
        <v>25.6</v>
      </c>
      <c r="AB752" s="776">
        <v>0</v>
      </c>
      <c r="AC752" s="776">
        <v>0</v>
      </c>
      <c r="AD752" s="776">
        <v>0</v>
      </c>
      <c r="AE752" s="777">
        <v>80.7</v>
      </c>
      <c r="AF752" s="777">
        <v>80.7</v>
      </c>
      <c r="AG752" s="778">
        <v>83.121000000000009</v>
      </c>
    </row>
    <row r="753" spans="1:33" x14ac:dyDescent="0.2">
      <c r="A753" s="15">
        <f t="shared" si="95"/>
        <v>2008</v>
      </c>
      <c r="B753" s="14">
        <f t="shared" si="96"/>
        <v>9</v>
      </c>
      <c r="C753" s="13" t="str">
        <f t="shared" si="97"/>
        <v>Q3</v>
      </c>
      <c r="D753" s="13" t="str">
        <f t="shared" si="98"/>
        <v>2008Q3</v>
      </c>
      <c r="E753" s="13" t="str">
        <f t="shared" si="99"/>
        <v>Nicaragua</v>
      </c>
      <c r="F753" s="13" t="str">
        <f t="shared" si="102"/>
        <v>Small Hydro</v>
      </c>
      <c r="G753" s="13" t="str">
        <f t="shared" si="101"/>
        <v>Asset finance investments</v>
      </c>
      <c r="H753" s="638">
        <f t="shared" si="100"/>
        <v>77.25</v>
      </c>
      <c r="I753" s="24" t="s">
        <v>506</v>
      </c>
      <c r="J753" s="25" t="s">
        <v>246</v>
      </c>
      <c r="K753" s="25" t="s">
        <v>2583</v>
      </c>
      <c r="L753" s="25" t="s">
        <v>1074</v>
      </c>
      <c r="M753" s="25" t="s">
        <v>2</v>
      </c>
      <c r="N753" s="25" t="s">
        <v>85</v>
      </c>
      <c r="O753" s="25" t="s">
        <v>92</v>
      </c>
      <c r="P753" s="25" t="s">
        <v>83</v>
      </c>
      <c r="Q753" s="25" t="s">
        <v>82</v>
      </c>
      <c r="R753" s="25"/>
      <c r="S753" s="25" t="s">
        <v>126</v>
      </c>
      <c r="T753" s="25" t="s">
        <v>125</v>
      </c>
      <c r="U753" s="25" t="s">
        <v>247</v>
      </c>
      <c r="V753" s="25">
        <v>0</v>
      </c>
      <c r="W753" s="25" t="s">
        <v>553</v>
      </c>
      <c r="X753" s="25" t="s">
        <v>1752</v>
      </c>
      <c r="Y753" s="25" t="s">
        <v>1753</v>
      </c>
      <c r="Z753" s="26">
        <v>39699</v>
      </c>
      <c r="AA753" s="776">
        <v>25</v>
      </c>
      <c r="AB753" s="776">
        <v>0</v>
      </c>
      <c r="AC753" s="776">
        <v>0</v>
      </c>
      <c r="AD753" s="776">
        <v>0</v>
      </c>
      <c r="AE753" s="777">
        <v>0</v>
      </c>
      <c r="AF753" s="777">
        <v>75</v>
      </c>
      <c r="AG753" s="778">
        <v>77.25</v>
      </c>
    </row>
    <row r="754" spans="1:33" x14ac:dyDescent="0.2">
      <c r="A754" s="15">
        <f t="shared" si="95"/>
        <v>2008</v>
      </c>
      <c r="B754" s="14">
        <f t="shared" si="96"/>
        <v>9</v>
      </c>
      <c r="C754" s="13" t="str">
        <f t="shared" si="97"/>
        <v>Q3</v>
      </c>
      <c r="D754" s="13" t="str">
        <f t="shared" si="98"/>
        <v>2008Q3</v>
      </c>
      <c r="E754" s="13" t="str">
        <f t="shared" si="99"/>
        <v>Brazil</v>
      </c>
      <c r="F754" s="13" t="str">
        <f t="shared" si="102"/>
        <v>Biofuels</v>
      </c>
      <c r="G754" s="13" t="str">
        <f t="shared" si="101"/>
        <v>Asset finance investments</v>
      </c>
      <c r="H754" s="638">
        <f t="shared" si="100"/>
        <v>73.438999999999993</v>
      </c>
      <c r="I754" s="24" t="s">
        <v>506</v>
      </c>
      <c r="J754" s="25" t="s">
        <v>246</v>
      </c>
      <c r="K754" s="25" t="s">
        <v>2584</v>
      </c>
      <c r="L754" s="25" t="s">
        <v>2585</v>
      </c>
      <c r="M754" s="25" t="s">
        <v>31</v>
      </c>
      <c r="N754" s="25" t="s">
        <v>31</v>
      </c>
      <c r="O754" s="25" t="s">
        <v>92</v>
      </c>
      <c r="P754" s="25" t="s">
        <v>83</v>
      </c>
      <c r="Q754" s="25" t="s">
        <v>82</v>
      </c>
      <c r="R754" s="25" t="s">
        <v>91</v>
      </c>
      <c r="S754" s="25" t="s">
        <v>96</v>
      </c>
      <c r="T754" s="25" t="s">
        <v>96</v>
      </c>
      <c r="U754" s="25" t="s">
        <v>98</v>
      </c>
      <c r="V754" s="25" t="s">
        <v>230</v>
      </c>
      <c r="W754" s="25" t="s">
        <v>553</v>
      </c>
      <c r="X754" s="25" t="s">
        <v>1749</v>
      </c>
      <c r="Y754" s="25" t="s">
        <v>1750</v>
      </c>
      <c r="Z754" s="26">
        <v>39717</v>
      </c>
      <c r="AA754" s="776">
        <v>25</v>
      </c>
      <c r="AB754" s="776">
        <v>100</v>
      </c>
      <c r="AC754" s="776">
        <v>0</v>
      </c>
      <c r="AD754" s="776">
        <v>0</v>
      </c>
      <c r="AE754" s="777">
        <v>71.3</v>
      </c>
      <c r="AF754" s="777">
        <v>71.3</v>
      </c>
      <c r="AG754" s="778">
        <v>73.438999999999993</v>
      </c>
    </row>
    <row r="755" spans="1:33" x14ac:dyDescent="0.2">
      <c r="A755" s="15">
        <f t="shared" si="95"/>
        <v>2008</v>
      </c>
      <c r="B755" s="14">
        <f t="shared" si="96"/>
        <v>9</v>
      </c>
      <c r="C755" s="13" t="str">
        <f t="shared" si="97"/>
        <v>Q3</v>
      </c>
      <c r="D755" s="13" t="str">
        <f t="shared" si="98"/>
        <v>2008Q3</v>
      </c>
      <c r="E755" s="13" t="str">
        <f t="shared" si="99"/>
        <v>Brazil</v>
      </c>
      <c r="F755" s="13" t="str">
        <f t="shared" si="102"/>
        <v>Biofuels</v>
      </c>
      <c r="G755" s="13" t="str">
        <f t="shared" si="101"/>
        <v>Asset finance investments</v>
      </c>
      <c r="H755" s="638">
        <f t="shared" si="100"/>
        <v>72.100000000000009</v>
      </c>
      <c r="I755" s="24" t="s">
        <v>506</v>
      </c>
      <c r="J755" s="25" t="s">
        <v>246</v>
      </c>
      <c r="K755" s="25" t="s">
        <v>2586</v>
      </c>
      <c r="L755" s="25" t="s">
        <v>2587</v>
      </c>
      <c r="M755" s="25" t="s">
        <v>31</v>
      </c>
      <c r="N755" s="25" t="s">
        <v>31</v>
      </c>
      <c r="O755" s="25" t="s">
        <v>92</v>
      </c>
      <c r="P755" s="25" t="s">
        <v>83</v>
      </c>
      <c r="Q755" s="25" t="s">
        <v>82</v>
      </c>
      <c r="R755" s="25" t="s">
        <v>91</v>
      </c>
      <c r="S755" s="25" t="s">
        <v>96</v>
      </c>
      <c r="T755" s="25" t="s">
        <v>96</v>
      </c>
      <c r="U755" s="25" t="s">
        <v>98</v>
      </c>
      <c r="V755" s="25" t="s">
        <v>230</v>
      </c>
      <c r="W755" s="25" t="s">
        <v>553</v>
      </c>
      <c r="X755" s="25" t="s">
        <v>1752</v>
      </c>
      <c r="Y755" s="25" t="s">
        <v>1753</v>
      </c>
      <c r="Z755" s="26">
        <v>39721</v>
      </c>
      <c r="AA755" s="776">
        <v>0</v>
      </c>
      <c r="AB755" s="776">
        <v>65</v>
      </c>
      <c r="AC755" s="776">
        <v>0</v>
      </c>
      <c r="AD755" s="776">
        <v>0</v>
      </c>
      <c r="AE755" s="777">
        <v>70</v>
      </c>
      <c r="AF755" s="777">
        <v>70</v>
      </c>
      <c r="AG755" s="778">
        <v>72.100000000000009</v>
      </c>
    </row>
    <row r="756" spans="1:33" x14ac:dyDescent="0.2">
      <c r="A756" s="15">
        <f t="shared" si="95"/>
        <v>2008</v>
      </c>
      <c r="B756" s="14">
        <f t="shared" si="96"/>
        <v>7</v>
      </c>
      <c r="C756" s="13" t="str">
        <f t="shared" si="97"/>
        <v>Q3</v>
      </c>
      <c r="D756" s="13" t="str">
        <f t="shared" si="98"/>
        <v>2008Q3</v>
      </c>
      <c r="E756" s="13" t="str">
        <f t="shared" si="99"/>
        <v>Panama</v>
      </c>
      <c r="F756" s="13" t="str">
        <f t="shared" si="102"/>
        <v>Small Hydro</v>
      </c>
      <c r="G756" s="13" t="str">
        <f t="shared" si="101"/>
        <v>Asset finance investments</v>
      </c>
      <c r="H756" s="638">
        <f t="shared" si="100"/>
        <v>69.525000000000006</v>
      </c>
      <c r="I756" s="24" t="s">
        <v>506</v>
      </c>
      <c r="J756" s="25" t="s">
        <v>246</v>
      </c>
      <c r="K756" s="25" t="s">
        <v>2588</v>
      </c>
      <c r="L756" s="25" t="s">
        <v>885</v>
      </c>
      <c r="M756" s="25" t="s">
        <v>19</v>
      </c>
      <c r="N756" s="25" t="s">
        <v>85</v>
      </c>
      <c r="O756" s="25" t="s">
        <v>92</v>
      </c>
      <c r="P756" s="25" t="s">
        <v>83</v>
      </c>
      <c r="Q756" s="25" t="s">
        <v>82</v>
      </c>
      <c r="R756" s="25"/>
      <c r="S756" s="25" t="s">
        <v>126</v>
      </c>
      <c r="T756" s="25" t="s">
        <v>125</v>
      </c>
      <c r="U756" s="25" t="s">
        <v>247</v>
      </c>
      <c r="V756" s="25">
        <v>0</v>
      </c>
      <c r="W756" s="25" t="s">
        <v>553</v>
      </c>
      <c r="X756" s="25" t="s">
        <v>1752</v>
      </c>
      <c r="Y756" s="25" t="s">
        <v>1753</v>
      </c>
      <c r="Z756" s="26">
        <v>39641</v>
      </c>
      <c r="AA756" s="776">
        <v>27</v>
      </c>
      <c r="AB756" s="776">
        <v>0</v>
      </c>
      <c r="AC756" s="776">
        <v>0</v>
      </c>
      <c r="AD756" s="776">
        <v>0</v>
      </c>
      <c r="AE756" s="777">
        <v>0</v>
      </c>
      <c r="AF756" s="777">
        <v>67.5</v>
      </c>
      <c r="AG756" s="778">
        <v>69.525000000000006</v>
      </c>
    </row>
    <row r="757" spans="1:33" x14ac:dyDescent="0.2">
      <c r="A757" s="15">
        <f t="shared" si="95"/>
        <v>2008</v>
      </c>
      <c r="B757" s="14">
        <f t="shared" si="96"/>
        <v>9</v>
      </c>
      <c r="C757" s="13" t="str">
        <f t="shared" si="97"/>
        <v>Q3</v>
      </c>
      <c r="D757" s="13" t="str">
        <f t="shared" si="98"/>
        <v>2008Q3</v>
      </c>
      <c r="E757" s="13" t="str">
        <f t="shared" si="99"/>
        <v>Colombia</v>
      </c>
      <c r="F757" s="13" t="str">
        <f t="shared" si="102"/>
        <v>Small Hydro</v>
      </c>
      <c r="G757" s="13" t="str">
        <f t="shared" si="101"/>
        <v>Asset finance investments</v>
      </c>
      <c r="H757" s="638">
        <f t="shared" si="100"/>
        <v>65.302000000000007</v>
      </c>
      <c r="I757" s="24" t="s">
        <v>506</v>
      </c>
      <c r="J757" s="25" t="s">
        <v>246</v>
      </c>
      <c r="K757" s="25" t="s">
        <v>2589</v>
      </c>
      <c r="L757" s="25" t="s">
        <v>632</v>
      </c>
      <c r="M757" s="25" t="s">
        <v>9</v>
      </c>
      <c r="N757" s="25" t="s">
        <v>85</v>
      </c>
      <c r="O757" s="25" t="s">
        <v>92</v>
      </c>
      <c r="P757" s="25" t="s">
        <v>83</v>
      </c>
      <c r="Q757" s="25" t="s">
        <v>82</v>
      </c>
      <c r="R757" s="25"/>
      <c r="S757" s="25" t="s">
        <v>126</v>
      </c>
      <c r="T757" s="25" t="s">
        <v>125</v>
      </c>
      <c r="U757" s="25" t="s">
        <v>247</v>
      </c>
      <c r="V757" s="25">
        <v>0</v>
      </c>
      <c r="W757" s="25" t="s">
        <v>553</v>
      </c>
      <c r="X757" s="25" t="s">
        <v>1752</v>
      </c>
      <c r="Y757" s="25" t="s">
        <v>1753</v>
      </c>
      <c r="Z757" s="26">
        <v>39706</v>
      </c>
      <c r="AA757" s="776">
        <v>19.91</v>
      </c>
      <c r="AB757" s="776">
        <v>0</v>
      </c>
      <c r="AC757" s="776">
        <v>0</v>
      </c>
      <c r="AD757" s="776">
        <v>0</v>
      </c>
      <c r="AE757" s="777">
        <v>63.4</v>
      </c>
      <c r="AF757" s="777">
        <v>63.4</v>
      </c>
      <c r="AG757" s="778">
        <v>65.302000000000007</v>
      </c>
    </row>
    <row r="758" spans="1:33" x14ac:dyDescent="0.2">
      <c r="A758" s="15">
        <f t="shared" si="95"/>
        <v>2008</v>
      </c>
      <c r="B758" s="14">
        <f t="shared" si="96"/>
        <v>9</v>
      </c>
      <c r="C758" s="13" t="str">
        <f t="shared" si="97"/>
        <v>Q3</v>
      </c>
      <c r="D758" s="13" t="str">
        <f t="shared" si="98"/>
        <v>2008Q3</v>
      </c>
      <c r="E758" s="13" t="str">
        <f t="shared" si="99"/>
        <v>Chile</v>
      </c>
      <c r="F758" s="13" t="str">
        <f t="shared" si="102"/>
        <v>Small Hydro</v>
      </c>
      <c r="G758" s="13" t="str">
        <f t="shared" si="101"/>
        <v>Asset finance investments</v>
      </c>
      <c r="H758" s="638">
        <f t="shared" si="100"/>
        <v>61.800000000000004</v>
      </c>
      <c r="I758" s="24" t="s">
        <v>506</v>
      </c>
      <c r="J758" s="25" t="s">
        <v>246</v>
      </c>
      <c r="K758" s="25" t="s">
        <v>2590</v>
      </c>
      <c r="L758" s="25" t="s">
        <v>1159</v>
      </c>
      <c r="M758" s="25" t="s">
        <v>8</v>
      </c>
      <c r="N758" s="25" t="s">
        <v>85</v>
      </c>
      <c r="O758" s="25" t="s">
        <v>92</v>
      </c>
      <c r="P758" s="25" t="s">
        <v>83</v>
      </c>
      <c r="Q758" s="25" t="s">
        <v>129</v>
      </c>
      <c r="R758" s="25"/>
      <c r="S758" s="25" t="s">
        <v>126</v>
      </c>
      <c r="T758" s="25" t="s">
        <v>125</v>
      </c>
      <c r="U758" s="25" t="s">
        <v>247</v>
      </c>
      <c r="V758" s="25">
        <v>0</v>
      </c>
      <c r="W758" s="25" t="s">
        <v>553</v>
      </c>
      <c r="X758" s="25" t="s">
        <v>1749</v>
      </c>
      <c r="Y758" s="25" t="s">
        <v>1750</v>
      </c>
      <c r="Z758" s="26">
        <v>39721</v>
      </c>
      <c r="AA758" s="776">
        <v>36</v>
      </c>
      <c r="AB758" s="776">
        <v>0</v>
      </c>
      <c r="AC758" s="776">
        <v>0</v>
      </c>
      <c r="AD758" s="776">
        <v>0</v>
      </c>
      <c r="AE758" s="777">
        <v>60</v>
      </c>
      <c r="AF758" s="777">
        <v>60</v>
      </c>
      <c r="AG758" s="778">
        <v>61.800000000000004</v>
      </c>
    </row>
    <row r="759" spans="1:33" x14ac:dyDescent="0.2">
      <c r="A759" s="15">
        <f t="shared" si="95"/>
        <v>2008</v>
      </c>
      <c r="B759" s="14">
        <f t="shared" si="96"/>
        <v>8</v>
      </c>
      <c r="C759" s="13" t="str">
        <f t="shared" si="97"/>
        <v>Q3</v>
      </c>
      <c r="D759" s="13" t="str">
        <f t="shared" si="98"/>
        <v>2008Q3</v>
      </c>
      <c r="E759" s="13" t="str">
        <f t="shared" si="99"/>
        <v>Brazil</v>
      </c>
      <c r="F759" s="13" t="str">
        <f t="shared" si="102"/>
        <v>Small Hydro</v>
      </c>
      <c r="G759" s="13" t="str">
        <f t="shared" si="101"/>
        <v>Asset finance investments</v>
      </c>
      <c r="H759" s="638">
        <f t="shared" si="100"/>
        <v>58.606999999999999</v>
      </c>
      <c r="I759" s="24" t="s">
        <v>506</v>
      </c>
      <c r="J759" s="25" t="s">
        <v>246</v>
      </c>
      <c r="K759" s="25" t="s">
        <v>2591</v>
      </c>
      <c r="L759" s="25" t="s">
        <v>974</v>
      </c>
      <c r="M759" s="25" t="s">
        <v>31</v>
      </c>
      <c r="N759" s="25" t="s">
        <v>31</v>
      </c>
      <c r="O759" s="25" t="s">
        <v>92</v>
      </c>
      <c r="P759" s="25" t="s">
        <v>83</v>
      </c>
      <c r="Q759" s="25" t="s">
        <v>82</v>
      </c>
      <c r="R759" s="25" t="s">
        <v>91</v>
      </c>
      <c r="S759" s="25" t="s">
        <v>126</v>
      </c>
      <c r="T759" s="25" t="s">
        <v>125</v>
      </c>
      <c r="U759" s="25" t="s">
        <v>342</v>
      </c>
      <c r="V759" s="25">
        <v>0</v>
      </c>
      <c r="W759" s="25" t="s">
        <v>553</v>
      </c>
      <c r="X759" s="25" t="s">
        <v>1749</v>
      </c>
      <c r="Y759" s="25" t="s">
        <v>1750</v>
      </c>
      <c r="Z759" s="26">
        <v>39687</v>
      </c>
      <c r="AA759" s="776">
        <v>24</v>
      </c>
      <c r="AB759" s="776">
        <v>0</v>
      </c>
      <c r="AC759" s="776">
        <v>0</v>
      </c>
      <c r="AD759" s="776">
        <v>0</v>
      </c>
      <c r="AE759" s="777">
        <v>56.9</v>
      </c>
      <c r="AF759" s="777">
        <v>56.9</v>
      </c>
      <c r="AG759" s="778">
        <v>58.606999999999999</v>
      </c>
    </row>
    <row r="760" spans="1:33" x14ac:dyDescent="0.2">
      <c r="A760" s="15">
        <f t="shared" si="95"/>
        <v>2008</v>
      </c>
      <c r="B760" s="14">
        <f t="shared" si="96"/>
        <v>8</v>
      </c>
      <c r="C760" s="13" t="str">
        <f t="shared" si="97"/>
        <v>Q3</v>
      </c>
      <c r="D760" s="13" t="str">
        <f t="shared" si="98"/>
        <v>2008Q3</v>
      </c>
      <c r="E760" s="13" t="str">
        <f t="shared" si="99"/>
        <v>Brazil</v>
      </c>
      <c r="F760" s="13" t="str">
        <f t="shared" si="102"/>
        <v>Small Hydro</v>
      </c>
      <c r="G760" s="13" t="str">
        <f t="shared" si="101"/>
        <v>Asset finance investments</v>
      </c>
      <c r="H760" s="638">
        <f t="shared" si="100"/>
        <v>58.298000000000002</v>
      </c>
      <c r="I760" s="24" t="s">
        <v>506</v>
      </c>
      <c r="J760" s="25" t="s">
        <v>246</v>
      </c>
      <c r="K760" s="25" t="s">
        <v>2592</v>
      </c>
      <c r="L760" s="25" t="s">
        <v>1007</v>
      </c>
      <c r="M760" s="25" t="s">
        <v>31</v>
      </c>
      <c r="N760" s="25" t="s">
        <v>31</v>
      </c>
      <c r="O760" s="25" t="s">
        <v>92</v>
      </c>
      <c r="P760" s="25" t="s">
        <v>83</v>
      </c>
      <c r="Q760" s="25" t="s">
        <v>82</v>
      </c>
      <c r="R760" s="25" t="s">
        <v>91</v>
      </c>
      <c r="S760" s="25" t="s">
        <v>126</v>
      </c>
      <c r="T760" s="25" t="s">
        <v>125</v>
      </c>
      <c r="U760" s="25" t="s">
        <v>247</v>
      </c>
      <c r="V760" s="25">
        <v>0</v>
      </c>
      <c r="W760" s="25" t="s">
        <v>553</v>
      </c>
      <c r="X760" s="25" t="s">
        <v>1749</v>
      </c>
      <c r="Y760" s="25" t="s">
        <v>1750</v>
      </c>
      <c r="Z760" s="26">
        <v>39687</v>
      </c>
      <c r="AA760" s="776">
        <v>17</v>
      </c>
      <c r="AB760" s="776">
        <v>0</v>
      </c>
      <c r="AC760" s="776">
        <v>0</v>
      </c>
      <c r="AD760" s="776">
        <v>0</v>
      </c>
      <c r="AE760" s="777">
        <v>56.6</v>
      </c>
      <c r="AF760" s="777">
        <v>56.6</v>
      </c>
      <c r="AG760" s="778">
        <v>58.298000000000002</v>
      </c>
    </row>
    <row r="761" spans="1:33" x14ac:dyDescent="0.2">
      <c r="A761" s="15">
        <f t="shared" si="95"/>
        <v>2008</v>
      </c>
      <c r="B761" s="14">
        <f t="shared" si="96"/>
        <v>7</v>
      </c>
      <c r="C761" s="13" t="str">
        <f t="shared" si="97"/>
        <v>Q3</v>
      </c>
      <c r="D761" s="13" t="str">
        <f t="shared" si="98"/>
        <v>2008Q3</v>
      </c>
      <c r="E761" s="13" t="str">
        <f t="shared" si="99"/>
        <v>Brazil</v>
      </c>
      <c r="F761" s="13" t="str">
        <f t="shared" si="102"/>
        <v>Biomass &amp; Waste</v>
      </c>
      <c r="G761" s="13" t="str">
        <f t="shared" si="101"/>
        <v>Asset finance investments</v>
      </c>
      <c r="H761" s="638">
        <f t="shared" si="100"/>
        <v>58.091999999999999</v>
      </c>
      <c r="I761" s="24" t="s">
        <v>506</v>
      </c>
      <c r="J761" s="25" t="s">
        <v>246</v>
      </c>
      <c r="K761" s="25" t="s">
        <v>2593</v>
      </c>
      <c r="L761" s="25" t="s">
        <v>608</v>
      </c>
      <c r="M761" s="25" t="s">
        <v>31</v>
      </c>
      <c r="N761" s="25" t="s">
        <v>31</v>
      </c>
      <c r="O761" s="25" t="s">
        <v>92</v>
      </c>
      <c r="P761" s="25" t="s">
        <v>83</v>
      </c>
      <c r="Q761" s="25" t="s">
        <v>82</v>
      </c>
      <c r="R761" s="25" t="s">
        <v>91</v>
      </c>
      <c r="S761" s="25" t="s">
        <v>114</v>
      </c>
      <c r="T761" s="25" t="s">
        <v>114</v>
      </c>
      <c r="U761" s="25" t="s">
        <v>113</v>
      </c>
      <c r="V761" s="25">
        <v>0</v>
      </c>
      <c r="W761" s="25" t="s">
        <v>553</v>
      </c>
      <c r="X761" s="25" t="s">
        <v>1752</v>
      </c>
      <c r="Y761" s="25" t="s">
        <v>1753</v>
      </c>
      <c r="Z761" s="26">
        <v>39635</v>
      </c>
      <c r="AA761" s="776">
        <v>28.2</v>
      </c>
      <c r="AB761" s="776">
        <v>0</v>
      </c>
      <c r="AC761" s="776">
        <v>0</v>
      </c>
      <c r="AD761" s="776">
        <v>0</v>
      </c>
      <c r="AE761" s="777">
        <v>0</v>
      </c>
      <c r="AF761" s="777">
        <v>56.4</v>
      </c>
      <c r="AG761" s="778">
        <v>58.091999999999999</v>
      </c>
    </row>
    <row r="762" spans="1:33" x14ac:dyDescent="0.2">
      <c r="A762" s="15">
        <f t="shared" si="95"/>
        <v>2008</v>
      </c>
      <c r="B762" s="14">
        <f t="shared" si="96"/>
        <v>9</v>
      </c>
      <c r="C762" s="13" t="str">
        <f t="shared" si="97"/>
        <v>Q3</v>
      </c>
      <c r="D762" s="13" t="str">
        <f t="shared" si="98"/>
        <v>2008Q3</v>
      </c>
      <c r="E762" s="13" t="str">
        <f t="shared" si="99"/>
        <v>Brazil</v>
      </c>
      <c r="F762" s="13" t="str">
        <f t="shared" si="102"/>
        <v>Biofuels</v>
      </c>
      <c r="G762" s="13" t="str">
        <f t="shared" si="101"/>
        <v>Asset finance investments</v>
      </c>
      <c r="H762" s="638">
        <f t="shared" si="100"/>
        <v>57.68</v>
      </c>
      <c r="I762" s="24" t="s">
        <v>506</v>
      </c>
      <c r="J762" s="25" t="s">
        <v>246</v>
      </c>
      <c r="K762" s="25" t="s">
        <v>2594</v>
      </c>
      <c r="L762" s="25" t="s">
        <v>726</v>
      </c>
      <c r="M762" s="25" t="s">
        <v>31</v>
      </c>
      <c r="N762" s="25" t="s">
        <v>31</v>
      </c>
      <c r="O762" s="25" t="s">
        <v>92</v>
      </c>
      <c r="P762" s="25" t="s">
        <v>83</v>
      </c>
      <c r="Q762" s="25" t="s">
        <v>82</v>
      </c>
      <c r="R762" s="25" t="s">
        <v>91</v>
      </c>
      <c r="S762" s="25" t="s">
        <v>96</v>
      </c>
      <c r="T762" s="25" t="s">
        <v>96</v>
      </c>
      <c r="U762" s="25" t="s">
        <v>98</v>
      </c>
      <c r="V762" s="25" t="s">
        <v>230</v>
      </c>
      <c r="W762" s="25" t="s">
        <v>553</v>
      </c>
      <c r="X762" s="25" t="s">
        <v>1752</v>
      </c>
      <c r="Y762" s="25" t="s">
        <v>1753</v>
      </c>
      <c r="Z762" s="26">
        <v>39701</v>
      </c>
      <c r="AA762" s="776">
        <v>44</v>
      </c>
      <c r="AB762" s="776">
        <v>120</v>
      </c>
      <c r="AC762" s="776">
        <v>0</v>
      </c>
      <c r="AD762" s="776">
        <v>0</v>
      </c>
      <c r="AE762" s="777">
        <v>0</v>
      </c>
      <c r="AF762" s="777">
        <v>56</v>
      </c>
      <c r="AG762" s="778">
        <v>57.68</v>
      </c>
    </row>
    <row r="763" spans="1:33" x14ac:dyDescent="0.2">
      <c r="A763" s="15">
        <f t="shared" si="95"/>
        <v>2008</v>
      </c>
      <c r="B763" s="14">
        <f t="shared" si="96"/>
        <v>7</v>
      </c>
      <c r="C763" s="13" t="str">
        <f t="shared" si="97"/>
        <v>Q3</v>
      </c>
      <c r="D763" s="13" t="str">
        <f t="shared" si="98"/>
        <v>2008Q3</v>
      </c>
      <c r="E763" s="13" t="str">
        <f t="shared" si="99"/>
        <v>Brazil</v>
      </c>
      <c r="F763" s="13" t="str">
        <f t="shared" si="102"/>
        <v>Biofuels</v>
      </c>
      <c r="G763" s="13" t="str">
        <f t="shared" si="101"/>
        <v>Asset finance investments</v>
      </c>
      <c r="H763" s="638">
        <f t="shared" si="100"/>
        <v>45.113999999999997</v>
      </c>
      <c r="I763" s="24" t="s">
        <v>506</v>
      </c>
      <c r="J763" s="25" t="s">
        <v>246</v>
      </c>
      <c r="K763" s="25" t="s">
        <v>2595</v>
      </c>
      <c r="L763" s="25" t="s">
        <v>849</v>
      </c>
      <c r="M763" s="25" t="s">
        <v>31</v>
      </c>
      <c r="N763" s="25" t="s">
        <v>31</v>
      </c>
      <c r="O763" s="25" t="s">
        <v>92</v>
      </c>
      <c r="P763" s="25" t="s">
        <v>83</v>
      </c>
      <c r="Q763" s="25" t="s">
        <v>82</v>
      </c>
      <c r="R763" s="25" t="s">
        <v>91</v>
      </c>
      <c r="S763" s="25" t="s">
        <v>96</v>
      </c>
      <c r="T763" s="25" t="s">
        <v>96</v>
      </c>
      <c r="U763" s="25" t="s">
        <v>98</v>
      </c>
      <c r="V763" s="25" t="s">
        <v>230</v>
      </c>
      <c r="W763" s="25" t="s">
        <v>553</v>
      </c>
      <c r="X763" s="25" t="s">
        <v>1749</v>
      </c>
      <c r="Y763" s="25" t="s">
        <v>1750</v>
      </c>
      <c r="Z763" s="26">
        <v>39630</v>
      </c>
      <c r="AA763" s="776">
        <v>0</v>
      </c>
      <c r="AB763" s="776">
        <v>72</v>
      </c>
      <c r="AC763" s="776">
        <v>0</v>
      </c>
      <c r="AD763" s="776">
        <v>0</v>
      </c>
      <c r="AE763" s="777">
        <v>43.8</v>
      </c>
      <c r="AF763" s="777">
        <v>43.8</v>
      </c>
      <c r="AG763" s="778">
        <v>45.113999999999997</v>
      </c>
    </row>
    <row r="764" spans="1:33" x14ac:dyDescent="0.2">
      <c r="A764" s="15">
        <f t="shared" si="95"/>
        <v>2008</v>
      </c>
      <c r="B764" s="14">
        <f t="shared" si="96"/>
        <v>7</v>
      </c>
      <c r="C764" s="13" t="str">
        <f t="shared" si="97"/>
        <v>Q3</v>
      </c>
      <c r="D764" s="13" t="str">
        <f t="shared" si="98"/>
        <v>2008Q3</v>
      </c>
      <c r="E764" s="13" t="str">
        <f t="shared" si="99"/>
        <v>Colombia</v>
      </c>
      <c r="F764" s="13" t="str">
        <f t="shared" si="102"/>
        <v>Small Hydro</v>
      </c>
      <c r="G764" s="13" t="str">
        <f t="shared" si="101"/>
        <v>Asset finance investments</v>
      </c>
      <c r="H764" s="638">
        <f t="shared" si="100"/>
        <v>45.011000000000003</v>
      </c>
      <c r="I764" s="24" t="s">
        <v>506</v>
      </c>
      <c r="J764" s="25" t="s">
        <v>246</v>
      </c>
      <c r="K764" s="25" t="s">
        <v>2596</v>
      </c>
      <c r="L764" s="25" t="s">
        <v>1048</v>
      </c>
      <c r="M764" s="25" t="s">
        <v>9</v>
      </c>
      <c r="N764" s="25" t="s">
        <v>85</v>
      </c>
      <c r="O764" s="25" t="s">
        <v>92</v>
      </c>
      <c r="P764" s="25" t="s">
        <v>83</v>
      </c>
      <c r="Q764" s="25" t="s">
        <v>82</v>
      </c>
      <c r="R764" s="25"/>
      <c r="S764" s="25" t="s">
        <v>126</v>
      </c>
      <c r="T764" s="25" t="s">
        <v>125</v>
      </c>
      <c r="U764" s="25" t="s">
        <v>247</v>
      </c>
      <c r="V764" s="25">
        <v>0</v>
      </c>
      <c r="W764" s="25" t="s">
        <v>553</v>
      </c>
      <c r="X764" s="25" t="s">
        <v>1749</v>
      </c>
      <c r="Y764" s="25" t="s">
        <v>1750</v>
      </c>
      <c r="Z764" s="26">
        <v>39650</v>
      </c>
      <c r="AA764" s="776">
        <v>19.3</v>
      </c>
      <c r="AB764" s="776">
        <v>0</v>
      </c>
      <c r="AC764" s="776">
        <v>0</v>
      </c>
      <c r="AD764" s="776">
        <v>0</v>
      </c>
      <c r="AE764" s="777">
        <v>43.7</v>
      </c>
      <c r="AF764" s="777">
        <v>43.7</v>
      </c>
      <c r="AG764" s="778">
        <v>45.011000000000003</v>
      </c>
    </row>
    <row r="765" spans="1:33" x14ac:dyDescent="0.2">
      <c r="A765" s="15">
        <f t="shared" si="95"/>
        <v>2008</v>
      </c>
      <c r="B765" s="14">
        <f t="shared" si="96"/>
        <v>8</v>
      </c>
      <c r="C765" s="13" t="str">
        <f t="shared" si="97"/>
        <v>Q3</v>
      </c>
      <c r="D765" s="13" t="str">
        <f t="shared" si="98"/>
        <v>2008Q3</v>
      </c>
      <c r="E765" s="13" t="str">
        <f t="shared" si="99"/>
        <v>Brazil</v>
      </c>
      <c r="F765" s="13" t="str">
        <f t="shared" si="102"/>
        <v>Small Hydro</v>
      </c>
      <c r="G765" s="13" t="str">
        <f t="shared" si="101"/>
        <v>Asset finance investments</v>
      </c>
      <c r="H765" s="638">
        <f t="shared" si="100"/>
        <v>39.861000000000004</v>
      </c>
      <c r="I765" s="24" t="s">
        <v>506</v>
      </c>
      <c r="J765" s="25" t="s">
        <v>246</v>
      </c>
      <c r="K765" s="25" t="s">
        <v>2597</v>
      </c>
      <c r="L765" s="25" t="s">
        <v>1090</v>
      </c>
      <c r="M765" s="25" t="s">
        <v>31</v>
      </c>
      <c r="N765" s="25" t="s">
        <v>31</v>
      </c>
      <c r="O765" s="25" t="s">
        <v>92</v>
      </c>
      <c r="P765" s="25" t="s">
        <v>83</v>
      </c>
      <c r="Q765" s="25" t="s">
        <v>82</v>
      </c>
      <c r="R765" s="25" t="s">
        <v>91</v>
      </c>
      <c r="S765" s="25" t="s">
        <v>126</v>
      </c>
      <c r="T765" s="25" t="s">
        <v>125</v>
      </c>
      <c r="U765" s="25" t="s">
        <v>342</v>
      </c>
      <c r="V765" s="25">
        <v>0</v>
      </c>
      <c r="W765" s="25" t="s">
        <v>553</v>
      </c>
      <c r="X765" s="25" t="s">
        <v>1749</v>
      </c>
      <c r="Y765" s="25" t="s">
        <v>1750</v>
      </c>
      <c r="Z765" s="26">
        <v>39667</v>
      </c>
      <c r="AA765" s="776">
        <v>19</v>
      </c>
      <c r="AB765" s="776">
        <v>0</v>
      </c>
      <c r="AC765" s="776">
        <v>0</v>
      </c>
      <c r="AD765" s="776">
        <v>0</v>
      </c>
      <c r="AE765" s="777">
        <v>38.700000000000003</v>
      </c>
      <c r="AF765" s="777">
        <v>38.700000000000003</v>
      </c>
      <c r="AG765" s="778">
        <v>39.861000000000004</v>
      </c>
    </row>
    <row r="766" spans="1:33" x14ac:dyDescent="0.2">
      <c r="A766" s="15">
        <f t="shared" si="95"/>
        <v>2008</v>
      </c>
      <c r="B766" s="14">
        <f t="shared" si="96"/>
        <v>8</v>
      </c>
      <c r="C766" s="13" t="str">
        <f t="shared" si="97"/>
        <v>Q3</v>
      </c>
      <c r="D766" s="13" t="str">
        <f t="shared" si="98"/>
        <v>2008Q3</v>
      </c>
      <c r="E766" s="13" t="str">
        <f t="shared" si="99"/>
        <v>Brazil</v>
      </c>
      <c r="F766" s="13" t="str">
        <f t="shared" si="102"/>
        <v>Biomass &amp; Waste</v>
      </c>
      <c r="G766" s="13" t="str">
        <f t="shared" si="101"/>
        <v>Asset finance investments</v>
      </c>
      <c r="H766" s="638">
        <f t="shared" si="100"/>
        <v>28.943000000000001</v>
      </c>
      <c r="I766" s="24" t="s">
        <v>506</v>
      </c>
      <c r="J766" s="25" t="s">
        <v>246</v>
      </c>
      <c r="K766" s="25" t="s">
        <v>2598</v>
      </c>
      <c r="L766" s="25" t="s">
        <v>1110</v>
      </c>
      <c r="M766" s="25" t="s">
        <v>31</v>
      </c>
      <c r="N766" s="25" t="s">
        <v>31</v>
      </c>
      <c r="O766" s="25" t="s">
        <v>92</v>
      </c>
      <c r="P766" s="25" t="s">
        <v>83</v>
      </c>
      <c r="Q766" s="25" t="s">
        <v>82</v>
      </c>
      <c r="R766" s="25" t="s">
        <v>91</v>
      </c>
      <c r="S766" s="25" t="s">
        <v>114</v>
      </c>
      <c r="T766" s="25" t="s">
        <v>114</v>
      </c>
      <c r="U766" s="25" t="s">
        <v>113</v>
      </c>
      <c r="V766" s="25" t="s">
        <v>685</v>
      </c>
      <c r="W766" s="25" t="s">
        <v>553</v>
      </c>
      <c r="X766" s="25" t="s">
        <v>1752</v>
      </c>
      <c r="Y766" s="25" t="s">
        <v>1753</v>
      </c>
      <c r="Z766" s="26">
        <v>39664</v>
      </c>
      <c r="AA766" s="776">
        <v>22.4</v>
      </c>
      <c r="AB766" s="776">
        <v>0</v>
      </c>
      <c r="AC766" s="776">
        <v>0</v>
      </c>
      <c r="AD766" s="776">
        <v>0</v>
      </c>
      <c r="AE766" s="777">
        <v>28.1</v>
      </c>
      <c r="AF766" s="777">
        <v>28.1</v>
      </c>
      <c r="AG766" s="778">
        <v>28.943000000000001</v>
      </c>
    </row>
    <row r="767" spans="1:33" x14ac:dyDescent="0.2">
      <c r="A767" s="15">
        <f t="shared" si="95"/>
        <v>2008</v>
      </c>
      <c r="B767" s="14">
        <f t="shared" si="96"/>
        <v>7</v>
      </c>
      <c r="C767" s="13" t="str">
        <f t="shared" si="97"/>
        <v>Q3</v>
      </c>
      <c r="D767" s="13" t="str">
        <f t="shared" si="98"/>
        <v>2008Q3</v>
      </c>
      <c r="E767" s="13" t="str">
        <f t="shared" si="99"/>
        <v>Brazil</v>
      </c>
      <c r="F767" s="13" t="str">
        <f t="shared" si="102"/>
        <v>Biomass &amp; Waste</v>
      </c>
      <c r="G767" s="13" t="str">
        <f t="shared" si="101"/>
        <v>Asset finance investments</v>
      </c>
      <c r="H767" s="638">
        <f t="shared" si="100"/>
        <v>25.75</v>
      </c>
      <c r="I767" s="24" t="s">
        <v>506</v>
      </c>
      <c r="J767" s="25" t="s">
        <v>246</v>
      </c>
      <c r="K767" s="25" t="s">
        <v>2599</v>
      </c>
      <c r="L767" s="25" t="s">
        <v>2600</v>
      </c>
      <c r="M767" s="25" t="s">
        <v>31</v>
      </c>
      <c r="N767" s="25" t="s">
        <v>31</v>
      </c>
      <c r="O767" s="25" t="s">
        <v>92</v>
      </c>
      <c r="P767" s="25" t="s">
        <v>83</v>
      </c>
      <c r="Q767" s="25" t="s">
        <v>82</v>
      </c>
      <c r="R767" s="25" t="s">
        <v>91</v>
      </c>
      <c r="S767" s="25" t="s">
        <v>114</v>
      </c>
      <c r="T767" s="25" t="s">
        <v>114</v>
      </c>
      <c r="U767" s="25" t="s">
        <v>113</v>
      </c>
      <c r="V767" s="25" t="s">
        <v>347</v>
      </c>
      <c r="W767" s="25" t="s">
        <v>553</v>
      </c>
      <c r="X767" s="25" t="s">
        <v>1749</v>
      </c>
      <c r="Y767" s="25" t="s">
        <v>1750</v>
      </c>
      <c r="Z767" s="26">
        <v>39640</v>
      </c>
      <c r="AA767" s="776">
        <v>13</v>
      </c>
      <c r="AB767" s="776">
        <v>0</v>
      </c>
      <c r="AC767" s="776">
        <v>0</v>
      </c>
      <c r="AD767" s="776">
        <v>0</v>
      </c>
      <c r="AE767" s="777">
        <v>25</v>
      </c>
      <c r="AF767" s="777">
        <v>25</v>
      </c>
      <c r="AG767" s="778">
        <v>25.75</v>
      </c>
    </row>
    <row r="768" spans="1:33" x14ac:dyDescent="0.2">
      <c r="A768" s="15">
        <f t="shared" si="95"/>
        <v>2008</v>
      </c>
      <c r="B768" s="14">
        <f t="shared" si="96"/>
        <v>8</v>
      </c>
      <c r="C768" s="13" t="str">
        <f t="shared" si="97"/>
        <v>Q3</v>
      </c>
      <c r="D768" s="13" t="str">
        <f t="shared" si="98"/>
        <v>2008Q3</v>
      </c>
      <c r="E768" s="13" t="str">
        <f t="shared" si="99"/>
        <v>Brazil</v>
      </c>
      <c r="F768" s="13" t="str">
        <f t="shared" si="102"/>
        <v>Small Hydro</v>
      </c>
      <c r="G768" s="13" t="str">
        <f t="shared" si="101"/>
        <v>Asset finance investments</v>
      </c>
      <c r="H768" s="638">
        <f t="shared" si="100"/>
        <v>24.72</v>
      </c>
      <c r="I768" s="24" t="s">
        <v>506</v>
      </c>
      <c r="J768" s="25" t="s">
        <v>246</v>
      </c>
      <c r="K768" s="25" t="s">
        <v>2601</v>
      </c>
      <c r="L768" s="25" t="s">
        <v>985</v>
      </c>
      <c r="M768" s="25" t="s">
        <v>31</v>
      </c>
      <c r="N768" s="25" t="s">
        <v>31</v>
      </c>
      <c r="O768" s="25" t="s">
        <v>92</v>
      </c>
      <c r="P768" s="25" t="s">
        <v>83</v>
      </c>
      <c r="Q768" s="25" t="s">
        <v>82</v>
      </c>
      <c r="R768" s="25" t="s">
        <v>91</v>
      </c>
      <c r="S768" s="25" t="s">
        <v>126</v>
      </c>
      <c r="T768" s="25" t="s">
        <v>125</v>
      </c>
      <c r="U768" s="25" t="s">
        <v>247</v>
      </c>
      <c r="V768" s="25">
        <v>0</v>
      </c>
      <c r="W768" s="25" t="s">
        <v>553</v>
      </c>
      <c r="X768" s="25" t="s">
        <v>1749</v>
      </c>
      <c r="Y768" s="25" t="s">
        <v>1750</v>
      </c>
      <c r="Z768" s="26">
        <v>39691</v>
      </c>
      <c r="AA768" s="776">
        <v>16</v>
      </c>
      <c r="AB768" s="776">
        <v>0</v>
      </c>
      <c r="AC768" s="776">
        <v>0</v>
      </c>
      <c r="AD768" s="776">
        <v>0</v>
      </c>
      <c r="AE768" s="777">
        <v>24</v>
      </c>
      <c r="AF768" s="777">
        <v>24</v>
      </c>
      <c r="AG768" s="778">
        <v>24.72</v>
      </c>
    </row>
    <row r="769" spans="1:33" x14ac:dyDescent="0.2">
      <c r="A769" s="15">
        <f t="shared" si="95"/>
        <v>2008</v>
      </c>
      <c r="B769" s="14">
        <f t="shared" si="96"/>
        <v>7</v>
      </c>
      <c r="C769" s="13" t="str">
        <f t="shared" si="97"/>
        <v>Q3</v>
      </c>
      <c r="D769" s="13" t="str">
        <f t="shared" si="98"/>
        <v>2008Q3</v>
      </c>
      <c r="E769" s="13" t="str">
        <f t="shared" si="99"/>
        <v>Chile</v>
      </c>
      <c r="F769" s="13" t="str">
        <f t="shared" si="102"/>
        <v>Small Hydro</v>
      </c>
      <c r="G769" s="13" t="str">
        <f t="shared" si="101"/>
        <v>VC/PE investments</v>
      </c>
      <c r="H769" s="638">
        <f t="shared" si="100"/>
        <v>20.6</v>
      </c>
      <c r="I769" s="24" t="s">
        <v>506</v>
      </c>
      <c r="J769" s="25" t="s">
        <v>216</v>
      </c>
      <c r="K769" s="25" t="s">
        <v>538</v>
      </c>
      <c r="L769" s="25" t="s">
        <v>516</v>
      </c>
      <c r="M769" s="25" t="s">
        <v>8</v>
      </c>
      <c r="N769" s="25" t="s">
        <v>85</v>
      </c>
      <c r="O769" s="25" t="s">
        <v>92</v>
      </c>
      <c r="P769" s="25" t="s">
        <v>83</v>
      </c>
      <c r="Q769" s="25" t="s">
        <v>129</v>
      </c>
      <c r="R769" s="25"/>
      <c r="S769" s="25" t="s">
        <v>126</v>
      </c>
      <c r="T769" s="25" t="s">
        <v>125</v>
      </c>
      <c r="U769" s="25">
        <v>0</v>
      </c>
      <c r="V769" s="25">
        <v>0</v>
      </c>
      <c r="W769" s="25" t="s">
        <v>537</v>
      </c>
      <c r="X769" s="25" t="s">
        <v>508</v>
      </c>
      <c r="Y769" s="25" t="s">
        <v>507</v>
      </c>
      <c r="Z769" s="26">
        <v>39651.377083333296</v>
      </c>
      <c r="AA769" s="776" t="s">
        <v>1748</v>
      </c>
      <c r="AB769" s="776" t="s">
        <v>1748</v>
      </c>
      <c r="AC769" s="776" t="s">
        <v>1748</v>
      </c>
      <c r="AD769" s="776" t="s">
        <v>1748</v>
      </c>
      <c r="AE769" s="777">
        <v>20</v>
      </c>
      <c r="AF769" s="777">
        <v>20</v>
      </c>
      <c r="AG769" s="778">
        <v>20.6</v>
      </c>
    </row>
    <row r="770" spans="1:33" x14ac:dyDescent="0.2">
      <c r="A770" s="15">
        <f t="shared" si="95"/>
        <v>2008</v>
      </c>
      <c r="B770" s="14">
        <f t="shared" si="96"/>
        <v>7</v>
      </c>
      <c r="C770" s="13" t="str">
        <f t="shared" si="97"/>
        <v>Q3</v>
      </c>
      <c r="D770" s="13" t="str">
        <f t="shared" si="98"/>
        <v>2008Q3</v>
      </c>
      <c r="E770" s="13" t="str">
        <f t="shared" si="99"/>
        <v>Brazil</v>
      </c>
      <c r="F770" s="13" t="str">
        <f t="shared" si="102"/>
        <v>Biomass &amp; Waste</v>
      </c>
      <c r="G770" s="13" t="str">
        <f t="shared" si="101"/>
        <v>Asset finance investments</v>
      </c>
      <c r="H770" s="638">
        <f t="shared" si="100"/>
        <v>16.48</v>
      </c>
      <c r="I770" s="24" t="s">
        <v>506</v>
      </c>
      <c r="J770" s="25" t="s">
        <v>246</v>
      </c>
      <c r="K770" s="25" t="s">
        <v>2602</v>
      </c>
      <c r="L770" s="25" t="s">
        <v>2603</v>
      </c>
      <c r="M770" s="25" t="s">
        <v>31</v>
      </c>
      <c r="N770" s="25" t="s">
        <v>31</v>
      </c>
      <c r="O770" s="25" t="s">
        <v>92</v>
      </c>
      <c r="P770" s="25" t="s">
        <v>83</v>
      </c>
      <c r="Q770" s="25" t="s">
        <v>82</v>
      </c>
      <c r="R770" s="25" t="s">
        <v>91</v>
      </c>
      <c r="S770" s="25" t="s">
        <v>114</v>
      </c>
      <c r="T770" s="25" t="s">
        <v>114</v>
      </c>
      <c r="U770" s="25" t="s">
        <v>113</v>
      </c>
      <c r="V770" s="25" t="s">
        <v>347</v>
      </c>
      <c r="W770" s="25" t="s">
        <v>553</v>
      </c>
      <c r="X770" s="25" t="s">
        <v>1752</v>
      </c>
      <c r="Y770" s="25" t="s">
        <v>1753</v>
      </c>
      <c r="Z770" s="26">
        <v>39657</v>
      </c>
      <c r="AA770" s="776">
        <v>5</v>
      </c>
      <c r="AB770" s="776">
        <v>0</v>
      </c>
      <c r="AC770" s="776">
        <v>0</v>
      </c>
      <c r="AD770" s="776">
        <v>0</v>
      </c>
      <c r="AE770" s="777">
        <v>0</v>
      </c>
      <c r="AF770" s="777">
        <v>16</v>
      </c>
      <c r="AG770" s="778">
        <v>16.48</v>
      </c>
    </row>
    <row r="771" spans="1:33" x14ac:dyDescent="0.2">
      <c r="A771" s="15">
        <f t="shared" si="95"/>
        <v>2008</v>
      </c>
      <c r="B771" s="14">
        <f t="shared" si="96"/>
        <v>9</v>
      </c>
      <c r="C771" s="13" t="str">
        <f t="shared" si="97"/>
        <v>Q3</v>
      </c>
      <c r="D771" s="13" t="str">
        <f t="shared" si="98"/>
        <v>2008Q3</v>
      </c>
      <c r="E771" s="13" t="str">
        <f t="shared" si="99"/>
        <v>Argentina</v>
      </c>
      <c r="F771" s="13" t="str">
        <f t="shared" si="102"/>
        <v>Biomass &amp; Waste</v>
      </c>
      <c r="G771" s="13" t="str">
        <f t="shared" si="101"/>
        <v>Asset finance investments</v>
      </c>
      <c r="H771" s="638">
        <f t="shared" si="100"/>
        <v>10.3</v>
      </c>
      <c r="I771" s="24" t="s">
        <v>506</v>
      </c>
      <c r="J771" s="25" t="s">
        <v>246</v>
      </c>
      <c r="K771" s="25" t="s">
        <v>2604</v>
      </c>
      <c r="L771" s="25" t="s">
        <v>2605</v>
      </c>
      <c r="M771" s="25" t="s">
        <v>4</v>
      </c>
      <c r="N771" s="25" t="s">
        <v>85</v>
      </c>
      <c r="O771" s="25" t="s">
        <v>92</v>
      </c>
      <c r="P771" s="25" t="s">
        <v>83</v>
      </c>
      <c r="Q771" s="25" t="s">
        <v>82</v>
      </c>
      <c r="R771" s="25"/>
      <c r="S771" s="25" t="s">
        <v>114</v>
      </c>
      <c r="T771" s="25" t="s">
        <v>114</v>
      </c>
      <c r="U771" s="25" t="s">
        <v>113</v>
      </c>
      <c r="V771" s="25" t="s">
        <v>347</v>
      </c>
      <c r="W771" s="25" t="s">
        <v>553</v>
      </c>
      <c r="X771" s="25" t="s">
        <v>1752</v>
      </c>
      <c r="Y771" s="25" t="s">
        <v>1753</v>
      </c>
      <c r="Z771" s="26">
        <v>39697</v>
      </c>
      <c r="AA771" s="776">
        <v>16</v>
      </c>
      <c r="AB771" s="776">
        <v>0</v>
      </c>
      <c r="AC771" s="776">
        <v>0</v>
      </c>
      <c r="AD771" s="776">
        <v>0</v>
      </c>
      <c r="AE771" s="777">
        <v>10</v>
      </c>
      <c r="AF771" s="777">
        <v>10</v>
      </c>
      <c r="AG771" s="778">
        <v>10.3</v>
      </c>
    </row>
    <row r="772" spans="1:33" x14ac:dyDescent="0.2">
      <c r="A772" s="15">
        <f t="shared" si="95"/>
        <v>2008</v>
      </c>
      <c r="B772" s="14">
        <f t="shared" si="96"/>
        <v>7</v>
      </c>
      <c r="C772" s="13" t="str">
        <f t="shared" si="97"/>
        <v>Q3</v>
      </c>
      <c r="D772" s="13" t="str">
        <f t="shared" si="98"/>
        <v>2008Q3</v>
      </c>
      <c r="E772" s="13" t="str">
        <f t="shared" si="99"/>
        <v>Brazil</v>
      </c>
      <c r="F772" s="13" t="str">
        <f t="shared" si="102"/>
        <v>Biomass &amp; Waste</v>
      </c>
      <c r="G772" s="13" t="str">
        <f t="shared" si="101"/>
        <v>Asset finance investments</v>
      </c>
      <c r="H772" s="638">
        <f t="shared" si="100"/>
        <v>8.7550000000000008</v>
      </c>
      <c r="I772" s="24" t="s">
        <v>506</v>
      </c>
      <c r="J772" s="25" t="s">
        <v>246</v>
      </c>
      <c r="K772" s="25" t="s">
        <v>2606</v>
      </c>
      <c r="L772" s="25" t="s">
        <v>973</v>
      </c>
      <c r="M772" s="25" t="s">
        <v>31</v>
      </c>
      <c r="N772" s="25" t="s">
        <v>31</v>
      </c>
      <c r="O772" s="25" t="s">
        <v>92</v>
      </c>
      <c r="P772" s="25" t="s">
        <v>83</v>
      </c>
      <c r="Q772" s="25" t="s">
        <v>82</v>
      </c>
      <c r="R772" s="25" t="s">
        <v>91</v>
      </c>
      <c r="S772" s="25" t="s">
        <v>114</v>
      </c>
      <c r="T772" s="25" t="s">
        <v>114</v>
      </c>
      <c r="U772" s="25" t="s">
        <v>113</v>
      </c>
      <c r="V772" s="25" t="s">
        <v>347</v>
      </c>
      <c r="W772" s="25" t="s">
        <v>553</v>
      </c>
      <c r="X772" s="25" t="s">
        <v>1749</v>
      </c>
      <c r="Y772" s="25" t="s">
        <v>1750</v>
      </c>
      <c r="Z772" s="26">
        <v>39640</v>
      </c>
      <c r="AA772" s="776">
        <v>25</v>
      </c>
      <c r="AB772" s="776">
        <v>0</v>
      </c>
      <c r="AC772" s="776">
        <v>0</v>
      </c>
      <c r="AD772" s="776">
        <v>0</v>
      </c>
      <c r="AE772" s="777">
        <v>8.5</v>
      </c>
      <c r="AF772" s="777">
        <v>8.5</v>
      </c>
      <c r="AG772" s="778">
        <v>8.7550000000000008</v>
      </c>
    </row>
    <row r="773" spans="1:33" x14ac:dyDescent="0.2">
      <c r="A773" s="15">
        <f t="shared" ref="A773:A836" si="103">IF(K773="","",IF(AND(YEAR(Z773)&lt;2004,YEAR(Z773)&gt;1910),2004,YEAR(Z773)))</f>
        <v>2008</v>
      </c>
      <c r="B773" s="14">
        <f t="shared" ref="B773:B836" si="104">IF(K773="","",IF(ISNUMBER(Z773),MONTH(Z773),0))</f>
        <v>8</v>
      </c>
      <c r="C773" s="13" t="str">
        <f t="shared" ref="C773:C836" si="105">IF(K773="","",IF(AND(B773&gt;=1,B773&lt;=3),"Q1",IF(AND(B773&gt;3,B773&lt;=6),"Q2",IF(AND(B773&gt;6,B773&lt;=9),"Q3",IF(AND(B773&gt;9,B773&lt;=12),"Q4",0)))))</f>
        <v>Q3</v>
      </c>
      <c r="D773" s="13" t="str">
        <f t="shared" ref="D773:D836" si="106">IF(A773&lt;2006, "&lt; 2006", A773&amp;C773)</f>
        <v>2008Q3</v>
      </c>
      <c r="E773" s="13" t="str">
        <f t="shared" ref="E773:E836" si="107">IF(K773="","", M773)</f>
        <v>Brazil</v>
      </c>
      <c r="F773" s="13" t="str">
        <f t="shared" si="102"/>
        <v>Small Hydro</v>
      </c>
      <c r="G773" s="13" t="str">
        <f t="shared" si="101"/>
        <v>Asset finance investments</v>
      </c>
      <c r="H773" s="638">
        <f t="shared" ref="H773:H836" si="108">IF(K773="","",AG773)</f>
        <v>6.798</v>
      </c>
      <c r="I773" s="24" t="s">
        <v>506</v>
      </c>
      <c r="J773" s="25" t="s">
        <v>246</v>
      </c>
      <c r="K773" s="25" t="s">
        <v>2607</v>
      </c>
      <c r="L773" s="25" t="s">
        <v>977</v>
      </c>
      <c r="M773" s="25" t="s">
        <v>31</v>
      </c>
      <c r="N773" s="25" t="s">
        <v>31</v>
      </c>
      <c r="O773" s="25" t="s">
        <v>92</v>
      </c>
      <c r="P773" s="25" t="s">
        <v>83</v>
      </c>
      <c r="Q773" s="25" t="s">
        <v>82</v>
      </c>
      <c r="R773" s="25" t="s">
        <v>91</v>
      </c>
      <c r="S773" s="25" t="s">
        <v>126</v>
      </c>
      <c r="T773" s="25" t="s">
        <v>125</v>
      </c>
      <c r="U773" s="25" t="s">
        <v>247</v>
      </c>
      <c r="V773" s="25">
        <v>0</v>
      </c>
      <c r="W773" s="25" t="s">
        <v>553</v>
      </c>
      <c r="X773" s="25" t="s">
        <v>1752</v>
      </c>
      <c r="Y773" s="25" t="s">
        <v>1753</v>
      </c>
      <c r="Z773" s="26">
        <v>39670</v>
      </c>
      <c r="AA773" s="776">
        <v>2.4</v>
      </c>
      <c r="AB773" s="776">
        <v>0</v>
      </c>
      <c r="AC773" s="776">
        <v>0</v>
      </c>
      <c r="AD773" s="776">
        <v>0</v>
      </c>
      <c r="AE773" s="777">
        <v>6.6</v>
      </c>
      <c r="AF773" s="777">
        <v>6.6</v>
      </c>
      <c r="AG773" s="778">
        <v>6.798</v>
      </c>
    </row>
    <row r="774" spans="1:33" x14ac:dyDescent="0.2">
      <c r="A774" s="15">
        <f t="shared" si="103"/>
        <v>2008</v>
      </c>
      <c r="B774" s="14">
        <f t="shared" si="104"/>
        <v>8</v>
      </c>
      <c r="C774" s="13" t="str">
        <f t="shared" si="105"/>
        <v>Q3</v>
      </c>
      <c r="D774" s="13" t="str">
        <f t="shared" si="106"/>
        <v>2008Q3</v>
      </c>
      <c r="E774" s="13" t="str">
        <f t="shared" si="107"/>
        <v>Mexico</v>
      </c>
      <c r="F774" s="13" t="str">
        <f t="shared" si="102"/>
        <v>Biomass &amp; Waste</v>
      </c>
      <c r="G774" s="13" t="str">
        <f t="shared" ref="G774:G837" si="109">IF(K774="","",IF(OR(J774="PM",J774="MA"), "Corporate finance investments", IF(J774="VCPE", "VC/PE investments", IF(J774="AF", "Asset finance investments"))))</f>
        <v>Asset finance investments</v>
      </c>
      <c r="H774" s="638">
        <f t="shared" si="108"/>
        <v>6.798</v>
      </c>
      <c r="I774" s="24" t="s">
        <v>506</v>
      </c>
      <c r="J774" s="25" t="s">
        <v>246</v>
      </c>
      <c r="K774" s="25" t="s">
        <v>2608</v>
      </c>
      <c r="L774" s="25" t="s">
        <v>808</v>
      </c>
      <c r="M774" s="25" t="s">
        <v>18</v>
      </c>
      <c r="N774" s="25" t="s">
        <v>85</v>
      </c>
      <c r="O774" s="25" t="s">
        <v>92</v>
      </c>
      <c r="P774" s="25" t="s">
        <v>83</v>
      </c>
      <c r="Q774" s="25" t="s">
        <v>129</v>
      </c>
      <c r="R774" s="25"/>
      <c r="S774" s="25" t="s">
        <v>114</v>
      </c>
      <c r="T774" s="25" t="s">
        <v>114</v>
      </c>
      <c r="U774" s="25" t="s">
        <v>113</v>
      </c>
      <c r="V774" s="25" t="s">
        <v>722</v>
      </c>
      <c r="W774" s="25" t="s">
        <v>553</v>
      </c>
      <c r="X774" s="25" t="s">
        <v>1752</v>
      </c>
      <c r="Y774" s="25" t="s">
        <v>1753</v>
      </c>
      <c r="Z774" s="26">
        <v>39690</v>
      </c>
      <c r="AA774" s="776">
        <v>5.3</v>
      </c>
      <c r="AB774" s="776">
        <v>0</v>
      </c>
      <c r="AC774" s="776">
        <v>0</v>
      </c>
      <c r="AD774" s="776">
        <v>0</v>
      </c>
      <c r="AE774" s="777">
        <v>6.6</v>
      </c>
      <c r="AF774" s="777">
        <v>6.6</v>
      </c>
      <c r="AG774" s="778">
        <v>6.798</v>
      </c>
    </row>
    <row r="775" spans="1:33" x14ac:dyDescent="0.2">
      <c r="A775" s="15">
        <f t="shared" si="103"/>
        <v>2008</v>
      </c>
      <c r="B775" s="14">
        <f t="shared" si="104"/>
        <v>9</v>
      </c>
      <c r="C775" s="13" t="str">
        <f t="shared" si="105"/>
        <v>Q3</v>
      </c>
      <c r="D775" s="13" t="str">
        <f t="shared" si="106"/>
        <v>2008Q3</v>
      </c>
      <c r="E775" s="13" t="str">
        <f t="shared" si="107"/>
        <v>Argentina</v>
      </c>
      <c r="F775" s="13" t="str">
        <f t="shared" ref="F775:F838" si="110">IF(K775="","",IF(OR(T775="Wind",T775="Solar",T775="Geothermal",T775="Small Hydro",T775="Biofuels",T775="Biomass &amp; Waste"),T775,"Other Clean Energy"))</f>
        <v>Biomass &amp; Waste</v>
      </c>
      <c r="G775" s="13" t="str">
        <f t="shared" si="109"/>
        <v>Asset finance investments</v>
      </c>
      <c r="H775" s="638">
        <f t="shared" si="108"/>
        <v>5.5620000000000003</v>
      </c>
      <c r="I775" s="24" t="s">
        <v>506</v>
      </c>
      <c r="J775" s="25" t="s">
        <v>246</v>
      </c>
      <c r="K775" s="25" t="s">
        <v>2609</v>
      </c>
      <c r="L775" s="25" t="s">
        <v>598</v>
      </c>
      <c r="M775" s="25" t="s">
        <v>4</v>
      </c>
      <c r="N775" s="25" t="s">
        <v>85</v>
      </c>
      <c r="O775" s="25" t="s">
        <v>92</v>
      </c>
      <c r="P775" s="25" t="s">
        <v>83</v>
      </c>
      <c r="Q775" s="25" t="s">
        <v>82</v>
      </c>
      <c r="R775" s="25"/>
      <c r="S775" s="25" t="s">
        <v>114</v>
      </c>
      <c r="T775" s="25" t="s">
        <v>114</v>
      </c>
      <c r="U775" s="25" t="s">
        <v>554</v>
      </c>
      <c r="V775" s="25">
        <v>0</v>
      </c>
      <c r="W775" s="25" t="s">
        <v>553</v>
      </c>
      <c r="X775" s="25" t="s">
        <v>1752</v>
      </c>
      <c r="Y775" s="25" t="s">
        <v>1753</v>
      </c>
      <c r="Z775" s="26">
        <v>39692</v>
      </c>
      <c r="AA775" s="776">
        <v>0</v>
      </c>
      <c r="AB775" s="776">
        <v>0</v>
      </c>
      <c r="AC775" s="776">
        <v>0</v>
      </c>
      <c r="AD775" s="776">
        <v>0</v>
      </c>
      <c r="AE775" s="777">
        <v>5.4</v>
      </c>
      <c r="AF775" s="777">
        <v>5.4</v>
      </c>
      <c r="AG775" s="778">
        <v>5.5620000000000003</v>
      </c>
    </row>
    <row r="776" spans="1:33" x14ac:dyDescent="0.2">
      <c r="A776" s="15">
        <f t="shared" si="103"/>
        <v>2008</v>
      </c>
      <c r="B776" s="14">
        <f t="shared" si="104"/>
        <v>8</v>
      </c>
      <c r="C776" s="13" t="str">
        <f t="shared" si="105"/>
        <v>Q3</v>
      </c>
      <c r="D776" s="13" t="str">
        <f t="shared" si="106"/>
        <v>2008Q3</v>
      </c>
      <c r="E776" s="13" t="str">
        <f t="shared" si="107"/>
        <v>Nicaragua</v>
      </c>
      <c r="F776" s="13" t="str">
        <f t="shared" si="110"/>
        <v>Small Hydro</v>
      </c>
      <c r="G776" s="13" t="str">
        <f t="shared" si="109"/>
        <v>Asset finance investments</v>
      </c>
      <c r="H776" s="638">
        <f t="shared" si="108"/>
        <v>3.9139999999999997</v>
      </c>
      <c r="I776" s="24" t="s">
        <v>506</v>
      </c>
      <c r="J776" s="25" t="s">
        <v>246</v>
      </c>
      <c r="K776" s="25" t="s">
        <v>2610</v>
      </c>
      <c r="L776" s="25" t="s">
        <v>630</v>
      </c>
      <c r="M776" s="25" t="s">
        <v>2</v>
      </c>
      <c r="N776" s="25" t="s">
        <v>85</v>
      </c>
      <c r="O776" s="25" t="s">
        <v>92</v>
      </c>
      <c r="P776" s="25" t="s">
        <v>83</v>
      </c>
      <c r="Q776" s="25" t="s">
        <v>82</v>
      </c>
      <c r="R776" s="25"/>
      <c r="S776" s="25" t="s">
        <v>126</v>
      </c>
      <c r="T776" s="25" t="s">
        <v>125</v>
      </c>
      <c r="U776" s="25" t="s">
        <v>247</v>
      </c>
      <c r="V776" s="25">
        <v>0</v>
      </c>
      <c r="W776" s="25" t="s">
        <v>553</v>
      </c>
      <c r="X776" s="25" t="s">
        <v>1752</v>
      </c>
      <c r="Y776" s="25" t="s">
        <v>1753</v>
      </c>
      <c r="Z776" s="26">
        <v>39661</v>
      </c>
      <c r="AA776" s="776">
        <v>1.9</v>
      </c>
      <c r="AB776" s="776">
        <v>0</v>
      </c>
      <c r="AC776" s="776">
        <v>0</v>
      </c>
      <c r="AD776" s="776">
        <v>0</v>
      </c>
      <c r="AE776" s="777">
        <v>3.8</v>
      </c>
      <c r="AF776" s="777">
        <v>3.8</v>
      </c>
      <c r="AG776" s="778">
        <v>3.9139999999999997</v>
      </c>
    </row>
    <row r="777" spans="1:33" x14ac:dyDescent="0.2">
      <c r="A777" s="15">
        <f t="shared" si="103"/>
        <v>2008</v>
      </c>
      <c r="B777" s="14">
        <f t="shared" si="104"/>
        <v>7</v>
      </c>
      <c r="C777" s="13" t="str">
        <f t="shared" si="105"/>
        <v>Q3</v>
      </c>
      <c r="D777" s="13" t="str">
        <f t="shared" si="106"/>
        <v>2008Q3</v>
      </c>
      <c r="E777" s="13" t="str">
        <f t="shared" si="107"/>
        <v>Brazil</v>
      </c>
      <c r="F777" s="13" t="str">
        <f t="shared" si="110"/>
        <v>Biofuels</v>
      </c>
      <c r="G777" s="13" t="str">
        <f t="shared" si="109"/>
        <v>VC/PE investments</v>
      </c>
      <c r="H777" s="638">
        <f t="shared" si="108"/>
        <v>3.8110000000000004</v>
      </c>
      <c r="I777" s="24" t="s">
        <v>506</v>
      </c>
      <c r="J777" s="25" t="s">
        <v>216</v>
      </c>
      <c r="K777" s="25" t="s">
        <v>536</v>
      </c>
      <c r="L777" s="25" t="s">
        <v>535</v>
      </c>
      <c r="M777" s="25" t="s">
        <v>31</v>
      </c>
      <c r="N777" s="25" t="s">
        <v>31</v>
      </c>
      <c r="O777" s="25" t="s">
        <v>92</v>
      </c>
      <c r="P777" s="25" t="s">
        <v>83</v>
      </c>
      <c r="Q777" s="25" t="s">
        <v>82</v>
      </c>
      <c r="R777" s="25" t="s">
        <v>91</v>
      </c>
      <c r="S777" s="25" t="s">
        <v>96</v>
      </c>
      <c r="T777" s="25" t="s">
        <v>96</v>
      </c>
      <c r="U777" s="25" t="s">
        <v>98</v>
      </c>
      <c r="V777" s="25" t="s">
        <v>534</v>
      </c>
      <c r="W777" s="25" t="s">
        <v>109</v>
      </c>
      <c r="X777" s="25" t="s">
        <v>531</v>
      </c>
      <c r="Y777" s="25" t="s">
        <v>530</v>
      </c>
      <c r="Z777" s="26">
        <v>39658</v>
      </c>
      <c r="AA777" s="776" t="s">
        <v>1748</v>
      </c>
      <c r="AB777" s="776" t="s">
        <v>1748</v>
      </c>
      <c r="AC777" s="776" t="s">
        <v>1748</v>
      </c>
      <c r="AD777" s="776" t="s">
        <v>1748</v>
      </c>
      <c r="AE777" s="777">
        <v>3.7</v>
      </c>
      <c r="AF777" s="777">
        <v>3.7</v>
      </c>
      <c r="AG777" s="778">
        <v>3.8110000000000004</v>
      </c>
    </row>
    <row r="778" spans="1:33" x14ac:dyDescent="0.2">
      <c r="A778" s="15">
        <f t="shared" si="103"/>
        <v>2008</v>
      </c>
      <c r="B778" s="14">
        <f t="shared" si="104"/>
        <v>9</v>
      </c>
      <c r="C778" s="13" t="str">
        <f t="shared" si="105"/>
        <v>Q3</v>
      </c>
      <c r="D778" s="13" t="str">
        <f t="shared" si="106"/>
        <v>2008Q3</v>
      </c>
      <c r="E778" s="13" t="str">
        <f t="shared" si="107"/>
        <v>Mexico</v>
      </c>
      <c r="F778" s="13" t="str">
        <f t="shared" si="110"/>
        <v>Biomass &amp; Waste</v>
      </c>
      <c r="G778" s="13" t="str">
        <f t="shared" si="109"/>
        <v>Asset finance investments</v>
      </c>
      <c r="H778" s="638">
        <f t="shared" si="108"/>
        <v>2.2660000000000005</v>
      </c>
      <c r="I778" s="24" t="s">
        <v>506</v>
      </c>
      <c r="J778" s="25" t="s">
        <v>246</v>
      </c>
      <c r="K778" s="25" t="s">
        <v>2611</v>
      </c>
      <c r="L778" s="25" t="s">
        <v>620</v>
      </c>
      <c r="M778" s="25" t="s">
        <v>18</v>
      </c>
      <c r="N778" s="25" t="s">
        <v>85</v>
      </c>
      <c r="O778" s="25" t="s">
        <v>92</v>
      </c>
      <c r="P778" s="25" t="s">
        <v>83</v>
      </c>
      <c r="Q778" s="25" t="s">
        <v>129</v>
      </c>
      <c r="R778" s="25"/>
      <c r="S778" s="25" t="s">
        <v>114</v>
      </c>
      <c r="T778" s="25" t="s">
        <v>114</v>
      </c>
      <c r="U778" s="25" t="s">
        <v>113</v>
      </c>
      <c r="V778" s="25">
        <v>0</v>
      </c>
      <c r="W778" s="25" t="s">
        <v>553</v>
      </c>
      <c r="X778" s="25" t="s">
        <v>1752</v>
      </c>
      <c r="Y778" s="25" t="s">
        <v>1753</v>
      </c>
      <c r="Z778" s="26">
        <v>39706</v>
      </c>
      <c r="AA778" s="776">
        <v>4.8</v>
      </c>
      <c r="AB778" s="776">
        <v>0</v>
      </c>
      <c r="AC778" s="776">
        <v>0</v>
      </c>
      <c r="AD778" s="776">
        <v>0</v>
      </c>
      <c r="AE778" s="777">
        <v>2.2000000000000002</v>
      </c>
      <c r="AF778" s="777">
        <v>2.2000000000000002</v>
      </c>
      <c r="AG778" s="778">
        <v>2.2660000000000005</v>
      </c>
    </row>
    <row r="779" spans="1:33" x14ac:dyDescent="0.2">
      <c r="A779" s="15">
        <f t="shared" si="103"/>
        <v>2008</v>
      </c>
      <c r="B779" s="14">
        <f t="shared" si="104"/>
        <v>9</v>
      </c>
      <c r="C779" s="13" t="str">
        <f t="shared" si="105"/>
        <v>Q3</v>
      </c>
      <c r="D779" s="13" t="str">
        <f t="shared" si="106"/>
        <v>2008Q3</v>
      </c>
      <c r="E779" s="13" t="str">
        <f t="shared" si="107"/>
        <v>Mexico</v>
      </c>
      <c r="F779" s="13" t="str">
        <f t="shared" si="110"/>
        <v>Biomass &amp; Waste</v>
      </c>
      <c r="G779" s="13" t="str">
        <f t="shared" si="109"/>
        <v>Asset finance investments</v>
      </c>
      <c r="H779" s="638">
        <f t="shared" si="108"/>
        <v>1.8540000000000001</v>
      </c>
      <c r="I779" s="24" t="s">
        <v>506</v>
      </c>
      <c r="J779" s="25" t="s">
        <v>246</v>
      </c>
      <c r="K779" s="25" t="s">
        <v>2612</v>
      </c>
      <c r="L779" s="25" t="s">
        <v>2613</v>
      </c>
      <c r="M779" s="25" t="s">
        <v>18</v>
      </c>
      <c r="N779" s="25" t="s">
        <v>85</v>
      </c>
      <c r="O779" s="25" t="s">
        <v>92</v>
      </c>
      <c r="P779" s="25" t="s">
        <v>83</v>
      </c>
      <c r="Q779" s="25" t="s">
        <v>129</v>
      </c>
      <c r="R779" s="25"/>
      <c r="S779" s="25" t="s">
        <v>114</v>
      </c>
      <c r="T779" s="25" t="s">
        <v>114</v>
      </c>
      <c r="U779" s="25" t="s">
        <v>113</v>
      </c>
      <c r="V779" s="25" t="s">
        <v>685</v>
      </c>
      <c r="W779" s="25" t="s">
        <v>553</v>
      </c>
      <c r="X779" s="25" t="s">
        <v>1752</v>
      </c>
      <c r="Y779" s="25" t="s">
        <v>1753</v>
      </c>
      <c r="Z779" s="26">
        <v>39706</v>
      </c>
      <c r="AA779" s="776">
        <v>6.4</v>
      </c>
      <c r="AB779" s="776">
        <v>0</v>
      </c>
      <c r="AC779" s="776">
        <v>0</v>
      </c>
      <c r="AD779" s="776">
        <v>0</v>
      </c>
      <c r="AE779" s="777">
        <v>0</v>
      </c>
      <c r="AF779" s="777">
        <v>1.8</v>
      </c>
      <c r="AG779" s="778">
        <v>1.8540000000000001</v>
      </c>
    </row>
    <row r="780" spans="1:33" x14ac:dyDescent="0.2">
      <c r="A780" s="15">
        <f t="shared" si="103"/>
        <v>2008</v>
      </c>
      <c r="B780" s="14">
        <f t="shared" si="104"/>
        <v>8</v>
      </c>
      <c r="C780" s="13" t="str">
        <f t="shared" si="105"/>
        <v>Q3</v>
      </c>
      <c r="D780" s="13" t="str">
        <f t="shared" si="106"/>
        <v>2008Q3</v>
      </c>
      <c r="E780" s="13" t="str">
        <f t="shared" si="107"/>
        <v>Argentina</v>
      </c>
      <c r="F780" s="13" t="str">
        <f t="shared" si="110"/>
        <v>Biofuels</v>
      </c>
      <c r="G780" s="13" t="str">
        <f t="shared" si="109"/>
        <v>Asset finance investments</v>
      </c>
      <c r="H780" s="638">
        <f t="shared" si="108"/>
        <v>1.3390000000000002</v>
      </c>
      <c r="I780" s="24" t="s">
        <v>506</v>
      </c>
      <c r="J780" s="25" t="s">
        <v>246</v>
      </c>
      <c r="K780" s="25" t="s">
        <v>2614</v>
      </c>
      <c r="L780" s="25" t="s">
        <v>994</v>
      </c>
      <c r="M780" s="25" t="s">
        <v>4</v>
      </c>
      <c r="N780" s="25" t="s">
        <v>85</v>
      </c>
      <c r="O780" s="25" t="s">
        <v>92</v>
      </c>
      <c r="P780" s="25" t="s">
        <v>83</v>
      </c>
      <c r="Q780" s="25" t="s">
        <v>82</v>
      </c>
      <c r="R780" s="25"/>
      <c r="S780" s="25" t="s">
        <v>96</v>
      </c>
      <c r="T780" s="25" t="s">
        <v>96</v>
      </c>
      <c r="U780" s="25" t="s">
        <v>95</v>
      </c>
      <c r="V780" s="25" t="s">
        <v>223</v>
      </c>
      <c r="W780" s="25" t="s">
        <v>553</v>
      </c>
      <c r="X780" s="25" t="s">
        <v>1752</v>
      </c>
      <c r="Y780" s="25" t="s">
        <v>1753</v>
      </c>
      <c r="Z780" s="26">
        <v>39689</v>
      </c>
      <c r="AA780" s="776">
        <v>0</v>
      </c>
      <c r="AB780" s="776">
        <v>46</v>
      </c>
      <c r="AC780" s="776">
        <v>0</v>
      </c>
      <c r="AD780" s="776">
        <v>0</v>
      </c>
      <c r="AE780" s="777">
        <v>1.3</v>
      </c>
      <c r="AF780" s="777">
        <v>1.3</v>
      </c>
      <c r="AG780" s="778">
        <v>1.3390000000000002</v>
      </c>
    </row>
    <row r="781" spans="1:33" x14ac:dyDescent="0.2">
      <c r="A781" s="15">
        <f t="shared" si="103"/>
        <v>2007</v>
      </c>
      <c r="B781" s="14">
        <f t="shared" si="104"/>
        <v>8</v>
      </c>
      <c r="C781" s="13" t="str">
        <f t="shared" si="105"/>
        <v>Q3</v>
      </c>
      <c r="D781" s="13" t="str">
        <f t="shared" si="106"/>
        <v>2007Q3</v>
      </c>
      <c r="E781" s="13" t="str">
        <f t="shared" si="107"/>
        <v>Brazil</v>
      </c>
      <c r="F781" s="13" t="str">
        <f t="shared" si="110"/>
        <v>Biofuels</v>
      </c>
      <c r="G781" s="13" t="str">
        <f t="shared" si="109"/>
        <v>Asset finance investments</v>
      </c>
      <c r="H781" s="638">
        <f t="shared" si="108"/>
        <v>428.40000000000003</v>
      </c>
      <c r="I781" s="24" t="s">
        <v>506</v>
      </c>
      <c r="J781" s="25" t="s">
        <v>246</v>
      </c>
      <c r="K781" s="25" t="s">
        <v>2615</v>
      </c>
      <c r="L781" s="25" t="s">
        <v>2616</v>
      </c>
      <c r="M781" s="25" t="s">
        <v>31</v>
      </c>
      <c r="N781" s="25" t="s">
        <v>31</v>
      </c>
      <c r="O781" s="25" t="s">
        <v>92</v>
      </c>
      <c r="P781" s="25" t="s">
        <v>83</v>
      </c>
      <c r="Q781" s="25" t="s">
        <v>82</v>
      </c>
      <c r="R781" s="25" t="s">
        <v>91</v>
      </c>
      <c r="S781" s="25" t="s">
        <v>96</v>
      </c>
      <c r="T781" s="25" t="s">
        <v>96</v>
      </c>
      <c r="U781" s="25" t="s">
        <v>98</v>
      </c>
      <c r="V781" s="25" t="s">
        <v>230</v>
      </c>
      <c r="W781" s="25" t="s">
        <v>553</v>
      </c>
      <c r="X781" s="25" t="s">
        <v>1749</v>
      </c>
      <c r="Y781" s="25" t="s">
        <v>1750</v>
      </c>
      <c r="Z781" s="26">
        <v>39322</v>
      </c>
      <c r="AA781" s="776">
        <v>0</v>
      </c>
      <c r="AB781" s="776">
        <v>189</v>
      </c>
      <c r="AC781" s="776">
        <v>0</v>
      </c>
      <c r="AD781" s="776">
        <v>0</v>
      </c>
      <c r="AE781" s="777">
        <v>0</v>
      </c>
      <c r="AF781" s="777">
        <v>408</v>
      </c>
      <c r="AG781" s="778">
        <v>428.40000000000003</v>
      </c>
    </row>
    <row r="782" spans="1:33" x14ac:dyDescent="0.2">
      <c r="A782" s="15">
        <f t="shared" si="103"/>
        <v>2007</v>
      </c>
      <c r="B782" s="14">
        <f t="shared" si="104"/>
        <v>7</v>
      </c>
      <c r="C782" s="13" t="str">
        <f t="shared" si="105"/>
        <v>Q3</v>
      </c>
      <c r="D782" s="13" t="str">
        <f t="shared" si="106"/>
        <v>2007Q3</v>
      </c>
      <c r="E782" s="13" t="str">
        <f t="shared" si="107"/>
        <v>Brazil</v>
      </c>
      <c r="F782" s="13" t="str">
        <f t="shared" si="110"/>
        <v>Biofuels</v>
      </c>
      <c r="G782" s="13" t="str">
        <f t="shared" si="109"/>
        <v>Corporate finance investments</v>
      </c>
      <c r="H782" s="638">
        <f t="shared" si="108"/>
        <v>376.63499999999999</v>
      </c>
      <c r="I782" s="24" t="s">
        <v>506</v>
      </c>
      <c r="J782" s="25" t="s">
        <v>211</v>
      </c>
      <c r="K782" s="25" t="s">
        <v>2617</v>
      </c>
      <c r="L782" s="25" t="s">
        <v>173</v>
      </c>
      <c r="M782" s="25" t="s">
        <v>31</v>
      </c>
      <c r="N782" s="25" t="s">
        <v>31</v>
      </c>
      <c r="O782" s="25" t="s">
        <v>92</v>
      </c>
      <c r="P782" s="25" t="s">
        <v>83</v>
      </c>
      <c r="Q782" s="25" t="s">
        <v>82</v>
      </c>
      <c r="R782" s="25" t="s">
        <v>91</v>
      </c>
      <c r="S782" s="25" t="s">
        <v>96</v>
      </c>
      <c r="T782" s="25" t="s">
        <v>96</v>
      </c>
      <c r="U782" s="25">
        <v>0</v>
      </c>
      <c r="V782" s="25">
        <v>0</v>
      </c>
      <c r="W782" s="25" t="s">
        <v>31</v>
      </c>
      <c r="X782" s="25" t="s">
        <v>208</v>
      </c>
      <c r="Y782" s="25" t="s">
        <v>208</v>
      </c>
      <c r="Z782" s="26">
        <v>39286</v>
      </c>
      <c r="AA782" s="776" t="s">
        <v>1823</v>
      </c>
      <c r="AB782" s="776">
        <v>0</v>
      </c>
      <c r="AC782" s="776">
        <v>358.7</v>
      </c>
      <c r="AD782" s="776">
        <v>0</v>
      </c>
      <c r="AE782" s="777">
        <v>358.7</v>
      </c>
      <c r="AF782" s="777">
        <v>358.7</v>
      </c>
      <c r="AG782" s="778">
        <v>376.63499999999999</v>
      </c>
    </row>
    <row r="783" spans="1:33" x14ac:dyDescent="0.2">
      <c r="A783" s="15">
        <f t="shared" si="103"/>
        <v>2007</v>
      </c>
      <c r="B783" s="14">
        <f t="shared" si="104"/>
        <v>7</v>
      </c>
      <c r="C783" s="13" t="str">
        <f t="shared" si="105"/>
        <v>Q3</v>
      </c>
      <c r="D783" s="13" t="str">
        <f t="shared" si="106"/>
        <v>2007Q3</v>
      </c>
      <c r="E783" s="13" t="str">
        <f t="shared" si="107"/>
        <v>Brazil</v>
      </c>
      <c r="F783" s="13" t="str">
        <f t="shared" si="110"/>
        <v>Wind</v>
      </c>
      <c r="G783" s="13" t="str">
        <f t="shared" si="109"/>
        <v>Asset finance investments</v>
      </c>
      <c r="H783" s="638">
        <f t="shared" si="108"/>
        <v>226.17000000000002</v>
      </c>
      <c r="I783" s="24" t="s">
        <v>506</v>
      </c>
      <c r="J783" s="25" t="s">
        <v>246</v>
      </c>
      <c r="K783" s="25" t="s">
        <v>2618</v>
      </c>
      <c r="L783" s="25" t="s">
        <v>952</v>
      </c>
      <c r="M783" s="25" t="s">
        <v>31</v>
      </c>
      <c r="N783" s="25" t="s">
        <v>31</v>
      </c>
      <c r="O783" s="25" t="s">
        <v>92</v>
      </c>
      <c r="P783" s="25" t="s">
        <v>83</v>
      </c>
      <c r="Q783" s="25" t="s">
        <v>82</v>
      </c>
      <c r="R783" s="25" t="s">
        <v>91</v>
      </c>
      <c r="S783" s="25" t="s">
        <v>101</v>
      </c>
      <c r="T783" s="25" t="s">
        <v>101</v>
      </c>
      <c r="U783" s="25" t="s">
        <v>112</v>
      </c>
      <c r="V783" s="25">
        <v>0</v>
      </c>
      <c r="W783" s="25" t="s">
        <v>553</v>
      </c>
      <c r="X783" s="25" t="s">
        <v>1749</v>
      </c>
      <c r="Y783" s="25" t="s">
        <v>1750</v>
      </c>
      <c r="Z783" s="26">
        <v>39272</v>
      </c>
      <c r="AA783" s="776">
        <v>105</v>
      </c>
      <c r="AB783" s="776">
        <v>0</v>
      </c>
      <c r="AC783" s="776">
        <v>0</v>
      </c>
      <c r="AD783" s="776">
        <v>0</v>
      </c>
      <c r="AE783" s="777">
        <v>215.4</v>
      </c>
      <c r="AF783" s="777">
        <v>215.4</v>
      </c>
      <c r="AG783" s="778">
        <v>226.17000000000002</v>
      </c>
    </row>
    <row r="784" spans="1:33" x14ac:dyDescent="0.2">
      <c r="A784" s="15">
        <f t="shared" si="103"/>
        <v>2007</v>
      </c>
      <c r="B784" s="14">
        <f t="shared" si="104"/>
        <v>7</v>
      </c>
      <c r="C784" s="13" t="str">
        <f t="shared" si="105"/>
        <v>Q3</v>
      </c>
      <c r="D784" s="13" t="str">
        <f t="shared" si="106"/>
        <v>2007Q3</v>
      </c>
      <c r="E784" s="13" t="str">
        <f t="shared" si="107"/>
        <v>Brazil</v>
      </c>
      <c r="F784" s="13" t="str">
        <f t="shared" si="110"/>
        <v>Biofuels</v>
      </c>
      <c r="G784" s="13" t="str">
        <f t="shared" si="109"/>
        <v>Asset finance investments</v>
      </c>
      <c r="H784" s="638">
        <f t="shared" si="108"/>
        <v>225.75</v>
      </c>
      <c r="I784" s="24" t="s">
        <v>506</v>
      </c>
      <c r="J784" s="25" t="s">
        <v>246</v>
      </c>
      <c r="K784" s="25" t="s">
        <v>2619</v>
      </c>
      <c r="L784" s="25" t="s">
        <v>1141</v>
      </c>
      <c r="M784" s="25" t="s">
        <v>31</v>
      </c>
      <c r="N784" s="25" t="s">
        <v>31</v>
      </c>
      <c r="O784" s="25" t="s">
        <v>92</v>
      </c>
      <c r="P784" s="25" t="s">
        <v>83</v>
      </c>
      <c r="Q784" s="25" t="s">
        <v>82</v>
      </c>
      <c r="R784" s="25" t="s">
        <v>91</v>
      </c>
      <c r="S784" s="25" t="s">
        <v>96</v>
      </c>
      <c r="T784" s="25" t="s">
        <v>96</v>
      </c>
      <c r="U784" s="25" t="s">
        <v>98</v>
      </c>
      <c r="V784" s="25" t="s">
        <v>230</v>
      </c>
      <c r="W784" s="25" t="s">
        <v>553</v>
      </c>
      <c r="X784" s="25" t="s">
        <v>1749</v>
      </c>
      <c r="Y784" s="25" t="s">
        <v>1750</v>
      </c>
      <c r="Z784" s="26">
        <v>39282.747916666704</v>
      </c>
      <c r="AA784" s="776">
        <v>123.3</v>
      </c>
      <c r="AB784" s="776">
        <v>124</v>
      </c>
      <c r="AC784" s="776">
        <v>0</v>
      </c>
      <c r="AD784" s="776">
        <v>0</v>
      </c>
      <c r="AE784" s="777">
        <v>215</v>
      </c>
      <c r="AF784" s="777">
        <v>215</v>
      </c>
      <c r="AG784" s="778">
        <v>225.75</v>
      </c>
    </row>
    <row r="785" spans="1:33" x14ac:dyDescent="0.2">
      <c r="A785" s="15">
        <f t="shared" si="103"/>
        <v>2007</v>
      </c>
      <c r="B785" s="14">
        <f t="shared" si="104"/>
        <v>7</v>
      </c>
      <c r="C785" s="13" t="str">
        <f t="shared" si="105"/>
        <v>Q3</v>
      </c>
      <c r="D785" s="13" t="str">
        <f t="shared" si="106"/>
        <v>2007Q3</v>
      </c>
      <c r="E785" s="13" t="str">
        <f t="shared" si="107"/>
        <v>Brazil</v>
      </c>
      <c r="F785" s="13" t="str">
        <f t="shared" si="110"/>
        <v>Biofuels</v>
      </c>
      <c r="G785" s="13" t="str">
        <f t="shared" si="109"/>
        <v>Asset finance investments</v>
      </c>
      <c r="H785" s="638">
        <f t="shared" si="108"/>
        <v>170.1</v>
      </c>
      <c r="I785" s="24" t="s">
        <v>506</v>
      </c>
      <c r="J785" s="25" t="s">
        <v>246</v>
      </c>
      <c r="K785" s="25" t="s">
        <v>2620</v>
      </c>
      <c r="L785" s="25" t="s">
        <v>2621</v>
      </c>
      <c r="M785" s="25" t="s">
        <v>31</v>
      </c>
      <c r="N785" s="25" t="s">
        <v>31</v>
      </c>
      <c r="O785" s="25" t="s">
        <v>92</v>
      </c>
      <c r="P785" s="25" t="s">
        <v>83</v>
      </c>
      <c r="Q785" s="25" t="s">
        <v>82</v>
      </c>
      <c r="R785" s="25" t="s">
        <v>91</v>
      </c>
      <c r="S785" s="25" t="s">
        <v>96</v>
      </c>
      <c r="T785" s="25" t="s">
        <v>96</v>
      </c>
      <c r="U785" s="25" t="s">
        <v>98</v>
      </c>
      <c r="V785" s="25" t="s">
        <v>230</v>
      </c>
      <c r="W785" s="25" t="s">
        <v>553</v>
      </c>
      <c r="X785" s="25" t="s">
        <v>1752</v>
      </c>
      <c r="Y785" s="25" t="s">
        <v>1753</v>
      </c>
      <c r="Z785" s="26">
        <v>39283.425694444399</v>
      </c>
      <c r="AA785" s="776">
        <v>20</v>
      </c>
      <c r="AB785" s="776">
        <v>90.7</v>
      </c>
      <c r="AC785" s="776">
        <v>0</v>
      </c>
      <c r="AD785" s="776">
        <v>0</v>
      </c>
      <c r="AE785" s="777">
        <v>162</v>
      </c>
      <c r="AF785" s="777">
        <v>162</v>
      </c>
      <c r="AG785" s="778">
        <v>170.1</v>
      </c>
    </row>
    <row r="786" spans="1:33" x14ac:dyDescent="0.2">
      <c r="A786" s="15">
        <f t="shared" si="103"/>
        <v>2007</v>
      </c>
      <c r="B786" s="14">
        <f t="shared" si="104"/>
        <v>8</v>
      </c>
      <c r="C786" s="13" t="str">
        <f t="shared" si="105"/>
        <v>Q3</v>
      </c>
      <c r="D786" s="13" t="str">
        <f t="shared" si="106"/>
        <v>2007Q3</v>
      </c>
      <c r="E786" s="13" t="str">
        <f t="shared" si="107"/>
        <v>Brazil</v>
      </c>
      <c r="F786" s="13" t="str">
        <f t="shared" si="110"/>
        <v>Biofuels</v>
      </c>
      <c r="G786" s="13" t="str">
        <f t="shared" si="109"/>
        <v>Asset finance investments</v>
      </c>
      <c r="H786" s="638">
        <f t="shared" si="108"/>
        <v>154.97999999999999</v>
      </c>
      <c r="I786" s="24" t="s">
        <v>506</v>
      </c>
      <c r="J786" s="25" t="s">
        <v>246</v>
      </c>
      <c r="K786" s="25" t="s">
        <v>2622</v>
      </c>
      <c r="L786" s="25" t="s">
        <v>654</v>
      </c>
      <c r="M786" s="25" t="s">
        <v>31</v>
      </c>
      <c r="N786" s="25" t="s">
        <v>31</v>
      </c>
      <c r="O786" s="25" t="s">
        <v>92</v>
      </c>
      <c r="P786" s="25" t="s">
        <v>83</v>
      </c>
      <c r="Q786" s="25" t="s">
        <v>82</v>
      </c>
      <c r="R786" s="25" t="s">
        <v>91</v>
      </c>
      <c r="S786" s="25" t="s">
        <v>96</v>
      </c>
      <c r="T786" s="25" t="s">
        <v>96</v>
      </c>
      <c r="U786" s="25" t="s">
        <v>98</v>
      </c>
      <c r="V786" s="25">
        <v>0</v>
      </c>
      <c r="W786" s="25" t="s">
        <v>553</v>
      </c>
      <c r="X786" s="25" t="s">
        <v>1752</v>
      </c>
      <c r="Y786" s="25" t="s">
        <v>1753</v>
      </c>
      <c r="Z786" s="26">
        <v>39317.436805555597</v>
      </c>
      <c r="AA786" s="776">
        <v>6</v>
      </c>
      <c r="AB786" s="776">
        <v>120</v>
      </c>
      <c r="AC786" s="776">
        <v>0</v>
      </c>
      <c r="AD786" s="776">
        <v>0</v>
      </c>
      <c r="AE786" s="777">
        <v>0</v>
      </c>
      <c r="AF786" s="777">
        <v>147.6</v>
      </c>
      <c r="AG786" s="778">
        <v>154.97999999999999</v>
      </c>
    </row>
    <row r="787" spans="1:33" x14ac:dyDescent="0.2">
      <c r="A787" s="15">
        <f t="shared" si="103"/>
        <v>2007</v>
      </c>
      <c r="B787" s="14">
        <f t="shared" si="104"/>
        <v>7</v>
      </c>
      <c r="C787" s="13" t="str">
        <f t="shared" si="105"/>
        <v>Q3</v>
      </c>
      <c r="D787" s="13" t="str">
        <f t="shared" si="106"/>
        <v>2007Q3</v>
      </c>
      <c r="E787" s="13" t="str">
        <f t="shared" si="107"/>
        <v>Brazil</v>
      </c>
      <c r="F787" s="13" t="str">
        <f t="shared" si="110"/>
        <v>Wind</v>
      </c>
      <c r="G787" s="13" t="str">
        <f t="shared" si="109"/>
        <v>Asset finance investments</v>
      </c>
      <c r="H787" s="638">
        <f t="shared" si="108"/>
        <v>141.54000000000002</v>
      </c>
      <c r="I787" s="24" t="s">
        <v>506</v>
      </c>
      <c r="J787" s="25" t="s">
        <v>246</v>
      </c>
      <c r="K787" s="25" t="s">
        <v>2623</v>
      </c>
      <c r="L787" s="25" t="s">
        <v>1140</v>
      </c>
      <c r="M787" s="25" t="s">
        <v>31</v>
      </c>
      <c r="N787" s="25" t="s">
        <v>31</v>
      </c>
      <c r="O787" s="25" t="s">
        <v>92</v>
      </c>
      <c r="P787" s="25" t="s">
        <v>83</v>
      </c>
      <c r="Q787" s="25" t="s">
        <v>82</v>
      </c>
      <c r="R787" s="25" t="s">
        <v>91</v>
      </c>
      <c r="S787" s="25" t="s">
        <v>101</v>
      </c>
      <c r="T787" s="25" t="s">
        <v>101</v>
      </c>
      <c r="U787" s="25" t="s">
        <v>112</v>
      </c>
      <c r="V787" s="25">
        <v>0</v>
      </c>
      <c r="W787" s="25" t="s">
        <v>553</v>
      </c>
      <c r="X787" s="25" t="s">
        <v>1749</v>
      </c>
      <c r="Y787" s="25" t="s">
        <v>1750</v>
      </c>
      <c r="Z787" s="26">
        <v>39272</v>
      </c>
      <c r="AA787" s="776">
        <v>54</v>
      </c>
      <c r="AB787" s="776">
        <v>0</v>
      </c>
      <c r="AC787" s="776">
        <v>0</v>
      </c>
      <c r="AD787" s="776">
        <v>0</v>
      </c>
      <c r="AE787" s="777">
        <v>134.80000000000001</v>
      </c>
      <c r="AF787" s="777">
        <v>134.80000000000001</v>
      </c>
      <c r="AG787" s="778">
        <v>141.54000000000002</v>
      </c>
    </row>
    <row r="788" spans="1:33" x14ac:dyDescent="0.2">
      <c r="A788" s="15">
        <f t="shared" si="103"/>
        <v>2007</v>
      </c>
      <c r="B788" s="14">
        <f t="shared" si="104"/>
        <v>7</v>
      </c>
      <c r="C788" s="13" t="str">
        <f t="shared" si="105"/>
        <v>Q3</v>
      </c>
      <c r="D788" s="13" t="str">
        <f t="shared" si="106"/>
        <v>2007Q3</v>
      </c>
      <c r="E788" s="13" t="str">
        <f t="shared" si="107"/>
        <v>Brazil</v>
      </c>
      <c r="F788" s="13" t="str">
        <f t="shared" si="110"/>
        <v>Biofuels</v>
      </c>
      <c r="G788" s="13" t="str">
        <f t="shared" si="109"/>
        <v>Asset finance investments</v>
      </c>
      <c r="H788" s="638">
        <f t="shared" si="108"/>
        <v>126</v>
      </c>
      <c r="I788" s="24" t="s">
        <v>506</v>
      </c>
      <c r="J788" s="25" t="s">
        <v>246</v>
      </c>
      <c r="K788" s="25" t="s">
        <v>2624</v>
      </c>
      <c r="L788" s="25" t="s">
        <v>1138</v>
      </c>
      <c r="M788" s="25" t="s">
        <v>31</v>
      </c>
      <c r="N788" s="25" t="s">
        <v>31</v>
      </c>
      <c r="O788" s="25" t="s">
        <v>92</v>
      </c>
      <c r="P788" s="25" t="s">
        <v>83</v>
      </c>
      <c r="Q788" s="25" t="s">
        <v>82</v>
      </c>
      <c r="R788" s="25" t="s">
        <v>91</v>
      </c>
      <c r="S788" s="25" t="s">
        <v>96</v>
      </c>
      <c r="T788" s="25" t="s">
        <v>96</v>
      </c>
      <c r="U788" s="25" t="s">
        <v>98</v>
      </c>
      <c r="V788" s="25" t="s">
        <v>230</v>
      </c>
      <c r="W788" s="25" t="s">
        <v>553</v>
      </c>
      <c r="X788" s="25" t="s">
        <v>1749</v>
      </c>
      <c r="Y788" s="25" t="s">
        <v>1750</v>
      </c>
      <c r="Z788" s="26">
        <v>39288.720833333296</v>
      </c>
      <c r="AA788" s="776">
        <v>0</v>
      </c>
      <c r="AB788" s="776">
        <v>0</v>
      </c>
      <c r="AC788" s="776">
        <v>0</v>
      </c>
      <c r="AD788" s="776">
        <v>0</v>
      </c>
      <c r="AE788" s="777">
        <v>120</v>
      </c>
      <c r="AF788" s="777">
        <v>120</v>
      </c>
      <c r="AG788" s="778">
        <v>126</v>
      </c>
    </row>
    <row r="789" spans="1:33" x14ac:dyDescent="0.2">
      <c r="A789" s="15">
        <f t="shared" si="103"/>
        <v>2007</v>
      </c>
      <c r="B789" s="14">
        <f t="shared" si="104"/>
        <v>8</v>
      </c>
      <c r="C789" s="13" t="str">
        <f t="shared" si="105"/>
        <v>Q3</v>
      </c>
      <c r="D789" s="13" t="str">
        <f t="shared" si="106"/>
        <v>2007Q3</v>
      </c>
      <c r="E789" s="13" t="str">
        <f t="shared" si="107"/>
        <v>Brazil</v>
      </c>
      <c r="F789" s="13" t="str">
        <f t="shared" si="110"/>
        <v>Small Hydro</v>
      </c>
      <c r="G789" s="13" t="str">
        <f t="shared" si="109"/>
        <v>Asset finance investments</v>
      </c>
      <c r="H789" s="638">
        <f t="shared" si="108"/>
        <v>89.460000000000008</v>
      </c>
      <c r="I789" s="24" t="s">
        <v>506</v>
      </c>
      <c r="J789" s="25" t="s">
        <v>246</v>
      </c>
      <c r="K789" s="25" t="s">
        <v>2625</v>
      </c>
      <c r="L789" s="25" t="s">
        <v>1130</v>
      </c>
      <c r="M789" s="25" t="s">
        <v>31</v>
      </c>
      <c r="N789" s="25" t="s">
        <v>31</v>
      </c>
      <c r="O789" s="25" t="s">
        <v>92</v>
      </c>
      <c r="P789" s="25" t="s">
        <v>83</v>
      </c>
      <c r="Q789" s="25" t="s">
        <v>82</v>
      </c>
      <c r="R789" s="25" t="s">
        <v>91</v>
      </c>
      <c r="S789" s="25" t="s">
        <v>126</v>
      </c>
      <c r="T789" s="25" t="s">
        <v>125</v>
      </c>
      <c r="U789" s="25" t="s">
        <v>342</v>
      </c>
      <c r="V789" s="25">
        <v>0</v>
      </c>
      <c r="W789" s="25" t="s">
        <v>553</v>
      </c>
      <c r="X789" s="25" t="s">
        <v>1749</v>
      </c>
      <c r="Y789" s="25" t="s">
        <v>1750</v>
      </c>
      <c r="Z789" s="26">
        <v>39323</v>
      </c>
      <c r="AA789" s="776">
        <v>30</v>
      </c>
      <c r="AB789" s="776">
        <v>0</v>
      </c>
      <c r="AC789" s="776">
        <v>0</v>
      </c>
      <c r="AD789" s="776">
        <v>0</v>
      </c>
      <c r="AE789" s="777">
        <v>85.2</v>
      </c>
      <c r="AF789" s="777">
        <v>85.2</v>
      </c>
      <c r="AG789" s="778">
        <v>89.460000000000008</v>
      </c>
    </row>
    <row r="790" spans="1:33" x14ac:dyDescent="0.2">
      <c r="A790" s="15">
        <f t="shared" si="103"/>
        <v>2007</v>
      </c>
      <c r="B790" s="14">
        <f t="shared" si="104"/>
        <v>9</v>
      </c>
      <c r="C790" s="13" t="str">
        <f t="shared" si="105"/>
        <v>Q3</v>
      </c>
      <c r="D790" s="13" t="str">
        <f t="shared" si="106"/>
        <v>2007Q3</v>
      </c>
      <c r="E790" s="13" t="str">
        <f t="shared" si="107"/>
        <v>Peru</v>
      </c>
      <c r="F790" s="13" t="str">
        <f t="shared" si="110"/>
        <v>Biofuels</v>
      </c>
      <c r="G790" s="13" t="str">
        <f t="shared" si="109"/>
        <v>Asset finance investments</v>
      </c>
      <c r="H790" s="638">
        <f t="shared" si="108"/>
        <v>87.6267</v>
      </c>
      <c r="I790" s="24" t="s">
        <v>506</v>
      </c>
      <c r="J790" s="25" t="s">
        <v>246</v>
      </c>
      <c r="K790" s="25" t="s">
        <v>2626</v>
      </c>
      <c r="L790" s="25" t="s">
        <v>1128</v>
      </c>
      <c r="M790" s="25" t="s">
        <v>20</v>
      </c>
      <c r="N790" s="25" t="s">
        <v>85</v>
      </c>
      <c r="O790" s="25" t="s">
        <v>92</v>
      </c>
      <c r="P790" s="25" t="s">
        <v>83</v>
      </c>
      <c r="Q790" s="25" t="s">
        <v>82</v>
      </c>
      <c r="R790" s="25"/>
      <c r="S790" s="25" t="s">
        <v>96</v>
      </c>
      <c r="T790" s="25" t="s">
        <v>96</v>
      </c>
      <c r="U790" s="25" t="s">
        <v>95</v>
      </c>
      <c r="V790" s="25">
        <v>0</v>
      </c>
      <c r="W790" s="25" t="s">
        <v>553</v>
      </c>
      <c r="X790" s="25" t="s">
        <v>1752</v>
      </c>
      <c r="Y790" s="25" t="s">
        <v>1753</v>
      </c>
      <c r="Z790" s="26">
        <v>39342.477083333302</v>
      </c>
      <c r="AA790" s="776">
        <v>0</v>
      </c>
      <c r="AB790" s="776">
        <v>198.7</v>
      </c>
      <c r="AC790" s="776">
        <v>0</v>
      </c>
      <c r="AD790" s="776">
        <v>0</v>
      </c>
      <c r="AE790" s="777">
        <v>0</v>
      </c>
      <c r="AF790" s="777">
        <v>83.453999999999994</v>
      </c>
      <c r="AG790" s="778">
        <v>87.6267</v>
      </c>
    </row>
    <row r="791" spans="1:33" x14ac:dyDescent="0.2">
      <c r="A791" s="15">
        <f t="shared" si="103"/>
        <v>2007</v>
      </c>
      <c r="B791" s="14">
        <f t="shared" si="104"/>
        <v>8</v>
      </c>
      <c r="C791" s="13" t="str">
        <f t="shared" si="105"/>
        <v>Q3</v>
      </c>
      <c r="D791" s="13" t="str">
        <f t="shared" si="106"/>
        <v>2007Q3</v>
      </c>
      <c r="E791" s="13" t="str">
        <f t="shared" si="107"/>
        <v>Brazil</v>
      </c>
      <c r="F791" s="13" t="str">
        <f t="shared" si="110"/>
        <v>Small Hydro</v>
      </c>
      <c r="G791" s="13" t="str">
        <f t="shared" si="109"/>
        <v>Asset finance investments</v>
      </c>
      <c r="H791" s="638">
        <f t="shared" si="108"/>
        <v>70.14</v>
      </c>
      <c r="I791" s="24" t="s">
        <v>506</v>
      </c>
      <c r="J791" s="25" t="s">
        <v>246</v>
      </c>
      <c r="K791" s="25" t="s">
        <v>2627</v>
      </c>
      <c r="L791" s="25" t="s">
        <v>1132</v>
      </c>
      <c r="M791" s="25" t="s">
        <v>31</v>
      </c>
      <c r="N791" s="25" t="s">
        <v>31</v>
      </c>
      <c r="O791" s="25" t="s">
        <v>92</v>
      </c>
      <c r="P791" s="25" t="s">
        <v>83</v>
      </c>
      <c r="Q791" s="25" t="s">
        <v>82</v>
      </c>
      <c r="R791" s="25" t="s">
        <v>91</v>
      </c>
      <c r="S791" s="25" t="s">
        <v>126</v>
      </c>
      <c r="T791" s="25" t="s">
        <v>125</v>
      </c>
      <c r="U791" s="25" t="s">
        <v>342</v>
      </c>
      <c r="V791" s="25">
        <v>0</v>
      </c>
      <c r="W791" s="25" t="s">
        <v>553</v>
      </c>
      <c r="X791" s="25" t="s">
        <v>1749</v>
      </c>
      <c r="Y791" s="25" t="s">
        <v>1750</v>
      </c>
      <c r="Z791" s="26">
        <v>39323</v>
      </c>
      <c r="AA791" s="776">
        <v>28.03</v>
      </c>
      <c r="AB791" s="776">
        <v>0</v>
      </c>
      <c r="AC791" s="776">
        <v>0</v>
      </c>
      <c r="AD791" s="776">
        <v>0</v>
      </c>
      <c r="AE791" s="777">
        <v>66.8</v>
      </c>
      <c r="AF791" s="777">
        <v>66.8</v>
      </c>
      <c r="AG791" s="778">
        <v>70.14</v>
      </c>
    </row>
    <row r="792" spans="1:33" x14ac:dyDescent="0.2">
      <c r="A792" s="15">
        <f t="shared" si="103"/>
        <v>2007</v>
      </c>
      <c r="B792" s="14">
        <f t="shared" si="104"/>
        <v>8</v>
      </c>
      <c r="C792" s="13" t="str">
        <f t="shared" si="105"/>
        <v>Q3</v>
      </c>
      <c r="D792" s="13" t="str">
        <f t="shared" si="106"/>
        <v>2007Q3</v>
      </c>
      <c r="E792" s="13" t="str">
        <f t="shared" si="107"/>
        <v>Brazil</v>
      </c>
      <c r="F792" s="13" t="str">
        <f t="shared" si="110"/>
        <v>Biofuels</v>
      </c>
      <c r="G792" s="13" t="str">
        <f t="shared" si="109"/>
        <v>Asset finance investments</v>
      </c>
      <c r="H792" s="638">
        <f t="shared" si="108"/>
        <v>70.035000000000011</v>
      </c>
      <c r="I792" s="24" t="s">
        <v>506</v>
      </c>
      <c r="J792" s="25" t="s">
        <v>246</v>
      </c>
      <c r="K792" s="25" t="s">
        <v>2628</v>
      </c>
      <c r="L792" s="25" t="s">
        <v>1136</v>
      </c>
      <c r="M792" s="25" t="s">
        <v>31</v>
      </c>
      <c r="N792" s="25" t="s">
        <v>31</v>
      </c>
      <c r="O792" s="25" t="s">
        <v>92</v>
      </c>
      <c r="P792" s="25" t="s">
        <v>83</v>
      </c>
      <c r="Q792" s="25" t="s">
        <v>82</v>
      </c>
      <c r="R792" s="25" t="s">
        <v>91</v>
      </c>
      <c r="S792" s="25" t="s">
        <v>96</v>
      </c>
      <c r="T792" s="25" t="s">
        <v>96</v>
      </c>
      <c r="U792" s="25" t="s">
        <v>95</v>
      </c>
      <c r="V792" s="25" t="s">
        <v>223</v>
      </c>
      <c r="W792" s="25" t="s">
        <v>553</v>
      </c>
      <c r="X792" s="25" t="s">
        <v>1752</v>
      </c>
      <c r="Y792" s="25" t="s">
        <v>1753</v>
      </c>
      <c r="Z792" s="26">
        <v>39296.7590277778</v>
      </c>
      <c r="AA792" s="776">
        <v>0</v>
      </c>
      <c r="AB792" s="776">
        <v>235</v>
      </c>
      <c r="AC792" s="776">
        <v>0</v>
      </c>
      <c r="AD792" s="776">
        <v>0</v>
      </c>
      <c r="AE792" s="777">
        <v>66.7</v>
      </c>
      <c r="AF792" s="777">
        <v>66.7</v>
      </c>
      <c r="AG792" s="778">
        <v>70.035000000000011</v>
      </c>
    </row>
    <row r="793" spans="1:33" x14ac:dyDescent="0.2">
      <c r="A793" s="15">
        <f t="shared" si="103"/>
        <v>2007</v>
      </c>
      <c r="B793" s="14">
        <f t="shared" si="104"/>
        <v>7</v>
      </c>
      <c r="C793" s="13" t="str">
        <f t="shared" si="105"/>
        <v>Q3</v>
      </c>
      <c r="D793" s="13" t="str">
        <f t="shared" si="106"/>
        <v>2007Q3</v>
      </c>
      <c r="E793" s="13" t="str">
        <f t="shared" si="107"/>
        <v>Brazil</v>
      </c>
      <c r="F793" s="13" t="str">
        <f t="shared" si="110"/>
        <v>Biofuels</v>
      </c>
      <c r="G793" s="13" t="str">
        <f t="shared" si="109"/>
        <v>Asset finance investments</v>
      </c>
      <c r="H793" s="638">
        <f t="shared" si="108"/>
        <v>64.575000000000003</v>
      </c>
      <c r="I793" s="24" t="s">
        <v>506</v>
      </c>
      <c r="J793" s="25" t="s">
        <v>246</v>
      </c>
      <c r="K793" s="25" t="s">
        <v>2629</v>
      </c>
      <c r="L793" s="25" t="s">
        <v>639</v>
      </c>
      <c r="M793" s="25" t="s">
        <v>31</v>
      </c>
      <c r="N793" s="25" t="s">
        <v>31</v>
      </c>
      <c r="O793" s="25" t="s">
        <v>92</v>
      </c>
      <c r="P793" s="25" t="s">
        <v>83</v>
      </c>
      <c r="Q793" s="25" t="s">
        <v>82</v>
      </c>
      <c r="R793" s="25" t="s">
        <v>91</v>
      </c>
      <c r="S793" s="25" t="s">
        <v>96</v>
      </c>
      <c r="T793" s="25" t="s">
        <v>96</v>
      </c>
      <c r="U793" s="25" t="s">
        <v>98</v>
      </c>
      <c r="V793" s="25">
        <v>0</v>
      </c>
      <c r="W793" s="25" t="s">
        <v>553</v>
      </c>
      <c r="X793" s="25" t="s">
        <v>1752</v>
      </c>
      <c r="Y793" s="25" t="s">
        <v>1753</v>
      </c>
      <c r="Z793" s="26">
        <v>39274</v>
      </c>
      <c r="AA793" s="776">
        <v>4.4000000000000004</v>
      </c>
      <c r="AB793" s="776">
        <v>50</v>
      </c>
      <c r="AC793" s="776">
        <v>0</v>
      </c>
      <c r="AD793" s="776">
        <v>0</v>
      </c>
      <c r="AE793" s="777">
        <v>0</v>
      </c>
      <c r="AF793" s="777">
        <v>61.5</v>
      </c>
      <c r="AG793" s="778">
        <v>64.575000000000003</v>
      </c>
    </row>
    <row r="794" spans="1:33" x14ac:dyDescent="0.2">
      <c r="A794" s="15">
        <f t="shared" si="103"/>
        <v>2007</v>
      </c>
      <c r="B794" s="14">
        <f t="shared" si="104"/>
        <v>7</v>
      </c>
      <c r="C794" s="13" t="str">
        <f t="shared" si="105"/>
        <v>Q3</v>
      </c>
      <c r="D794" s="13" t="str">
        <f t="shared" si="106"/>
        <v>2007Q3</v>
      </c>
      <c r="E794" s="13" t="str">
        <f t="shared" si="107"/>
        <v>Brazil</v>
      </c>
      <c r="F794" s="13" t="str">
        <f t="shared" si="110"/>
        <v>Small Hydro</v>
      </c>
      <c r="G794" s="13" t="str">
        <f t="shared" si="109"/>
        <v>Asset finance investments</v>
      </c>
      <c r="H794" s="638">
        <f t="shared" si="108"/>
        <v>64.155000000000001</v>
      </c>
      <c r="I794" s="24" t="s">
        <v>506</v>
      </c>
      <c r="J794" s="25" t="s">
        <v>246</v>
      </c>
      <c r="K794" s="25" t="s">
        <v>2630</v>
      </c>
      <c r="L794" s="25" t="s">
        <v>941</v>
      </c>
      <c r="M794" s="25" t="s">
        <v>31</v>
      </c>
      <c r="N794" s="25" t="s">
        <v>31</v>
      </c>
      <c r="O794" s="25" t="s">
        <v>92</v>
      </c>
      <c r="P794" s="25" t="s">
        <v>83</v>
      </c>
      <c r="Q794" s="25" t="s">
        <v>82</v>
      </c>
      <c r="R794" s="25" t="s">
        <v>91</v>
      </c>
      <c r="S794" s="25" t="s">
        <v>126</v>
      </c>
      <c r="T794" s="25" t="s">
        <v>125</v>
      </c>
      <c r="U794" s="25" t="s">
        <v>342</v>
      </c>
      <c r="V794" s="25">
        <v>0</v>
      </c>
      <c r="W794" s="25" t="s">
        <v>553</v>
      </c>
      <c r="X794" s="25" t="s">
        <v>1749</v>
      </c>
      <c r="Y794" s="25" t="s">
        <v>1750</v>
      </c>
      <c r="Z794" s="26">
        <v>39267</v>
      </c>
      <c r="AA794" s="776">
        <v>28</v>
      </c>
      <c r="AB794" s="776">
        <v>0</v>
      </c>
      <c r="AC794" s="776">
        <v>0</v>
      </c>
      <c r="AD794" s="776">
        <v>0</v>
      </c>
      <c r="AE794" s="777">
        <v>61.1</v>
      </c>
      <c r="AF794" s="777">
        <v>61.1</v>
      </c>
      <c r="AG794" s="778">
        <v>64.155000000000001</v>
      </c>
    </row>
    <row r="795" spans="1:33" x14ac:dyDescent="0.2">
      <c r="A795" s="15">
        <f t="shared" si="103"/>
        <v>2007</v>
      </c>
      <c r="B795" s="14">
        <f t="shared" si="104"/>
        <v>7</v>
      </c>
      <c r="C795" s="13" t="str">
        <f t="shared" si="105"/>
        <v>Q3</v>
      </c>
      <c r="D795" s="13" t="str">
        <f t="shared" si="106"/>
        <v>2007Q3</v>
      </c>
      <c r="E795" s="13" t="str">
        <f t="shared" si="107"/>
        <v>Brazil</v>
      </c>
      <c r="F795" s="13" t="str">
        <f t="shared" si="110"/>
        <v>Wind</v>
      </c>
      <c r="G795" s="13" t="str">
        <f t="shared" si="109"/>
        <v>Asset finance investments</v>
      </c>
      <c r="H795" s="638">
        <f t="shared" si="108"/>
        <v>56.175000000000004</v>
      </c>
      <c r="I795" s="24" t="s">
        <v>506</v>
      </c>
      <c r="J795" s="25" t="s">
        <v>246</v>
      </c>
      <c r="K795" s="25" t="s">
        <v>2631</v>
      </c>
      <c r="L795" s="25" t="s">
        <v>954</v>
      </c>
      <c r="M795" s="25" t="s">
        <v>31</v>
      </c>
      <c r="N795" s="25" t="s">
        <v>31</v>
      </c>
      <c r="O795" s="25" t="s">
        <v>92</v>
      </c>
      <c r="P795" s="25" t="s">
        <v>83</v>
      </c>
      <c r="Q795" s="25" t="s">
        <v>82</v>
      </c>
      <c r="R795" s="25" t="s">
        <v>91</v>
      </c>
      <c r="S795" s="25" t="s">
        <v>101</v>
      </c>
      <c r="T795" s="25" t="s">
        <v>101</v>
      </c>
      <c r="U795" s="25" t="s">
        <v>112</v>
      </c>
      <c r="V795" s="25">
        <v>0</v>
      </c>
      <c r="W795" s="25" t="s">
        <v>553</v>
      </c>
      <c r="X795" s="25" t="s">
        <v>1749</v>
      </c>
      <c r="Y795" s="25" t="s">
        <v>1750</v>
      </c>
      <c r="Z795" s="26">
        <v>39272</v>
      </c>
      <c r="AA795" s="776">
        <v>23.4</v>
      </c>
      <c r="AB795" s="776">
        <v>0</v>
      </c>
      <c r="AC795" s="776">
        <v>0</v>
      </c>
      <c r="AD795" s="776">
        <v>0</v>
      </c>
      <c r="AE795" s="777">
        <v>53.5</v>
      </c>
      <c r="AF795" s="777">
        <v>53.5</v>
      </c>
      <c r="AG795" s="778">
        <v>56.175000000000004</v>
      </c>
    </row>
    <row r="796" spans="1:33" x14ac:dyDescent="0.2">
      <c r="A796" s="15">
        <f t="shared" si="103"/>
        <v>2007</v>
      </c>
      <c r="B796" s="14">
        <f t="shared" si="104"/>
        <v>7</v>
      </c>
      <c r="C796" s="13" t="str">
        <f t="shared" si="105"/>
        <v>Q3</v>
      </c>
      <c r="D796" s="13" t="str">
        <f t="shared" si="106"/>
        <v>2007Q3</v>
      </c>
      <c r="E796" s="13" t="str">
        <f t="shared" si="107"/>
        <v>Brazil</v>
      </c>
      <c r="F796" s="13" t="str">
        <f t="shared" si="110"/>
        <v>Wind</v>
      </c>
      <c r="G796" s="13" t="str">
        <f t="shared" si="109"/>
        <v>Asset finance investments</v>
      </c>
      <c r="H796" s="638">
        <f t="shared" si="108"/>
        <v>55.02</v>
      </c>
      <c r="I796" s="24" t="s">
        <v>506</v>
      </c>
      <c r="J796" s="25" t="s">
        <v>246</v>
      </c>
      <c r="K796" s="25" t="s">
        <v>2632</v>
      </c>
      <c r="L796" s="25" t="s">
        <v>953</v>
      </c>
      <c r="M796" s="25" t="s">
        <v>31</v>
      </c>
      <c r="N796" s="25" t="s">
        <v>31</v>
      </c>
      <c r="O796" s="25" t="s">
        <v>92</v>
      </c>
      <c r="P796" s="25" t="s">
        <v>83</v>
      </c>
      <c r="Q796" s="25" t="s">
        <v>82</v>
      </c>
      <c r="R796" s="25" t="s">
        <v>91</v>
      </c>
      <c r="S796" s="25" t="s">
        <v>101</v>
      </c>
      <c r="T796" s="25" t="s">
        <v>101</v>
      </c>
      <c r="U796" s="25" t="s">
        <v>112</v>
      </c>
      <c r="V796" s="25">
        <v>0</v>
      </c>
      <c r="W796" s="25" t="s">
        <v>553</v>
      </c>
      <c r="X796" s="25" t="s">
        <v>1749</v>
      </c>
      <c r="Y796" s="25" t="s">
        <v>1750</v>
      </c>
      <c r="Z796" s="26">
        <v>39272</v>
      </c>
      <c r="AA796" s="776">
        <v>25.2</v>
      </c>
      <c r="AB796" s="776">
        <v>0</v>
      </c>
      <c r="AC796" s="776">
        <v>0</v>
      </c>
      <c r="AD796" s="776">
        <v>0</v>
      </c>
      <c r="AE796" s="777">
        <v>52.4</v>
      </c>
      <c r="AF796" s="777">
        <v>52.4</v>
      </c>
      <c r="AG796" s="778">
        <v>55.02</v>
      </c>
    </row>
    <row r="797" spans="1:33" x14ac:dyDescent="0.2">
      <c r="A797" s="15">
        <f t="shared" si="103"/>
        <v>2007</v>
      </c>
      <c r="B797" s="14">
        <f t="shared" si="104"/>
        <v>7</v>
      </c>
      <c r="C797" s="13" t="str">
        <f t="shared" si="105"/>
        <v>Q3</v>
      </c>
      <c r="D797" s="13" t="str">
        <f t="shared" si="106"/>
        <v>2007Q3</v>
      </c>
      <c r="E797" s="13" t="str">
        <f t="shared" si="107"/>
        <v>Colombia</v>
      </c>
      <c r="F797" s="13" t="str">
        <f t="shared" si="110"/>
        <v>Biofuels</v>
      </c>
      <c r="G797" s="13" t="str">
        <f t="shared" si="109"/>
        <v>Asset finance investments</v>
      </c>
      <c r="H797" s="638">
        <f t="shared" si="108"/>
        <v>52.478999999999999</v>
      </c>
      <c r="I797" s="24" t="s">
        <v>506</v>
      </c>
      <c r="J797" s="25" t="s">
        <v>246</v>
      </c>
      <c r="K797" s="25" t="s">
        <v>2633</v>
      </c>
      <c r="L797" s="25" t="s">
        <v>1147</v>
      </c>
      <c r="M797" s="25" t="s">
        <v>9</v>
      </c>
      <c r="N797" s="25" t="s">
        <v>85</v>
      </c>
      <c r="O797" s="25" t="s">
        <v>92</v>
      </c>
      <c r="P797" s="25" t="s">
        <v>83</v>
      </c>
      <c r="Q797" s="25" t="s">
        <v>82</v>
      </c>
      <c r="R797" s="25"/>
      <c r="S797" s="25" t="s">
        <v>96</v>
      </c>
      <c r="T797" s="25" t="s">
        <v>96</v>
      </c>
      <c r="U797" s="25" t="s">
        <v>95</v>
      </c>
      <c r="V797" s="25">
        <v>0</v>
      </c>
      <c r="W797" s="25" t="s">
        <v>553</v>
      </c>
      <c r="X797" s="25" t="s">
        <v>1752</v>
      </c>
      <c r="Y797" s="25" t="s">
        <v>1753</v>
      </c>
      <c r="Z797" s="26">
        <v>39266.466666666704</v>
      </c>
      <c r="AA797" s="776">
        <v>0</v>
      </c>
      <c r="AB797" s="776">
        <v>119</v>
      </c>
      <c r="AC797" s="776">
        <v>0</v>
      </c>
      <c r="AD797" s="776">
        <v>0</v>
      </c>
      <c r="AE797" s="777">
        <v>0</v>
      </c>
      <c r="AF797" s="777">
        <v>49.98</v>
      </c>
      <c r="AG797" s="778">
        <v>52.478999999999999</v>
      </c>
    </row>
    <row r="798" spans="1:33" x14ac:dyDescent="0.2">
      <c r="A798" s="15">
        <f t="shared" si="103"/>
        <v>2007</v>
      </c>
      <c r="B798" s="14">
        <f t="shared" si="104"/>
        <v>7</v>
      </c>
      <c r="C798" s="13" t="str">
        <f t="shared" si="105"/>
        <v>Q3</v>
      </c>
      <c r="D798" s="13" t="str">
        <f t="shared" si="106"/>
        <v>2007Q3</v>
      </c>
      <c r="E798" s="13" t="str">
        <f t="shared" si="107"/>
        <v>Colombia</v>
      </c>
      <c r="F798" s="13" t="str">
        <f t="shared" si="110"/>
        <v>Biofuels</v>
      </c>
      <c r="G798" s="13" t="str">
        <f t="shared" si="109"/>
        <v>Asset finance investments</v>
      </c>
      <c r="H798" s="638">
        <f t="shared" si="108"/>
        <v>52.478999999999999</v>
      </c>
      <c r="I798" s="24" t="s">
        <v>506</v>
      </c>
      <c r="J798" s="25" t="s">
        <v>246</v>
      </c>
      <c r="K798" s="25" t="s">
        <v>2634</v>
      </c>
      <c r="L798" s="25" t="s">
        <v>1145</v>
      </c>
      <c r="M798" s="25" t="s">
        <v>9</v>
      </c>
      <c r="N798" s="25" t="s">
        <v>85</v>
      </c>
      <c r="O798" s="25" t="s">
        <v>92</v>
      </c>
      <c r="P798" s="25" t="s">
        <v>83</v>
      </c>
      <c r="Q798" s="25" t="s">
        <v>82</v>
      </c>
      <c r="R798" s="25"/>
      <c r="S798" s="25" t="s">
        <v>96</v>
      </c>
      <c r="T798" s="25" t="s">
        <v>96</v>
      </c>
      <c r="U798" s="25" t="s">
        <v>95</v>
      </c>
      <c r="V798" s="25">
        <v>0</v>
      </c>
      <c r="W798" s="25" t="s">
        <v>553</v>
      </c>
      <c r="X798" s="25" t="s">
        <v>1752</v>
      </c>
      <c r="Y798" s="25" t="s">
        <v>1753</v>
      </c>
      <c r="Z798" s="26">
        <v>39266.483333333301</v>
      </c>
      <c r="AA798" s="776">
        <v>0</v>
      </c>
      <c r="AB798" s="776">
        <v>119</v>
      </c>
      <c r="AC798" s="776">
        <v>0</v>
      </c>
      <c r="AD798" s="776">
        <v>0</v>
      </c>
      <c r="AE798" s="777">
        <v>0</v>
      </c>
      <c r="AF798" s="777">
        <v>49.98</v>
      </c>
      <c r="AG798" s="778">
        <v>52.478999999999999</v>
      </c>
    </row>
    <row r="799" spans="1:33" x14ac:dyDescent="0.2">
      <c r="A799" s="15">
        <f t="shared" si="103"/>
        <v>2007</v>
      </c>
      <c r="B799" s="14">
        <f t="shared" si="104"/>
        <v>7</v>
      </c>
      <c r="C799" s="13" t="str">
        <f t="shared" si="105"/>
        <v>Q3</v>
      </c>
      <c r="D799" s="13" t="str">
        <f t="shared" si="106"/>
        <v>2007Q3</v>
      </c>
      <c r="E799" s="13" t="str">
        <f t="shared" si="107"/>
        <v>Brazil</v>
      </c>
      <c r="F799" s="13" t="str">
        <f t="shared" si="110"/>
        <v>Biofuels</v>
      </c>
      <c r="G799" s="13" t="str">
        <f t="shared" si="109"/>
        <v>Asset finance investments</v>
      </c>
      <c r="H799" s="638">
        <f t="shared" si="108"/>
        <v>42</v>
      </c>
      <c r="I799" s="24" t="s">
        <v>506</v>
      </c>
      <c r="J799" s="25" t="s">
        <v>246</v>
      </c>
      <c r="K799" s="25" t="s">
        <v>2635</v>
      </c>
      <c r="L799" s="25" t="s">
        <v>2636</v>
      </c>
      <c r="M799" s="25" t="s">
        <v>31</v>
      </c>
      <c r="N799" s="25" t="s">
        <v>31</v>
      </c>
      <c r="O799" s="25" t="s">
        <v>92</v>
      </c>
      <c r="P799" s="25" t="s">
        <v>83</v>
      </c>
      <c r="Q799" s="25" t="s">
        <v>82</v>
      </c>
      <c r="R799" s="25" t="s">
        <v>91</v>
      </c>
      <c r="S799" s="25" t="s">
        <v>96</v>
      </c>
      <c r="T799" s="25" t="s">
        <v>96</v>
      </c>
      <c r="U799" s="25" t="s">
        <v>98</v>
      </c>
      <c r="V799" s="25" t="s">
        <v>230</v>
      </c>
      <c r="W799" s="25" t="s">
        <v>553</v>
      </c>
      <c r="X799" s="25" t="s">
        <v>1752</v>
      </c>
      <c r="Y799" s="25" t="s">
        <v>1753</v>
      </c>
      <c r="Z799" s="26">
        <v>39274</v>
      </c>
      <c r="AA799" s="776">
        <v>15</v>
      </c>
      <c r="AB799" s="776">
        <v>60</v>
      </c>
      <c r="AC799" s="776">
        <v>0</v>
      </c>
      <c r="AD799" s="776">
        <v>0</v>
      </c>
      <c r="AE799" s="777">
        <v>0</v>
      </c>
      <c r="AF799" s="777">
        <v>40</v>
      </c>
      <c r="AG799" s="778">
        <v>42</v>
      </c>
    </row>
    <row r="800" spans="1:33" x14ac:dyDescent="0.2">
      <c r="A800" s="15">
        <f t="shared" si="103"/>
        <v>2007</v>
      </c>
      <c r="B800" s="14">
        <f t="shared" si="104"/>
        <v>8</v>
      </c>
      <c r="C800" s="13" t="str">
        <f t="shared" si="105"/>
        <v>Q3</v>
      </c>
      <c r="D800" s="13" t="str">
        <f t="shared" si="106"/>
        <v>2007Q3</v>
      </c>
      <c r="E800" s="13" t="str">
        <f t="shared" si="107"/>
        <v>Brazil</v>
      </c>
      <c r="F800" s="13" t="str">
        <f t="shared" si="110"/>
        <v>Small Hydro</v>
      </c>
      <c r="G800" s="13" t="str">
        <f t="shared" si="109"/>
        <v>Asset finance investments</v>
      </c>
      <c r="H800" s="638">
        <f t="shared" si="108"/>
        <v>38.43</v>
      </c>
      <c r="I800" s="24" t="s">
        <v>506</v>
      </c>
      <c r="J800" s="25" t="s">
        <v>246</v>
      </c>
      <c r="K800" s="25" t="s">
        <v>2637</v>
      </c>
      <c r="L800" s="25" t="s">
        <v>1127</v>
      </c>
      <c r="M800" s="25" t="s">
        <v>31</v>
      </c>
      <c r="N800" s="25" t="s">
        <v>31</v>
      </c>
      <c r="O800" s="25" t="s">
        <v>92</v>
      </c>
      <c r="P800" s="25" t="s">
        <v>83</v>
      </c>
      <c r="Q800" s="25" t="s">
        <v>82</v>
      </c>
      <c r="R800" s="25" t="s">
        <v>91</v>
      </c>
      <c r="S800" s="25" t="s">
        <v>126</v>
      </c>
      <c r="T800" s="25" t="s">
        <v>125</v>
      </c>
      <c r="U800" s="25" t="s">
        <v>342</v>
      </c>
      <c r="V800" s="25">
        <v>0</v>
      </c>
      <c r="W800" s="25" t="s">
        <v>553</v>
      </c>
      <c r="X800" s="25" t="s">
        <v>1752</v>
      </c>
      <c r="Y800" s="25" t="s">
        <v>1753</v>
      </c>
      <c r="Z800" s="26">
        <v>39315</v>
      </c>
      <c r="AA800" s="776">
        <v>14.7</v>
      </c>
      <c r="AB800" s="776">
        <v>0</v>
      </c>
      <c r="AC800" s="776">
        <v>0</v>
      </c>
      <c r="AD800" s="776">
        <v>0</v>
      </c>
      <c r="AE800" s="777">
        <v>36.6</v>
      </c>
      <c r="AF800" s="777">
        <v>36.6</v>
      </c>
      <c r="AG800" s="778">
        <v>38.43</v>
      </c>
    </row>
    <row r="801" spans="1:33" x14ac:dyDescent="0.2">
      <c r="A801" s="15">
        <f t="shared" si="103"/>
        <v>2007</v>
      </c>
      <c r="B801" s="14">
        <f t="shared" si="104"/>
        <v>8</v>
      </c>
      <c r="C801" s="13" t="str">
        <f t="shared" si="105"/>
        <v>Q3</v>
      </c>
      <c r="D801" s="13" t="str">
        <f t="shared" si="106"/>
        <v>2007Q3</v>
      </c>
      <c r="E801" s="13" t="str">
        <f t="shared" si="107"/>
        <v>Brazil</v>
      </c>
      <c r="F801" s="13" t="str">
        <f t="shared" si="110"/>
        <v>Small Hydro</v>
      </c>
      <c r="G801" s="13" t="str">
        <f t="shared" si="109"/>
        <v>Asset finance investments</v>
      </c>
      <c r="H801" s="638">
        <f t="shared" si="108"/>
        <v>32.130000000000003</v>
      </c>
      <c r="I801" s="24" t="s">
        <v>506</v>
      </c>
      <c r="J801" s="25" t="s">
        <v>246</v>
      </c>
      <c r="K801" s="25" t="s">
        <v>2638</v>
      </c>
      <c r="L801" s="25" t="s">
        <v>1131</v>
      </c>
      <c r="M801" s="25" t="s">
        <v>31</v>
      </c>
      <c r="N801" s="25" t="s">
        <v>31</v>
      </c>
      <c r="O801" s="25" t="s">
        <v>92</v>
      </c>
      <c r="P801" s="25" t="s">
        <v>83</v>
      </c>
      <c r="Q801" s="25" t="s">
        <v>82</v>
      </c>
      <c r="R801" s="25" t="s">
        <v>91</v>
      </c>
      <c r="S801" s="25" t="s">
        <v>126</v>
      </c>
      <c r="T801" s="25" t="s">
        <v>125</v>
      </c>
      <c r="U801" s="25" t="s">
        <v>342</v>
      </c>
      <c r="V801" s="25">
        <v>0</v>
      </c>
      <c r="W801" s="25" t="s">
        <v>553</v>
      </c>
      <c r="X801" s="25" t="s">
        <v>1749</v>
      </c>
      <c r="Y801" s="25" t="s">
        <v>1750</v>
      </c>
      <c r="Z801" s="26">
        <v>39323</v>
      </c>
      <c r="AA801" s="776">
        <v>10</v>
      </c>
      <c r="AB801" s="776">
        <v>0</v>
      </c>
      <c r="AC801" s="776">
        <v>0</v>
      </c>
      <c r="AD801" s="776">
        <v>0</v>
      </c>
      <c r="AE801" s="777">
        <v>30.6</v>
      </c>
      <c r="AF801" s="777">
        <v>30.6</v>
      </c>
      <c r="AG801" s="778">
        <v>32.130000000000003</v>
      </c>
    </row>
    <row r="802" spans="1:33" x14ac:dyDescent="0.2">
      <c r="A802" s="15">
        <f t="shared" si="103"/>
        <v>2007</v>
      </c>
      <c r="B802" s="14">
        <f t="shared" si="104"/>
        <v>7</v>
      </c>
      <c r="C802" s="13" t="str">
        <f t="shared" si="105"/>
        <v>Q3</v>
      </c>
      <c r="D802" s="13" t="str">
        <f t="shared" si="106"/>
        <v>2007Q3</v>
      </c>
      <c r="E802" s="13" t="str">
        <f t="shared" si="107"/>
        <v>Panama</v>
      </c>
      <c r="F802" s="13" t="str">
        <f t="shared" si="110"/>
        <v>Small Hydro</v>
      </c>
      <c r="G802" s="13" t="str">
        <f t="shared" si="109"/>
        <v>Asset finance investments</v>
      </c>
      <c r="H802" s="638">
        <f t="shared" si="108"/>
        <v>26.25</v>
      </c>
      <c r="I802" s="24" t="s">
        <v>506</v>
      </c>
      <c r="J802" s="25" t="s">
        <v>246</v>
      </c>
      <c r="K802" s="25" t="s">
        <v>2639</v>
      </c>
      <c r="L802" s="25" t="s">
        <v>878</v>
      </c>
      <c r="M802" s="25" t="s">
        <v>19</v>
      </c>
      <c r="N802" s="25" t="s">
        <v>85</v>
      </c>
      <c r="O802" s="25" t="s">
        <v>92</v>
      </c>
      <c r="P802" s="25" t="s">
        <v>83</v>
      </c>
      <c r="Q802" s="25" t="s">
        <v>82</v>
      </c>
      <c r="R802" s="25"/>
      <c r="S802" s="25" t="s">
        <v>126</v>
      </c>
      <c r="T802" s="25" t="s">
        <v>125</v>
      </c>
      <c r="U802" s="25" t="s">
        <v>247</v>
      </c>
      <c r="V802" s="25">
        <v>0</v>
      </c>
      <c r="W802" s="25" t="s">
        <v>553</v>
      </c>
      <c r="X802" s="25" t="s">
        <v>1752</v>
      </c>
      <c r="Y802" s="25" t="s">
        <v>1753</v>
      </c>
      <c r="Z802" s="26">
        <v>39283</v>
      </c>
      <c r="AA802" s="776">
        <v>10</v>
      </c>
      <c r="AB802" s="776">
        <v>0</v>
      </c>
      <c r="AC802" s="776">
        <v>0</v>
      </c>
      <c r="AD802" s="776">
        <v>0</v>
      </c>
      <c r="AE802" s="777">
        <v>0</v>
      </c>
      <c r="AF802" s="777">
        <v>25</v>
      </c>
      <c r="AG802" s="778">
        <v>26.25</v>
      </c>
    </row>
    <row r="803" spans="1:33" x14ac:dyDescent="0.2">
      <c r="A803" s="15">
        <f t="shared" si="103"/>
        <v>2007</v>
      </c>
      <c r="B803" s="14">
        <f t="shared" si="104"/>
        <v>8</v>
      </c>
      <c r="C803" s="13" t="str">
        <f t="shared" si="105"/>
        <v>Q3</v>
      </c>
      <c r="D803" s="13" t="str">
        <f t="shared" si="106"/>
        <v>2007Q3</v>
      </c>
      <c r="E803" s="13" t="str">
        <f t="shared" si="107"/>
        <v>Chile</v>
      </c>
      <c r="F803" s="13" t="str">
        <f t="shared" si="110"/>
        <v>Small Hydro</v>
      </c>
      <c r="G803" s="13" t="str">
        <f t="shared" si="109"/>
        <v>Asset finance investments</v>
      </c>
      <c r="H803" s="638">
        <f t="shared" si="108"/>
        <v>24.465000000000003</v>
      </c>
      <c r="I803" s="24" t="s">
        <v>506</v>
      </c>
      <c r="J803" s="25" t="s">
        <v>246</v>
      </c>
      <c r="K803" s="25" t="s">
        <v>2640</v>
      </c>
      <c r="L803" s="25" t="s">
        <v>1070</v>
      </c>
      <c r="M803" s="25" t="s">
        <v>8</v>
      </c>
      <c r="N803" s="25" t="s">
        <v>85</v>
      </c>
      <c r="O803" s="25" t="s">
        <v>92</v>
      </c>
      <c r="P803" s="25" t="s">
        <v>83</v>
      </c>
      <c r="Q803" s="25" t="s">
        <v>129</v>
      </c>
      <c r="R803" s="25"/>
      <c r="S803" s="25" t="s">
        <v>126</v>
      </c>
      <c r="T803" s="25" t="s">
        <v>125</v>
      </c>
      <c r="U803" s="25" t="s">
        <v>247</v>
      </c>
      <c r="V803" s="25">
        <v>0</v>
      </c>
      <c r="W803" s="25" t="s">
        <v>553</v>
      </c>
      <c r="X803" s="25" t="s">
        <v>1749</v>
      </c>
      <c r="Y803" s="25" t="s">
        <v>1750</v>
      </c>
      <c r="Z803" s="26">
        <v>39303</v>
      </c>
      <c r="AA803" s="776">
        <v>19</v>
      </c>
      <c r="AB803" s="776">
        <v>0</v>
      </c>
      <c r="AC803" s="776">
        <v>0</v>
      </c>
      <c r="AD803" s="776">
        <v>0</v>
      </c>
      <c r="AE803" s="777">
        <v>23.3</v>
      </c>
      <c r="AF803" s="777">
        <v>23.3</v>
      </c>
      <c r="AG803" s="778">
        <v>24.465000000000003</v>
      </c>
    </row>
    <row r="804" spans="1:33" x14ac:dyDescent="0.2">
      <c r="A804" s="15">
        <f t="shared" si="103"/>
        <v>2007</v>
      </c>
      <c r="B804" s="14">
        <f t="shared" si="104"/>
        <v>8</v>
      </c>
      <c r="C804" s="13" t="str">
        <f t="shared" si="105"/>
        <v>Q3</v>
      </c>
      <c r="D804" s="13" t="str">
        <f t="shared" si="106"/>
        <v>2007Q3</v>
      </c>
      <c r="E804" s="13" t="str">
        <f t="shared" si="107"/>
        <v>Brazil</v>
      </c>
      <c r="F804" s="13" t="str">
        <f t="shared" si="110"/>
        <v>Small Hydro</v>
      </c>
      <c r="G804" s="13" t="str">
        <f t="shared" si="109"/>
        <v>Asset finance investments</v>
      </c>
      <c r="H804" s="638">
        <f t="shared" si="108"/>
        <v>23.52</v>
      </c>
      <c r="I804" s="24" t="s">
        <v>506</v>
      </c>
      <c r="J804" s="25" t="s">
        <v>246</v>
      </c>
      <c r="K804" s="25" t="s">
        <v>2641</v>
      </c>
      <c r="L804" s="25" t="s">
        <v>990</v>
      </c>
      <c r="M804" s="25" t="s">
        <v>31</v>
      </c>
      <c r="N804" s="25" t="s">
        <v>31</v>
      </c>
      <c r="O804" s="25" t="s">
        <v>92</v>
      </c>
      <c r="P804" s="25" t="s">
        <v>83</v>
      </c>
      <c r="Q804" s="25" t="s">
        <v>82</v>
      </c>
      <c r="R804" s="25" t="s">
        <v>91</v>
      </c>
      <c r="S804" s="25" t="s">
        <v>126</v>
      </c>
      <c r="T804" s="25" t="s">
        <v>125</v>
      </c>
      <c r="U804" s="25" t="s">
        <v>247</v>
      </c>
      <c r="V804" s="25">
        <v>0</v>
      </c>
      <c r="W804" s="25" t="s">
        <v>553</v>
      </c>
      <c r="X804" s="25" t="s">
        <v>1752</v>
      </c>
      <c r="Y804" s="25" t="s">
        <v>1753</v>
      </c>
      <c r="Z804" s="26">
        <v>39295</v>
      </c>
      <c r="AA804" s="776">
        <v>14</v>
      </c>
      <c r="AB804" s="776">
        <v>0</v>
      </c>
      <c r="AC804" s="776">
        <v>0</v>
      </c>
      <c r="AD804" s="776">
        <v>0</v>
      </c>
      <c r="AE804" s="777">
        <v>22.4</v>
      </c>
      <c r="AF804" s="777">
        <v>22.4</v>
      </c>
      <c r="AG804" s="778">
        <v>23.52</v>
      </c>
    </row>
    <row r="805" spans="1:33" x14ac:dyDescent="0.2">
      <c r="A805" s="15">
        <f t="shared" si="103"/>
        <v>2007</v>
      </c>
      <c r="B805" s="14">
        <f t="shared" si="104"/>
        <v>8</v>
      </c>
      <c r="C805" s="13" t="str">
        <f t="shared" si="105"/>
        <v>Q3</v>
      </c>
      <c r="D805" s="13" t="str">
        <f t="shared" si="106"/>
        <v>2007Q3</v>
      </c>
      <c r="E805" s="13" t="str">
        <f t="shared" si="107"/>
        <v>Argentina</v>
      </c>
      <c r="F805" s="13" t="str">
        <f t="shared" si="110"/>
        <v>Biofuels</v>
      </c>
      <c r="G805" s="13" t="str">
        <f t="shared" si="109"/>
        <v>Asset finance investments</v>
      </c>
      <c r="H805" s="638">
        <f t="shared" si="108"/>
        <v>18.918899999999997</v>
      </c>
      <c r="I805" s="24" t="s">
        <v>506</v>
      </c>
      <c r="J805" s="25" t="s">
        <v>246</v>
      </c>
      <c r="K805" s="25" t="s">
        <v>2642</v>
      </c>
      <c r="L805" s="25" t="s">
        <v>1135</v>
      </c>
      <c r="M805" s="25" t="s">
        <v>4</v>
      </c>
      <c r="N805" s="25" t="s">
        <v>85</v>
      </c>
      <c r="O805" s="25" t="s">
        <v>92</v>
      </c>
      <c r="P805" s="25" t="s">
        <v>83</v>
      </c>
      <c r="Q805" s="25" t="s">
        <v>82</v>
      </c>
      <c r="R805" s="25"/>
      <c r="S805" s="25" t="s">
        <v>96</v>
      </c>
      <c r="T805" s="25" t="s">
        <v>96</v>
      </c>
      <c r="U805" s="25" t="s">
        <v>95</v>
      </c>
      <c r="V805" s="25" t="s">
        <v>223</v>
      </c>
      <c r="W805" s="25" t="s">
        <v>553</v>
      </c>
      <c r="X805" s="25" t="s">
        <v>1752</v>
      </c>
      <c r="Y805" s="25" t="s">
        <v>1753</v>
      </c>
      <c r="Z805" s="26">
        <v>39304.494444444397</v>
      </c>
      <c r="AA805" s="776">
        <v>0</v>
      </c>
      <c r="AB805" s="776">
        <v>42.9</v>
      </c>
      <c r="AC805" s="776">
        <v>0</v>
      </c>
      <c r="AD805" s="776">
        <v>0</v>
      </c>
      <c r="AE805" s="777">
        <v>0</v>
      </c>
      <c r="AF805" s="777">
        <v>18.017999999999997</v>
      </c>
      <c r="AG805" s="778">
        <v>18.918899999999997</v>
      </c>
    </row>
    <row r="806" spans="1:33" x14ac:dyDescent="0.2">
      <c r="A806" s="15">
        <f t="shared" si="103"/>
        <v>2007</v>
      </c>
      <c r="B806" s="14">
        <f t="shared" si="104"/>
        <v>7</v>
      </c>
      <c r="C806" s="13" t="str">
        <f t="shared" si="105"/>
        <v>Q3</v>
      </c>
      <c r="D806" s="13" t="str">
        <f t="shared" si="106"/>
        <v>2007Q3</v>
      </c>
      <c r="E806" s="13" t="str">
        <f t="shared" si="107"/>
        <v>Colombia</v>
      </c>
      <c r="F806" s="13" t="str">
        <f t="shared" si="110"/>
        <v>Biofuels</v>
      </c>
      <c r="G806" s="13" t="str">
        <f t="shared" si="109"/>
        <v>Asset finance investments</v>
      </c>
      <c r="H806" s="638">
        <f t="shared" si="108"/>
        <v>18.522000000000002</v>
      </c>
      <c r="I806" s="24" t="s">
        <v>506</v>
      </c>
      <c r="J806" s="25" t="s">
        <v>246</v>
      </c>
      <c r="K806" s="25" t="s">
        <v>2643</v>
      </c>
      <c r="L806" s="25" t="s">
        <v>1146</v>
      </c>
      <c r="M806" s="25" t="s">
        <v>9</v>
      </c>
      <c r="N806" s="25" t="s">
        <v>85</v>
      </c>
      <c r="O806" s="25" t="s">
        <v>92</v>
      </c>
      <c r="P806" s="25" t="s">
        <v>83</v>
      </c>
      <c r="Q806" s="25" t="s">
        <v>82</v>
      </c>
      <c r="R806" s="25"/>
      <c r="S806" s="25" t="s">
        <v>96</v>
      </c>
      <c r="T806" s="25" t="s">
        <v>96</v>
      </c>
      <c r="U806" s="25" t="s">
        <v>95</v>
      </c>
      <c r="V806" s="25">
        <v>0</v>
      </c>
      <c r="W806" s="25" t="s">
        <v>553</v>
      </c>
      <c r="X806" s="25" t="s">
        <v>1752</v>
      </c>
      <c r="Y806" s="25" t="s">
        <v>1753</v>
      </c>
      <c r="Z806" s="26">
        <v>39266.477083333302</v>
      </c>
      <c r="AA806" s="776">
        <v>0</v>
      </c>
      <c r="AB806" s="776">
        <v>42</v>
      </c>
      <c r="AC806" s="776">
        <v>0</v>
      </c>
      <c r="AD806" s="776">
        <v>0</v>
      </c>
      <c r="AE806" s="777">
        <v>0</v>
      </c>
      <c r="AF806" s="777">
        <v>17.64</v>
      </c>
      <c r="AG806" s="778">
        <v>18.522000000000002</v>
      </c>
    </row>
    <row r="807" spans="1:33" x14ac:dyDescent="0.2">
      <c r="A807" s="15">
        <f t="shared" si="103"/>
        <v>2007</v>
      </c>
      <c r="B807" s="14">
        <f t="shared" si="104"/>
        <v>7</v>
      </c>
      <c r="C807" s="13" t="str">
        <f t="shared" si="105"/>
        <v>Q3</v>
      </c>
      <c r="D807" s="13" t="str">
        <f t="shared" si="106"/>
        <v>2007Q3</v>
      </c>
      <c r="E807" s="13" t="str">
        <f t="shared" si="107"/>
        <v>Colombia</v>
      </c>
      <c r="F807" s="13" t="str">
        <f t="shared" si="110"/>
        <v>Biofuels</v>
      </c>
      <c r="G807" s="13" t="str">
        <f t="shared" si="109"/>
        <v>Asset finance investments</v>
      </c>
      <c r="H807" s="638">
        <f t="shared" si="108"/>
        <v>15.875999999999999</v>
      </c>
      <c r="I807" s="24" t="s">
        <v>506</v>
      </c>
      <c r="J807" s="25" t="s">
        <v>246</v>
      </c>
      <c r="K807" s="25" t="s">
        <v>2644</v>
      </c>
      <c r="L807" s="25" t="s">
        <v>1148</v>
      </c>
      <c r="M807" s="25" t="s">
        <v>9</v>
      </c>
      <c r="N807" s="25" t="s">
        <v>85</v>
      </c>
      <c r="O807" s="25" t="s">
        <v>92</v>
      </c>
      <c r="P807" s="25" t="s">
        <v>83</v>
      </c>
      <c r="Q807" s="25" t="s">
        <v>82</v>
      </c>
      <c r="R807" s="25"/>
      <c r="S807" s="25" t="s">
        <v>96</v>
      </c>
      <c r="T807" s="25" t="s">
        <v>96</v>
      </c>
      <c r="U807" s="25" t="s">
        <v>95</v>
      </c>
      <c r="V807" s="25">
        <v>0</v>
      </c>
      <c r="W807" s="25" t="s">
        <v>553</v>
      </c>
      <c r="X807" s="25" t="s">
        <v>1752</v>
      </c>
      <c r="Y807" s="25" t="s">
        <v>1753</v>
      </c>
      <c r="Z807" s="26">
        <v>39266.454166666699</v>
      </c>
      <c r="AA807" s="776">
        <v>0</v>
      </c>
      <c r="AB807" s="776">
        <v>36</v>
      </c>
      <c r="AC807" s="776">
        <v>0</v>
      </c>
      <c r="AD807" s="776">
        <v>0</v>
      </c>
      <c r="AE807" s="777">
        <v>0</v>
      </c>
      <c r="AF807" s="777">
        <v>15.12</v>
      </c>
      <c r="AG807" s="778">
        <v>15.875999999999999</v>
      </c>
    </row>
    <row r="808" spans="1:33" x14ac:dyDescent="0.2">
      <c r="A808" s="15">
        <f t="shared" si="103"/>
        <v>2007</v>
      </c>
      <c r="B808" s="14">
        <f t="shared" si="104"/>
        <v>8</v>
      </c>
      <c r="C808" s="13" t="str">
        <f t="shared" si="105"/>
        <v>Q3</v>
      </c>
      <c r="D808" s="13" t="str">
        <f t="shared" si="106"/>
        <v>2007Q3</v>
      </c>
      <c r="E808" s="13" t="str">
        <f t="shared" si="107"/>
        <v>Brazil</v>
      </c>
      <c r="F808" s="13" t="str">
        <f t="shared" si="110"/>
        <v>Biofuels</v>
      </c>
      <c r="G808" s="13" t="str">
        <f t="shared" si="109"/>
        <v>Asset finance investments</v>
      </c>
      <c r="H808" s="638">
        <f t="shared" si="108"/>
        <v>15.875999999999999</v>
      </c>
      <c r="I808" s="24" t="s">
        <v>506</v>
      </c>
      <c r="J808" s="25" t="s">
        <v>246</v>
      </c>
      <c r="K808" s="25" t="s">
        <v>2645</v>
      </c>
      <c r="L808" s="25" t="s">
        <v>2646</v>
      </c>
      <c r="M808" s="25" t="s">
        <v>31</v>
      </c>
      <c r="N808" s="25" t="s">
        <v>31</v>
      </c>
      <c r="O808" s="25" t="s">
        <v>92</v>
      </c>
      <c r="P808" s="25" t="s">
        <v>83</v>
      </c>
      <c r="Q808" s="25" t="s">
        <v>82</v>
      </c>
      <c r="R808" s="25" t="s">
        <v>91</v>
      </c>
      <c r="S808" s="25" t="s">
        <v>96</v>
      </c>
      <c r="T808" s="25" t="s">
        <v>96</v>
      </c>
      <c r="U808" s="25" t="s">
        <v>95</v>
      </c>
      <c r="V808" s="25" t="s">
        <v>223</v>
      </c>
      <c r="W808" s="25" t="s">
        <v>553</v>
      </c>
      <c r="X808" s="25" t="s">
        <v>1752</v>
      </c>
      <c r="Y808" s="25" t="s">
        <v>1753</v>
      </c>
      <c r="Z808" s="26">
        <v>39307</v>
      </c>
      <c r="AA808" s="776">
        <v>0</v>
      </c>
      <c r="AB808" s="776">
        <v>36</v>
      </c>
      <c r="AC808" s="776">
        <v>0</v>
      </c>
      <c r="AD808" s="776">
        <v>0</v>
      </c>
      <c r="AE808" s="777">
        <v>0</v>
      </c>
      <c r="AF808" s="777">
        <v>15.12</v>
      </c>
      <c r="AG808" s="778">
        <v>15.875999999999999</v>
      </c>
    </row>
    <row r="809" spans="1:33" x14ac:dyDescent="0.2">
      <c r="A809" s="15">
        <f t="shared" si="103"/>
        <v>2007</v>
      </c>
      <c r="B809" s="14">
        <f t="shared" si="104"/>
        <v>8</v>
      </c>
      <c r="C809" s="13" t="str">
        <f t="shared" si="105"/>
        <v>Q3</v>
      </c>
      <c r="D809" s="13" t="str">
        <f t="shared" si="106"/>
        <v>2007Q3</v>
      </c>
      <c r="E809" s="13" t="str">
        <f t="shared" si="107"/>
        <v>Chile</v>
      </c>
      <c r="F809" s="13" t="str">
        <f t="shared" si="110"/>
        <v>Small Hydro</v>
      </c>
      <c r="G809" s="13" t="str">
        <f t="shared" si="109"/>
        <v>Asset finance investments</v>
      </c>
      <c r="H809" s="638">
        <f t="shared" si="108"/>
        <v>13.65</v>
      </c>
      <c r="I809" s="24" t="s">
        <v>506</v>
      </c>
      <c r="J809" s="25" t="s">
        <v>246</v>
      </c>
      <c r="K809" s="25" t="s">
        <v>2647</v>
      </c>
      <c r="L809" s="25" t="s">
        <v>1060</v>
      </c>
      <c r="M809" s="25" t="s">
        <v>8</v>
      </c>
      <c r="N809" s="25" t="s">
        <v>85</v>
      </c>
      <c r="O809" s="25" t="s">
        <v>92</v>
      </c>
      <c r="P809" s="25" t="s">
        <v>83</v>
      </c>
      <c r="Q809" s="25" t="s">
        <v>129</v>
      </c>
      <c r="R809" s="25"/>
      <c r="S809" s="25" t="s">
        <v>126</v>
      </c>
      <c r="T809" s="25" t="s">
        <v>125</v>
      </c>
      <c r="U809" s="25" t="s">
        <v>247</v>
      </c>
      <c r="V809" s="25">
        <v>0</v>
      </c>
      <c r="W809" s="25" t="s">
        <v>553</v>
      </c>
      <c r="X809" s="25" t="s">
        <v>1752</v>
      </c>
      <c r="Y809" s="25" t="s">
        <v>1753</v>
      </c>
      <c r="Z809" s="26">
        <v>39295</v>
      </c>
      <c r="AA809" s="776">
        <v>14</v>
      </c>
      <c r="AB809" s="776">
        <v>0</v>
      </c>
      <c r="AC809" s="776">
        <v>0</v>
      </c>
      <c r="AD809" s="776">
        <v>0</v>
      </c>
      <c r="AE809" s="777">
        <v>13</v>
      </c>
      <c r="AF809" s="777">
        <v>13</v>
      </c>
      <c r="AG809" s="778">
        <v>13.65</v>
      </c>
    </row>
    <row r="810" spans="1:33" x14ac:dyDescent="0.2">
      <c r="A810" s="15">
        <f t="shared" si="103"/>
        <v>2007</v>
      </c>
      <c r="B810" s="14">
        <f t="shared" si="104"/>
        <v>9</v>
      </c>
      <c r="C810" s="13" t="str">
        <f t="shared" si="105"/>
        <v>Q3</v>
      </c>
      <c r="D810" s="13" t="str">
        <f t="shared" si="106"/>
        <v>2007Q3</v>
      </c>
      <c r="E810" s="13" t="str">
        <f t="shared" si="107"/>
        <v>Mexico</v>
      </c>
      <c r="F810" s="13" t="str">
        <f t="shared" si="110"/>
        <v>Biomass &amp; Waste</v>
      </c>
      <c r="G810" s="13" t="str">
        <f t="shared" si="109"/>
        <v>Asset finance investments</v>
      </c>
      <c r="H810" s="638">
        <f t="shared" si="108"/>
        <v>12.075000000000001</v>
      </c>
      <c r="I810" s="24" t="s">
        <v>506</v>
      </c>
      <c r="J810" s="25" t="s">
        <v>246</v>
      </c>
      <c r="K810" s="25" t="s">
        <v>2648</v>
      </c>
      <c r="L810" s="25" t="s">
        <v>1133</v>
      </c>
      <c r="M810" s="25" t="s">
        <v>18</v>
      </c>
      <c r="N810" s="25" t="s">
        <v>85</v>
      </c>
      <c r="O810" s="25" t="s">
        <v>92</v>
      </c>
      <c r="P810" s="25" t="s">
        <v>83</v>
      </c>
      <c r="Q810" s="25" t="s">
        <v>129</v>
      </c>
      <c r="R810" s="25"/>
      <c r="S810" s="25" t="s">
        <v>114</v>
      </c>
      <c r="T810" s="25" t="s">
        <v>114</v>
      </c>
      <c r="U810" s="25" t="s">
        <v>113</v>
      </c>
      <c r="V810" s="25" t="s">
        <v>685</v>
      </c>
      <c r="W810" s="25" t="s">
        <v>553</v>
      </c>
      <c r="X810" s="25" t="s">
        <v>1752</v>
      </c>
      <c r="Y810" s="25" t="s">
        <v>1753</v>
      </c>
      <c r="Z810" s="26">
        <v>39328</v>
      </c>
      <c r="AA810" s="776">
        <v>6.4</v>
      </c>
      <c r="AB810" s="776">
        <v>0</v>
      </c>
      <c r="AC810" s="776">
        <v>0</v>
      </c>
      <c r="AD810" s="776">
        <v>0</v>
      </c>
      <c r="AE810" s="777">
        <v>0</v>
      </c>
      <c r="AF810" s="777">
        <v>11.5</v>
      </c>
      <c r="AG810" s="778">
        <v>12.075000000000001</v>
      </c>
    </row>
    <row r="811" spans="1:33" x14ac:dyDescent="0.2">
      <c r="A811" s="15">
        <f t="shared" si="103"/>
        <v>2007</v>
      </c>
      <c r="B811" s="14">
        <f t="shared" si="104"/>
        <v>8</v>
      </c>
      <c r="C811" s="13" t="str">
        <f t="shared" si="105"/>
        <v>Q3</v>
      </c>
      <c r="D811" s="13" t="str">
        <f t="shared" si="106"/>
        <v>2007Q3</v>
      </c>
      <c r="E811" s="13" t="str">
        <f t="shared" si="107"/>
        <v>Peru</v>
      </c>
      <c r="F811" s="13" t="str">
        <f t="shared" si="110"/>
        <v>Small Hydro</v>
      </c>
      <c r="G811" s="13" t="str">
        <f t="shared" si="109"/>
        <v>Asset finance investments</v>
      </c>
      <c r="H811" s="638">
        <f t="shared" si="108"/>
        <v>9.5037599999999998</v>
      </c>
      <c r="I811" s="24" t="s">
        <v>506</v>
      </c>
      <c r="J811" s="25" t="s">
        <v>246</v>
      </c>
      <c r="K811" s="25" t="s">
        <v>2649</v>
      </c>
      <c r="L811" s="25" t="s">
        <v>833</v>
      </c>
      <c r="M811" s="25" t="s">
        <v>20</v>
      </c>
      <c r="N811" s="25" t="s">
        <v>85</v>
      </c>
      <c r="O811" s="25" t="s">
        <v>92</v>
      </c>
      <c r="P811" s="25" t="s">
        <v>83</v>
      </c>
      <c r="Q811" s="25" t="s">
        <v>82</v>
      </c>
      <c r="R811" s="25"/>
      <c r="S811" s="25" t="s">
        <v>126</v>
      </c>
      <c r="T811" s="25" t="s">
        <v>125</v>
      </c>
      <c r="U811" s="25" t="s">
        <v>247</v>
      </c>
      <c r="V811" s="25">
        <v>0</v>
      </c>
      <c r="W811" s="25" t="s">
        <v>553</v>
      </c>
      <c r="X811" s="25" t="s">
        <v>1752</v>
      </c>
      <c r="Y811" s="25" t="s">
        <v>1753</v>
      </c>
      <c r="Z811" s="26">
        <v>39307</v>
      </c>
      <c r="AA811" s="776">
        <v>9.6999999999999993</v>
      </c>
      <c r="AB811" s="776">
        <v>0</v>
      </c>
      <c r="AC811" s="776">
        <v>0</v>
      </c>
      <c r="AD811" s="776">
        <v>0</v>
      </c>
      <c r="AE811" s="777">
        <v>9.0511999999999997</v>
      </c>
      <c r="AF811" s="777">
        <v>9.0511999999999997</v>
      </c>
      <c r="AG811" s="778">
        <v>9.5037599999999998</v>
      </c>
    </row>
    <row r="812" spans="1:33" x14ac:dyDescent="0.2">
      <c r="A812" s="15">
        <f t="shared" si="103"/>
        <v>2007</v>
      </c>
      <c r="B812" s="14">
        <f t="shared" si="104"/>
        <v>7</v>
      </c>
      <c r="C812" s="13" t="str">
        <f t="shared" si="105"/>
        <v>Q3</v>
      </c>
      <c r="D812" s="13" t="str">
        <f t="shared" si="106"/>
        <v>2007Q3</v>
      </c>
      <c r="E812" s="13" t="str">
        <f t="shared" si="107"/>
        <v>Paraguay</v>
      </c>
      <c r="F812" s="13" t="str">
        <f t="shared" si="110"/>
        <v>Biofuels</v>
      </c>
      <c r="G812" s="13" t="str">
        <f t="shared" si="109"/>
        <v>Asset finance investments</v>
      </c>
      <c r="H812" s="638">
        <f t="shared" si="108"/>
        <v>8.0797499999999989</v>
      </c>
      <c r="I812" s="24" t="s">
        <v>506</v>
      </c>
      <c r="J812" s="25" t="s">
        <v>246</v>
      </c>
      <c r="K812" s="25" t="s">
        <v>2650</v>
      </c>
      <c r="L812" s="25" t="s">
        <v>1137</v>
      </c>
      <c r="M812" s="25" t="s">
        <v>3</v>
      </c>
      <c r="N812" s="25" t="s">
        <v>85</v>
      </c>
      <c r="O812" s="25" t="s">
        <v>92</v>
      </c>
      <c r="P812" s="25" t="s">
        <v>83</v>
      </c>
      <c r="Q812" s="25" t="s">
        <v>82</v>
      </c>
      <c r="R812" s="25"/>
      <c r="S812" s="25" t="s">
        <v>96</v>
      </c>
      <c r="T812" s="25" t="s">
        <v>96</v>
      </c>
      <c r="U812" s="25" t="s">
        <v>98</v>
      </c>
      <c r="V812" s="25" t="s">
        <v>230</v>
      </c>
      <c r="W812" s="25" t="s">
        <v>553</v>
      </c>
      <c r="X812" s="25" t="s">
        <v>1752</v>
      </c>
      <c r="Y812" s="25" t="s">
        <v>1753</v>
      </c>
      <c r="Z812" s="26">
        <v>39290.712500000001</v>
      </c>
      <c r="AA812" s="776">
        <v>0</v>
      </c>
      <c r="AB812" s="776">
        <v>13.5</v>
      </c>
      <c r="AC812" s="776">
        <v>0</v>
      </c>
      <c r="AD812" s="776">
        <v>0</v>
      </c>
      <c r="AE812" s="777">
        <v>0</v>
      </c>
      <c r="AF812" s="777">
        <v>7.6949999999999994</v>
      </c>
      <c r="AG812" s="778">
        <v>8.0797499999999989</v>
      </c>
    </row>
    <row r="813" spans="1:33" x14ac:dyDescent="0.2">
      <c r="A813" s="15">
        <f t="shared" si="103"/>
        <v>2007</v>
      </c>
      <c r="B813" s="14">
        <f t="shared" si="104"/>
        <v>8</v>
      </c>
      <c r="C813" s="13" t="str">
        <f t="shared" si="105"/>
        <v>Q3</v>
      </c>
      <c r="D813" s="13" t="str">
        <f t="shared" si="106"/>
        <v>2007Q3</v>
      </c>
      <c r="E813" s="13" t="str">
        <f t="shared" si="107"/>
        <v>Brazil</v>
      </c>
      <c r="F813" s="13" t="str">
        <f t="shared" si="110"/>
        <v>Biomass &amp; Waste</v>
      </c>
      <c r="G813" s="13" t="str">
        <f t="shared" si="109"/>
        <v>Asset finance investments</v>
      </c>
      <c r="H813" s="638">
        <f t="shared" si="108"/>
        <v>6.5100000000000007</v>
      </c>
      <c r="I813" s="24" t="s">
        <v>506</v>
      </c>
      <c r="J813" s="25" t="s">
        <v>246</v>
      </c>
      <c r="K813" s="25" t="s">
        <v>2651</v>
      </c>
      <c r="L813" s="25" t="s">
        <v>666</v>
      </c>
      <c r="M813" s="25" t="s">
        <v>31</v>
      </c>
      <c r="N813" s="25" t="s">
        <v>31</v>
      </c>
      <c r="O813" s="25" t="s">
        <v>92</v>
      </c>
      <c r="P813" s="25" t="s">
        <v>83</v>
      </c>
      <c r="Q813" s="25" t="s">
        <v>82</v>
      </c>
      <c r="R813" s="25" t="s">
        <v>91</v>
      </c>
      <c r="S813" s="25" t="s">
        <v>114</v>
      </c>
      <c r="T813" s="25" t="s">
        <v>114</v>
      </c>
      <c r="U813" s="25" t="s">
        <v>554</v>
      </c>
      <c r="V813" s="25">
        <v>0</v>
      </c>
      <c r="W813" s="25" t="s">
        <v>553</v>
      </c>
      <c r="X813" s="25" t="s">
        <v>1752</v>
      </c>
      <c r="Y813" s="25" t="s">
        <v>1753</v>
      </c>
      <c r="Z813" s="26">
        <v>39295</v>
      </c>
      <c r="AA813" s="776">
        <v>44.9</v>
      </c>
      <c r="AB813" s="776">
        <v>0</v>
      </c>
      <c r="AC813" s="776">
        <v>0</v>
      </c>
      <c r="AD813" s="776">
        <v>0</v>
      </c>
      <c r="AE813" s="777">
        <v>0</v>
      </c>
      <c r="AF813" s="777">
        <v>6.2</v>
      </c>
      <c r="AG813" s="778">
        <v>6.5100000000000007</v>
      </c>
    </row>
    <row r="814" spans="1:33" x14ac:dyDescent="0.2">
      <c r="A814" s="15">
        <f t="shared" si="103"/>
        <v>2007</v>
      </c>
      <c r="B814" s="14">
        <f t="shared" si="104"/>
        <v>8</v>
      </c>
      <c r="C814" s="13" t="str">
        <f t="shared" si="105"/>
        <v>Q3</v>
      </c>
      <c r="D814" s="13" t="str">
        <f t="shared" si="106"/>
        <v>2007Q3</v>
      </c>
      <c r="E814" s="13" t="str">
        <f t="shared" si="107"/>
        <v>Brazil</v>
      </c>
      <c r="F814" s="13" t="str">
        <f t="shared" si="110"/>
        <v>Biofuels</v>
      </c>
      <c r="G814" s="13" t="str">
        <f t="shared" si="109"/>
        <v>Asset finance investments</v>
      </c>
      <c r="H814" s="638">
        <f t="shared" si="108"/>
        <v>6.3504000000000005</v>
      </c>
      <c r="I814" s="24" t="s">
        <v>506</v>
      </c>
      <c r="J814" s="25" t="s">
        <v>246</v>
      </c>
      <c r="K814" s="25" t="s">
        <v>2652</v>
      </c>
      <c r="L814" s="25" t="s">
        <v>2653</v>
      </c>
      <c r="M814" s="25" t="s">
        <v>31</v>
      </c>
      <c r="N814" s="25" t="s">
        <v>31</v>
      </c>
      <c r="O814" s="25" t="s">
        <v>92</v>
      </c>
      <c r="P814" s="25" t="s">
        <v>83</v>
      </c>
      <c r="Q814" s="25" t="s">
        <v>82</v>
      </c>
      <c r="R814" s="25" t="s">
        <v>91</v>
      </c>
      <c r="S814" s="25" t="s">
        <v>96</v>
      </c>
      <c r="T814" s="25" t="s">
        <v>96</v>
      </c>
      <c r="U814" s="25" t="s">
        <v>95</v>
      </c>
      <c r="V814" s="25" t="s">
        <v>223</v>
      </c>
      <c r="W814" s="25" t="s">
        <v>553</v>
      </c>
      <c r="X814" s="25" t="s">
        <v>1752</v>
      </c>
      <c r="Y814" s="25" t="s">
        <v>1753</v>
      </c>
      <c r="Z814" s="26">
        <v>39295</v>
      </c>
      <c r="AA814" s="776">
        <v>0</v>
      </c>
      <c r="AB814" s="776">
        <v>14.4</v>
      </c>
      <c r="AC814" s="776">
        <v>0</v>
      </c>
      <c r="AD814" s="776">
        <v>0</v>
      </c>
      <c r="AE814" s="777">
        <v>0</v>
      </c>
      <c r="AF814" s="777">
        <v>6.048</v>
      </c>
      <c r="AG814" s="778">
        <v>6.3504000000000005</v>
      </c>
    </row>
    <row r="815" spans="1:33" x14ac:dyDescent="0.2">
      <c r="A815" s="15">
        <f t="shared" si="103"/>
        <v>2007</v>
      </c>
      <c r="B815" s="14">
        <f t="shared" si="104"/>
        <v>7</v>
      </c>
      <c r="C815" s="13" t="str">
        <f t="shared" si="105"/>
        <v>Q3</v>
      </c>
      <c r="D815" s="13" t="str">
        <f t="shared" si="106"/>
        <v>2007Q3</v>
      </c>
      <c r="E815" s="13" t="str">
        <f t="shared" si="107"/>
        <v>Brazil</v>
      </c>
      <c r="F815" s="13" t="str">
        <f t="shared" si="110"/>
        <v>Small Hydro</v>
      </c>
      <c r="G815" s="13" t="str">
        <f t="shared" si="109"/>
        <v>Asset finance investments</v>
      </c>
      <c r="H815" s="638">
        <f t="shared" si="108"/>
        <v>5.25</v>
      </c>
      <c r="I815" s="24" t="s">
        <v>506</v>
      </c>
      <c r="J815" s="25" t="s">
        <v>246</v>
      </c>
      <c r="K815" s="25" t="s">
        <v>2654</v>
      </c>
      <c r="L815" s="25" t="s">
        <v>905</v>
      </c>
      <c r="M815" s="25" t="s">
        <v>31</v>
      </c>
      <c r="N815" s="25" t="s">
        <v>31</v>
      </c>
      <c r="O815" s="25" t="s">
        <v>92</v>
      </c>
      <c r="P815" s="25" t="s">
        <v>83</v>
      </c>
      <c r="Q815" s="25" t="s">
        <v>82</v>
      </c>
      <c r="R815" s="25" t="s">
        <v>91</v>
      </c>
      <c r="S815" s="25" t="s">
        <v>126</v>
      </c>
      <c r="T815" s="25" t="s">
        <v>125</v>
      </c>
      <c r="U815" s="25" t="s">
        <v>247</v>
      </c>
      <c r="V815" s="25">
        <v>0</v>
      </c>
      <c r="W815" s="25" t="s">
        <v>553</v>
      </c>
      <c r="X815" s="25" t="s">
        <v>1752</v>
      </c>
      <c r="Y815" s="25" t="s">
        <v>1753</v>
      </c>
      <c r="Z815" s="26">
        <v>39294</v>
      </c>
      <c r="AA815" s="776">
        <v>2</v>
      </c>
      <c r="AB815" s="776">
        <v>0</v>
      </c>
      <c r="AC815" s="776">
        <v>0</v>
      </c>
      <c r="AD815" s="776">
        <v>0</v>
      </c>
      <c r="AE815" s="777">
        <v>0</v>
      </c>
      <c r="AF815" s="777">
        <v>5</v>
      </c>
      <c r="AG815" s="778">
        <v>5.25</v>
      </c>
    </row>
    <row r="816" spans="1:33" x14ac:dyDescent="0.2">
      <c r="A816" s="15">
        <f t="shared" si="103"/>
        <v>2007</v>
      </c>
      <c r="B816" s="14">
        <f t="shared" si="104"/>
        <v>8</v>
      </c>
      <c r="C816" s="13" t="str">
        <f t="shared" si="105"/>
        <v>Q3</v>
      </c>
      <c r="D816" s="13" t="str">
        <f t="shared" si="106"/>
        <v>2007Q3</v>
      </c>
      <c r="E816" s="13" t="str">
        <f t="shared" si="107"/>
        <v>Honduras</v>
      </c>
      <c r="F816" s="13" t="str">
        <f t="shared" si="110"/>
        <v>Biomass &amp; Waste</v>
      </c>
      <c r="G816" s="13" t="str">
        <f t="shared" si="109"/>
        <v>Asset finance investments</v>
      </c>
      <c r="H816" s="638">
        <f t="shared" si="108"/>
        <v>4.8719999999999999</v>
      </c>
      <c r="I816" s="24" t="s">
        <v>506</v>
      </c>
      <c r="J816" s="25" t="s">
        <v>246</v>
      </c>
      <c r="K816" s="25" t="s">
        <v>2655</v>
      </c>
      <c r="L816" s="25" t="s">
        <v>643</v>
      </c>
      <c r="M816" s="25" t="s">
        <v>16</v>
      </c>
      <c r="N816" s="25" t="s">
        <v>85</v>
      </c>
      <c r="O816" s="25" t="s">
        <v>92</v>
      </c>
      <c r="P816" s="25" t="s">
        <v>83</v>
      </c>
      <c r="Q816" s="25" t="s">
        <v>82</v>
      </c>
      <c r="R816" s="25"/>
      <c r="S816" s="25" t="s">
        <v>114</v>
      </c>
      <c r="T816" s="25" t="s">
        <v>114</v>
      </c>
      <c r="U816" s="25" t="s">
        <v>554</v>
      </c>
      <c r="V816" s="25">
        <v>0</v>
      </c>
      <c r="W816" s="25" t="s">
        <v>553</v>
      </c>
      <c r="X816" s="25" t="s">
        <v>1752</v>
      </c>
      <c r="Y816" s="25" t="s">
        <v>1753</v>
      </c>
      <c r="Z816" s="26">
        <v>39296</v>
      </c>
      <c r="AA816" s="776">
        <v>11.6</v>
      </c>
      <c r="AB816" s="776">
        <v>0</v>
      </c>
      <c r="AC816" s="776">
        <v>0</v>
      </c>
      <c r="AD816" s="776">
        <v>0</v>
      </c>
      <c r="AE816" s="777">
        <v>0</v>
      </c>
      <c r="AF816" s="777">
        <v>4.6399999999999997</v>
      </c>
      <c r="AG816" s="778">
        <v>4.8719999999999999</v>
      </c>
    </row>
    <row r="817" spans="1:33" x14ac:dyDescent="0.2">
      <c r="A817" s="15">
        <f t="shared" si="103"/>
        <v>2007</v>
      </c>
      <c r="B817" s="14">
        <f t="shared" si="104"/>
        <v>9</v>
      </c>
      <c r="C817" s="13" t="str">
        <f t="shared" si="105"/>
        <v>Q3</v>
      </c>
      <c r="D817" s="13" t="str">
        <f t="shared" si="106"/>
        <v>2007Q3</v>
      </c>
      <c r="E817" s="13" t="str">
        <f t="shared" si="107"/>
        <v>Brazil</v>
      </c>
      <c r="F817" s="13" t="str">
        <f t="shared" si="110"/>
        <v>Biofuels</v>
      </c>
      <c r="G817" s="13" t="str">
        <f t="shared" si="109"/>
        <v>Asset finance investments</v>
      </c>
      <c r="H817" s="638">
        <f t="shared" si="108"/>
        <v>3.8850000000000002</v>
      </c>
      <c r="I817" s="24" t="s">
        <v>506</v>
      </c>
      <c r="J817" s="25" t="s">
        <v>246</v>
      </c>
      <c r="K817" s="25" t="s">
        <v>2656</v>
      </c>
      <c r="L817" s="25" t="s">
        <v>1129</v>
      </c>
      <c r="M817" s="25" t="s">
        <v>31</v>
      </c>
      <c r="N817" s="25" t="s">
        <v>31</v>
      </c>
      <c r="O817" s="25" t="s">
        <v>92</v>
      </c>
      <c r="P817" s="25" t="s">
        <v>83</v>
      </c>
      <c r="Q817" s="25" t="s">
        <v>82</v>
      </c>
      <c r="R817" s="25" t="s">
        <v>91</v>
      </c>
      <c r="S817" s="25" t="s">
        <v>96</v>
      </c>
      <c r="T817" s="25" t="s">
        <v>96</v>
      </c>
      <c r="U817" s="25" t="s">
        <v>95</v>
      </c>
      <c r="V817" s="25" t="s">
        <v>223</v>
      </c>
      <c r="W817" s="25" t="s">
        <v>553</v>
      </c>
      <c r="X817" s="25" t="s">
        <v>1752</v>
      </c>
      <c r="Y817" s="25" t="s">
        <v>1753</v>
      </c>
      <c r="Z817" s="26">
        <v>39342.815972222197</v>
      </c>
      <c r="AA817" s="776">
        <v>0</v>
      </c>
      <c r="AB817" s="776">
        <v>18.3</v>
      </c>
      <c r="AC817" s="776">
        <v>0</v>
      </c>
      <c r="AD817" s="776">
        <v>0</v>
      </c>
      <c r="AE817" s="777">
        <v>3.7</v>
      </c>
      <c r="AF817" s="777">
        <v>3.7</v>
      </c>
      <c r="AG817" s="778">
        <v>3.8850000000000002</v>
      </c>
    </row>
    <row r="818" spans="1:33" x14ac:dyDescent="0.2">
      <c r="A818" s="15">
        <f t="shared" si="103"/>
        <v>2007</v>
      </c>
      <c r="B818" s="14">
        <f t="shared" si="104"/>
        <v>7</v>
      </c>
      <c r="C818" s="13" t="str">
        <f t="shared" si="105"/>
        <v>Q3</v>
      </c>
      <c r="D818" s="13" t="str">
        <f t="shared" si="106"/>
        <v>2007Q3</v>
      </c>
      <c r="E818" s="13" t="str">
        <f t="shared" si="107"/>
        <v>Mexico</v>
      </c>
      <c r="F818" s="13" t="str">
        <f t="shared" si="110"/>
        <v>Biomass &amp; Waste</v>
      </c>
      <c r="G818" s="13" t="str">
        <f t="shared" si="109"/>
        <v>Asset finance investments</v>
      </c>
      <c r="H818" s="638">
        <f t="shared" si="108"/>
        <v>3.3600000000000003</v>
      </c>
      <c r="I818" s="24" t="s">
        <v>506</v>
      </c>
      <c r="J818" s="25" t="s">
        <v>246</v>
      </c>
      <c r="K818" s="25" t="s">
        <v>2657</v>
      </c>
      <c r="L818" s="25" t="s">
        <v>851</v>
      </c>
      <c r="M818" s="25" t="s">
        <v>18</v>
      </c>
      <c r="N818" s="25" t="s">
        <v>85</v>
      </c>
      <c r="O818" s="25" t="s">
        <v>92</v>
      </c>
      <c r="P818" s="25" t="s">
        <v>83</v>
      </c>
      <c r="Q818" s="25" t="s">
        <v>129</v>
      </c>
      <c r="R818" s="25"/>
      <c r="S818" s="25" t="s">
        <v>114</v>
      </c>
      <c r="T818" s="25" t="s">
        <v>114</v>
      </c>
      <c r="U818" s="25" t="s">
        <v>113</v>
      </c>
      <c r="V818" s="25" t="s">
        <v>722</v>
      </c>
      <c r="W818" s="25" t="s">
        <v>553</v>
      </c>
      <c r="X818" s="25" t="s">
        <v>1752</v>
      </c>
      <c r="Y818" s="25" t="s">
        <v>1753</v>
      </c>
      <c r="Z818" s="26">
        <v>39279</v>
      </c>
      <c r="AA818" s="776">
        <v>2</v>
      </c>
      <c r="AB818" s="776">
        <v>0</v>
      </c>
      <c r="AC818" s="776">
        <v>0</v>
      </c>
      <c r="AD818" s="776">
        <v>0</v>
      </c>
      <c r="AE818" s="777">
        <v>3.2</v>
      </c>
      <c r="AF818" s="777">
        <v>3.2</v>
      </c>
      <c r="AG818" s="778">
        <v>3.3600000000000003</v>
      </c>
    </row>
    <row r="819" spans="1:33" x14ac:dyDescent="0.2">
      <c r="A819" s="15">
        <f t="shared" si="103"/>
        <v>2007</v>
      </c>
      <c r="B819" s="14">
        <f t="shared" si="104"/>
        <v>9</v>
      </c>
      <c r="C819" s="13" t="str">
        <f t="shared" si="105"/>
        <v>Q3</v>
      </c>
      <c r="D819" s="13" t="str">
        <f t="shared" si="106"/>
        <v>2007Q3</v>
      </c>
      <c r="E819" s="13" t="str">
        <f t="shared" si="107"/>
        <v>Argentina</v>
      </c>
      <c r="F819" s="13" t="str">
        <f t="shared" si="110"/>
        <v>Biofuels</v>
      </c>
      <c r="G819" s="13" t="str">
        <f t="shared" si="109"/>
        <v>Asset finance investments</v>
      </c>
      <c r="H819" s="638">
        <f t="shared" si="108"/>
        <v>1.05</v>
      </c>
      <c r="I819" s="24" t="s">
        <v>506</v>
      </c>
      <c r="J819" s="25" t="s">
        <v>246</v>
      </c>
      <c r="K819" s="25" t="s">
        <v>2658</v>
      </c>
      <c r="L819" s="25" t="s">
        <v>1116</v>
      </c>
      <c r="M819" s="25" t="s">
        <v>4</v>
      </c>
      <c r="N819" s="25" t="s">
        <v>85</v>
      </c>
      <c r="O819" s="25" t="s">
        <v>92</v>
      </c>
      <c r="P819" s="25" t="s">
        <v>83</v>
      </c>
      <c r="Q819" s="25" t="s">
        <v>82</v>
      </c>
      <c r="R819" s="25"/>
      <c r="S819" s="25" t="s">
        <v>96</v>
      </c>
      <c r="T819" s="25" t="s">
        <v>96</v>
      </c>
      <c r="U819" s="25" t="s">
        <v>95</v>
      </c>
      <c r="V819" s="25">
        <v>0</v>
      </c>
      <c r="W819" s="25" t="s">
        <v>553</v>
      </c>
      <c r="X819" s="25" t="s">
        <v>1752</v>
      </c>
      <c r="Y819" s="25" t="s">
        <v>1753</v>
      </c>
      <c r="Z819" s="26">
        <v>39355</v>
      </c>
      <c r="AA819" s="776">
        <v>0</v>
      </c>
      <c r="AB819" s="776">
        <v>35.700000000000003</v>
      </c>
      <c r="AC819" s="776">
        <v>0</v>
      </c>
      <c r="AD819" s="776">
        <v>0</v>
      </c>
      <c r="AE819" s="777">
        <v>1</v>
      </c>
      <c r="AF819" s="777">
        <v>1</v>
      </c>
      <c r="AG819" s="778">
        <v>1.05</v>
      </c>
    </row>
    <row r="820" spans="1:33" x14ac:dyDescent="0.2">
      <c r="A820" s="15">
        <f t="shared" si="103"/>
        <v>2006</v>
      </c>
      <c r="B820" s="14">
        <f t="shared" si="104"/>
        <v>9</v>
      </c>
      <c r="C820" s="13" t="str">
        <f t="shared" si="105"/>
        <v>Q3</v>
      </c>
      <c r="D820" s="13" t="str">
        <f t="shared" si="106"/>
        <v>2006Q3</v>
      </c>
      <c r="E820" s="13" t="str">
        <f t="shared" si="107"/>
        <v>Brazil</v>
      </c>
      <c r="F820" s="13" t="str">
        <f t="shared" si="110"/>
        <v>Biomass &amp; Waste</v>
      </c>
      <c r="G820" s="13" t="str">
        <f t="shared" si="109"/>
        <v>Asset finance investments</v>
      </c>
      <c r="H820" s="638">
        <f t="shared" si="108"/>
        <v>139.54985525300989</v>
      </c>
      <c r="I820" s="24" t="s">
        <v>506</v>
      </c>
      <c r="J820" s="25" t="s">
        <v>246</v>
      </c>
      <c r="K820" s="25" t="s">
        <v>2659</v>
      </c>
      <c r="L820" s="25" t="s">
        <v>1169</v>
      </c>
      <c r="M820" s="25" t="s">
        <v>31</v>
      </c>
      <c r="N820" s="25" t="s">
        <v>31</v>
      </c>
      <c r="O820" s="25" t="s">
        <v>92</v>
      </c>
      <c r="P820" s="25" t="s">
        <v>83</v>
      </c>
      <c r="Q820" s="25" t="s">
        <v>82</v>
      </c>
      <c r="R820" s="25" t="s">
        <v>91</v>
      </c>
      <c r="S820" s="25" t="s">
        <v>114</v>
      </c>
      <c r="T820" s="25" t="s">
        <v>114</v>
      </c>
      <c r="U820" s="25" t="s">
        <v>113</v>
      </c>
      <c r="V820" s="25" t="s">
        <v>347</v>
      </c>
      <c r="W820" s="25" t="s">
        <v>553</v>
      </c>
      <c r="X820" s="25" t="s">
        <v>1752</v>
      </c>
      <c r="Y820" s="25" t="s">
        <v>1753</v>
      </c>
      <c r="Z820" s="26">
        <v>38974</v>
      </c>
      <c r="AA820" s="776">
        <v>115</v>
      </c>
      <c r="AB820" s="776">
        <v>0</v>
      </c>
      <c r="AC820" s="776">
        <v>0</v>
      </c>
      <c r="AD820" s="776">
        <v>0</v>
      </c>
      <c r="AE820" s="777">
        <v>139</v>
      </c>
      <c r="AF820" s="777">
        <v>139</v>
      </c>
      <c r="AG820" s="778">
        <v>139.54985525300989</v>
      </c>
    </row>
    <row r="821" spans="1:33" x14ac:dyDescent="0.2">
      <c r="A821" s="15">
        <f t="shared" si="103"/>
        <v>2006</v>
      </c>
      <c r="B821" s="14">
        <f t="shared" si="104"/>
        <v>7</v>
      </c>
      <c r="C821" s="13" t="str">
        <f t="shared" si="105"/>
        <v>Q3</v>
      </c>
      <c r="D821" s="13" t="str">
        <f t="shared" si="106"/>
        <v>2006Q3</v>
      </c>
      <c r="E821" s="13" t="str">
        <f t="shared" si="107"/>
        <v>Brazil</v>
      </c>
      <c r="F821" s="13" t="str">
        <f t="shared" si="110"/>
        <v>Biofuels</v>
      </c>
      <c r="G821" s="13" t="str">
        <f t="shared" si="109"/>
        <v>Asset finance investments</v>
      </c>
      <c r="H821" s="638">
        <f t="shared" si="108"/>
        <v>235.93444275286046</v>
      </c>
      <c r="I821" s="24" t="s">
        <v>506</v>
      </c>
      <c r="J821" s="25" t="s">
        <v>246</v>
      </c>
      <c r="K821" s="25" t="s">
        <v>2660</v>
      </c>
      <c r="L821" s="25" t="s">
        <v>660</v>
      </c>
      <c r="M821" s="25" t="s">
        <v>31</v>
      </c>
      <c r="N821" s="25" t="s">
        <v>31</v>
      </c>
      <c r="O821" s="25" t="s">
        <v>92</v>
      </c>
      <c r="P821" s="25" t="s">
        <v>83</v>
      </c>
      <c r="Q821" s="25" t="s">
        <v>82</v>
      </c>
      <c r="R821" s="25" t="s">
        <v>91</v>
      </c>
      <c r="S821" s="25" t="s">
        <v>96</v>
      </c>
      <c r="T821" s="25" t="s">
        <v>96</v>
      </c>
      <c r="U821" s="25" t="s">
        <v>98</v>
      </c>
      <c r="V821" s="25">
        <v>0</v>
      </c>
      <c r="W821" s="25" t="s">
        <v>553</v>
      </c>
      <c r="X821" s="25" t="s">
        <v>1752</v>
      </c>
      <c r="Y821" s="25" t="s">
        <v>1753</v>
      </c>
      <c r="Z821" s="26">
        <v>38924</v>
      </c>
      <c r="AA821" s="776">
        <v>0</v>
      </c>
      <c r="AB821" s="776">
        <v>200</v>
      </c>
      <c r="AC821" s="776">
        <v>0</v>
      </c>
      <c r="AD821" s="776">
        <v>0</v>
      </c>
      <c r="AE821" s="777">
        <v>137.6</v>
      </c>
      <c r="AF821" s="777">
        <v>137.6</v>
      </c>
      <c r="AG821" s="778">
        <v>235.93444275286046</v>
      </c>
    </row>
    <row r="822" spans="1:33" x14ac:dyDescent="0.2">
      <c r="A822" s="15">
        <f t="shared" si="103"/>
        <v>2006</v>
      </c>
      <c r="B822" s="14">
        <f t="shared" si="104"/>
        <v>7</v>
      </c>
      <c r="C822" s="13" t="str">
        <f t="shared" si="105"/>
        <v>Q3</v>
      </c>
      <c r="D822" s="13" t="str">
        <f t="shared" si="106"/>
        <v>2006Q3</v>
      </c>
      <c r="E822" s="13" t="str">
        <f t="shared" si="107"/>
        <v>Brazil</v>
      </c>
      <c r="F822" s="13" t="str">
        <f t="shared" si="110"/>
        <v>Small Hydro</v>
      </c>
      <c r="G822" s="13" t="str">
        <f t="shared" si="109"/>
        <v>Asset finance investments</v>
      </c>
      <c r="H822" s="638">
        <f t="shared" si="108"/>
        <v>112.00110442334601</v>
      </c>
      <c r="I822" s="24" t="s">
        <v>506</v>
      </c>
      <c r="J822" s="25" t="s">
        <v>246</v>
      </c>
      <c r="K822" s="25" t="s">
        <v>2661</v>
      </c>
      <c r="L822" s="25" t="s">
        <v>1176</v>
      </c>
      <c r="M822" s="25" t="s">
        <v>31</v>
      </c>
      <c r="N822" s="25" t="s">
        <v>31</v>
      </c>
      <c r="O822" s="25" t="s">
        <v>92</v>
      </c>
      <c r="P822" s="25" t="s">
        <v>83</v>
      </c>
      <c r="Q822" s="25" t="s">
        <v>82</v>
      </c>
      <c r="R822" s="25" t="s">
        <v>91</v>
      </c>
      <c r="S822" s="25" t="s">
        <v>126</v>
      </c>
      <c r="T822" s="25" t="s">
        <v>125</v>
      </c>
      <c r="U822" s="25" t="s">
        <v>342</v>
      </c>
      <c r="V822" s="25">
        <v>0</v>
      </c>
      <c r="W822" s="25" t="s">
        <v>553</v>
      </c>
      <c r="X822" s="25" t="s">
        <v>1752</v>
      </c>
      <c r="Y822" s="25" t="s">
        <v>1753</v>
      </c>
      <c r="Z822" s="26">
        <v>38899</v>
      </c>
      <c r="AA822" s="776">
        <v>67</v>
      </c>
      <c r="AB822" s="776">
        <v>0</v>
      </c>
      <c r="AC822" s="776">
        <v>0</v>
      </c>
      <c r="AD822" s="776">
        <v>0</v>
      </c>
      <c r="AE822" s="777">
        <v>111</v>
      </c>
      <c r="AF822" s="777">
        <v>111</v>
      </c>
      <c r="AG822" s="778">
        <v>112.00110442334601</v>
      </c>
    </row>
    <row r="823" spans="1:33" x14ac:dyDescent="0.2">
      <c r="A823" s="15">
        <f t="shared" si="103"/>
        <v>2006</v>
      </c>
      <c r="B823" s="14">
        <f t="shared" si="104"/>
        <v>7</v>
      </c>
      <c r="C823" s="13" t="str">
        <f t="shared" si="105"/>
        <v>Q3</v>
      </c>
      <c r="D823" s="13" t="str">
        <f t="shared" si="106"/>
        <v>2006Q3</v>
      </c>
      <c r="E823" s="13" t="str">
        <f t="shared" si="107"/>
        <v>Brazil</v>
      </c>
      <c r="F823" s="13" t="str">
        <f t="shared" si="110"/>
        <v>Biomass &amp; Waste</v>
      </c>
      <c r="G823" s="13" t="str">
        <f t="shared" si="109"/>
        <v>Asset finance investments</v>
      </c>
      <c r="H823" s="638">
        <f t="shared" si="108"/>
        <v>110.43513725058337</v>
      </c>
      <c r="I823" s="24" t="s">
        <v>506</v>
      </c>
      <c r="J823" s="25" t="s">
        <v>246</v>
      </c>
      <c r="K823" s="25" t="s">
        <v>2662</v>
      </c>
      <c r="L823" s="25" t="s">
        <v>1181</v>
      </c>
      <c r="M823" s="25" t="s">
        <v>31</v>
      </c>
      <c r="N823" s="25" t="s">
        <v>31</v>
      </c>
      <c r="O823" s="25" t="s">
        <v>92</v>
      </c>
      <c r="P823" s="25" t="s">
        <v>83</v>
      </c>
      <c r="Q823" s="25" t="s">
        <v>82</v>
      </c>
      <c r="R823" s="25" t="s">
        <v>91</v>
      </c>
      <c r="S823" s="25" t="s">
        <v>114</v>
      </c>
      <c r="T823" s="25" t="s">
        <v>114</v>
      </c>
      <c r="U823" s="25" t="s">
        <v>113</v>
      </c>
      <c r="V823" s="25" t="s">
        <v>347</v>
      </c>
      <c r="W823" s="25" t="s">
        <v>553</v>
      </c>
      <c r="X823" s="25" t="s">
        <v>1752</v>
      </c>
      <c r="Y823" s="25" t="s">
        <v>1753</v>
      </c>
      <c r="Z823" s="26">
        <v>38901.710416666698</v>
      </c>
      <c r="AA823" s="776">
        <v>105.4</v>
      </c>
      <c r="AB823" s="776">
        <v>0</v>
      </c>
      <c r="AC823" s="776">
        <v>0</v>
      </c>
      <c r="AD823" s="776">
        <v>0</v>
      </c>
      <c r="AE823" s="777">
        <v>110</v>
      </c>
      <c r="AF823" s="777">
        <v>110</v>
      </c>
      <c r="AG823" s="778">
        <v>110.43513725058337</v>
      </c>
    </row>
    <row r="824" spans="1:33" x14ac:dyDescent="0.2">
      <c r="A824" s="15">
        <f t="shared" si="103"/>
        <v>2006</v>
      </c>
      <c r="B824" s="14">
        <f t="shared" si="104"/>
        <v>9</v>
      </c>
      <c r="C824" s="13" t="str">
        <f t="shared" si="105"/>
        <v>Q3</v>
      </c>
      <c r="D824" s="13" t="str">
        <f t="shared" si="106"/>
        <v>2006Q3</v>
      </c>
      <c r="E824" s="13" t="str">
        <f t="shared" si="107"/>
        <v>Brazil</v>
      </c>
      <c r="F824" s="13" t="str">
        <f t="shared" si="110"/>
        <v>Biofuels</v>
      </c>
      <c r="G824" s="13" t="str">
        <f t="shared" si="109"/>
        <v>Asset finance investments</v>
      </c>
      <c r="H824" s="638">
        <f t="shared" si="108"/>
        <v>171.46398455876488</v>
      </c>
      <c r="I824" s="24" t="s">
        <v>506</v>
      </c>
      <c r="J824" s="25" t="s">
        <v>246</v>
      </c>
      <c r="K824" s="25" t="s">
        <v>2663</v>
      </c>
      <c r="L824" s="25" t="s">
        <v>2664</v>
      </c>
      <c r="M824" s="25" t="s">
        <v>31</v>
      </c>
      <c r="N824" s="25" t="s">
        <v>31</v>
      </c>
      <c r="O824" s="25" t="s">
        <v>92</v>
      </c>
      <c r="P824" s="25" t="s">
        <v>83</v>
      </c>
      <c r="Q824" s="25" t="s">
        <v>82</v>
      </c>
      <c r="R824" s="25" t="s">
        <v>91</v>
      </c>
      <c r="S824" s="25" t="s">
        <v>96</v>
      </c>
      <c r="T824" s="25" t="s">
        <v>96</v>
      </c>
      <c r="U824" s="25" t="s">
        <v>95</v>
      </c>
      <c r="V824" s="25" t="s">
        <v>223</v>
      </c>
      <c r="W824" s="25" t="s">
        <v>553</v>
      </c>
      <c r="X824" s="25" t="s">
        <v>1752</v>
      </c>
      <c r="Y824" s="25" t="s">
        <v>1753</v>
      </c>
      <c r="Z824" s="26">
        <v>38990</v>
      </c>
      <c r="AA824" s="776">
        <v>55.6</v>
      </c>
      <c r="AB824" s="776">
        <v>483</v>
      </c>
      <c r="AC824" s="776">
        <v>0</v>
      </c>
      <c r="AD824" s="776">
        <v>0</v>
      </c>
      <c r="AE824" s="777">
        <v>100</v>
      </c>
      <c r="AF824" s="777">
        <v>100</v>
      </c>
      <c r="AG824" s="778">
        <v>171.46398455876488</v>
      </c>
    </row>
    <row r="825" spans="1:33" x14ac:dyDescent="0.2">
      <c r="A825" s="15">
        <f t="shared" si="103"/>
        <v>2006</v>
      </c>
      <c r="B825" s="14">
        <f t="shared" si="104"/>
        <v>9</v>
      </c>
      <c r="C825" s="13" t="str">
        <f t="shared" si="105"/>
        <v>Q3</v>
      </c>
      <c r="D825" s="13" t="str">
        <f t="shared" si="106"/>
        <v>2006Q3</v>
      </c>
      <c r="E825" s="13" t="str">
        <f t="shared" si="107"/>
        <v>Costa Rica</v>
      </c>
      <c r="F825" s="13" t="str">
        <f t="shared" si="110"/>
        <v>Small Hydro</v>
      </c>
      <c r="G825" s="13" t="str">
        <f t="shared" si="109"/>
        <v>Asset finance investments</v>
      </c>
      <c r="H825" s="638">
        <f t="shared" si="108"/>
        <v>100.22281172637258</v>
      </c>
      <c r="I825" s="24" t="s">
        <v>506</v>
      </c>
      <c r="J825" s="25" t="s">
        <v>246</v>
      </c>
      <c r="K825" s="25" t="s">
        <v>2665</v>
      </c>
      <c r="L825" s="25" t="s">
        <v>940</v>
      </c>
      <c r="M825" s="25" t="s">
        <v>10</v>
      </c>
      <c r="N825" s="25" t="s">
        <v>85</v>
      </c>
      <c r="O825" s="25" t="s">
        <v>92</v>
      </c>
      <c r="P825" s="25" t="s">
        <v>83</v>
      </c>
      <c r="Q825" s="25" t="s">
        <v>82</v>
      </c>
      <c r="R825" s="25"/>
      <c r="S825" s="25" t="s">
        <v>126</v>
      </c>
      <c r="T825" s="25" t="s">
        <v>125</v>
      </c>
      <c r="U825" s="25" t="s">
        <v>247</v>
      </c>
      <c r="V825" s="25">
        <v>0</v>
      </c>
      <c r="W825" s="25" t="s">
        <v>553</v>
      </c>
      <c r="X825" s="25" t="s">
        <v>1749</v>
      </c>
      <c r="Y825" s="25" t="s">
        <v>1750</v>
      </c>
      <c r="Z825" s="26">
        <v>38980</v>
      </c>
      <c r="AA825" s="776">
        <v>40</v>
      </c>
      <c r="AB825" s="776">
        <v>0</v>
      </c>
      <c r="AC825" s="776">
        <v>0</v>
      </c>
      <c r="AD825" s="776">
        <v>0</v>
      </c>
      <c r="AE825" s="777">
        <v>100</v>
      </c>
      <c r="AF825" s="777">
        <v>100</v>
      </c>
      <c r="AG825" s="778">
        <v>100.22281172637258</v>
      </c>
    </row>
    <row r="826" spans="1:33" x14ac:dyDescent="0.2">
      <c r="A826" s="15">
        <f t="shared" si="103"/>
        <v>2006</v>
      </c>
      <c r="B826" s="14">
        <f t="shared" si="104"/>
        <v>8</v>
      </c>
      <c r="C826" s="13" t="str">
        <f t="shared" si="105"/>
        <v>Q3</v>
      </c>
      <c r="D826" s="13" t="str">
        <f t="shared" si="106"/>
        <v>2006Q3</v>
      </c>
      <c r="E826" s="13" t="str">
        <f t="shared" si="107"/>
        <v>Brazil</v>
      </c>
      <c r="F826" s="13" t="str">
        <f t="shared" si="110"/>
        <v>Biofuels</v>
      </c>
      <c r="G826" s="13" t="str">
        <f t="shared" si="109"/>
        <v>Asset finance investments</v>
      </c>
      <c r="H826" s="638">
        <f t="shared" si="108"/>
        <v>143.85828304480376</v>
      </c>
      <c r="I826" s="24" t="s">
        <v>506</v>
      </c>
      <c r="J826" s="25" t="s">
        <v>246</v>
      </c>
      <c r="K826" s="25" t="s">
        <v>2666</v>
      </c>
      <c r="L826" s="25" t="s">
        <v>1173</v>
      </c>
      <c r="M826" s="25" t="s">
        <v>31</v>
      </c>
      <c r="N826" s="25" t="s">
        <v>31</v>
      </c>
      <c r="O826" s="25" t="s">
        <v>92</v>
      </c>
      <c r="P826" s="25" t="s">
        <v>83</v>
      </c>
      <c r="Q826" s="25" t="s">
        <v>82</v>
      </c>
      <c r="R826" s="25" t="s">
        <v>91</v>
      </c>
      <c r="S826" s="25" t="s">
        <v>96</v>
      </c>
      <c r="T826" s="25" t="s">
        <v>96</v>
      </c>
      <c r="U826" s="25" t="s">
        <v>98</v>
      </c>
      <c r="V826" s="25">
        <v>0</v>
      </c>
      <c r="W826" s="25" t="s">
        <v>553</v>
      </c>
      <c r="X826" s="25" t="s">
        <v>1752</v>
      </c>
      <c r="Y826" s="25" t="s">
        <v>1753</v>
      </c>
      <c r="Z826" s="26">
        <v>38930</v>
      </c>
      <c r="AA826" s="776">
        <v>0</v>
      </c>
      <c r="AB826" s="776">
        <v>0</v>
      </c>
      <c r="AC826" s="776">
        <v>0</v>
      </c>
      <c r="AD826" s="776">
        <v>0</v>
      </c>
      <c r="AE826" s="777">
        <v>83.9</v>
      </c>
      <c r="AF826" s="777">
        <v>83.9</v>
      </c>
      <c r="AG826" s="778">
        <v>143.85828304480376</v>
      </c>
    </row>
    <row r="827" spans="1:33" x14ac:dyDescent="0.2">
      <c r="A827" s="15">
        <f t="shared" si="103"/>
        <v>2006</v>
      </c>
      <c r="B827" s="14">
        <f t="shared" si="104"/>
        <v>9</v>
      </c>
      <c r="C827" s="13" t="str">
        <f t="shared" si="105"/>
        <v>Q3</v>
      </c>
      <c r="D827" s="13" t="str">
        <f t="shared" si="106"/>
        <v>2006Q3</v>
      </c>
      <c r="E827" s="13" t="str">
        <f t="shared" si="107"/>
        <v>Brazil</v>
      </c>
      <c r="F827" s="13" t="str">
        <f t="shared" si="110"/>
        <v>Biofuels</v>
      </c>
      <c r="G827" s="13" t="str">
        <f t="shared" si="109"/>
        <v>Asset finance investments</v>
      </c>
      <c r="H827" s="638">
        <f t="shared" si="108"/>
        <v>115.99538555400446</v>
      </c>
      <c r="I827" s="24" t="s">
        <v>506</v>
      </c>
      <c r="J827" s="25" t="s">
        <v>246</v>
      </c>
      <c r="K827" s="25" t="s">
        <v>2667</v>
      </c>
      <c r="L827" s="25" t="s">
        <v>617</v>
      </c>
      <c r="M827" s="25" t="s">
        <v>31</v>
      </c>
      <c r="N827" s="25" t="s">
        <v>31</v>
      </c>
      <c r="O827" s="25" t="s">
        <v>92</v>
      </c>
      <c r="P827" s="25" t="s">
        <v>83</v>
      </c>
      <c r="Q827" s="25" t="s">
        <v>82</v>
      </c>
      <c r="R827" s="25" t="s">
        <v>91</v>
      </c>
      <c r="S827" s="25" t="s">
        <v>96</v>
      </c>
      <c r="T827" s="25" t="s">
        <v>96</v>
      </c>
      <c r="U827" s="25" t="s">
        <v>98</v>
      </c>
      <c r="V827" s="25">
        <v>0</v>
      </c>
      <c r="W827" s="25" t="s">
        <v>553</v>
      </c>
      <c r="X827" s="25" t="s">
        <v>1752</v>
      </c>
      <c r="Y827" s="25" t="s">
        <v>1753</v>
      </c>
      <c r="Z827" s="26">
        <v>38990</v>
      </c>
      <c r="AA827" s="776">
        <v>0</v>
      </c>
      <c r="AB827" s="776">
        <v>55</v>
      </c>
      <c r="AC827" s="776">
        <v>0</v>
      </c>
      <c r="AD827" s="776">
        <v>0</v>
      </c>
      <c r="AE827" s="777">
        <v>0</v>
      </c>
      <c r="AF827" s="777">
        <v>67.650000000000006</v>
      </c>
      <c r="AG827" s="778">
        <v>115.99538555400446</v>
      </c>
    </row>
    <row r="828" spans="1:33" x14ac:dyDescent="0.2">
      <c r="A828" s="15">
        <f t="shared" si="103"/>
        <v>2006</v>
      </c>
      <c r="B828" s="14">
        <f t="shared" si="104"/>
        <v>8</v>
      </c>
      <c r="C828" s="13" t="str">
        <f t="shared" si="105"/>
        <v>Q3</v>
      </c>
      <c r="D828" s="13" t="str">
        <f t="shared" si="106"/>
        <v>2006Q3</v>
      </c>
      <c r="E828" s="13" t="str">
        <f t="shared" si="107"/>
        <v>Colombia</v>
      </c>
      <c r="F828" s="13" t="str">
        <f t="shared" si="110"/>
        <v>Biofuels</v>
      </c>
      <c r="G828" s="13" t="str">
        <f t="shared" si="109"/>
        <v>Asset finance investments</v>
      </c>
      <c r="H828" s="638">
        <f t="shared" si="108"/>
        <v>65.228209568922722</v>
      </c>
      <c r="I828" s="24" t="s">
        <v>506</v>
      </c>
      <c r="J828" s="25" t="s">
        <v>246</v>
      </c>
      <c r="K828" s="25" t="s">
        <v>2668</v>
      </c>
      <c r="L828" s="25" t="s">
        <v>1143</v>
      </c>
      <c r="M828" s="25" t="s">
        <v>9</v>
      </c>
      <c r="N828" s="25" t="s">
        <v>85</v>
      </c>
      <c r="O828" s="25" t="s">
        <v>92</v>
      </c>
      <c r="P828" s="25" t="s">
        <v>83</v>
      </c>
      <c r="Q828" s="25" t="s">
        <v>82</v>
      </c>
      <c r="R828" s="25"/>
      <c r="S828" s="25" t="s">
        <v>96</v>
      </c>
      <c r="T828" s="25" t="s">
        <v>96</v>
      </c>
      <c r="U828" s="25" t="s">
        <v>95</v>
      </c>
      <c r="V828" s="25" t="s">
        <v>223</v>
      </c>
      <c r="W828" s="25" t="s">
        <v>553</v>
      </c>
      <c r="X828" s="25" t="s">
        <v>1752</v>
      </c>
      <c r="Y828" s="25" t="s">
        <v>1753</v>
      </c>
      <c r="Z828" s="26">
        <v>38930</v>
      </c>
      <c r="AA828" s="776">
        <v>0</v>
      </c>
      <c r="AB828" s="776">
        <v>115</v>
      </c>
      <c r="AC828" s="776">
        <v>0</v>
      </c>
      <c r="AD828" s="776">
        <v>0</v>
      </c>
      <c r="AE828" s="777">
        <v>65</v>
      </c>
      <c r="AF828" s="777">
        <v>65</v>
      </c>
      <c r="AG828" s="778">
        <v>65.228209568922722</v>
      </c>
    </row>
    <row r="829" spans="1:33" x14ac:dyDescent="0.2">
      <c r="A829" s="15">
        <f t="shared" si="103"/>
        <v>2006</v>
      </c>
      <c r="B829" s="14">
        <f t="shared" si="104"/>
        <v>9</v>
      </c>
      <c r="C829" s="13" t="str">
        <f t="shared" si="105"/>
        <v>Q3</v>
      </c>
      <c r="D829" s="13" t="str">
        <f t="shared" si="106"/>
        <v>2006Q3</v>
      </c>
      <c r="E829" s="13" t="str">
        <f t="shared" si="107"/>
        <v>Brazil</v>
      </c>
      <c r="F829" s="13" t="str">
        <f t="shared" si="110"/>
        <v>Small Hydro</v>
      </c>
      <c r="G829" s="13" t="str">
        <f t="shared" si="109"/>
        <v>Asset finance investments</v>
      </c>
      <c r="H829" s="638">
        <f t="shared" si="108"/>
        <v>64.577213361208507</v>
      </c>
      <c r="I829" s="24" t="s">
        <v>506</v>
      </c>
      <c r="J829" s="25" t="s">
        <v>246</v>
      </c>
      <c r="K829" s="25" t="s">
        <v>2669</v>
      </c>
      <c r="L829" s="25" t="s">
        <v>578</v>
      </c>
      <c r="M829" s="25" t="s">
        <v>31</v>
      </c>
      <c r="N829" s="25" t="s">
        <v>31</v>
      </c>
      <c r="O829" s="25" t="s">
        <v>92</v>
      </c>
      <c r="P829" s="25" t="s">
        <v>83</v>
      </c>
      <c r="Q829" s="25" t="s">
        <v>82</v>
      </c>
      <c r="R829" s="25" t="s">
        <v>91</v>
      </c>
      <c r="S829" s="25" t="s">
        <v>126</v>
      </c>
      <c r="T829" s="25" t="s">
        <v>125</v>
      </c>
      <c r="U829" s="25" t="s">
        <v>247</v>
      </c>
      <c r="V829" s="25">
        <v>0</v>
      </c>
      <c r="W829" s="25" t="s">
        <v>553</v>
      </c>
      <c r="X829" s="25" t="s">
        <v>1752</v>
      </c>
      <c r="Y829" s="25" t="s">
        <v>1753</v>
      </c>
      <c r="Z829" s="26">
        <v>38985</v>
      </c>
      <c r="AA829" s="776">
        <v>25.6</v>
      </c>
      <c r="AB829" s="776">
        <v>0</v>
      </c>
      <c r="AC829" s="776">
        <v>0</v>
      </c>
      <c r="AD829" s="776">
        <v>0</v>
      </c>
      <c r="AE829" s="777">
        <v>0</v>
      </c>
      <c r="AF829" s="777">
        <v>64</v>
      </c>
      <c r="AG829" s="778">
        <v>64.577213361208507</v>
      </c>
    </row>
    <row r="830" spans="1:33" x14ac:dyDescent="0.2">
      <c r="A830" s="15">
        <f t="shared" si="103"/>
        <v>2006</v>
      </c>
      <c r="B830" s="14">
        <f t="shared" si="104"/>
        <v>9</v>
      </c>
      <c r="C830" s="13" t="str">
        <f t="shared" si="105"/>
        <v>Q3</v>
      </c>
      <c r="D830" s="13" t="str">
        <f t="shared" si="106"/>
        <v>2006Q3</v>
      </c>
      <c r="E830" s="13" t="str">
        <f t="shared" si="107"/>
        <v>Brazil</v>
      </c>
      <c r="F830" s="13" t="str">
        <f t="shared" si="110"/>
        <v>Small Hydro</v>
      </c>
      <c r="G830" s="13" t="str">
        <f t="shared" si="109"/>
        <v>Asset finance investments</v>
      </c>
      <c r="H830" s="638">
        <f t="shared" si="108"/>
        <v>56.908669274564993</v>
      </c>
      <c r="I830" s="24" t="s">
        <v>506</v>
      </c>
      <c r="J830" s="25" t="s">
        <v>246</v>
      </c>
      <c r="K830" s="25" t="s">
        <v>2670</v>
      </c>
      <c r="L830" s="25" t="s">
        <v>1008</v>
      </c>
      <c r="M830" s="25" t="s">
        <v>31</v>
      </c>
      <c r="N830" s="25" t="s">
        <v>31</v>
      </c>
      <c r="O830" s="25" t="s">
        <v>92</v>
      </c>
      <c r="P830" s="25" t="s">
        <v>83</v>
      </c>
      <c r="Q830" s="25" t="s">
        <v>82</v>
      </c>
      <c r="R830" s="25" t="s">
        <v>91</v>
      </c>
      <c r="S830" s="25" t="s">
        <v>126</v>
      </c>
      <c r="T830" s="25" t="s">
        <v>125</v>
      </c>
      <c r="U830" s="25" t="s">
        <v>342</v>
      </c>
      <c r="V830" s="25">
        <v>0</v>
      </c>
      <c r="W830" s="25" t="s">
        <v>553</v>
      </c>
      <c r="X830" s="25" t="s">
        <v>1749</v>
      </c>
      <c r="Y830" s="25" t="s">
        <v>1750</v>
      </c>
      <c r="Z830" s="26">
        <v>38961</v>
      </c>
      <c r="AA830" s="776">
        <v>30</v>
      </c>
      <c r="AB830" s="776">
        <v>0</v>
      </c>
      <c r="AC830" s="776">
        <v>0</v>
      </c>
      <c r="AD830" s="776">
        <v>0</v>
      </c>
      <c r="AE830" s="777">
        <v>0</v>
      </c>
      <c r="AF830" s="777">
        <v>56.4</v>
      </c>
      <c r="AG830" s="778">
        <v>56.908669274564993</v>
      </c>
    </row>
    <row r="831" spans="1:33" x14ac:dyDescent="0.2">
      <c r="A831" s="15">
        <f t="shared" si="103"/>
        <v>2006</v>
      </c>
      <c r="B831" s="14">
        <f t="shared" si="104"/>
        <v>7</v>
      </c>
      <c r="C831" s="13" t="str">
        <f t="shared" si="105"/>
        <v>Q3</v>
      </c>
      <c r="D831" s="13" t="str">
        <f t="shared" si="106"/>
        <v>2006Q3</v>
      </c>
      <c r="E831" s="13" t="str">
        <f t="shared" si="107"/>
        <v>Brazil</v>
      </c>
      <c r="F831" s="13" t="str">
        <f t="shared" si="110"/>
        <v>Biofuels</v>
      </c>
      <c r="G831" s="13" t="str">
        <f t="shared" si="109"/>
        <v>Asset finance investments</v>
      </c>
      <c r="H831" s="638">
        <f t="shared" si="108"/>
        <v>88.57829442305794</v>
      </c>
      <c r="I831" s="24" t="s">
        <v>506</v>
      </c>
      <c r="J831" s="25" t="s">
        <v>246</v>
      </c>
      <c r="K831" s="25" t="s">
        <v>2671</v>
      </c>
      <c r="L831" s="25" t="s">
        <v>649</v>
      </c>
      <c r="M831" s="25" t="s">
        <v>31</v>
      </c>
      <c r="N831" s="25" t="s">
        <v>31</v>
      </c>
      <c r="O831" s="25" t="s">
        <v>92</v>
      </c>
      <c r="P831" s="25" t="s">
        <v>83</v>
      </c>
      <c r="Q831" s="25" t="s">
        <v>82</v>
      </c>
      <c r="R831" s="25" t="s">
        <v>91</v>
      </c>
      <c r="S831" s="25" t="s">
        <v>96</v>
      </c>
      <c r="T831" s="25" t="s">
        <v>96</v>
      </c>
      <c r="U831" s="25" t="s">
        <v>98</v>
      </c>
      <c r="V831" s="25">
        <v>0</v>
      </c>
      <c r="W831" s="25" t="s">
        <v>553</v>
      </c>
      <c r="X831" s="25" t="s">
        <v>1752</v>
      </c>
      <c r="Y831" s="25" t="s">
        <v>1753</v>
      </c>
      <c r="Z831" s="26">
        <v>38929</v>
      </c>
      <c r="AA831" s="776">
        <v>2.8</v>
      </c>
      <c r="AB831" s="776">
        <v>42</v>
      </c>
      <c r="AC831" s="776">
        <v>0</v>
      </c>
      <c r="AD831" s="776">
        <v>0</v>
      </c>
      <c r="AE831" s="777">
        <v>0</v>
      </c>
      <c r="AF831" s="777">
        <v>51.66</v>
      </c>
      <c r="AG831" s="778">
        <v>88.57829442305794</v>
      </c>
    </row>
    <row r="832" spans="1:33" x14ac:dyDescent="0.2">
      <c r="A832" s="15">
        <f t="shared" si="103"/>
        <v>2006</v>
      </c>
      <c r="B832" s="14">
        <f t="shared" si="104"/>
        <v>9</v>
      </c>
      <c r="C832" s="13" t="str">
        <f t="shared" si="105"/>
        <v>Q3</v>
      </c>
      <c r="D832" s="13" t="str">
        <f t="shared" si="106"/>
        <v>2006Q3</v>
      </c>
      <c r="E832" s="13" t="str">
        <f t="shared" si="107"/>
        <v>Colombia</v>
      </c>
      <c r="F832" s="13" t="str">
        <f t="shared" si="110"/>
        <v>Small Hydro</v>
      </c>
      <c r="G832" s="13" t="str">
        <f t="shared" si="109"/>
        <v>Asset finance investments</v>
      </c>
      <c r="H832" s="638">
        <f t="shared" si="108"/>
        <v>49.885904536801952</v>
      </c>
      <c r="I832" s="24" t="s">
        <v>506</v>
      </c>
      <c r="J832" s="25" t="s">
        <v>246</v>
      </c>
      <c r="K832" s="25" t="s">
        <v>2672</v>
      </c>
      <c r="L832" s="25" t="s">
        <v>632</v>
      </c>
      <c r="M832" s="25" t="s">
        <v>9</v>
      </c>
      <c r="N832" s="25" t="s">
        <v>85</v>
      </c>
      <c r="O832" s="25" t="s">
        <v>92</v>
      </c>
      <c r="P832" s="25" t="s">
        <v>83</v>
      </c>
      <c r="Q832" s="25" t="s">
        <v>82</v>
      </c>
      <c r="R832" s="25"/>
      <c r="S832" s="25" t="s">
        <v>126</v>
      </c>
      <c r="T832" s="25" t="s">
        <v>125</v>
      </c>
      <c r="U832" s="25" t="s">
        <v>247</v>
      </c>
      <c r="V832" s="25">
        <v>0</v>
      </c>
      <c r="W832" s="25" t="s">
        <v>553</v>
      </c>
      <c r="X832" s="25" t="s">
        <v>1752</v>
      </c>
      <c r="Y832" s="25" t="s">
        <v>1753</v>
      </c>
      <c r="Z832" s="26">
        <v>38976</v>
      </c>
      <c r="AA832" s="776">
        <v>19.91</v>
      </c>
      <c r="AB832" s="776">
        <v>0</v>
      </c>
      <c r="AC832" s="776">
        <v>0</v>
      </c>
      <c r="AD832" s="776">
        <v>0</v>
      </c>
      <c r="AE832" s="777">
        <v>0</v>
      </c>
      <c r="AF832" s="777">
        <v>49.774999999999999</v>
      </c>
      <c r="AG832" s="778">
        <v>49.885904536801952</v>
      </c>
    </row>
    <row r="833" spans="1:33" x14ac:dyDescent="0.2">
      <c r="A833" s="15">
        <f t="shared" si="103"/>
        <v>2006</v>
      </c>
      <c r="B833" s="14">
        <f t="shared" si="104"/>
        <v>9</v>
      </c>
      <c r="C833" s="13" t="str">
        <f t="shared" si="105"/>
        <v>Q3</v>
      </c>
      <c r="D833" s="13" t="str">
        <f t="shared" si="106"/>
        <v>2006Q3</v>
      </c>
      <c r="E833" s="13" t="str">
        <f t="shared" si="107"/>
        <v>Colombia</v>
      </c>
      <c r="F833" s="13" t="str">
        <f t="shared" si="110"/>
        <v>Small Hydro</v>
      </c>
      <c r="G833" s="13" t="str">
        <f t="shared" si="109"/>
        <v>Asset finance investments</v>
      </c>
      <c r="H833" s="638">
        <f t="shared" si="108"/>
        <v>49.710514616280804</v>
      </c>
      <c r="I833" s="24" t="s">
        <v>506</v>
      </c>
      <c r="J833" s="25" t="s">
        <v>246</v>
      </c>
      <c r="K833" s="25" t="s">
        <v>2673</v>
      </c>
      <c r="L833" s="25" t="s">
        <v>904</v>
      </c>
      <c r="M833" s="25" t="s">
        <v>9</v>
      </c>
      <c r="N833" s="25" t="s">
        <v>85</v>
      </c>
      <c r="O833" s="25" t="s">
        <v>92</v>
      </c>
      <c r="P833" s="25" t="s">
        <v>83</v>
      </c>
      <c r="Q833" s="25" t="s">
        <v>82</v>
      </c>
      <c r="R833" s="25"/>
      <c r="S833" s="25" t="s">
        <v>126</v>
      </c>
      <c r="T833" s="25" t="s">
        <v>125</v>
      </c>
      <c r="U833" s="25" t="s">
        <v>247</v>
      </c>
      <c r="V833" s="25">
        <v>0</v>
      </c>
      <c r="W833" s="25" t="s">
        <v>553</v>
      </c>
      <c r="X833" s="25" t="s">
        <v>1752</v>
      </c>
      <c r="Y833" s="25" t="s">
        <v>1753</v>
      </c>
      <c r="Z833" s="26">
        <v>38975</v>
      </c>
      <c r="AA833" s="776">
        <v>19.84</v>
      </c>
      <c r="AB833" s="776">
        <v>0</v>
      </c>
      <c r="AC833" s="776">
        <v>0</v>
      </c>
      <c r="AD833" s="776">
        <v>0</v>
      </c>
      <c r="AE833" s="777">
        <v>0</v>
      </c>
      <c r="AF833" s="777">
        <v>49.6</v>
      </c>
      <c r="AG833" s="778">
        <v>49.710514616280804</v>
      </c>
    </row>
    <row r="834" spans="1:33" x14ac:dyDescent="0.2">
      <c r="A834" s="15">
        <f t="shared" si="103"/>
        <v>2006</v>
      </c>
      <c r="B834" s="14">
        <f t="shared" si="104"/>
        <v>8</v>
      </c>
      <c r="C834" s="13" t="str">
        <f t="shared" si="105"/>
        <v>Q3</v>
      </c>
      <c r="D834" s="13" t="str">
        <f t="shared" si="106"/>
        <v>2006Q3</v>
      </c>
      <c r="E834" s="13" t="str">
        <f t="shared" si="107"/>
        <v>Brazil</v>
      </c>
      <c r="F834" s="13" t="str">
        <f t="shared" si="110"/>
        <v>Biomass &amp; Waste</v>
      </c>
      <c r="G834" s="13" t="str">
        <f t="shared" si="109"/>
        <v>Asset finance investments</v>
      </c>
      <c r="H834" s="638">
        <f t="shared" si="108"/>
        <v>48.189878072981834</v>
      </c>
      <c r="I834" s="24" t="s">
        <v>506</v>
      </c>
      <c r="J834" s="25" t="s">
        <v>246</v>
      </c>
      <c r="K834" s="25" t="s">
        <v>2674</v>
      </c>
      <c r="L834" s="25" t="s">
        <v>2675</v>
      </c>
      <c r="M834" s="25" t="s">
        <v>31</v>
      </c>
      <c r="N834" s="25" t="s">
        <v>31</v>
      </c>
      <c r="O834" s="25" t="s">
        <v>92</v>
      </c>
      <c r="P834" s="25" t="s">
        <v>83</v>
      </c>
      <c r="Q834" s="25" t="s">
        <v>82</v>
      </c>
      <c r="R834" s="25" t="s">
        <v>91</v>
      </c>
      <c r="S834" s="25" t="s">
        <v>114</v>
      </c>
      <c r="T834" s="25" t="s">
        <v>114</v>
      </c>
      <c r="U834" s="25" t="s">
        <v>113</v>
      </c>
      <c r="V834" s="25" t="s">
        <v>347</v>
      </c>
      <c r="W834" s="25" t="s">
        <v>553</v>
      </c>
      <c r="X834" s="25" t="s">
        <v>1752</v>
      </c>
      <c r="Y834" s="25" t="s">
        <v>1753</v>
      </c>
      <c r="Z834" s="26">
        <v>38960</v>
      </c>
      <c r="AA834" s="776">
        <v>24</v>
      </c>
      <c r="AB834" s="776">
        <v>0</v>
      </c>
      <c r="AC834" s="776">
        <v>0</v>
      </c>
      <c r="AD834" s="776">
        <v>0</v>
      </c>
      <c r="AE834" s="777">
        <v>0</v>
      </c>
      <c r="AF834" s="777">
        <v>48</v>
      </c>
      <c r="AG834" s="778">
        <v>48.189878072981834</v>
      </c>
    </row>
    <row r="835" spans="1:33" x14ac:dyDescent="0.2">
      <c r="A835" s="15">
        <f t="shared" si="103"/>
        <v>2006</v>
      </c>
      <c r="B835" s="14">
        <f t="shared" si="104"/>
        <v>7</v>
      </c>
      <c r="C835" s="13" t="str">
        <f t="shared" si="105"/>
        <v>Q3</v>
      </c>
      <c r="D835" s="13" t="str">
        <f t="shared" si="106"/>
        <v>2006Q3</v>
      </c>
      <c r="E835" s="13" t="str">
        <f t="shared" si="107"/>
        <v>Colombia</v>
      </c>
      <c r="F835" s="13" t="str">
        <f t="shared" si="110"/>
        <v>Small Hydro</v>
      </c>
      <c r="G835" s="13" t="str">
        <f t="shared" si="109"/>
        <v>Asset finance investments</v>
      </c>
      <c r="H835" s="638">
        <f t="shared" si="108"/>
        <v>38.194913548920589</v>
      </c>
      <c r="I835" s="24" t="s">
        <v>506</v>
      </c>
      <c r="J835" s="25" t="s">
        <v>246</v>
      </c>
      <c r="K835" s="25" t="s">
        <v>2676</v>
      </c>
      <c r="L835" s="25" t="s">
        <v>644</v>
      </c>
      <c r="M835" s="25" t="s">
        <v>9</v>
      </c>
      <c r="N835" s="25" t="s">
        <v>85</v>
      </c>
      <c r="O835" s="25" t="s">
        <v>92</v>
      </c>
      <c r="P835" s="25" t="s">
        <v>83</v>
      </c>
      <c r="Q835" s="25" t="s">
        <v>82</v>
      </c>
      <c r="R835" s="25"/>
      <c r="S835" s="25" t="s">
        <v>126</v>
      </c>
      <c r="T835" s="25" t="s">
        <v>125</v>
      </c>
      <c r="U835" s="25" t="s">
        <v>342</v>
      </c>
      <c r="V835" s="25">
        <v>0</v>
      </c>
      <c r="W835" s="25" t="s">
        <v>553</v>
      </c>
      <c r="X835" s="25" t="s">
        <v>1752</v>
      </c>
      <c r="Y835" s="25" t="s">
        <v>1753</v>
      </c>
      <c r="Z835" s="26">
        <v>38899</v>
      </c>
      <c r="AA835" s="776">
        <v>26</v>
      </c>
      <c r="AB835" s="776">
        <v>0</v>
      </c>
      <c r="AC835" s="776">
        <v>0</v>
      </c>
      <c r="AD835" s="776">
        <v>0</v>
      </c>
      <c r="AE835" s="777">
        <v>38.11</v>
      </c>
      <c r="AF835" s="777">
        <v>38.11</v>
      </c>
      <c r="AG835" s="778">
        <v>38.194913548920589</v>
      </c>
    </row>
    <row r="836" spans="1:33" x14ac:dyDescent="0.2">
      <c r="A836" s="15">
        <f t="shared" si="103"/>
        <v>2006</v>
      </c>
      <c r="B836" s="14">
        <f t="shared" si="104"/>
        <v>7</v>
      </c>
      <c r="C836" s="13" t="str">
        <f t="shared" si="105"/>
        <v>Q3</v>
      </c>
      <c r="D836" s="13" t="str">
        <f t="shared" si="106"/>
        <v>2006Q3</v>
      </c>
      <c r="E836" s="13" t="str">
        <f t="shared" si="107"/>
        <v>Argentina</v>
      </c>
      <c r="F836" s="13" t="str">
        <f t="shared" si="110"/>
        <v>Biofuels</v>
      </c>
      <c r="G836" s="13" t="str">
        <f t="shared" si="109"/>
        <v>Asset finance investments</v>
      </c>
      <c r="H836" s="638">
        <f t="shared" si="108"/>
        <v>35.12288207557377</v>
      </c>
      <c r="I836" s="24" t="s">
        <v>506</v>
      </c>
      <c r="J836" s="25" t="s">
        <v>246</v>
      </c>
      <c r="K836" s="25" t="s">
        <v>2677</v>
      </c>
      <c r="L836" s="25" t="s">
        <v>747</v>
      </c>
      <c r="M836" s="25" t="s">
        <v>4</v>
      </c>
      <c r="N836" s="25" t="s">
        <v>85</v>
      </c>
      <c r="O836" s="25" t="s">
        <v>92</v>
      </c>
      <c r="P836" s="25" t="s">
        <v>83</v>
      </c>
      <c r="Q836" s="25" t="s">
        <v>82</v>
      </c>
      <c r="R836" s="25"/>
      <c r="S836" s="25" t="s">
        <v>96</v>
      </c>
      <c r="T836" s="25" t="s">
        <v>96</v>
      </c>
      <c r="U836" s="25" t="s">
        <v>95</v>
      </c>
      <c r="V836" s="25">
        <v>0</v>
      </c>
      <c r="W836" s="25" t="s">
        <v>553</v>
      </c>
      <c r="X836" s="25" t="s">
        <v>1752</v>
      </c>
      <c r="Y836" s="25" t="s">
        <v>1753</v>
      </c>
      <c r="Z836" s="26">
        <v>38913</v>
      </c>
      <c r="AA836" s="776">
        <v>0</v>
      </c>
      <c r="AB836" s="776">
        <v>0</v>
      </c>
      <c r="AC836" s="776">
        <v>0</v>
      </c>
      <c r="AD836" s="776">
        <v>0</v>
      </c>
      <c r="AE836" s="777">
        <v>0</v>
      </c>
      <c r="AF836" s="777">
        <v>35</v>
      </c>
      <c r="AG836" s="778">
        <v>35.12288207557377</v>
      </c>
    </row>
    <row r="837" spans="1:33" x14ac:dyDescent="0.2">
      <c r="A837" s="15">
        <f t="shared" ref="A837:A900" si="111">IF(K837="","",IF(AND(YEAR(Z837)&lt;2004,YEAR(Z837)&gt;1910),2004,YEAR(Z837)))</f>
        <v>2006</v>
      </c>
      <c r="B837" s="14">
        <f t="shared" ref="B837:B900" si="112">IF(K837="","",IF(ISNUMBER(Z837),MONTH(Z837),0))</f>
        <v>8</v>
      </c>
      <c r="C837" s="13" t="str">
        <f t="shared" ref="C837:C900" si="113">IF(K837="","",IF(AND(B837&gt;=1,B837&lt;=3),"Q1",IF(AND(B837&gt;3,B837&lt;=6),"Q2",IF(AND(B837&gt;6,B837&lt;=9),"Q3",IF(AND(B837&gt;9,B837&lt;=12),"Q4",0)))))</f>
        <v>Q3</v>
      </c>
      <c r="D837" s="13" t="str">
        <f t="shared" ref="D837:D900" si="114">IF(A837&lt;2006, "&lt; 2006", A837&amp;C837)</f>
        <v>2006Q3</v>
      </c>
      <c r="E837" s="13" t="str">
        <f t="shared" ref="E837:E900" si="115">IF(K837="","", M837)</f>
        <v>Brazil</v>
      </c>
      <c r="F837" s="13" t="str">
        <f t="shared" si="110"/>
        <v>Biofuels</v>
      </c>
      <c r="G837" s="13" t="str">
        <f t="shared" si="109"/>
        <v>Asset finance investments</v>
      </c>
      <c r="H837" s="638">
        <f t="shared" ref="H837:H900" si="116">IF(K837="","",AG837)</f>
        <v>39.093788479398391</v>
      </c>
      <c r="I837" s="24" t="s">
        <v>506</v>
      </c>
      <c r="J837" s="25" t="s">
        <v>246</v>
      </c>
      <c r="K837" s="25" t="s">
        <v>2678</v>
      </c>
      <c r="L837" s="25" t="s">
        <v>1171</v>
      </c>
      <c r="M837" s="25" t="s">
        <v>31</v>
      </c>
      <c r="N837" s="25" t="s">
        <v>31</v>
      </c>
      <c r="O837" s="25" t="s">
        <v>92</v>
      </c>
      <c r="P837" s="25" t="s">
        <v>83</v>
      </c>
      <c r="Q837" s="25" t="s">
        <v>82</v>
      </c>
      <c r="R837" s="25" t="s">
        <v>91</v>
      </c>
      <c r="S837" s="25" t="s">
        <v>96</v>
      </c>
      <c r="T837" s="25" t="s">
        <v>96</v>
      </c>
      <c r="U837" s="25" t="s">
        <v>95</v>
      </c>
      <c r="V837" s="25" t="s">
        <v>223</v>
      </c>
      <c r="W837" s="25" t="s">
        <v>553</v>
      </c>
      <c r="X837" s="25" t="s">
        <v>1749</v>
      </c>
      <c r="Y837" s="25" t="s">
        <v>1750</v>
      </c>
      <c r="Z837" s="26">
        <v>38960</v>
      </c>
      <c r="AA837" s="776">
        <v>0</v>
      </c>
      <c r="AB837" s="776">
        <v>135</v>
      </c>
      <c r="AC837" s="776">
        <v>0</v>
      </c>
      <c r="AD837" s="776">
        <v>0</v>
      </c>
      <c r="AE837" s="777">
        <v>22.8</v>
      </c>
      <c r="AF837" s="777">
        <v>22.8</v>
      </c>
      <c r="AG837" s="778">
        <v>39.093788479398391</v>
      </c>
    </row>
    <row r="838" spans="1:33" x14ac:dyDescent="0.2">
      <c r="A838" s="15">
        <f t="shared" si="111"/>
        <v>2006</v>
      </c>
      <c r="B838" s="14">
        <f t="shared" si="112"/>
        <v>7</v>
      </c>
      <c r="C838" s="13" t="str">
        <f t="shared" si="113"/>
        <v>Q3</v>
      </c>
      <c r="D838" s="13" t="str">
        <f t="shared" si="114"/>
        <v>2006Q3</v>
      </c>
      <c r="E838" s="13" t="str">
        <f t="shared" si="115"/>
        <v>Jamaica</v>
      </c>
      <c r="F838" s="13" t="str">
        <f t="shared" si="110"/>
        <v>Biofuels</v>
      </c>
      <c r="G838" s="13" t="str">
        <f t="shared" ref="G838:G901" si="117">IF(K838="","",IF(OR(J838="PM",J838="MA"), "Corporate finance investments", IF(J838="VCPE", "VC/PE investments", IF(J838="AF", "Asset finance investments"))))</f>
        <v>Asset finance investments</v>
      </c>
      <c r="H838" s="638">
        <f t="shared" si="116"/>
        <v>20.070218328899301</v>
      </c>
      <c r="I838" s="24" t="s">
        <v>506</v>
      </c>
      <c r="J838" s="25" t="s">
        <v>246</v>
      </c>
      <c r="K838" s="25" t="s">
        <v>2679</v>
      </c>
      <c r="L838" s="25" t="s">
        <v>692</v>
      </c>
      <c r="M838" s="25" t="s">
        <v>17</v>
      </c>
      <c r="N838" s="25" t="s">
        <v>85</v>
      </c>
      <c r="O838" s="25" t="s">
        <v>84</v>
      </c>
      <c r="P838" s="25" t="s">
        <v>83</v>
      </c>
      <c r="Q838" s="25" t="s">
        <v>82</v>
      </c>
      <c r="R838" s="25"/>
      <c r="S838" s="25" t="s">
        <v>96</v>
      </c>
      <c r="T838" s="25" t="s">
        <v>96</v>
      </c>
      <c r="U838" s="25" t="s">
        <v>98</v>
      </c>
      <c r="V838" s="25" t="s">
        <v>691</v>
      </c>
      <c r="W838" s="25" t="s">
        <v>553</v>
      </c>
      <c r="X838" s="25" t="s">
        <v>1752</v>
      </c>
      <c r="Y838" s="25" t="s">
        <v>1753</v>
      </c>
      <c r="Z838" s="26">
        <v>38921</v>
      </c>
      <c r="AA838" s="776">
        <v>0</v>
      </c>
      <c r="AB838" s="776">
        <v>454</v>
      </c>
      <c r="AC838" s="776">
        <v>0</v>
      </c>
      <c r="AD838" s="776">
        <v>0</v>
      </c>
      <c r="AE838" s="777">
        <v>20</v>
      </c>
      <c r="AF838" s="777">
        <v>20</v>
      </c>
      <c r="AG838" s="778">
        <v>20.070218328899301</v>
      </c>
    </row>
    <row r="839" spans="1:33" x14ac:dyDescent="0.2">
      <c r="A839" s="15">
        <f t="shared" si="111"/>
        <v>2006</v>
      </c>
      <c r="B839" s="14">
        <f t="shared" si="112"/>
        <v>8</v>
      </c>
      <c r="C839" s="13" t="str">
        <f t="shared" si="113"/>
        <v>Q3</v>
      </c>
      <c r="D839" s="13" t="str">
        <f t="shared" si="114"/>
        <v>2006Q3</v>
      </c>
      <c r="E839" s="13" t="str">
        <f t="shared" si="115"/>
        <v>Brazil</v>
      </c>
      <c r="F839" s="13" t="str">
        <f t="shared" ref="F839:F902" si="118">IF(K839="","",IF(OR(T839="Wind",T839="Solar",T839="Geothermal",T839="Small Hydro",T839="Biofuels",T839="Biomass &amp; Waste"),T839,"Other Clean Energy"))</f>
        <v>Biofuels</v>
      </c>
      <c r="G839" s="13" t="str">
        <f t="shared" si="117"/>
        <v>Asset finance investments</v>
      </c>
      <c r="H839" s="638">
        <f t="shared" si="116"/>
        <v>32.578157066165332</v>
      </c>
      <c r="I839" s="24" t="s">
        <v>506</v>
      </c>
      <c r="J839" s="25" t="s">
        <v>246</v>
      </c>
      <c r="K839" s="25" t="s">
        <v>2680</v>
      </c>
      <c r="L839" s="25" t="s">
        <v>2681</v>
      </c>
      <c r="M839" s="25" t="s">
        <v>31</v>
      </c>
      <c r="N839" s="25" t="s">
        <v>31</v>
      </c>
      <c r="O839" s="25" t="s">
        <v>92</v>
      </c>
      <c r="P839" s="25" t="s">
        <v>83</v>
      </c>
      <c r="Q839" s="25" t="s">
        <v>82</v>
      </c>
      <c r="R839" s="25" t="s">
        <v>91</v>
      </c>
      <c r="S839" s="25" t="s">
        <v>96</v>
      </c>
      <c r="T839" s="25" t="s">
        <v>96</v>
      </c>
      <c r="U839" s="25" t="s">
        <v>95</v>
      </c>
      <c r="V839" s="25" t="s">
        <v>223</v>
      </c>
      <c r="W839" s="25" t="s">
        <v>553</v>
      </c>
      <c r="X839" s="25" t="s">
        <v>1749</v>
      </c>
      <c r="Y839" s="25" t="s">
        <v>1750</v>
      </c>
      <c r="Z839" s="26">
        <v>38960</v>
      </c>
      <c r="AA839" s="776">
        <v>0</v>
      </c>
      <c r="AB839" s="776">
        <v>125.7</v>
      </c>
      <c r="AC839" s="776">
        <v>0</v>
      </c>
      <c r="AD839" s="776">
        <v>0</v>
      </c>
      <c r="AE839" s="777">
        <v>19</v>
      </c>
      <c r="AF839" s="777">
        <v>19</v>
      </c>
      <c r="AG839" s="778">
        <v>32.578157066165332</v>
      </c>
    </row>
    <row r="840" spans="1:33" x14ac:dyDescent="0.2">
      <c r="A840" s="15">
        <f t="shared" si="111"/>
        <v>2006</v>
      </c>
      <c r="B840" s="14">
        <f t="shared" si="112"/>
        <v>9</v>
      </c>
      <c r="C840" s="13" t="str">
        <f t="shared" si="113"/>
        <v>Q3</v>
      </c>
      <c r="D840" s="13" t="str">
        <f t="shared" si="114"/>
        <v>2006Q3</v>
      </c>
      <c r="E840" s="13" t="str">
        <f t="shared" si="115"/>
        <v>Brazil</v>
      </c>
      <c r="F840" s="13" t="str">
        <f t="shared" si="118"/>
        <v>Small Hydro</v>
      </c>
      <c r="G840" s="13" t="str">
        <f t="shared" si="117"/>
        <v>Asset finance investments</v>
      </c>
      <c r="H840" s="638">
        <f t="shared" si="116"/>
        <v>18.767752633101225</v>
      </c>
      <c r="I840" s="24" t="s">
        <v>506</v>
      </c>
      <c r="J840" s="25" t="s">
        <v>246</v>
      </c>
      <c r="K840" s="25" t="s">
        <v>2682</v>
      </c>
      <c r="L840" s="25" t="s">
        <v>653</v>
      </c>
      <c r="M840" s="25" t="s">
        <v>31</v>
      </c>
      <c r="N840" s="25" t="s">
        <v>31</v>
      </c>
      <c r="O840" s="25" t="s">
        <v>92</v>
      </c>
      <c r="P840" s="25" t="s">
        <v>83</v>
      </c>
      <c r="Q840" s="25" t="s">
        <v>82</v>
      </c>
      <c r="R840" s="25" t="s">
        <v>91</v>
      </c>
      <c r="S840" s="25" t="s">
        <v>126</v>
      </c>
      <c r="T840" s="25" t="s">
        <v>125</v>
      </c>
      <c r="U840" s="25" t="s">
        <v>247</v>
      </c>
      <c r="V840" s="25">
        <v>0</v>
      </c>
      <c r="W840" s="25" t="s">
        <v>553</v>
      </c>
      <c r="X840" s="25" t="s">
        <v>1752</v>
      </c>
      <c r="Y840" s="25" t="s">
        <v>1753</v>
      </c>
      <c r="Z840" s="26">
        <v>38961</v>
      </c>
      <c r="AA840" s="776">
        <v>9.3000000000000007</v>
      </c>
      <c r="AB840" s="776">
        <v>0</v>
      </c>
      <c r="AC840" s="776">
        <v>0</v>
      </c>
      <c r="AD840" s="776">
        <v>0</v>
      </c>
      <c r="AE840" s="777">
        <v>0</v>
      </c>
      <c r="AF840" s="777">
        <v>18.600000000000001</v>
      </c>
      <c r="AG840" s="778">
        <v>18.767752633101225</v>
      </c>
    </row>
    <row r="841" spans="1:33" x14ac:dyDescent="0.2">
      <c r="A841" s="15">
        <f t="shared" si="111"/>
        <v>2006</v>
      </c>
      <c r="B841" s="14">
        <f t="shared" si="112"/>
        <v>8</v>
      </c>
      <c r="C841" s="13" t="str">
        <f t="shared" si="113"/>
        <v>Q3</v>
      </c>
      <c r="D841" s="13" t="str">
        <f t="shared" si="114"/>
        <v>2006Q3</v>
      </c>
      <c r="E841" s="13" t="str">
        <f t="shared" si="115"/>
        <v>Brazil</v>
      </c>
      <c r="F841" s="13" t="str">
        <f t="shared" si="118"/>
        <v>Biofuels</v>
      </c>
      <c r="G841" s="13" t="str">
        <f t="shared" si="117"/>
        <v>Asset finance investments</v>
      </c>
      <c r="H841" s="638">
        <f t="shared" si="116"/>
        <v>25.719597683814733</v>
      </c>
      <c r="I841" s="24" t="s">
        <v>506</v>
      </c>
      <c r="J841" s="25" t="s">
        <v>246</v>
      </c>
      <c r="K841" s="25" t="s">
        <v>2683</v>
      </c>
      <c r="L841" s="25" t="s">
        <v>1172</v>
      </c>
      <c r="M841" s="25" t="s">
        <v>31</v>
      </c>
      <c r="N841" s="25" t="s">
        <v>31</v>
      </c>
      <c r="O841" s="25" t="s">
        <v>92</v>
      </c>
      <c r="P841" s="25" t="s">
        <v>83</v>
      </c>
      <c r="Q841" s="25" t="s">
        <v>82</v>
      </c>
      <c r="R841" s="25" t="s">
        <v>91</v>
      </c>
      <c r="S841" s="25" t="s">
        <v>96</v>
      </c>
      <c r="T841" s="25" t="s">
        <v>96</v>
      </c>
      <c r="U841" s="25" t="s">
        <v>95</v>
      </c>
      <c r="V841" s="25" t="s">
        <v>223</v>
      </c>
      <c r="W841" s="25" t="s">
        <v>553</v>
      </c>
      <c r="X841" s="25" t="s">
        <v>1749</v>
      </c>
      <c r="Y841" s="25" t="s">
        <v>1750</v>
      </c>
      <c r="Z841" s="26">
        <v>38952.485416666699</v>
      </c>
      <c r="AA841" s="776">
        <v>0</v>
      </c>
      <c r="AB841" s="776">
        <v>147.6</v>
      </c>
      <c r="AC841" s="776">
        <v>0</v>
      </c>
      <c r="AD841" s="776">
        <v>0</v>
      </c>
      <c r="AE841" s="777">
        <v>15</v>
      </c>
      <c r="AF841" s="777">
        <v>15</v>
      </c>
      <c r="AG841" s="778">
        <v>25.719597683814733</v>
      </c>
    </row>
    <row r="842" spans="1:33" x14ac:dyDescent="0.2">
      <c r="A842" s="15">
        <f t="shared" si="111"/>
        <v>2006</v>
      </c>
      <c r="B842" s="14">
        <f t="shared" si="112"/>
        <v>8</v>
      </c>
      <c r="C842" s="13" t="str">
        <f t="shared" si="113"/>
        <v>Q3</v>
      </c>
      <c r="D842" s="13" t="str">
        <f t="shared" si="114"/>
        <v>2006Q3</v>
      </c>
      <c r="E842" s="13" t="str">
        <f t="shared" si="115"/>
        <v>Brazil</v>
      </c>
      <c r="F842" s="13" t="str">
        <f t="shared" si="118"/>
        <v>Biofuels</v>
      </c>
      <c r="G842" s="13" t="str">
        <f t="shared" si="117"/>
        <v>Asset finance investments</v>
      </c>
      <c r="H842" s="638">
        <f t="shared" si="116"/>
        <v>20.36992136558127</v>
      </c>
      <c r="I842" s="24" t="s">
        <v>506</v>
      </c>
      <c r="J842" s="25" t="s">
        <v>246</v>
      </c>
      <c r="K842" s="25" t="s">
        <v>2684</v>
      </c>
      <c r="L842" s="25" t="s">
        <v>1028</v>
      </c>
      <c r="M842" s="25" t="s">
        <v>31</v>
      </c>
      <c r="N842" s="25" t="s">
        <v>31</v>
      </c>
      <c r="O842" s="25" t="s">
        <v>92</v>
      </c>
      <c r="P842" s="25" t="s">
        <v>83</v>
      </c>
      <c r="Q842" s="25" t="s">
        <v>82</v>
      </c>
      <c r="R842" s="25" t="s">
        <v>91</v>
      </c>
      <c r="S842" s="25" t="s">
        <v>96</v>
      </c>
      <c r="T842" s="25" t="s">
        <v>96</v>
      </c>
      <c r="U842" s="25" t="s">
        <v>95</v>
      </c>
      <c r="V842" s="25" t="s">
        <v>223</v>
      </c>
      <c r="W842" s="25" t="s">
        <v>553</v>
      </c>
      <c r="X842" s="25" t="s">
        <v>1752</v>
      </c>
      <c r="Y842" s="25" t="s">
        <v>1753</v>
      </c>
      <c r="Z842" s="26">
        <v>38957</v>
      </c>
      <c r="AA842" s="776">
        <v>0</v>
      </c>
      <c r="AB842" s="776">
        <v>36</v>
      </c>
      <c r="AC842" s="776">
        <v>0</v>
      </c>
      <c r="AD842" s="776">
        <v>0</v>
      </c>
      <c r="AE842" s="777">
        <v>0</v>
      </c>
      <c r="AF842" s="777">
        <v>11.88</v>
      </c>
      <c r="AG842" s="778">
        <v>20.36992136558127</v>
      </c>
    </row>
    <row r="843" spans="1:33" x14ac:dyDescent="0.2">
      <c r="A843" s="15">
        <f t="shared" si="111"/>
        <v>2006</v>
      </c>
      <c r="B843" s="14">
        <f t="shared" si="112"/>
        <v>7</v>
      </c>
      <c r="C843" s="13" t="str">
        <f t="shared" si="113"/>
        <v>Q3</v>
      </c>
      <c r="D843" s="13" t="str">
        <f t="shared" si="114"/>
        <v>2006Q3</v>
      </c>
      <c r="E843" s="13" t="str">
        <f t="shared" si="115"/>
        <v>Brazil</v>
      </c>
      <c r="F843" s="13" t="str">
        <f t="shared" si="118"/>
        <v>Small Hydro</v>
      </c>
      <c r="G843" s="13" t="str">
        <f t="shared" si="117"/>
        <v>Asset finance investments</v>
      </c>
      <c r="H843" s="638">
        <f t="shared" si="116"/>
        <v>9.0307196809815018</v>
      </c>
      <c r="I843" s="24" t="s">
        <v>506</v>
      </c>
      <c r="J843" s="25" t="s">
        <v>246</v>
      </c>
      <c r="K843" s="25" t="s">
        <v>2685</v>
      </c>
      <c r="L843" s="25" t="s">
        <v>574</v>
      </c>
      <c r="M843" s="25" t="s">
        <v>31</v>
      </c>
      <c r="N843" s="25" t="s">
        <v>31</v>
      </c>
      <c r="O843" s="25" t="s">
        <v>92</v>
      </c>
      <c r="P843" s="25" t="s">
        <v>83</v>
      </c>
      <c r="Q843" s="25" t="s">
        <v>82</v>
      </c>
      <c r="R843" s="25" t="s">
        <v>91</v>
      </c>
      <c r="S843" s="25" t="s">
        <v>126</v>
      </c>
      <c r="T843" s="25" t="s">
        <v>125</v>
      </c>
      <c r="U843" s="25" t="s">
        <v>247</v>
      </c>
      <c r="V843" s="25">
        <v>0</v>
      </c>
      <c r="W843" s="25" t="s">
        <v>553</v>
      </c>
      <c r="X843" s="25" t="s">
        <v>1752</v>
      </c>
      <c r="Y843" s="25" t="s">
        <v>1753</v>
      </c>
      <c r="Z843" s="26">
        <v>38908</v>
      </c>
      <c r="AA843" s="776">
        <v>15</v>
      </c>
      <c r="AB843" s="776">
        <v>0</v>
      </c>
      <c r="AC843" s="776">
        <v>0</v>
      </c>
      <c r="AD843" s="776">
        <v>0</v>
      </c>
      <c r="AE843" s="777">
        <v>8.9499999999999993</v>
      </c>
      <c r="AF843" s="777">
        <v>8.9499999999999993</v>
      </c>
      <c r="AG843" s="778">
        <v>9.0307196809815018</v>
      </c>
    </row>
    <row r="844" spans="1:33" x14ac:dyDescent="0.2">
      <c r="A844" s="15">
        <f t="shared" si="111"/>
        <v>2006</v>
      </c>
      <c r="B844" s="14">
        <f t="shared" si="112"/>
        <v>8</v>
      </c>
      <c r="C844" s="13" t="str">
        <f t="shared" si="113"/>
        <v>Q3</v>
      </c>
      <c r="D844" s="13" t="str">
        <f t="shared" si="114"/>
        <v>2006Q3</v>
      </c>
      <c r="E844" s="13" t="str">
        <f t="shared" si="115"/>
        <v>Brazil</v>
      </c>
      <c r="F844" s="13" t="str">
        <f t="shared" si="118"/>
        <v>Biofuels</v>
      </c>
      <c r="G844" s="13" t="str">
        <f t="shared" si="117"/>
        <v>Asset finance investments</v>
      </c>
      <c r="H844" s="638">
        <f t="shared" si="116"/>
        <v>9.7734471198495978</v>
      </c>
      <c r="I844" s="24" t="s">
        <v>506</v>
      </c>
      <c r="J844" s="25" t="s">
        <v>246</v>
      </c>
      <c r="K844" s="25" t="s">
        <v>2686</v>
      </c>
      <c r="L844" s="25" t="s">
        <v>892</v>
      </c>
      <c r="M844" s="25" t="s">
        <v>31</v>
      </c>
      <c r="N844" s="25" t="s">
        <v>31</v>
      </c>
      <c r="O844" s="25" t="s">
        <v>92</v>
      </c>
      <c r="P844" s="25" t="s">
        <v>83</v>
      </c>
      <c r="Q844" s="25" t="s">
        <v>82</v>
      </c>
      <c r="R844" s="25" t="s">
        <v>91</v>
      </c>
      <c r="S844" s="25" t="s">
        <v>96</v>
      </c>
      <c r="T844" s="25" t="s">
        <v>96</v>
      </c>
      <c r="U844" s="25" t="s">
        <v>95</v>
      </c>
      <c r="V844" s="25" t="s">
        <v>889</v>
      </c>
      <c r="W844" s="25" t="s">
        <v>553</v>
      </c>
      <c r="X844" s="25" t="s">
        <v>1752</v>
      </c>
      <c r="Y844" s="25" t="s">
        <v>1753</v>
      </c>
      <c r="Z844" s="26">
        <v>38930</v>
      </c>
      <c r="AA844" s="776">
        <v>0</v>
      </c>
      <c r="AB844" s="776">
        <v>85.3</v>
      </c>
      <c r="AC844" s="776">
        <v>0</v>
      </c>
      <c r="AD844" s="776">
        <v>0</v>
      </c>
      <c r="AE844" s="777">
        <v>5.7</v>
      </c>
      <c r="AF844" s="777">
        <v>5.7</v>
      </c>
      <c r="AG844" s="778">
        <v>9.7734471198495978</v>
      </c>
    </row>
    <row r="845" spans="1:33" x14ac:dyDescent="0.2">
      <c r="A845" s="15">
        <f t="shared" si="111"/>
        <v>2006</v>
      </c>
      <c r="B845" s="14">
        <f t="shared" si="112"/>
        <v>8</v>
      </c>
      <c r="C845" s="13" t="str">
        <f t="shared" si="113"/>
        <v>Q3</v>
      </c>
      <c r="D845" s="13" t="str">
        <f t="shared" si="114"/>
        <v>2006Q3</v>
      </c>
      <c r="E845" s="13" t="str">
        <f t="shared" si="115"/>
        <v>Chile</v>
      </c>
      <c r="F845" s="13" t="str">
        <f t="shared" si="118"/>
        <v>Biomass &amp; Waste</v>
      </c>
      <c r="G845" s="13" t="str">
        <f t="shared" si="117"/>
        <v>Asset finance investments</v>
      </c>
      <c r="H845" s="638">
        <f t="shared" si="116"/>
        <v>4.5511679601843618</v>
      </c>
      <c r="I845" s="24" t="s">
        <v>506</v>
      </c>
      <c r="J845" s="25" t="s">
        <v>246</v>
      </c>
      <c r="K845" s="25" t="s">
        <v>2687</v>
      </c>
      <c r="L845" s="25" t="s">
        <v>2688</v>
      </c>
      <c r="M845" s="25" t="s">
        <v>8</v>
      </c>
      <c r="N845" s="25" t="s">
        <v>85</v>
      </c>
      <c r="O845" s="25" t="s">
        <v>92</v>
      </c>
      <c r="P845" s="25" t="s">
        <v>83</v>
      </c>
      <c r="Q845" s="25" t="s">
        <v>129</v>
      </c>
      <c r="R845" s="25"/>
      <c r="S845" s="25" t="s">
        <v>114</v>
      </c>
      <c r="T845" s="25" t="s">
        <v>114</v>
      </c>
      <c r="U845" s="25" t="s">
        <v>113</v>
      </c>
      <c r="V845" s="25" t="s">
        <v>722</v>
      </c>
      <c r="W845" s="25" t="s">
        <v>553</v>
      </c>
      <c r="X845" s="25" t="s">
        <v>1752</v>
      </c>
      <c r="Y845" s="25" t="s">
        <v>1753</v>
      </c>
      <c r="Z845" s="26">
        <v>38960</v>
      </c>
      <c r="AA845" s="776">
        <v>2</v>
      </c>
      <c r="AB845" s="776">
        <v>0</v>
      </c>
      <c r="AC845" s="776">
        <v>0</v>
      </c>
      <c r="AD845" s="776">
        <v>0</v>
      </c>
      <c r="AE845" s="777">
        <v>4.5</v>
      </c>
      <c r="AF845" s="777">
        <v>4.5</v>
      </c>
      <c r="AG845" s="778">
        <v>4.5511679601843618</v>
      </c>
    </row>
    <row r="846" spans="1:33" x14ac:dyDescent="0.2">
      <c r="A846" s="15">
        <f t="shared" si="111"/>
        <v>2006</v>
      </c>
      <c r="B846" s="14">
        <f t="shared" si="112"/>
        <v>8</v>
      </c>
      <c r="C846" s="13" t="str">
        <f t="shared" si="113"/>
        <v>Q3</v>
      </c>
      <c r="D846" s="13" t="str">
        <f t="shared" si="114"/>
        <v>2006Q3</v>
      </c>
      <c r="E846" s="13" t="str">
        <f t="shared" si="115"/>
        <v>Brazil</v>
      </c>
      <c r="F846" s="13" t="str">
        <f t="shared" si="118"/>
        <v>Biofuels</v>
      </c>
      <c r="G846" s="13" t="str">
        <f t="shared" si="117"/>
        <v>Asset finance investments</v>
      </c>
      <c r="H846" s="638">
        <f t="shared" si="116"/>
        <v>6.1109764096743815</v>
      </c>
      <c r="I846" s="24" t="s">
        <v>506</v>
      </c>
      <c r="J846" s="25" t="s">
        <v>246</v>
      </c>
      <c r="K846" s="25" t="s">
        <v>2689</v>
      </c>
      <c r="L846" s="25" t="s">
        <v>2690</v>
      </c>
      <c r="M846" s="25" t="s">
        <v>31</v>
      </c>
      <c r="N846" s="25" t="s">
        <v>31</v>
      </c>
      <c r="O846" s="25" t="s">
        <v>92</v>
      </c>
      <c r="P846" s="25" t="s">
        <v>83</v>
      </c>
      <c r="Q846" s="25" t="s">
        <v>82</v>
      </c>
      <c r="R846" s="25" t="s">
        <v>91</v>
      </c>
      <c r="S846" s="25" t="s">
        <v>96</v>
      </c>
      <c r="T846" s="25" t="s">
        <v>96</v>
      </c>
      <c r="U846" s="25" t="s">
        <v>95</v>
      </c>
      <c r="V846" s="25" t="s">
        <v>223</v>
      </c>
      <c r="W846" s="25" t="s">
        <v>553</v>
      </c>
      <c r="X846" s="25" t="s">
        <v>1752</v>
      </c>
      <c r="Y846" s="25" t="s">
        <v>1753</v>
      </c>
      <c r="Z846" s="26">
        <v>38930</v>
      </c>
      <c r="AA846" s="776">
        <v>0</v>
      </c>
      <c r="AB846" s="776">
        <v>10.8</v>
      </c>
      <c r="AC846" s="776">
        <v>0</v>
      </c>
      <c r="AD846" s="776">
        <v>0</v>
      </c>
      <c r="AE846" s="777">
        <v>0</v>
      </c>
      <c r="AF846" s="777">
        <v>3.5640000000000005</v>
      </c>
      <c r="AG846" s="778">
        <v>6.1109764096743815</v>
      </c>
    </row>
    <row r="847" spans="1:33" x14ac:dyDescent="0.2">
      <c r="A847" s="15">
        <f t="shared" si="111"/>
        <v>2006</v>
      </c>
      <c r="B847" s="14">
        <f t="shared" si="112"/>
        <v>9</v>
      </c>
      <c r="C847" s="13" t="str">
        <f t="shared" si="113"/>
        <v>Q3</v>
      </c>
      <c r="D847" s="13" t="str">
        <f t="shared" si="114"/>
        <v>2006Q3</v>
      </c>
      <c r="E847" s="13" t="str">
        <f t="shared" si="115"/>
        <v>Mexico</v>
      </c>
      <c r="F847" s="13" t="str">
        <f t="shared" si="118"/>
        <v>Small Hydro</v>
      </c>
      <c r="G847" s="13" t="str">
        <f t="shared" si="117"/>
        <v>Asset finance investments</v>
      </c>
      <c r="H847" s="638">
        <f t="shared" si="116"/>
        <v>1.8040106110747065</v>
      </c>
      <c r="I847" s="24" t="s">
        <v>506</v>
      </c>
      <c r="J847" s="25" t="s">
        <v>246</v>
      </c>
      <c r="K847" s="25" t="s">
        <v>2691</v>
      </c>
      <c r="L847" s="25" t="s">
        <v>2692</v>
      </c>
      <c r="M847" s="25" t="s">
        <v>18</v>
      </c>
      <c r="N847" s="25" t="s">
        <v>85</v>
      </c>
      <c r="O847" s="25" t="s">
        <v>92</v>
      </c>
      <c r="P847" s="25" t="s">
        <v>83</v>
      </c>
      <c r="Q847" s="25" t="s">
        <v>129</v>
      </c>
      <c r="R847" s="25"/>
      <c r="S847" s="25" t="s">
        <v>126</v>
      </c>
      <c r="T847" s="25" t="s">
        <v>125</v>
      </c>
      <c r="U847" s="25" t="s">
        <v>247</v>
      </c>
      <c r="V847" s="25">
        <v>0</v>
      </c>
      <c r="W847" s="25" t="s">
        <v>553</v>
      </c>
      <c r="X847" s="25" t="s">
        <v>1752</v>
      </c>
      <c r="Y847" s="25" t="s">
        <v>1753</v>
      </c>
      <c r="Z847" s="26">
        <v>38961</v>
      </c>
      <c r="AA847" s="776">
        <v>1.2</v>
      </c>
      <c r="AB847" s="776">
        <v>0</v>
      </c>
      <c r="AC847" s="776">
        <v>0</v>
      </c>
      <c r="AD847" s="776">
        <v>0</v>
      </c>
      <c r="AE847" s="777">
        <v>0</v>
      </c>
      <c r="AF847" s="777">
        <v>1.8</v>
      </c>
      <c r="AG847" s="778">
        <v>1.8040106110747065</v>
      </c>
    </row>
    <row r="848" spans="1:33" x14ac:dyDescent="0.2">
      <c r="A848" s="15">
        <f t="shared" si="111"/>
        <v>2006</v>
      </c>
      <c r="B848" s="14">
        <f t="shared" si="112"/>
        <v>8</v>
      </c>
      <c r="C848" s="13" t="str">
        <f t="shared" si="113"/>
        <v>Q3</v>
      </c>
      <c r="D848" s="13" t="str">
        <f t="shared" si="114"/>
        <v>2006Q3</v>
      </c>
      <c r="E848" s="13" t="str">
        <f t="shared" si="115"/>
        <v>Argentina</v>
      </c>
      <c r="F848" s="13" t="str">
        <f t="shared" si="118"/>
        <v>Biofuels</v>
      </c>
      <c r="G848" s="13" t="str">
        <f t="shared" si="117"/>
        <v>Asset finance investments</v>
      </c>
      <c r="H848" s="638">
        <f t="shared" si="116"/>
        <v>0.90315982480046841</v>
      </c>
      <c r="I848" s="24" t="s">
        <v>506</v>
      </c>
      <c r="J848" s="25" t="s">
        <v>246</v>
      </c>
      <c r="K848" s="25" t="s">
        <v>2693</v>
      </c>
      <c r="L848" s="25" t="s">
        <v>753</v>
      </c>
      <c r="M848" s="25" t="s">
        <v>4</v>
      </c>
      <c r="N848" s="25" t="s">
        <v>85</v>
      </c>
      <c r="O848" s="25" t="s">
        <v>92</v>
      </c>
      <c r="P848" s="25" t="s">
        <v>83</v>
      </c>
      <c r="Q848" s="25" t="s">
        <v>82</v>
      </c>
      <c r="R848" s="25"/>
      <c r="S848" s="25" t="s">
        <v>96</v>
      </c>
      <c r="T848" s="25" t="s">
        <v>96</v>
      </c>
      <c r="U848" s="25" t="s">
        <v>95</v>
      </c>
      <c r="V848" s="25">
        <v>0</v>
      </c>
      <c r="W848" s="25" t="s">
        <v>553</v>
      </c>
      <c r="X848" s="25" t="s">
        <v>1752</v>
      </c>
      <c r="Y848" s="25" t="s">
        <v>1753</v>
      </c>
      <c r="Z848" s="26">
        <v>38960</v>
      </c>
      <c r="AA848" s="776">
        <v>0</v>
      </c>
      <c r="AB848" s="776">
        <v>57.1</v>
      </c>
      <c r="AC848" s="776">
        <v>0</v>
      </c>
      <c r="AD848" s="776">
        <v>0</v>
      </c>
      <c r="AE848" s="777">
        <v>0.9</v>
      </c>
      <c r="AF848" s="777">
        <v>0.9</v>
      </c>
      <c r="AG848" s="778">
        <v>0.90315982480046841</v>
      </c>
    </row>
    <row r="849" spans="1:33" x14ac:dyDescent="0.2">
      <c r="A849" s="15">
        <f t="shared" si="111"/>
        <v>2012</v>
      </c>
      <c r="B849" s="14">
        <f t="shared" si="112"/>
        <v>5</v>
      </c>
      <c r="C849" s="13" t="str">
        <f t="shared" si="113"/>
        <v>Q2</v>
      </c>
      <c r="D849" s="13" t="str">
        <f t="shared" si="114"/>
        <v>2012Q2</v>
      </c>
      <c r="E849" s="13" t="str">
        <f t="shared" si="115"/>
        <v>Brazil</v>
      </c>
      <c r="F849" s="13" t="str">
        <f t="shared" si="118"/>
        <v>Wind</v>
      </c>
      <c r="G849" s="13" t="str">
        <f t="shared" si="117"/>
        <v>Asset finance investments</v>
      </c>
      <c r="H849" s="638">
        <f t="shared" si="116"/>
        <v>736.14925927951606</v>
      </c>
      <c r="I849" s="24" t="s">
        <v>506</v>
      </c>
      <c r="J849" s="25" t="s">
        <v>246</v>
      </c>
      <c r="K849" s="25" t="s">
        <v>2694</v>
      </c>
      <c r="L849" s="25" t="s">
        <v>2695</v>
      </c>
      <c r="M849" s="25" t="s">
        <v>31</v>
      </c>
      <c r="N849" s="25" t="s">
        <v>31</v>
      </c>
      <c r="O849" s="25" t="s">
        <v>92</v>
      </c>
      <c r="P849" s="25" t="s">
        <v>83</v>
      </c>
      <c r="Q849" s="25" t="s">
        <v>82</v>
      </c>
      <c r="R849" s="25" t="s">
        <v>91</v>
      </c>
      <c r="S849" s="25" t="s">
        <v>101</v>
      </c>
      <c r="T849" s="25" t="s">
        <v>101</v>
      </c>
      <c r="U849" s="25" t="s">
        <v>112</v>
      </c>
      <c r="V849" s="25">
        <v>0</v>
      </c>
      <c r="W849" s="25" t="s">
        <v>553</v>
      </c>
      <c r="X849" s="25" t="s">
        <v>1749</v>
      </c>
      <c r="Y849" s="25" t="s">
        <v>1750</v>
      </c>
      <c r="Z849" s="26">
        <v>41031</v>
      </c>
      <c r="AA849" s="776">
        <v>409.6</v>
      </c>
      <c r="AB849" s="776">
        <v>0</v>
      </c>
      <c r="AC849" s="776">
        <v>0</v>
      </c>
      <c r="AD849" s="776">
        <v>0</v>
      </c>
      <c r="AE849" s="777">
        <v>670</v>
      </c>
      <c r="AF849" s="777">
        <v>670</v>
      </c>
      <c r="AG849" s="778">
        <v>736.14925927951606</v>
      </c>
    </row>
    <row r="850" spans="1:33" x14ac:dyDescent="0.2">
      <c r="A850" s="15">
        <f t="shared" si="111"/>
        <v>2012</v>
      </c>
      <c r="B850" s="14">
        <f t="shared" si="112"/>
        <v>6</v>
      </c>
      <c r="C850" s="13" t="str">
        <f t="shared" si="113"/>
        <v>Q2</v>
      </c>
      <c r="D850" s="13" t="str">
        <f t="shared" si="114"/>
        <v>2012Q2</v>
      </c>
      <c r="E850" s="13" t="str">
        <f t="shared" si="115"/>
        <v>Brazil</v>
      </c>
      <c r="F850" s="13" t="str">
        <f t="shared" si="118"/>
        <v>Wind</v>
      </c>
      <c r="G850" s="13" t="str">
        <f t="shared" si="117"/>
        <v>Asset finance investments</v>
      </c>
      <c r="H850" s="638">
        <f t="shared" si="116"/>
        <v>316.41233386166419</v>
      </c>
      <c r="I850" s="24" t="s">
        <v>506</v>
      </c>
      <c r="J850" s="25" t="s">
        <v>246</v>
      </c>
      <c r="K850" s="25" t="s">
        <v>2696</v>
      </c>
      <c r="L850" s="25" t="s">
        <v>2697</v>
      </c>
      <c r="M850" s="25" t="s">
        <v>31</v>
      </c>
      <c r="N850" s="25" t="s">
        <v>31</v>
      </c>
      <c r="O850" s="25" t="s">
        <v>92</v>
      </c>
      <c r="P850" s="25" t="s">
        <v>83</v>
      </c>
      <c r="Q850" s="25" t="s">
        <v>82</v>
      </c>
      <c r="R850" s="25" t="s">
        <v>91</v>
      </c>
      <c r="S850" s="25" t="s">
        <v>101</v>
      </c>
      <c r="T850" s="25" t="s">
        <v>101</v>
      </c>
      <c r="U850" s="25" t="s">
        <v>112</v>
      </c>
      <c r="V850" s="25">
        <v>0</v>
      </c>
      <c r="W850" s="25" t="s">
        <v>553</v>
      </c>
      <c r="X850" s="25" t="s">
        <v>1749</v>
      </c>
      <c r="Y850" s="25" t="s">
        <v>1750</v>
      </c>
      <c r="Z850" s="26">
        <v>41071</v>
      </c>
      <c r="AA850" s="776">
        <v>150</v>
      </c>
      <c r="AB850" s="776">
        <v>0</v>
      </c>
      <c r="AC850" s="776">
        <v>0</v>
      </c>
      <c r="AD850" s="776">
        <v>0</v>
      </c>
      <c r="AE850" s="777">
        <v>287.98</v>
      </c>
      <c r="AF850" s="777">
        <v>287.98</v>
      </c>
      <c r="AG850" s="778">
        <v>316.41233386166419</v>
      </c>
    </row>
    <row r="851" spans="1:33" x14ac:dyDescent="0.2">
      <c r="A851" s="15">
        <f t="shared" si="111"/>
        <v>2012</v>
      </c>
      <c r="B851" s="14">
        <f t="shared" si="112"/>
        <v>5</v>
      </c>
      <c r="C851" s="13" t="str">
        <f t="shared" si="113"/>
        <v>Q2</v>
      </c>
      <c r="D851" s="13" t="str">
        <f t="shared" si="114"/>
        <v>2012Q2</v>
      </c>
      <c r="E851" s="13" t="str">
        <f t="shared" si="115"/>
        <v>Chile</v>
      </c>
      <c r="F851" s="13" t="str">
        <f t="shared" si="118"/>
        <v>Wind</v>
      </c>
      <c r="G851" s="13" t="str">
        <f t="shared" si="117"/>
        <v>Asset finance investments</v>
      </c>
      <c r="H851" s="638">
        <f t="shared" si="116"/>
        <v>310.94065727776575</v>
      </c>
      <c r="I851" s="24" t="s">
        <v>506</v>
      </c>
      <c r="J851" s="25" t="s">
        <v>246</v>
      </c>
      <c r="K851" s="25" t="s">
        <v>2698</v>
      </c>
      <c r="L851" s="25" t="s">
        <v>2699</v>
      </c>
      <c r="M851" s="25" t="s">
        <v>8</v>
      </c>
      <c r="N851" s="25" t="s">
        <v>85</v>
      </c>
      <c r="O851" s="25" t="s">
        <v>92</v>
      </c>
      <c r="P851" s="25" t="s">
        <v>83</v>
      </c>
      <c r="Q851" s="25" t="s">
        <v>129</v>
      </c>
      <c r="R851" s="25"/>
      <c r="S851" s="25" t="s">
        <v>101</v>
      </c>
      <c r="T851" s="25" t="s">
        <v>101</v>
      </c>
      <c r="U851" s="25" t="s">
        <v>112</v>
      </c>
      <c r="V851" s="25">
        <v>0</v>
      </c>
      <c r="W851" s="25" t="s">
        <v>553</v>
      </c>
      <c r="X851" s="25" t="s">
        <v>1749</v>
      </c>
      <c r="Y851" s="25" t="s">
        <v>1750</v>
      </c>
      <c r="Z851" s="26">
        <v>41034</v>
      </c>
      <c r="AA851" s="776">
        <v>115</v>
      </c>
      <c r="AB851" s="776">
        <v>0</v>
      </c>
      <c r="AC851" s="776">
        <v>0</v>
      </c>
      <c r="AD851" s="776">
        <v>0</v>
      </c>
      <c r="AE851" s="777">
        <v>283</v>
      </c>
      <c r="AF851" s="777">
        <v>283</v>
      </c>
      <c r="AG851" s="778">
        <v>310.94065727776575</v>
      </c>
    </row>
    <row r="852" spans="1:33" x14ac:dyDescent="0.2">
      <c r="A852" s="15">
        <f t="shared" si="111"/>
        <v>2012</v>
      </c>
      <c r="B852" s="14">
        <f t="shared" si="112"/>
        <v>5</v>
      </c>
      <c r="C852" s="13" t="str">
        <f t="shared" si="113"/>
        <v>Q2</v>
      </c>
      <c r="D852" s="13" t="str">
        <f t="shared" si="114"/>
        <v>2012Q2</v>
      </c>
      <c r="E852" s="13" t="str">
        <f t="shared" si="115"/>
        <v>Mexico</v>
      </c>
      <c r="F852" s="13" t="str">
        <f t="shared" si="118"/>
        <v>Wind</v>
      </c>
      <c r="G852" s="13" t="str">
        <f t="shared" si="117"/>
        <v>Asset finance investments</v>
      </c>
      <c r="H852" s="638">
        <f t="shared" si="116"/>
        <v>175.79683803689935</v>
      </c>
      <c r="I852" s="24" t="s">
        <v>506</v>
      </c>
      <c r="J852" s="25" t="s">
        <v>246</v>
      </c>
      <c r="K852" s="25" t="s">
        <v>2700</v>
      </c>
      <c r="L852" s="25" t="s">
        <v>2701</v>
      </c>
      <c r="M852" s="25" t="s">
        <v>18</v>
      </c>
      <c r="N852" s="25" t="s">
        <v>85</v>
      </c>
      <c r="O852" s="25" t="s">
        <v>92</v>
      </c>
      <c r="P852" s="25" t="s">
        <v>83</v>
      </c>
      <c r="Q852" s="25" t="s">
        <v>129</v>
      </c>
      <c r="R852" s="25"/>
      <c r="S852" s="25" t="s">
        <v>101</v>
      </c>
      <c r="T852" s="25" t="s">
        <v>101</v>
      </c>
      <c r="U852" s="25" t="s">
        <v>112</v>
      </c>
      <c r="V852" s="25">
        <v>0</v>
      </c>
      <c r="W852" s="25" t="s">
        <v>553</v>
      </c>
      <c r="X852" s="25" t="s">
        <v>1752</v>
      </c>
      <c r="Y852" s="25" t="s">
        <v>1753</v>
      </c>
      <c r="Z852" s="26">
        <v>41060</v>
      </c>
      <c r="AA852" s="776">
        <v>70</v>
      </c>
      <c r="AB852" s="776">
        <v>0</v>
      </c>
      <c r="AC852" s="776">
        <v>0</v>
      </c>
      <c r="AD852" s="776">
        <v>0</v>
      </c>
      <c r="AE852" s="777">
        <v>160</v>
      </c>
      <c r="AF852" s="777">
        <v>160</v>
      </c>
      <c r="AG852" s="778">
        <v>175.79683803689935</v>
      </c>
    </row>
    <row r="853" spans="1:33" x14ac:dyDescent="0.2">
      <c r="A853" s="15">
        <f t="shared" si="111"/>
        <v>2012</v>
      </c>
      <c r="B853" s="14">
        <f t="shared" si="112"/>
        <v>6</v>
      </c>
      <c r="C853" s="13" t="str">
        <f t="shared" si="113"/>
        <v>Q2</v>
      </c>
      <c r="D853" s="13" t="str">
        <f t="shared" si="114"/>
        <v>2012Q2</v>
      </c>
      <c r="E853" s="13" t="str">
        <f t="shared" si="115"/>
        <v>Brazil</v>
      </c>
      <c r="F853" s="13" t="str">
        <f t="shared" si="118"/>
        <v>Wind</v>
      </c>
      <c r="G853" s="13" t="str">
        <f t="shared" si="117"/>
        <v>Asset finance investments</v>
      </c>
      <c r="H853" s="638">
        <f t="shared" si="116"/>
        <v>154.75615398435795</v>
      </c>
      <c r="I853" s="24" t="s">
        <v>506</v>
      </c>
      <c r="J853" s="25" t="s">
        <v>246</v>
      </c>
      <c r="K853" s="25" t="s">
        <v>2702</v>
      </c>
      <c r="L853" s="25" t="s">
        <v>2703</v>
      </c>
      <c r="M853" s="25" t="s">
        <v>31</v>
      </c>
      <c r="N853" s="25" t="s">
        <v>31</v>
      </c>
      <c r="O853" s="25" t="s">
        <v>92</v>
      </c>
      <c r="P853" s="25" t="s">
        <v>83</v>
      </c>
      <c r="Q853" s="25" t="s">
        <v>82</v>
      </c>
      <c r="R853" s="25" t="s">
        <v>91</v>
      </c>
      <c r="S853" s="25" t="s">
        <v>101</v>
      </c>
      <c r="T853" s="25" t="s">
        <v>101</v>
      </c>
      <c r="U853" s="25" t="s">
        <v>112</v>
      </c>
      <c r="V853" s="25">
        <v>0</v>
      </c>
      <c r="W853" s="25" t="s">
        <v>553</v>
      </c>
      <c r="X853" s="25" t="s">
        <v>1752</v>
      </c>
      <c r="Y853" s="25" t="s">
        <v>1753</v>
      </c>
      <c r="Z853" s="26">
        <v>41089</v>
      </c>
      <c r="AA853" s="776">
        <v>90</v>
      </c>
      <c r="AB853" s="776">
        <v>0</v>
      </c>
      <c r="AC853" s="776">
        <v>0</v>
      </c>
      <c r="AD853" s="776">
        <v>0</v>
      </c>
      <c r="AE853" s="777">
        <v>140.85</v>
      </c>
      <c r="AF853" s="777">
        <v>140.85</v>
      </c>
      <c r="AG853" s="778">
        <v>154.75615398435795</v>
      </c>
    </row>
    <row r="854" spans="1:33" x14ac:dyDescent="0.2">
      <c r="A854" s="15">
        <f t="shared" si="111"/>
        <v>2012</v>
      </c>
      <c r="B854" s="14">
        <f t="shared" si="112"/>
        <v>4</v>
      </c>
      <c r="C854" s="13" t="str">
        <f t="shared" si="113"/>
        <v>Q2</v>
      </c>
      <c r="D854" s="13" t="str">
        <f t="shared" si="114"/>
        <v>2012Q2</v>
      </c>
      <c r="E854" s="13" t="str">
        <f t="shared" si="115"/>
        <v>Nicaragua</v>
      </c>
      <c r="F854" s="13" t="str">
        <f t="shared" si="118"/>
        <v>Wind</v>
      </c>
      <c r="G854" s="13" t="str">
        <f t="shared" si="117"/>
        <v>Asset finance investments</v>
      </c>
      <c r="H854" s="638">
        <f t="shared" si="116"/>
        <v>125.25524710129079</v>
      </c>
      <c r="I854" s="24" t="s">
        <v>506</v>
      </c>
      <c r="J854" s="25" t="s">
        <v>246</v>
      </c>
      <c r="K854" s="25" t="s">
        <v>2704</v>
      </c>
      <c r="L854" s="25" t="s">
        <v>2705</v>
      </c>
      <c r="M854" s="25" t="s">
        <v>2</v>
      </c>
      <c r="N854" s="25" t="s">
        <v>85</v>
      </c>
      <c r="O854" s="25" t="s">
        <v>92</v>
      </c>
      <c r="P854" s="25" t="s">
        <v>83</v>
      </c>
      <c r="Q854" s="25" t="s">
        <v>82</v>
      </c>
      <c r="R854" s="25"/>
      <c r="S854" s="25" t="s">
        <v>101</v>
      </c>
      <c r="T854" s="25" t="s">
        <v>101</v>
      </c>
      <c r="U854" s="25" t="s">
        <v>112</v>
      </c>
      <c r="V854" s="25">
        <v>0</v>
      </c>
      <c r="W854" s="25" t="s">
        <v>553</v>
      </c>
      <c r="X854" s="25" t="s">
        <v>1749</v>
      </c>
      <c r="Y854" s="25" t="s">
        <v>1750</v>
      </c>
      <c r="Z854" s="26">
        <v>41025</v>
      </c>
      <c r="AA854" s="776">
        <v>44</v>
      </c>
      <c r="AB854" s="776">
        <v>0</v>
      </c>
      <c r="AC854" s="776">
        <v>0</v>
      </c>
      <c r="AD854" s="776">
        <v>0</v>
      </c>
      <c r="AE854" s="777">
        <v>114</v>
      </c>
      <c r="AF854" s="777">
        <v>114</v>
      </c>
      <c r="AG854" s="778">
        <v>125.25524710129079</v>
      </c>
    </row>
    <row r="855" spans="1:33" x14ac:dyDescent="0.2">
      <c r="A855" s="15">
        <f t="shared" si="111"/>
        <v>2012</v>
      </c>
      <c r="B855" s="14">
        <f t="shared" si="112"/>
        <v>6</v>
      </c>
      <c r="C855" s="13" t="str">
        <f t="shared" si="113"/>
        <v>Q2</v>
      </c>
      <c r="D855" s="13" t="str">
        <f t="shared" si="114"/>
        <v>2012Q2</v>
      </c>
      <c r="E855" s="13" t="str">
        <f t="shared" si="115"/>
        <v>Dominican Republic</v>
      </c>
      <c r="F855" s="13" t="str">
        <f t="shared" si="118"/>
        <v>Wind</v>
      </c>
      <c r="G855" s="13" t="str">
        <f t="shared" si="117"/>
        <v>Asset finance investments</v>
      </c>
      <c r="H855" s="638">
        <f t="shared" si="116"/>
        <v>109.8730237730621</v>
      </c>
      <c r="I855" s="24" t="s">
        <v>506</v>
      </c>
      <c r="J855" s="25" t="s">
        <v>246</v>
      </c>
      <c r="K855" s="25" t="s">
        <v>2706</v>
      </c>
      <c r="L855" s="25" t="s">
        <v>2707</v>
      </c>
      <c r="M855" s="25" t="s">
        <v>11</v>
      </c>
      <c r="N855" s="25" t="s">
        <v>85</v>
      </c>
      <c r="O855" s="25" t="s">
        <v>84</v>
      </c>
      <c r="P855" s="25" t="s">
        <v>83</v>
      </c>
      <c r="Q855" s="25" t="s">
        <v>82</v>
      </c>
      <c r="R855" s="25"/>
      <c r="S855" s="25" t="s">
        <v>101</v>
      </c>
      <c r="T855" s="25" t="s">
        <v>101</v>
      </c>
      <c r="U855" s="25" t="s">
        <v>112</v>
      </c>
      <c r="V855" s="25">
        <v>0</v>
      </c>
      <c r="W855" s="25" t="s">
        <v>553</v>
      </c>
      <c r="X855" s="25" t="s">
        <v>1752</v>
      </c>
      <c r="Y855" s="25" t="s">
        <v>1753</v>
      </c>
      <c r="Z855" s="26">
        <v>41081</v>
      </c>
      <c r="AA855" s="776">
        <v>52</v>
      </c>
      <c r="AB855" s="776">
        <v>0</v>
      </c>
      <c r="AC855" s="776">
        <v>0</v>
      </c>
      <c r="AD855" s="776">
        <v>0</v>
      </c>
      <c r="AE855" s="777">
        <v>100</v>
      </c>
      <c r="AF855" s="777">
        <v>100</v>
      </c>
      <c r="AG855" s="778">
        <v>109.8730237730621</v>
      </c>
    </row>
    <row r="856" spans="1:33" x14ac:dyDescent="0.2">
      <c r="A856" s="15">
        <f t="shared" si="111"/>
        <v>2012</v>
      </c>
      <c r="B856" s="14">
        <f t="shared" si="112"/>
        <v>6</v>
      </c>
      <c r="C856" s="13" t="str">
        <f t="shared" si="113"/>
        <v>Q2</v>
      </c>
      <c r="D856" s="13" t="str">
        <f t="shared" si="114"/>
        <v>2012Q2</v>
      </c>
      <c r="E856" s="13" t="str">
        <f t="shared" si="115"/>
        <v>Mexico</v>
      </c>
      <c r="F856" s="13" t="str">
        <f t="shared" si="118"/>
        <v>Solar</v>
      </c>
      <c r="G856" s="13" t="str">
        <f t="shared" si="117"/>
        <v>Asset finance investments</v>
      </c>
      <c r="H856" s="638">
        <f t="shared" si="116"/>
        <v>87.898419018449673</v>
      </c>
      <c r="I856" s="24" t="s">
        <v>506</v>
      </c>
      <c r="J856" s="25" t="s">
        <v>246</v>
      </c>
      <c r="K856" s="25" t="s">
        <v>2708</v>
      </c>
      <c r="L856" s="25" t="s">
        <v>2709</v>
      </c>
      <c r="M856" s="25" t="s">
        <v>18</v>
      </c>
      <c r="N856" s="25" t="s">
        <v>85</v>
      </c>
      <c r="O856" s="25" t="s">
        <v>92</v>
      </c>
      <c r="P856" s="25" t="s">
        <v>83</v>
      </c>
      <c r="Q856" s="25" t="s">
        <v>129</v>
      </c>
      <c r="R856" s="25"/>
      <c r="S856" s="25" t="s">
        <v>80</v>
      </c>
      <c r="T856" s="25" t="s">
        <v>80</v>
      </c>
      <c r="U856" s="25" t="s">
        <v>181</v>
      </c>
      <c r="V856" s="25">
        <v>0</v>
      </c>
      <c r="W856" s="25" t="s">
        <v>553</v>
      </c>
      <c r="X856" s="25" t="s">
        <v>1752</v>
      </c>
      <c r="Y856" s="25" t="s">
        <v>1753</v>
      </c>
      <c r="Z856" s="26">
        <v>41090</v>
      </c>
      <c r="AA856" s="776">
        <v>39</v>
      </c>
      <c r="AB856" s="776">
        <v>0</v>
      </c>
      <c r="AC856" s="776">
        <v>0</v>
      </c>
      <c r="AD856" s="776">
        <v>0</v>
      </c>
      <c r="AE856" s="777">
        <v>80</v>
      </c>
      <c r="AF856" s="777">
        <v>80</v>
      </c>
      <c r="AG856" s="778">
        <v>87.898419018449673</v>
      </c>
    </row>
    <row r="857" spans="1:33" x14ac:dyDescent="0.2">
      <c r="A857" s="15">
        <f t="shared" si="111"/>
        <v>2012</v>
      </c>
      <c r="B857" s="14">
        <f t="shared" si="112"/>
        <v>6</v>
      </c>
      <c r="C857" s="13" t="str">
        <f t="shared" si="113"/>
        <v>Q2</v>
      </c>
      <c r="D857" s="13" t="str">
        <f t="shared" si="114"/>
        <v>2012Q2</v>
      </c>
      <c r="E857" s="13" t="str">
        <f t="shared" si="115"/>
        <v>Brazil</v>
      </c>
      <c r="F857" s="13" t="str">
        <f t="shared" si="118"/>
        <v>Biofuels</v>
      </c>
      <c r="G857" s="13" t="str">
        <f t="shared" si="117"/>
        <v>Asset finance investments</v>
      </c>
      <c r="H857" s="638">
        <f t="shared" si="116"/>
        <v>79.108577116604707</v>
      </c>
      <c r="I857" s="24" t="s">
        <v>506</v>
      </c>
      <c r="J857" s="25" t="s">
        <v>246</v>
      </c>
      <c r="K857" s="25" t="s">
        <v>2710</v>
      </c>
      <c r="L857" s="25" t="s">
        <v>2711</v>
      </c>
      <c r="M857" s="25" t="s">
        <v>31</v>
      </c>
      <c r="N857" s="25" t="s">
        <v>31</v>
      </c>
      <c r="O857" s="25" t="s">
        <v>92</v>
      </c>
      <c r="P857" s="25" t="s">
        <v>83</v>
      </c>
      <c r="Q857" s="25" t="s">
        <v>82</v>
      </c>
      <c r="R857" s="25" t="s">
        <v>91</v>
      </c>
      <c r="S857" s="25" t="s">
        <v>96</v>
      </c>
      <c r="T857" s="25" t="s">
        <v>96</v>
      </c>
      <c r="U857" s="25" t="s">
        <v>98</v>
      </c>
      <c r="V857" s="25" t="s">
        <v>1931</v>
      </c>
      <c r="W857" s="25" t="s">
        <v>553</v>
      </c>
      <c r="X857" s="25" t="s">
        <v>1752</v>
      </c>
      <c r="Y857" s="25" t="s">
        <v>1753</v>
      </c>
      <c r="Z857" s="26">
        <v>41086</v>
      </c>
      <c r="AA857" s="776">
        <v>0</v>
      </c>
      <c r="AB857" s="776">
        <v>100</v>
      </c>
      <c r="AC857" s="776">
        <v>0</v>
      </c>
      <c r="AD857" s="776">
        <v>0</v>
      </c>
      <c r="AE857" s="777">
        <v>0</v>
      </c>
      <c r="AF857" s="777">
        <v>72</v>
      </c>
      <c r="AG857" s="778">
        <v>79.108577116604707</v>
      </c>
    </row>
    <row r="858" spans="1:33" x14ac:dyDescent="0.2">
      <c r="A858" s="15">
        <f t="shared" si="111"/>
        <v>2012</v>
      </c>
      <c r="B858" s="14">
        <f t="shared" si="112"/>
        <v>4</v>
      </c>
      <c r="C858" s="13" t="str">
        <f t="shared" si="113"/>
        <v>Q2</v>
      </c>
      <c r="D858" s="13" t="str">
        <f t="shared" si="114"/>
        <v>2012Q2</v>
      </c>
      <c r="E858" s="13" t="str">
        <f t="shared" si="115"/>
        <v>Brazil</v>
      </c>
      <c r="F858" s="13" t="str">
        <f t="shared" si="118"/>
        <v>Biomass &amp; Waste</v>
      </c>
      <c r="G858" s="13" t="str">
        <f t="shared" si="117"/>
        <v>Asset finance investments</v>
      </c>
      <c r="H858" s="638">
        <f t="shared" si="116"/>
        <v>72.516195690220982</v>
      </c>
      <c r="I858" s="24" t="s">
        <v>506</v>
      </c>
      <c r="J858" s="25" t="s">
        <v>246</v>
      </c>
      <c r="K858" s="25" t="s">
        <v>2712</v>
      </c>
      <c r="L858" s="25" t="s">
        <v>2713</v>
      </c>
      <c r="M858" s="25" t="s">
        <v>31</v>
      </c>
      <c r="N858" s="25" t="s">
        <v>31</v>
      </c>
      <c r="O858" s="25" t="s">
        <v>92</v>
      </c>
      <c r="P858" s="25" t="s">
        <v>83</v>
      </c>
      <c r="Q858" s="25" t="s">
        <v>82</v>
      </c>
      <c r="R858" s="25" t="s">
        <v>91</v>
      </c>
      <c r="S858" s="25" t="s">
        <v>114</v>
      </c>
      <c r="T858" s="25" t="s">
        <v>114</v>
      </c>
      <c r="U858" s="25" t="s">
        <v>113</v>
      </c>
      <c r="V858" s="25" t="s">
        <v>347</v>
      </c>
      <c r="W858" s="25" t="s">
        <v>553</v>
      </c>
      <c r="X858" s="25" t="s">
        <v>1752</v>
      </c>
      <c r="Y858" s="25" t="s">
        <v>1753</v>
      </c>
      <c r="Z858" s="26">
        <v>41029</v>
      </c>
      <c r="AA858" s="776">
        <v>53</v>
      </c>
      <c r="AB858" s="776">
        <v>0</v>
      </c>
      <c r="AC858" s="776">
        <v>0</v>
      </c>
      <c r="AD858" s="776">
        <v>0</v>
      </c>
      <c r="AE858" s="777">
        <v>66</v>
      </c>
      <c r="AF858" s="777">
        <v>66</v>
      </c>
      <c r="AG858" s="778">
        <v>72.516195690220982</v>
      </c>
    </row>
    <row r="859" spans="1:33" x14ac:dyDescent="0.2">
      <c r="A859" s="15">
        <f t="shared" si="111"/>
        <v>2012</v>
      </c>
      <c r="B859" s="14">
        <f t="shared" si="112"/>
        <v>6</v>
      </c>
      <c r="C859" s="13" t="str">
        <f t="shared" si="113"/>
        <v>Q2</v>
      </c>
      <c r="D859" s="13" t="str">
        <f t="shared" si="114"/>
        <v>2012Q2</v>
      </c>
      <c r="E859" s="13" t="str">
        <f t="shared" si="115"/>
        <v>Nicaragua</v>
      </c>
      <c r="F859" s="13" t="str">
        <f t="shared" si="118"/>
        <v>Wind</v>
      </c>
      <c r="G859" s="13" t="str">
        <f t="shared" si="117"/>
        <v>Asset finance investments</v>
      </c>
      <c r="H859" s="638">
        <f t="shared" si="116"/>
        <v>60.913604379785625</v>
      </c>
      <c r="I859" s="24" t="s">
        <v>506</v>
      </c>
      <c r="J859" s="25" t="s">
        <v>246</v>
      </c>
      <c r="K859" s="25" t="s">
        <v>2714</v>
      </c>
      <c r="L859" s="25" t="s">
        <v>2715</v>
      </c>
      <c r="M859" s="25" t="s">
        <v>2</v>
      </c>
      <c r="N859" s="25" t="s">
        <v>85</v>
      </c>
      <c r="O859" s="25" t="s">
        <v>92</v>
      </c>
      <c r="P859" s="25" t="s">
        <v>83</v>
      </c>
      <c r="Q859" s="25" t="s">
        <v>82</v>
      </c>
      <c r="R859" s="25"/>
      <c r="S859" s="25" t="s">
        <v>101</v>
      </c>
      <c r="T859" s="25" t="s">
        <v>101</v>
      </c>
      <c r="U859" s="25" t="s">
        <v>112</v>
      </c>
      <c r="V859" s="25">
        <v>0</v>
      </c>
      <c r="W859" s="25" t="s">
        <v>553</v>
      </c>
      <c r="X859" s="25" t="s">
        <v>1752</v>
      </c>
      <c r="Y859" s="25" t="s">
        <v>1753</v>
      </c>
      <c r="Z859" s="26">
        <v>41067</v>
      </c>
      <c r="AA859" s="776">
        <v>39.6</v>
      </c>
      <c r="AB859" s="776">
        <v>0</v>
      </c>
      <c r="AC859" s="776">
        <v>0</v>
      </c>
      <c r="AD859" s="776">
        <v>0</v>
      </c>
      <c r="AE859" s="777">
        <v>0</v>
      </c>
      <c r="AF859" s="777">
        <v>55.44</v>
      </c>
      <c r="AG859" s="778">
        <v>60.913604379785625</v>
      </c>
    </row>
    <row r="860" spans="1:33" x14ac:dyDescent="0.2">
      <c r="A860" s="15">
        <f t="shared" si="111"/>
        <v>2012</v>
      </c>
      <c r="B860" s="14">
        <f t="shared" si="112"/>
        <v>5</v>
      </c>
      <c r="C860" s="13" t="str">
        <f t="shared" si="113"/>
        <v>Q2</v>
      </c>
      <c r="D860" s="13" t="str">
        <f t="shared" si="114"/>
        <v>2012Q2</v>
      </c>
      <c r="E860" s="13" t="str">
        <f t="shared" si="115"/>
        <v>Brazil</v>
      </c>
      <c r="F860" s="13" t="str">
        <f t="shared" si="118"/>
        <v>Small Hydro</v>
      </c>
      <c r="G860" s="13" t="str">
        <f t="shared" si="117"/>
        <v>Asset finance investments</v>
      </c>
      <c r="H860" s="638">
        <f t="shared" si="116"/>
        <v>56.584607243126982</v>
      </c>
      <c r="I860" s="24" t="s">
        <v>506</v>
      </c>
      <c r="J860" s="25" t="s">
        <v>246</v>
      </c>
      <c r="K860" s="25" t="s">
        <v>2716</v>
      </c>
      <c r="L860" s="25" t="s">
        <v>2717</v>
      </c>
      <c r="M860" s="25" t="s">
        <v>31</v>
      </c>
      <c r="N860" s="25" t="s">
        <v>31</v>
      </c>
      <c r="O860" s="25" t="s">
        <v>92</v>
      </c>
      <c r="P860" s="25" t="s">
        <v>83</v>
      </c>
      <c r="Q860" s="25" t="s">
        <v>82</v>
      </c>
      <c r="R860" s="25" t="s">
        <v>91</v>
      </c>
      <c r="S860" s="25" t="s">
        <v>126</v>
      </c>
      <c r="T860" s="25" t="s">
        <v>125</v>
      </c>
      <c r="U860" s="25" t="s">
        <v>342</v>
      </c>
      <c r="V860" s="25">
        <v>0</v>
      </c>
      <c r="W860" s="25" t="s">
        <v>553</v>
      </c>
      <c r="X860" s="25" t="s">
        <v>1752</v>
      </c>
      <c r="Y860" s="25" t="s">
        <v>1753</v>
      </c>
      <c r="Z860" s="26">
        <v>41060</v>
      </c>
      <c r="AA860" s="776">
        <v>20.6</v>
      </c>
      <c r="AB860" s="776">
        <v>0</v>
      </c>
      <c r="AC860" s="776">
        <v>0</v>
      </c>
      <c r="AD860" s="776">
        <v>0</v>
      </c>
      <c r="AE860" s="777">
        <v>0</v>
      </c>
      <c r="AF860" s="777">
        <v>51.5</v>
      </c>
      <c r="AG860" s="778">
        <v>56.584607243126982</v>
      </c>
    </row>
    <row r="861" spans="1:33" x14ac:dyDescent="0.2">
      <c r="A861" s="15">
        <f t="shared" si="111"/>
        <v>2012</v>
      </c>
      <c r="B861" s="14">
        <f t="shared" si="112"/>
        <v>4</v>
      </c>
      <c r="C861" s="13" t="str">
        <f t="shared" si="113"/>
        <v>Q2</v>
      </c>
      <c r="D861" s="13" t="str">
        <f t="shared" si="114"/>
        <v>2012Q2</v>
      </c>
      <c r="E861" s="13" t="str">
        <f t="shared" si="115"/>
        <v>Chile</v>
      </c>
      <c r="F861" s="13" t="str">
        <f t="shared" si="118"/>
        <v>Biomass &amp; Waste</v>
      </c>
      <c r="G861" s="13" t="str">
        <f t="shared" si="117"/>
        <v>Asset finance investments</v>
      </c>
      <c r="H861" s="638">
        <f t="shared" si="116"/>
        <v>28.566986180996146</v>
      </c>
      <c r="I861" s="24" t="s">
        <v>506</v>
      </c>
      <c r="J861" s="25" t="s">
        <v>246</v>
      </c>
      <c r="K861" s="25" t="s">
        <v>2718</v>
      </c>
      <c r="L861" s="25" t="s">
        <v>2719</v>
      </c>
      <c r="M861" s="25" t="s">
        <v>8</v>
      </c>
      <c r="N861" s="25" t="s">
        <v>85</v>
      </c>
      <c r="O861" s="25" t="s">
        <v>92</v>
      </c>
      <c r="P861" s="25" t="s">
        <v>83</v>
      </c>
      <c r="Q861" s="25" t="s">
        <v>129</v>
      </c>
      <c r="R861" s="25"/>
      <c r="S861" s="25" t="s">
        <v>114</v>
      </c>
      <c r="T861" s="25" t="s">
        <v>114</v>
      </c>
      <c r="U861" s="25" t="s">
        <v>113</v>
      </c>
      <c r="V861" s="25" t="s">
        <v>722</v>
      </c>
      <c r="W861" s="25" t="s">
        <v>553</v>
      </c>
      <c r="X861" s="25" t="s">
        <v>1752</v>
      </c>
      <c r="Y861" s="25" t="s">
        <v>1753</v>
      </c>
      <c r="Z861" s="26">
        <v>41025</v>
      </c>
      <c r="AA861" s="776">
        <v>8.4</v>
      </c>
      <c r="AB861" s="776">
        <v>0</v>
      </c>
      <c r="AC861" s="776">
        <v>0</v>
      </c>
      <c r="AD861" s="776">
        <v>0</v>
      </c>
      <c r="AE861" s="777">
        <v>0</v>
      </c>
      <c r="AF861" s="777">
        <v>26</v>
      </c>
      <c r="AG861" s="778">
        <v>28.566986180996146</v>
      </c>
    </row>
    <row r="862" spans="1:33" x14ac:dyDescent="0.2">
      <c r="A862" s="15">
        <f t="shared" si="111"/>
        <v>2012</v>
      </c>
      <c r="B862" s="14">
        <f t="shared" si="112"/>
        <v>6</v>
      </c>
      <c r="C862" s="13" t="str">
        <f t="shared" si="113"/>
        <v>Q2</v>
      </c>
      <c r="D862" s="13" t="str">
        <f t="shared" si="114"/>
        <v>2012Q2</v>
      </c>
      <c r="E862" s="13" t="str">
        <f t="shared" si="115"/>
        <v>Brazil</v>
      </c>
      <c r="F862" s="13" t="str">
        <f t="shared" si="118"/>
        <v>Small Hydro</v>
      </c>
      <c r="G862" s="13" t="str">
        <f t="shared" si="117"/>
        <v>Asset finance investments</v>
      </c>
      <c r="H862" s="638">
        <f t="shared" si="116"/>
        <v>21.974604754612418</v>
      </c>
      <c r="I862" s="24" t="s">
        <v>506</v>
      </c>
      <c r="J862" s="25" t="s">
        <v>246</v>
      </c>
      <c r="K862" s="25" t="s">
        <v>2720</v>
      </c>
      <c r="L862" s="25" t="s">
        <v>2721</v>
      </c>
      <c r="M862" s="25" t="s">
        <v>31</v>
      </c>
      <c r="N862" s="25" t="s">
        <v>31</v>
      </c>
      <c r="O862" s="25" t="s">
        <v>92</v>
      </c>
      <c r="P862" s="25" t="s">
        <v>83</v>
      </c>
      <c r="Q862" s="25" t="s">
        <v>82</v>
      </c>
      <c r="R862" s="25" t="s">
        <v>91</v>
      </c>
      <c r="S862" s="25" t="s">
        <v>126</v>
      </c>
      <c r="T862" s="25" t="s">
        <v>125</v>
      </c>
      <c r="U862" s="25" t="s">
        <v>247</v>
      </c>
      <c r="V862" s="25">
        <v>0</v>
      </c>
      <c r="W862" s="25" t="s">
        <v>553</v>
      </c>
      <c r="X862" s="25" t="s">
        <v>1752</v>
      </c>
      <c r="Y862" s="25" t="s">
        <v>1753</v>
      </c>
      <c r="Z862" s="26">
        <v>41061</v>
      </c>
      <c r="AA862" s="776">
        <v>8</v>
      </c>
      <c r="AB862" s="776">
        <v>0</v>
      </c>
      <c r="AC862" s="776">
        <v>0</v>
      </c>
      <c r="AD862" s="776">
        <v>0</v>
      </c>
      <c r="AE862" s="777">
        <v>0</v>
      </c>
      <c r="AF862" s="777">
        <v>20</v>
      </c>
      <c r="AG862" s="778">
        <v>21.974604754612418</v>
      </c>
    </row>
    <row r="863" spans="1:33" x14ac:dyDescent="0.2">
      <c r="A863" s="15">
        <f t="shared" si="111"/>
        <v>2012</v>
      </c>
      <c r="B863" s="14">
        <f t="shared" si="112"/>
        <v>4</v>
      </c>
      <c r="C863" s="13" t="str">
        <f t="shared" si="113"/>
        <v>Q2</v>
      </c>
      <c r="D863" s="13" t="str">
        <f t="shared" si="114"/>
        <v>2012Q2</v>
      </c>
      <c r="E863" s="13" t="str">
        <f t="shared" si="115"/>
        <v>Chile</v>
      </c>
      <c r="F863" s="13" t="str">
        <f t="shared" si="118"/>
        <v>Solar</v>
      </c>
      <c r="G863" s="13" t="str">
        <f t="shared" si="117"/>
        <v>Asset finance investments</v>
      </c>
      <c r="H863" s="638">
        <f t="shared" si="116"/>
        <v>16.480953565959314</v>
      </c>
      <c r="I863" s="24" t="s">
        <v>506</v>
      </c>
      <c r="J863" s="25" t="s">
        <v>246</v>
      </c>
      <c r="K863" s="25" t="s">
        <v>2722</v>
      </c>
      <c r="L863" s="25" t="s">
        <v>2723</v>
      </c>
      <c r="M863" s="25" t="s">
        <v>8</v>
      </c>
      <c r="N863" s="25" t="s">
        <v>85</v>
      </c>
      <c r="O863" s="25" t="s">
        <v>92</v>
      </c>
      <c r="P863" s="25" t="s">
        <v>83</v>
      </c>
      <c r="Q863" s="25" t="s">
        <v>129</v>
      </c>
      <c r="R863" s="25"/>
      <c r="S863" s="25" t="s">
        <v>80</v>
      </c>
      <c r="T863" s="25" t="s">
        <v>80</v>
      </c>
      <c r="U863" s="25" t="s">
        <v>1166</v>
      </c>
      <c r="V863" s="25" t="s">
        <v>2417</v>
      </c>
      <c r="W863" s="25" t="s">
        <v>553</v>
      </c>
      <c r="X863" s="25" t="s">
        <v>1752</v>
      </c>
      <c r="Y863" s="25" t="s">
        <v>1753</v>
      </c>
      <c r="Z863" s="26">
        <v>41029</v>
      </c>
      <c r="AA863" s="776">
        <v>7</v>
      </c>
      <c r="AB863" s="776">
        <v>0</v>
      </c>
      <c r="AC863" s="776">
        <v>0</v>
      </c>
      <c r="AD863" s="776">
        <v>0</v>
      </c>
      <c r="AE863" s="777">
        <v>0</v>
      </c>
      <c r="AF863" s="777">
        <v>15</v>
      </c>
      <c r="AG863" s="778">
        <v>16.480953565959314</v>
      </c>
    </row>
    <row r="864" spans="1:33" x14ac:dyDescent="0.2">
      <c r="A864" s="15">
        <f t="shared" si="111"/>
        <v>2012</v>
      </c>
      <c r="B864" s="14">
        <f t="shared" si="112"/>
        <v>5</v>
      </c>
      <c r="C864" s="13" t="str">
        <f t="shared" si="113"/>
        <v>Q2</v>
      </c>
      <c r="D864" s="13" t="str">
        <f t="shared" si="114"/>
        <v>2012Q2</v>
      </c>
      <c r="E864" s="13" t="str">
        <f t="shared" si="115"/>
        <v>Nicaragua</v>
      </c>
      <c r="F864" s="13" t="str">
        <f t="shared" si="118"/>
        <v>Small Hydro</v>
      </c>
      <c r="G864" s="13" t="str">
        <f t="shared" si="117"/>
        <v>Asset finance investments</v>
      </c>
      <c r="H864" s="638">
        <f t="shared" si="116"/>
        <v>15.382223328228694</v>
      </c>
      <c r="I864" s="24" t="s">
        <v>506</v>
      </c>
      <c r="J864" s="25" t="s">
        <v>246</v>
      </c>
      <c r="K864" s="25" t="s">
        <v>2724</v>
      </c>
      <c r="L864" s="25" t="s">
        <v>2725</v>
      </c>
      <c r="M864" s="25" t="s">
        <v>2</v>
      </c>
      <c r="N864" s="25" t="s">
        <v>85</v>
      </c>
      <c r="O864" s="25" t="s">
        <v>92</v>
      </c>
      <c r="P864" s="25" t="s">
        <v>83</v>
      </c>
      <c r="Q864" s="25" t="s">
        <v>82</v>
      </c>
      <c r="R864" s="25"/>
      <c r="S864" s="25" t="s">
        <v>126</v>
      </c>
      <c r="T864" s="25" t="s">
        <v>125</v>
      </c>
      <c r="U864" s="25" t="s">
        <v>247</v>
      </c>
      <c r="V864" s="25">
        <v>0</v>
      </c>
      <c r="W864" s="25" t="s">
        <v>553</v>
      </c>
      <c r="X864" s="25" t="s">
        <v>1749</v>
      </c>
      <c r="Y864" s="25" t="s">
        <v>1750</v>
      </c>
      <c r="Z864" s="26">
        <v>41051</v>
      </c>
      <c r="AA864" s="776">
        <v>5</v>
      </c>
      <c r="AB864" s="776">
        <v>0</v>
      </c>
      <c r="AC864" s="776">
        <v>0</v>
      </c>
      <c r="AD864" s="776">
        <v>0</v>
      </c>
      <c r="AE864" s="777">
        <v>14</v>
      </c>
      <c r="AF864" s="777">
        <v>14</v>
      </c>
      <c r="AG864" s="778">
        <v>15.382223328228694</v>
      </c>
    </row>
    <row r="865" spans="1:33" x14ac:dyDescent="0.2">
      <c r="A865" s="15">
        <f t="shared" si="111"/>
        <v>2012</v>
      </c>
      <c r="B865" s="14">
        <f t="shared" si="112"/>
        <v>4</v>
      </c>
      <c r="C865" s="13" t="str">
        <f t="shared" si="113"/>
        <v>Q2</v>
      </c>
      <c r="D865" s="13" t="str">
        <f t="shared" si="114"/>
        <v>2012Q2</v>
      </c>
      <c r="E865" s="13" t="str">
        <f t="shared" si="115"/>
        <v>Brazil</v>
      </c>
      <c r="F865" s="13" t="str">
        <f t="shared" si="118"/>
        <v>Solar</v>
      </c>
      <c r="G865" s="13" t="str">
        <f t="shared" si="117"/>
        <v>Asset finance investments</v>
      </c>
      <c r="H865" s="638">
        <f t="shared" si="116"/>
        <v>14.832858209363383</v>
      </c>
      <c r="I865" s="24" t="s">
        <v>506</v>
      </c>
      <c r="J865" s="25" t="s">
        <v>246</v>
      </c>
      <c r="K865" s="25" t="s">
        <v>2726</v>
      </c>
      <c r="L865" s="25" t="s">
        <v>2727</v>
      </c>
      <c r="M865" s="25" t="s">
        <v>31</v>
      </c>
      <c r="N865" s="25" t="s">
        <v>31</v>
      </c>
      <c r="O865" s="25" t="s">
        <v>92</v>
      </c>
      <c r="P865" s="25" t="s">
        <v>83</v>
      </c>
      <c r="Q865" s="25" t="s">
        <v>82</v>
      </c>
      <c r="R865" s="25" t="s">
        <v>91</v>
      </c>
      <c r="S865" s="25" t="s">
        <v>80</v>
      </c>
      <c r="T865" s="25" t="s">
        <v>80</v>
      </c>
      <c r="U865" s="25" t="s">
        <v>181</v>
      </c>
      <c r="V865" s="25">
        <v>0</v>
      </c>
      <c r="W865" s="25" t="s">
        <v>553</v>
      </c>
      <c r="X865" s="25" t="s">
        <v>1752</v>
      </c>
      <c r="Y865" s="25" t="s">
        <v>1753</v>
      </c>
      <c r="Z865" s="26">
        <v>41016</v>
      </c>
      <c r="AA865" s="776">
        <v>3</v>
      </c>
      <c r="AB865" s="776">
        <v>0</v>
      </c>
      <c r="AC865" s="776">
        <v>0</v>
      </c>
      <c r="AD865" s="776">
        <v>0</v>
      </c>
      <c r="AE865" s="777">
        <v>13.5</v>
      </c>
      <c r="AF865" s="777">
        <v>13.5</v>
      </c>
      <c r="AG865" s="778">
        <v>14.832858209363383</v>
      </c>
    </row>
    <row r="866" spans="1:33" x14ac:dyDescent="0.2">
      <c r="A866" s="15">
        <f t="shared" si="111"/>
        <v>2012</v>
      </c>
      <c r="B866" s="14">
        <f t="shared" si="112"/>
        <v>6</v>
      </c>
      <c r="C866" s="13" t="str">
        <f t="shared" si="113"/>
        <v>Q2</v>
      </c>
      <c r="D866" s="13" t="str">
        <f t="shared" si="114"/>
        <v>2012Q2</v>
      </c>
      <c r="E866" s="13" t="str">
        <f t="shared" si="115"/>
        <v>Chile</v>
      </c>
      <c r="F866" s="13" t="str">
        <f t="shared" si="118"/>
        <v>Small Hydro</v>
      </c>
      <c r="G866" s="13" t="str">
        <f t="shared" si="117"/>
        <v>Asset finance investments</v>
      </c>
      <c r="H866" s="638">
        <f t="shared" si="116"/>
        <v>11.866286567490707</v>
      </c>
      <c r="I866" s="24" t="s">
        <v>506</v>
      </c>
      <c r="J866" s="25" t="s">
        <v>246</v>
      </c>
      <c r="K866" s="25" t="s">
        <v>2728</v>
      </c>
      <c r="L866" s="25" t="s">
        <v>2729</v>
      </c>
      <c r="M866" s="25" t="s">
        <v>8</v>
      </c>
      <c r="N866" s="25" t="s">
        <v>85</v>
      </c>
      <c r="O866" s="25" t="s">
        <v>92</v>
      </c>
      <c r="P866" s="25" t="s">
        <v>83</v>
      </c>
      <c r="Q866" s="25" t="s">
        <v>129</v>
      </c>
      <c r="R866" s="25"/>
      <c r="S866" s="25" t="s">
        <v>126</v>
      </c>
      <c r="T866" s="25" t="s">
        <v>125</v>
      </c>
      <c r="U866" s="25" t="s">
        <v>247</v>
      </c>
      <c r="V866" s="25">
        <v>0</v>
      </c>
      <c r="W866" s="25" t="s">
        <v>553</v>
      </c>
      <c r="X866" s="25" t="s">
        <v>1749</v>
      </c>
      <c r="Y866" s="25" t="s">
        <v>1750</v>
      </c>
      <c r="Z866" s="26">
        <v>41085</v>
      </c>
      <c r="AA866" s="776">
        <v>5.4</v>
      </c>
      <c r="AB866" s="776">
        <v>0</v>
      </c>
      <c r="AC866" s="776">
        <v>0</v>
      </c>
      <c r="AD866" s="776">
        <v>0</v>
      </c>
      <c r="AE866" s="777">
        <v>10.8</v>
      </c>
      <c r="AF866" s="777">
        <v>10.8</v>
      </c>
      <c r="AG866" s="778">
        <v>11.866286567490707</v>
      </c>
    </row>
    <row r="867" spans="1:33" x14ac:dyDescent="0.2">
      <c r="A867" s="15">
        <f t="shared" si="111"/>
        <v>2012</v>
      </c>
      <c r="B867" s="14">
        <f t="shared" si="112"/>
        <v>4</v>
      </c>
      <c r="C867" s="13" t="str">
        <f t="shared" si="113"/>
        <v>Q2</v>
      </c>
      <c r="D867" s="13" t="str">
        <f t="shared" si="114"/>
        <v>2012Q2</v>
      </c>
      <c r="E867" s="13" t="str">
        <f t="shared" si="115"/>
        <v>Brazil</v>
      </c>
      <c r="F867" s="13" t="str">
        <f t="shared" si="118"/>
        <v>Solar</v>
      </c>
      <c r="G867" s="13" t="str">
        <f t="shared" si="117"/>
        <v>Asset finance investments</v>
      </c>
      <c r="H867" s="638">
        <f t="shared" si="116"/>
        <v>8.2404767829796572</v>
      </c>
      <c r="I867" s="24" t="s">
        <v>506</v>
      </c>
      <c r="J867" s="25" t="s">
        <v>246</v>
      </c>
      <c r="K867" s="25" t="s">
        <v>2730</v>
      </c>
      <c r="L867" s="25" t="s">
        <v>2731</v>
      </c>
      <c r="M867" s="25" t="s">
        <v>31</v>
      </c>
      <c r="N867" s="25" t="s">
        <v>31</v>
      </c>
      <c r="O867" s="25" t="s">
        <v>92</v>
      </c>
      <c r="P867" s="25" t="s">
        <v>83</v>
      </c>
      <c r="Q867" s="25" t="s">
        <v>82</v>
      </c>
      <c r="R867" s="25" t="s">
        <v>91</v>
      </c>
      <c r="S867" s="25" t="s">
        <v>80</v>
      </c>
      <c r="T867" s="25" t="s">
        <v>80</v>
      </c>
      <c r="U867" s="25" t="s">
        <v>181</v>
      </c>
      <c r="V867" s="25">
        <v>0</v>
      </c>
      <c r="W867" s="25" t="s">
        <v>553</v>
      </c>
      <c r="X867" s="25" t="s">
        <v>1752</v>
      </c>
      <c r="Y867" s="25" t="s">
        <v>1753</v>
      </c>
      <c r="Z867" s="26">
        <v>41004</v>
      </c>
      <c r="AA867" s="776">
        <v>1.08</v>
      </c>
      <c r="AB867" s="776">
        <v>0</v>
      </c>
      <c r="AC867" s="776">
        <v>0</v>
      </c>
      <c r="AD867" s="776">
        <v>0</v>
      </c>
      <c r="AE867" s="777">
        <v>7.5</v>
      </c>
      <c r="AF867" s="777">
        <v>7.5</v>
      </c>
      <c r="AG867" s="778">
        <v>8.2404767829796572</v>
      </c>
    </row>
    <row r="868" spans="1:33" x14ac:dyDescent="0.2">
      <c r="A868" s="15">
        <f t="shared" si="111"/>
        <v>2012</v>
      </c>
      <c r="B868" s="14">
        <f t="shared" si="112"/>
        <v>5</v>
      </c>
      <c r="C868" s="13" t="str">
        <f t="shared" si="113"/>
        <v>Q2</v>
      </c>
      <c r="D868" s="13" t="str">
        <f t="shared" si="114"/>
        <v>2012Q2</v>
      </c>
      <c r="E868" s="13" t="str">
        <f t="shared" si="115"/>
        <v>Mexico</v>
      </c>
      <c r="F868" s="13" t="str">
        <f t="shared" si="118"/>
        <v>Other Clean Energy</v>
      </c>
      <c r="G868" s="13" t="str">
        <f t="shared" si="117"/>
        <v>Asset finance investments</v>
      </c>
      <c r="H868" s="638">
        <f t="shared" si="116"/>
        <v>6.0430163075184149</v>
      </c>
      <c r="I868" s="24" t="s">
        <v>506</v>
      </c>
      <c r="J868" s="25" t="s">
        <v>246</v>
      </c>
      <c r="K868" s="25" t="s">
        <v>2732</v>
      </c>
      <c r="L868" s="25" t="s">
        <v>2733</v>
      </c>
      <c r="M868" s="25" t="s">
        <v>18</v>
      </c>
      <c r="N868" s="25" t="s">
        <v>85</v>
      </c>
      <c r="O868" s="25" t="s">
        <v>92</v>
      </c>
      <c r="P868" s="25" t="s">
        <v>83</v>
      </c>
      <c r="Q868" s="25" t="s">
        <v>129</v>
      </c>
      <c r="R868" s="25"/>
      <c r="S868" s="25" t="s">
        <v>916</v>
      </c>
      <c r="T868" s="25" t="s">
        <v>916</v>
      </c>
      <c r="U868" s="25" t="s">
        <v>915</v>
      </c>
      <c r="V868" s="25">
        <v>0</v>
      </c>
      <c r="W868" s="25" t="s">
        <v>553</v>
      </c>
      <c r="X868" s="25" t="s">
        <v>1752</v>
      </c>
      <c r="Y868" s="25" t="s">
        <v>1753</v>
      </c>
      <c r="Z868" s="26">
        <v>41051</v>
      </c>
      <c r="AA868" s="776">
        <v>3</v>
      </c>
      <c r="AB868" s="776">
        <v>0</v>
      </c>
      <c r="AC868" s="776">
        <v>0</v>
      </c>
      <c r="AD868" s="776">
        <v>0</v>
      </c>
      <c r="AE868" s="777">
        <v>5.5</v>
      </c>
      <c r="AF868" s="777">
        <v>5.5</v>
      </c>
      <c r="AG868" s="778">
        <v>6.0430163075184149</v>
      </c>
    </row>
    <row r="869" spans="1:33" x14ac:dyDescent="0.2">
      <c r="A869" s="15">
        <f t="shared" si="111"/>
        <v>2012</v>
      </c>
      <c r="B869" s="14">
        <f t="shared" si="112"/>
        <v>4</v>
      </c>
      <c r="C869" s="13" t="str">
        <f t="shared" si="113"/>
        <v>Q2</v>
      </c>
      <c r="D869" s="13" t="str">
        <f t="shared" si="114"/>
        <v>2012Q2</v>
      </c>
      <c r="E869" s="13" t="str">
        <f t="shared" si="115"/>
        <v>Ecuador</v>
      </c>
      <c r="F869" s="13" t="str">
        <f t="shared" si="118"/>
        <v>Solar</v>
      </c>
      <c r="G869" s="13" t="str">
        <f t="shared" si="117"/>
        <v>Asset finance investments</v>
      </c>
      <c r="H869" s="638">
        <f t="shared" si="116"/>
        <v>4.3949209509224838</v>
      </c>
      <c r="I869" s="24" t="s">
        <v>506</v>
      </c>
      <c r="J869" s="25" t="s">
        <v>246</v>
      </c>
      <c r="K869" s="25" t="s">
        <v>2734</v>
      </c>
      <c r="L869" s="25" t="s">
        <v>2735</v>
      </c>
      <c r="M869" s="25" t="s">
        <v>12</v>
      </c>
      <c r="N869" s="25" t="s">
        <v>85</v>
      </c>
      <c r="O869" s="25" t="s">
        <v>92</v>
      </c>
      <c r="P869" s="25" t="s">
        <v>83</v>
      </c>
      <c r="Q869" s="25" t="s">
        <v>82</v>
      </c>
      <c r="R869" s="25"/>
      <c r="S869" s="25" t="s">
        <v>80</v>
      </c>
      <c r="T869" s="25" t="s">
        <v>80</v>
      </c>
      <c r="U869" s="25" t="s">
        <v>181</v>
      </c>
      <c r="V869" s="25" t="s">
        <v>232</v>
      </c>
      <c r="W869" s="25" t="s">
        <v>553</v>
      </c>
      <c r="X869" s="25" t="s">
        <v>1752</v>
      </c>
      <c r="Y869" s="25" t="s">
        <v>1753</v>
      </c>
      <c r="Z869" s="26">
        <v>41025</v>
      </c>
      <c r="AA869" s="776">
        <v>1</v>
      </c>
      <c r="AB869" s="776">
        <v>0</v>
      </c>
      <c r="AC869" s="776">
        <v>0</v>
      </c>
      <c r="AD869" s="776">
        <v>0</v>
      </c>
      <c r="AE869" s="777">
        <v>0</v>
      </c>
      <c r="AF869" s="777">
        <v>4</v>
      </c>
      <c r="AG869" s="778">
        <v>4.3949209509224838</v>
      </c>
    </row>
    <row r="870" spans="1:33" x14ac:dyDescent="0.2">
      <c r="A870" s="15">
        <f t="shared" si="111"/>
        <v>2012</v>
      </c>
      <c r="B870" s="14">
        <f t="shared" si="112"/>
        <v>6</v>
      </c>
      <c r="C870" s="13" t="str">
        <f t="shared" si="113"/>
        <v>Q2</v>
      </c>
      <c r="D870" s="13" t="str">
        <f t="shared" si="114"/>
        <v>2012Q2</v>
      </c>
      <c r="E870" s="13" t="str">
        <f t="shared" si="115"/>
        <v>Chile</v>
      </c>
      <c r="F870" s="13" t="str">
        <f t="shared" si="118"/>
        <v>Solar</v>
      </c>
      <c r="G870" s="13" t="str">
        <f t="shared" si="117"/>
        <v>Asset finance investments</v>
      </c>
      <c r="H870" s="638">
        <f t="shared" si="116"/>
        <v>4.3949209509224838</v>
      </c>
      <c r="I870" s="24" t="s">
        <v>506</v>
      </c>
      <c r="J870" s="25" t="s">
        <v>246</v>
      </c>
      <c r="K870" s="25" t="s">
        <v>2736</v>
      </c>
      <c r="L870" s="25" t="s">
        <v>2737</v>
      </c>
      <c r="M870" s="25" t="s">
        <v>8</v>
      </c>
      <c r="N870" s="25" t="s">
        <v>85</v>
      </c>
      <c r="O870" s="25" t="s">
        <v>92</v>
      </c>
      <c r="P870" s="25" t="s">
        <v>83</v>
      </c>
      <c r="Q870" s="25" t="s">
        <v>129</v>
      </c>
      <c r="R870" s="25"/>
      <c r="S870" s="25" t="s">
        <v>80</v>
      </c>
      <c r="T870" s="25" t="s">
        <v>80</v>
      </c>
      <c r="U870" s="25" t="s">
        <v>181</v>
      </c>
      <c r="V870" s="25">
        <v>0</v>
      </c>
      <c r="W870" s="25" t="s">
        <v>553</v>
      </c>
      <c r="X870" s="25" t="s">
        <v>1752</v>
      </c>
      <c r="Y870" s="25" t="s">
        <v>1753</v>
      </c>
      <c r="Z870" s="26">
        <v>41061</v>
      </c>
      <c r="AA870" s="776">
        <v>1</v>
      </c>
      <c r="AB870" s="776">
        <v>0</v>
      </c>
      <c r="AC870" s="776">
        <v>0</v>
      </c>
      <c r="AD870" s="776">
        <v>0</v>
      </c>
      <c r="AE870" s="777">
        <v>0</v>
      </c>
      <c r="AF870" s="777">
        <v>4</v>
      </c>
      <c r="AG870" s="778">
        <v>4.3949209509224838</v>
      </c>
    </row>
    <row r="871" spans="1:33" x14ac:dyDescent="0.2">
      <c r="A871" s="15">
        <f t="shared" si="111"/>
        <v>2011</v>
      </c>
      <c r="B871" s="14">
        <f t="shared" si="112"/>
        <v>6</v>
      </c>
      <c r="C871" s="13" t="str">
        <f t="shared" si="113"/>
        <v>Q2</v>
      </c>
      <c r="D871" s="13" t="str">
        <f t="shared" si="114"/>
        <v>2011Q2</v>
      </c>
      <c r="E871" s="13" t="str">
        <f t="shared" si="115"/>
        <v>Brazil</v>
      </c>
      <c r="F871" s="13" t="str">
        <f t="shared" si="118"/>
        <v>Wind</v>
      </c>
      <c r="G871" s="13" t="str">
        <f t="shared" si="117"/>
        <v>Asset finance investments</v>
      </c>
      <c r="H871" s="638">
        <f t="shared" si="116"/>
        <v>321.26429928465461</v>
      </c>
      <c r="I871" s="24" t="s">
        <v>506</v>
      </c>
      <c r="J871" s="25" t="s">
        <v>246</v>
      </c>
      <c r="K871" s="25" t="s">
        <v>2738</v>
      </c>
      <c r="L871" s="25" t="s">
        <v>742</v>
      </c>
      <c r="M871" s="25" t="s">
        <v>31</v>
      </c>
      <c r="N871" s="25" t="s">
        <v>31</v>
      </c>
      <c r="O871" s="25" t="s">
        <v>92</v>
      </c>
      <c r="P871" s="25" t="s">
        <v>83</v>
      </c>
      <c r="Q871" s="25" t="s">
        <v>82</v>
      </c>
      <c r="R871" s="25" t="s">
        <v>91</v>
      </c>
      <c r="S871" s="25" t="s">
        <v>101</v>
      </c>
      <c r="T871" s="25" t="s">
        <v>101</v>
      </c>
      <c r="U871" s="25" t="s">
        <v>112</v>
      </c>
      <c r="V871" s="25">
        <v>0</v>
      </c>
      <c r="W871" s="25" t="s">
        <v>553</v>
      </c>
      <c r="X871" s="25" t="s">
        <v>1752</v>
      </c>
      <c r="Y871" s="25" t="s">
        <v>1753</v>
      </c>
      <c r="Z871" s="26">
        <v>40708</v>
      </c>
      <c r="AA871" s="776">
        <v>147.6</v>
      </c>
      <c r="AB871" s="776">
        <v>0</v>
      </c>
      <c r="AC871" s="776">
        <v>0</v>
      </c>
      <c r="AD871" s="776">
        <v>0</v>
      </c>
      <c r="AE871" s="777">
        <v>0</v>
      </c>
      <c r="AF871" s="777">
        <v>295.2</v>
      </c>
      <c r="AG871" s="778">
        <v>321.26429928465461</v>
      </c>
    </row>
    <row r="872" spans="1:33" x14ac:dyDescent="0.2">
      <c r="A872" s="15">
        <f t="shared" si="111"/>
        <v>2011</v>
      </c>
      <c r="B872" s="14">
        <f t="shared" si="112"/>
        <v>4</v>
      </c>
      <c r="C872" s="13" t="str">
        <f t="shared" si="113"/>
        <v>Q2</v>
      </c>
      <c r="D872" s="13" t="str">
        <f t="shared" si="114"/>
        <v>2011Q2</v>
      </c>
      <c r="E872" s="13" t="str">
        <f t="shared" si="115"/>
        <v>Brazil</v>
      </c>
      <c r="F872" s="13" t="str">
        <f t="shared" si="118"/>
        <v>Wind</v>
      </c>
      <c r="G872" s="13" t="str">
        <f t="shared" si="117"/>
        <v>Asset finance investments</v>
      </c>
      <c r="H872" s="638">
        <f t="shared" si="116"/>
        <v>313.4285846679557</v>
      </c>
      <c r="I872" s="24" t="s">
        <v>506</v>
      </c>
      <c r="J872" s="25" t="s">
        <v>246</v>
      </c>
      <c r="K872" s="25" t="s">
        <v>2739</v>
      </c>
      <c r="L872" s="25" t="s">
        <v>761</v>
      </c>
      <c r="M872" s="25" t="s">
        <v>31</v>
      </c>
      <c r="N872" s="25" t="s">
        <v>31</v>
      </c>
      <c r="O872" s="25" t="s">
        <v>92</v>
      </c>
      <c r="P872" s="25" t="s">
        <v>83</v>
      </c>
      <c r="Q872" s="25" t="s">
        <v>82</v>
      </c>
      <c r="R872" s="25" t="s">
        <v>91</v>
      </c>
      <c r="S872" s="25" t="s">
        <v>101</v>
      </c>
      <c r="T872" s="25" t="s">
        <v>101</v>
      </c>
      <c r="U872" s="25" t="s">
        <v>112</v>
      </c>
      <c r="V872" s="25">
        <v>0</v>
      </c>
      <c r="W872" s="25" t="s">
        <v>553</v>
      </c>
      <c r="X872" s="25" t="s">
        <v>1749</v>
      </c>
      <c r="Y872" s="25" t="s">
        <v>1750</v>
      </c>
      <c r="Z872" s="26">
        <v>40663</v>
      </c>
      <c r="AA872" s="776">
        <v>144</v>
      </c>
      <c r="AB872" s="776">
        <v>0</v>
      </c>
      <c r="AC872" s="776">
        <v>0</v>
      </c>
      <c r="AD872" s="776">
        <v>0</v>
      </c>
      <c r="AE872" s="777">
        <v>0</v>
      </c>
      <c r="AF872" s="777">
        <v>288</v>
      </c>
      <c r="AG872" s="778">
        <v>313.4285846679557</v>
      </c>
    </row>
    <row r="873" spans="1:33" x14ac:dyDescent="0.2">
      <c r="A873" s="15">
        <f t="shared" si="111"/>
        <v>2011</v>
      </c>
      <c r="B873" s="14">
        <f t="shared" si="112"/>
        <v>6</v>
      </c>
      <c r="C873" s="13" t="str">
        <f t="shared" si="113"/>
        <v>Q2</v>
      </c>
      <c r="D873" s="13" t="str">
        <f t="shared" si="114"/>
        <v>2011Q2</v>
      </c>
      <c r="E873" s="13" t="str">
        <f t="shared" si="115"/>
        <v>Peru</v>
      </c>
      <c r="F873" s="13" t="str">
        <f t="shared" si="118"/>
        <v>Solar</v>
      </c>
      <c r="G873" s="13" t="str">
        <f t="shared" si="117"/>
        <v>Asset finance investments</v>
      </c>
      <c r="H873" s="638">
        <f t="shared" si="116"/>
        <v>179.56845996601629</v>
      </c>
      <c r="I873" s="24" t="s">
        <v>506</v>
      </c>
      <c r="J873" s="25" t="s">
        <v>246</v>
      </c>
      <c r="K873" s="25" t="s">
        <v>2740</v>
      </c>
      <c r="L873" s="25" t="s">
        <v>759</v>
      </c>
      <c r="M873" s="25" t="s">
        <v>20</v>
      </c>
      <c r="N873" s="25" t="s">
        <v>85</v>
      </c>
      <c r="O873" s="25" t="s">
        <v>92</v>
      </c>
      <c r="P873" s="25" t="s">
        <v>83</v>
      </c>
      <c r="Q873" s="25" t="s">
        <v>82</v>
      </c>
      <c r="R873" s="25"/>
      <c r="S873" s="25" t="s">
        <v>80</v>
      </c>
      <c r="T873" s="25" t="s">
        <v>80</v>
      </c>
      <c r="U873" s="25" t="s">
        <v>181</v>
      </c>
      <c r="V873" s="25" t="s">
        <v>758</v>
      </c>
      <c r="W873" s="25" t="s">
        <v>553</v>
      </c>
      <c r="X873" s="25" t="s">
        <v>1749</v>
      </c>
      <c r="Y873" s="25" t="s">
        <v>1750</v>
      </c>
      <c r="Z873" s="26">
        <v>40697</v>
      </c>
      <c r="AA873" s="776">
        <v>44</v>
      </c>
      <c r="AB873" s="776">
        <v>0</v>
      </c>
      <c r="AC873" s="776">
        <v>0</v>
      </c>
      <c r="AD873" s="776">
        <v>0</v>
      </c>
      <c r="AE873" s="777">
        <v>165</v>
      </c>
      <c r="AF873" s="777">
        <v>165</v>
      </c>
      <c r="AG873" s="778">
        <v>179.56845996601629</v>
      </c>
    </row>
    <row r="874" spans="1:33" x14ac:dyDescent="0.2">
      <c r="A874" s="15">
        <f t="shared" si="111"/>
        <v>2011</v>
      </c>
      <c r="B874" s="14">
        <f t="shared" si="112"/>
        <v>4</v>
      </c>
      <c r="C874" s="13" t="str">
        <f t="shared" si="113"/>
        <v>Q2</v>
      </c>
      <c r="D874" s="13" t="str">
        <f t="shared" si="114"/>
        <v>2011Q2</v>
      </c>
      <c r="E874" s="13" t="str">
        <f t="shared" si="115"/>
        <v>Brazil</v>
      </c>
      <c r="F874" s="13" t="str">
        <f t="shared" si="118"/>
        <v>Wind</v>
      </c>
      <c r="G874" s="13" t="str">
        <f t="shared" si="117"/>
        <v>Asset finance investments</v>
      </c>
      <c r="H874" s="638">
        <f t="shared" si="116"/>
        <v>158.45556224879982</v>
      </c>
      <c r="I874" s="24" t="s">
        <v>506</v>
      </c>
      <c r="J874" s="25" t="s">
        <v>246</v>
      </c>
      <c r="K874" s="25" t="s">
        <v>2741</v>
      </c>
      <c r="L874" s="25" t="s">
        <v>762</v>
      </c>
      <c r="M874" s="25" t="s">
        <v>31</v>
      </c>
      <c r="N874" s="25" t="s">
        <v>31</v>
      </c>
      <c r="O874" s="25" t="s">
        <v>92</v>
      </c>
      <c r="P874" s="25" t="s">
        <v>83</v>
      </c>
      <c r="Q874" s="25" t="s">
        <v>82</v>
      </c>
      <c r="R874" s="25" t="s">
        <v>91</v>
      </c>
      <c r="S874" s="25" t="s">
        <v>101</v>
      </c>
      <c r="T874" s="25" t="s">
        <v>101</v>
      </c>
      <c r="U874" s="25" t="s">
        <v>112</v>
      </c>
      <c r="V874" s="25">
        <v>0</v>
      </c>
      <c r="W874" s="25" t="s">
        <v>553</v>
      </c>
      <c r="X874" s="25" t="s">
        <v>1752</v>
      </c>
      <c r="Y874" s="25" t="s">
        <v>1753</v>
      </c>
      <c r="Z874" s="26">
        <v>40663</v>
      </c>
      <c r="AA874" s="776">
        <v>104</v>
      </c>
      <c r="AB874" s="776">
        <v>0</v>
      </c>
      <c r="AC874" s="776">
        <v>0</v>
      </c>
      <c r="AD874" s="776">
        <v>0</v>
      </c>
      <c r="AE874" s="777">
        <v>0</v>
      </c>
      <c r="AF874" s="777">
        <v>145.6</v>
      </c>
      <c r="AG874" s="778">
        <v>158.45556224879982</v>
      </c>
    </row>
    <row r="875" spans="1:33" x14ac:dyDescent="0.2">
      <c r="A875" s="15">
        <f t="shared" si="111"/>
        <v>2011</v>
      </c>
      <c r="B875" s="14">
        <f t="shared" si="112"/>
        <v>4</v>
      </c>
      <c r="C875" s="13" t="str">
        <f t="shared" si="113"/>
        <v>Q2</v>
      </c>
      <c r="D875" s="13" t="str">
        <f t="shared" si="114"/>
        <v>2011Q2</v>
      </c>
      <c r="E875" s="13" t="str">
        <f t="shared" si="115"/>
        <v>Brazil</v>
      </c>
      <c r="F875" s="13" t="str">
        <f t="shared" si="118"/>
        <v>Wind</v>
      </c>
      <c r="G875" s="13" t="str">
        <f t="shared" si="117"/>
        <v>Asset finance investments</v>
      </c>
      <c r="H875" s="638">
        <f t="shared" si="116"/>
        <v>126.24206882459328</v>
      </c>
      <c r="I875" s="24" t="s">
        <v>506</v>
      </c>
      <c r="J875" s="25" t="s">
        <v>246</v>
      </c>
      <c r="K875" s="25" t="s">
        <v>2742</v>
      </c>
      <c r="L875" s="25" t="s">
        <v>2743</v>
      </c>
      <c r="M875" s="25" t="s">
        <v>31</v>
      </c>
      <c r="N875" s="25" t="s">
        <v>31</v>
      </c>
      <c r="O875" s="25" t="s">
        <v>92</v>
      </c>
      <c r="P875" s="25" t="s">
        <v>83</v>
      </c>
      <c r="Q875" s="25" t="s">
        <v>82</v>
      </c>
      <c r="R875" s="25" t="s">
        <v>91</v>
      </c>
      <c r="S875" s="25" t="s">
        <v>101</v>
      </c>
      <c r="T875" s="25" t="s">
        <v>101</v>
      </c>
      <c r="U875" s="25" t="s">
        <v>112</v>
      </c>
      <c r="V875" s="25">
        <v>0</v>
      </c>
      <c r="W875" s="25" t="s">
        <v>553</v>
      </c>
      <c r="X875" s="25" t="s">
        <v>1752</v>
      </c>
      <c r="Y875" s="25" t="s">
        <v>1753</v>
      </c>
      <c r="Z875" s="26">
        <v>40663</v>
      </c>
      <c r="AA875" s="776">
        <v>49.8</v>
      </c>
      <c r="AB875" s="776">
        <v>0</v>
      </c>
      <c r="AC875" s="776">
        <v>0</v>
      </c>
      <c r="AD875" s="776">
        <v>0</v>
      </c>
      <c r="AE875" s="777">
        <v>116</v>
      </c>
      <c r="AF875" s="777">
        <v>116</v>
      </c>
      <c r="AG875" s="778">
        <v>126.24206882459328</v>
      </c>
    </row>
    <row r="876" spans="1:33" x14ac:dyDescent="0.2">
      <c r="A876" s="15">
        <f t="shared" si="111"/>
        <v>2011</v>
      </c>
      <c r="B876" s="14">
        <f t="shared" si="112"/>
        <v>5</v>
      </c>
      <c r="C876" s="13" t="str">
        <f t="shared" si="113"/>
        <v>Q2</v>
      </c>
      <c r="D876" s="13" t="str">
        <f t="shared" si="114"/>
        <v>2011Q2</v>
      </c>
      <c r="E876" s="13" t="str">
        <f t="shared" si="115"/>
        <v>Brazil</v>
      </c>
      <c r="F876" s="13" t="str">
        <f t="shared" si="118"/>
        <v>Biofuels</v>
      </c>
      <c r="G876" s="13" t="str">
        <f t="shared" si="117"/>
        <v>Asset finance investments</v>
      </c>
      <c r="H876" s="638">
        <f t="shared" si="116"/>
        <v>93.074141828324912</v>
      </c>
      <c r="I876" s="24" t="s">
        <v>506</v>
      </c>
      <c r="J876" s="25" t="s">
        <v>246</v>
      </c>
      <c r="K876" s="25" t="s">
        <v>2744</v>
      </c>
      <c r="L876" s="25" t="s">
        <v>2745</v>
      </c>
      <c r="M876" s="25" t="s">
        <v>31</v>
      </c>
      <c r="N876" s="25" t="s">
        <v>31</v>
      </c>
      <c r="O876" s="25" t="s">
        <v>92</v>
      </c>
      <c r="P876" s="25" t="s">
        <v>83</v>
      </c>
      <c r="Q876" s="25" t="s">
        <v>82</v>
      </c>
      <c r="R876" s="25" t="s">
        <v>91</v>
      </c>
      <c r="S876" s="25" t="s">
        <v>96</v>
      </c>
      <c r="T876" s="25" t="s">
        <v>96</v>
      </c>
      <c r="U876" s="25" t="s">
        <v>98</v>
      </c>
      <c r="V876" s="25" t="s">
        <v>230</v>
      </c>
      <c r="W876" s="25" t="s">
        <v>553</v>
      </c>
      <c r="X876" s="25" t="s">
        <v>1752</v>
      </c>
      <c r="Y876" s="25" t="s">
        <v>1753</v>
      </c>
      <c r="Z876" s="26">
        <v>40681</v>
      </c>
      <c r="AA876" s="776">
        <v>40</v>
      </c>
      <c r="AB876" s="776">
        <v>0</v>
      </c>
      <c r="AC876" s="776">
        <v>0</v>
      </c>
      <c r="AD876" s="776">
        <v>0</v>
      </c>
      <c r="AE876" s="777">
        <v>0</v>
      </c>
      <c r="AF876" s="777">
        <v>85.522999999999996</v>
      </c>
      <c r="AG876" s="778">
        <v>93.074141828324912</v>
      </c>
    </row>
    <row r="877" spans="1:33" x14ac:dyDescent="0.2">
      <c r="A877" s="15">
        <f t="shared" si="111"/>
        <v>2011</v>
      </c>
      <c r="B877" s="14">
        <f t="shared" si="112"/>
        <v>5</v>
      </c>
      <c r="C877" s="13" t="str">
        <f t="shared" si="113"/>
        <v>Q2</v>
      </c>
      <c r="D877" s="13" t="str">
        <f t="shared" si="114"/>
        <v>2011Q2</v>
      </c>
      <c r="E877" s="13" t="str">
        <f t="shared" si="115"/>
        <v>Brazil</v>
      </c>
      <c r="F877" s="13" t="str">
        <f t="shared" si="118"/>
        <v>Small Hydro</v>
      </c>
      <c r="G877" s="13" t="str">
        <f t="shared" si="117"/>
        <v>Asset finance investments</v>
      </c>
      <c r="H877" s="638">
        <f t="shared" si="116"/>
        <v>81.622027257280109</v>
      </c>
      <c r="I877" s="24" t="s">
        <v>506</v>
      </c>
      <c r="J877" s="25" t="s">
        <v>246</v>
      </c>
      <c r="K877" s="25" t="s">
        <v>2746</v>
      </c>
      <c r="L877" s="25" t="s">
        <v>757</v>
      </c>
      <c r="M877" s="25" t="s">
        <v>31</v>
      </c>
      <c r="N877" s="25" t="s">
        <v>31</v>
      </c>
      <c r="O877" s="25" t="s">
        <v>92</v>
      </c>
      <c r="P877" s="25" t="s">
        <v>83</v>
      </c>
      <c r="Q877" s="25" t="s">
        <v>82</v>
      </c>
      <c r="R877" s="25" t="s">
        <v>91</v>
      </c>
      <c r="S877" s="25" t="s">
        <v>126</v>
      </c>
      <c r="T877" s="25" t="s">
        <v>125</v>
      </c>
      <c r="U877" s="25" t="s">
        <v>247</v>
      </c>
      <c r="V877" s="25">
        <v>0</v>
      </c>
      <c r="W877" s="25" t="s">
        <v>553</v>
      </c>
      <c r="X877" s="25" t="s">
        <v>1752</v>
      </c>
      <c r="Y877" s="25" t="s">
        <v>1753</v>
      </c>
      <c r="Z877" s="26">
        <v>40694</v>
      </c>
      <c r="AA877" s="776">
        <v>30</v>
      </c>
      <c r="AB877" s="776">
        <v>0</v>
      </c>
      <c r="AC877" s="776">
        <v>0</v>
      </c>
      <c r="AD877" s="776">
        <v>0</v>
      </c>
      <c r="AE877" s="777">
        <v>0</v>
      </c>
      <c r="AF877" s="777">
        <v>75</v>
      </c>
      <c r="AG877" s="778">
        <v>81.622027257280109</v>
      </c>
    </row>
    <row r="878" spans="1:33" x14ac:dyDescent="0.2">
      <c r="A878" s="15">
        <f t="shared" si="111"/>
        <v>2011</v>
      </c>
      <c r="B878" s="14">
        <f t="shared" si="112"/>
        <v>6</v>
      </c>
      <c r="C878" s="13" t="str">
        <f t="shared" si="113"/>
        <v>Q2</v>
      </c>
      <c r="D878" s="13" t="str">
        <f t="shared" si="114"/>
        <v>2011Q2</v>
      </c>
      <c r="E878" s="13" t="str">
        <f t="shared" si="115"/>
        <v>Brazil</v>
      </c>
      <c r="F878" s="13" t="str">
        <f t="shared" si="118"/>
        <v>Small Hydro</v>
      </c>
      <c r="G878" s="13" t="str">
        <f t="shared" si="117"/>
        <v>Asset finance investments</v>
      </c>
      <c r="H878" s="638">
        <f t="shared" si="116"/>
        <v>56.319198807523279</v>
      </c>
      <c r="I878" s="24" t="s">
        <v>506</v>
      </c>
      <c r="J878" s="25" t="s">
        <v>246</v>
      </c>
      <c r="K878" s="25" t="s">
        <v>2747</v>
      </c>
      <c r="L878" s="25" t="s">
        <v>740</v>
      </c>
      <c r="M878" s="25" t="s">
        <v>31</v>
      </c>
      <c r="N878" s="25" t="s">
        <v>31</v>
      </c>
      <c r="O878" s="25" t="s">
        <v>92</v>
      </c>
      <c r="P878" s="25" t="s">
        <v>83</v>
      </c>
      <c r="Q878" s="25" t="s">
        <v>82</v>
      </c>
      <c r="R878" s="25" t="s">
        <v>91</v>
      </c>
      <c r="S878" s="25" t="s">
        <v>126</v>
      </c>
      <c r="T878" s="25" t="s">
        <v>125</v>
      </c>
      <c r="U878" s="25" t="s">
        <v>247</v>
      </c>
      <c r="V878" s="25">
        <v>0</v>
      </c>
      <c r="W878" s="25" t="s">
        <v>553</v>
      </c>
      <c r="X878" s="25" t="s">
        <v>1752</v>
      </c>
      <c r="Y878" s="25" t="s">
        <v>1753</v>
      </c>
      <c r="Z878" s="26">
        <v>40724</v>
      </c>
      <c r="AA878" s="776">
        <v>20.7</v>
      </c>
      <c r="AB878" s="776">
        <v>0</v>
      </c>
      <c r="AC878" s="776">
        <v>0</v>
      </c>
      <c r="AD878" s="776">
        <v>0</v>
      </c>
      <c r="AE878" s="777">
        <v>0</v>
      </c>
      <c r="AF878" s="777">
        <v>51.75</v>
      </c>
      <c r="AG878" s="778">
        <v>56.319198807523279</v>
      </c>
    </row>
    <row r="879" spans="1:33" x14ac:dyDescent="0.2">
      <c r="A879" s="15">
        <f t="shared" si="111"/>
        <v>2011</v>
      </c>
      <c r="B879" s="14">
        <f t="shared" si="112"/>
        <v>6</v>
      </c>
      <c r="C879" s="13" t="str">
        <f t="shared" si="113"/>
        <v>Q2</v>
      </c>
      <c r="D879" s="13" t="str">
        <f t="shared" si="114"/>
        <v>2011Q2</v>
      </c>
      <c r="E879" s="13" t="str">
        <f t="shared" si="115"/>
        <v>Mexico</v>
      </c>
      <c r="F879" s="13" t="str">
        <f t="shared" si="118"/>
        <v>Solar</v>
      </c>
      <c r="G879" s="13" t="str">
        <f t="shared" si="117"/>
        <v>Asset finance investments</v>
      </c>
      <c r="H879" s="638">
        <f t="shared" si="116"/>
        <v>50.235637042614009</v>
      </c>
      <c r="I879" s="24" t="s">
        <v>506</v>
      </c>
      <c r="J879" s="25" t="s">
        <v>246</v>
      </c>
      <c r="K879" s="25" t="s">
        <v>2748</v>
      </c>
      <c r="L879" s="25" t="s">
        <v>1167</v>
      </c>
      <c r="M879" s="25" t="s">
        <v>18</v>
      </c>
      <c r="N879" s="25" t="s">
        <v>85</v>
      </c>
      <c r="O879" s="25" t="s">
        <v>92</v>
      </c>
      <c r="P879" s="25" t="s">
        <v>83</v>
      </c>
      <c r="Q879" s="25" t="s">
        <v>129</v>
      </c>
      <c r="R879" s="25"/>
      <c r="S879" s="25" t="s">
        <v>80</v>
      </c>
      <c r="T879" s="25" t="s">
        <v>80</v>
      </c>
      <c r="U879" s="25" t="s">
        <v>1166</v>
      </c>
      <c r="V879" s="25">
        <v>0</v>
      </c>
      <c r="W879" s="25" t="s">
        <v>553</v>
      </c>
      <c r="X879" s="25" t="s">
        <v>1749</v>
      </c>
      <c r="Y879" s="25" t="s">
        <v>1750</v>
      </c>
      <c r="Z879" s="26">
        <v>40702</v>
      </c>
      <c r="AA879" s="776">
        <v>12</v>
      </c>
      <c r="AB879" s="776">
        <v>0</v>
      </c>
      <c r="AC879" s="776">
        <v>12</v>
      </c>
      <c r="AD879" s="776">
        <v>0</v>
      </c>
      <c r="AE879" s="777">
        <v>46.16</v>
      </c>
      <c r="AF879" s="777">
        <v>46.16</v>
      </c>
      <c r="AG879" s="778">
        <v>50.235637042614009</v>
      </c>
    </row>
    <row r="880" spans="1:33" x14ac:dyDescent="0.2">
      <c r="A880" s="15">
        <f t="shared" si="111"/>
        <v>2011</v>
      </c>
      <c r="B880" s="14">
        <f t="shared" si="112"/>
        <v>4</v>
      </c>
      <c r="C880" s="13" t="str">
        <f t="shared" si="113"/>
        <v>Q2</v>
      </c>
      <c r="D880" s="13" t="str">
        <f t="shared" si="114"/>
        <v>2011Q2</v>
      </c>
      <c r="E880" s="13" t="str">
        <f t="shared" si="115"/>
        <v>Costa Rica</v>
      </c>
      <c r="F880" s="13" t="str">
        <f t="shared" si="118"/>
        <v>Wind</v>
      </c>
      <c r="G880" s="13" t="str">
        <f t="shared" si="117"/>
        <v>Asset finance investments</v>
      </c>
      <c r="H880" s="638">
        <f t="shared" si="116"/>
        <v>39.722719931876327</v>
      </c>
      <c r="I880" s="24" t="s">
        <v>506</v>
      </c>
      <c r="J880" s="25" t="s">
        <v>246</v>
      </c>
      <c r="K880" s="25" t="s">
        <v>2749</v>
      </c>
      <c r="L880" s="25" t="s">
        <v>703</v>
      </c>
      <c r="M880" s="25" t="s">
        <v>10</v>
      </c>
      <c r="N880" s="25" t="s">
        <v>85</v>
      </c>
      <c r="O880" s="25" t="s">
        <v>92</v>
      </c>
      <c r="P880" s="25" t="s">
        <v>83</v>
      </c>
      <c r="Q880" s="25" t="s">
        <v>82</v>
      </c>
      <c r="R880" s="25"/>
      <c r="S880" s="25" t="s">
        <v>101</v>
      </c>
      <c r="T880" s="25" t="s">
        <v>101</v>
      </c>
      <c r="U880" s="25" t="s">
        <v>112</v>
      </c>
      <c r="V880" s="25">
        <v>0</v>
      </c>
      <c r="W880" s="25" t="s">
        <v>553</v>
      </c>
      <c r="X880" s="25" t="s">
        <v>1749</v>
      </c>
      <c r="Y880" s="25" t="s">
        <v>1750</v>
      </c>
      <c r="Z880" s="26">
        <v>40663</v>
      </c>
      <c r="AA880" s="776">
        <v>12.75</v>
      </c>
      <c r="AB880" s="776">
        <v>0</v>
      </c>
      <c r="AC880" s="776">
        <v>0</v>
      </c>
      <c r="AD880" s="776">
        <v>0</v>
      </c>
      <c r="AE880" s="777">
        <v>36.5</v>
      </c>
      <c r="AF880" s="777">
        <v>36.5</v>
      </c>
      <c r="AG880" s="778">
        <v>39.722719931876327</v>
      </c>
    </row>
    <row r="881" spans="1:33" x14ac:dyDescent="0.2">
      <c r="A881" s="15">
        <f t="shared" si="111"/>
        <v>2011</v>
      </c>
      <c r="B881" s="14">
        <f t="shared" si="112"/>
        <v>5</v>
      </c>
      <c r="C881" s="13" t="str">
        <f t="shared" si="113"/>
        <v>Q2</v>
      </c>
      <c r="D881" s="13" t="str">
        <f t="shared" si="114"/>
        <v>2011Q2</v>
      </c>
      <c r="E881" s="13" t="str">
        <f t="shared" si="115"/>
        <v>Brazil</v>
      </c>
      <c r="F881" s="13" t="str">
        <f t="shared" si="118"/>
        <v>Wind</v>
      </c>
      <c r="G881" s="13" t="str">
        <f t="shared" si="117"/>
        <v>Asset finance investments</v>
      </c>
      <c r="H881" s="638">
        <f t="shared" si="116"/>
        <v>30.167501274290736</v>
      </c>
      <c r="I881" s="24" t="s">
        <v>506</v>
      </c>
      <c r="J881" s="25" t="s">
        <v>246</v>
      </c>
      <c r="K881" s="25" t="s">
        <v>2750</v>
      </c>
      <c r="L881" s="25" t="s">
        <v>712</v>
      </c>
      <c r="M881" s="25" t="s">
        <v>31</v>
      </c>
      <c r="N881" s="25" t="s">
        <v>31</v>
      </c>
      <c r="O881" s="25" t="s">
        <v>92</v>
      </c>
      <c r="P881" s="25" t="s">
        <v>83</v>
      </c>
      <c r="Q881" s="25" t="s">
        <v>82</v>
      </c>
      <c r="R881" s="25" t="s">
        <v>91</v>
      </c>
      <c r="S881" s="25" t="s">
        <v>101</v>
      </c>
      <c r="T881" s="25" t="s">
        <v>101</v>
      </c>
      <c r="U881" s="25" t="s">
        <v>112</v>
      </c>
      <c r="V881" s="25">
        <v>0</v>
      </c>
      <c r="W881" s="25" t="s">
        <v>553</v>
      </c>
      <c r="X881" s="25" t="s">
        <v>1749</v>
      </c>
      <c r="Y881" s="25" t="s">
        <v>1750</v>
      </c>
      <c r="Z881" s="26">
        <v>40694</v>
      </c>
      <c r="AA881" s="776">
        <v>19.8</v>
      </c>
      <c r="AB881" s="776">
        <v>0</v>
      </c>
      <c r="AC881" s="776">
        <v>0</v>
      </c>
      <c r="AD881" s="776">
        <v>0</v>
      </c>
      <c r="AE881" s="777">
        <v>0</v>
      </c>
      <c r="AF881" s="777">
        <v>27.72</v>
      </c>
      <c r="AG881" s="778">
        <v>30.167501274290736</v>
      </c>
    </row>
    <row r="882" spans="1:33" x14ac:dyDescent="0.2">
      <c r="A882" s="15">
        <f t="shared" si="111"/>
        <v>2011</v>
      </c>
      <c r="B882" s="14">
        <f t="shared" si="112"/>
        <v>5</v>
      </c>
      <c r="C882" s="13" t="str">
        <f t="shared" si="113"/>
        <v>Q2</v>
      </c>
      <c r="D882" s="13" t="str">
        <f t="shared" si="114"/>
        <v>2011Q2</v>
      </c>
      <c r="E882" s="13" t="str">
        <f t="shared" si="115"/>
        <v>Panama</v>
      </c>
      <c r="F882" s="13" t="str">
        <f t="shared" si="118"/>
        <v>Small Hydro</v>
      </c>
      <c r="G882" s="13" t="str">
        <f t="shared" si="117"/>
        <v>Asset finance investments</v>
      </c>
      <c r="H882" s="638">
        <f t="shared" si="116"/>
        <v>22.582094207847497</v>
      </c>
      <c r="I882" s="24" t="s">
        <v>506</v>
      </c>
      <c r="J882" s="25" t="s">
        <v>246</v>
      </c>
      <c r="K882" s="25" t="s">
        <v>2751</v>
      </c>
      <c r="L882" s="25" t="s">
        <v>2752</v>
      </c>
      <c r="M882" s="25" t="s">
        <v>19</v>
      </c>
      <c r="N882" s="25" t="s">
        <v>85</v>
      </c>
      <c r="O882" s="25" t="s">
        <v>92</v>
      </c>
      <c r="P882" s="25" t="s">
        <v>83</v>
      </c>
      <c r="Q882" s="25" t="s">
        <v>82</v>
      </c>
      <c r="R882" s="25"/>
      <c r="S882" s="25" t="s">
        <v>126</v>
      </c>
      <c r="T882" s="25" t="s">
        <v>125</v>
      </c>
      <c r="U882" s="25" t="s">
        <v>247</v>
      </c>
      <c r="V882" s="25">
        <v>0</v>
      </c>
      <c r="W882" s="25" t="s">
        <v>553</v>
      </c>
      <c r="X882" s="25" t="s">
        <v>1752</v>
      </c>
      <c r="Y882" s="25" t="s">
        <v>1753</v>
      </c>
      <c r="Z882" s="26">
        <v>40690</v>
      </c>
      <c r="AA882" s="776">
        <v>8.3000000000000007</v>
      </c>
      <c r="AB882" s="776">
        <v>0</v>
      </c>
      <c r="AC882" s="776">
        <v>0</v>
      </c>
      <c r="AD882" s="776">
        <v>0</v>
      </c>
      <c r="AE882" s="777">
        <v>0</v>
      </c>
      <c r="AF882" s="777">
        <v>20.75</v>
      </c>
      <c r="AG882" s="778">
        <v>22.582094207847497</v>
      </c>
    </row>
    <row r="883" spans="1:33" x14ac:dyDescent="0.2">
      <c r="A883" s="15">
        <f t="shared" si="111"/>
        <v>2011</v>
      </c>
      <c r="B883" s="14">
        <f t="shared" si="112"/>
        <v>6</v>
      </c>
      <c r="C883" s="13" t="str">
        <f t="shared" si="113"/>
        <v>Q2</v>
      </c>
      <c r="D883" s="13" t="str">
        <f t="shared" si="114"/>
        <v>2011Q2</v>
      </c>
      <c r="E883" s="13" t="str">
        <f t="shared" si="115"/>
        <v>Argentina</v>
      </c>
      <c r="F883" s="13" t="str">
        <f t="shared" si="118"/>
        <v>Wind</v>
      </c>
      <c r="G883" s="13" t="str">
        <f t="shared" si="117"/>
        <v>Asset finance investments</v>
      </c>
      <c r="H883" s="638">
        <f t="shared" si="116"/>
        <v>21.765873935274701</v>
      </c>
      <c r="I883" s="24" t="s">
        <v>506</v>
      </c>
      <c r="J883" s="25" t="s">
        <v>246</v>
      </c>
      <c r="K883" s="25" t="s">
        <v>2753</v>
      </c>
      <c r="L883" s="25" t="s">
        <v>741</v>
      </c>
      <c r="M883" s="25" t="s">
        <v>4</v>
      </c>
      <c r="N883" s="25" t="s">
        <v>85</v>
      </c>
      <c r="O883" s="25" t="s">
        <v>92</v>
      </c>
      <c r="P883" s="25" t="s">
        <v>83</v>
      </c>
      <c r="Q883" s="25" t="s">
        <v>82</v>
      </c>
      <c r="R883" s="25"/>
      <c r="S883" s="25" t="s">
        <v>101</v>
      </c>
      <c r="T883" s="25" t="s">
        <v>101</v>
      </c>
      <c r="U883" s="25" t="s">
        <v>112</v>
      </c>
      <c r="V883" s="25">
        <v>0</v>
      </c>
      <c r="W883" s="25" t="s">
        <v>553</v>
      </c>
      <c r="X883" s="25" t="s">
        <v>1752</v>
      </c>
      <c r="Y883" s="25" t="s">
        <v>1753</v>
      </c>
      <c r="Z883" s="26">
        <v>40723</v>
      </c>
      <c r="AA883" s="776">
        <v>8.4</v>
      </c>
      <c r="AB883" s="776">
        <v>0</v>
      </c>
      <c r="AC883" s="776">
        <v>0</v>
      </c>
      <c r="AD883" s="776">
        <v>0</v>
      </c>
      <c r="AE883" s="777">
        <v>20</v>
      </c>
      <c r="AF883" s="777">
        <v>20</v>
      </c>
      <c r="AG883" s="778">
        <v>21.765873935274701</v>
      </c>
    </row>
    <row r="884" spans="1:33" x14ac:dyDescent="0.2">
      <c r="A884" s="15">
        <f t="shared" si="111"/>
        <v>2011</v>
      </c>
      <c r="B884" s="14">
        <f t="shared" si="112"/>
        <v>4</v>
      </c>
      <c r="C884" s="13" t="str">
        <f t="shared" si="113"/>
        <v>Q2</v>
      </c>
      <c r="D884" s="13" t="str">
        <f t="shared" si="114"/>
        <v>2011Q2</v>
      </c>
      <c r="E884" s="13" t="str">
        <f t="shared" si="115"/>
        <v>Mexico</v>
      </c>
      <c r="F884" s="13" t="str">
        <f t="shared" si="118"/>
        <v>Biomass &amp; Waste</v>
      </c>
      <c r="G884" s="13" t="str">
        <f t="shared" si="117"/>
        <v>VC/PE investments</v>
      </c>
      <c r="H884" s="638">
        <f t="shared" si="116"/>
        <v>21.136840178545263</v>
      </c>
      <c r="I884" s="24" t="s">
        <v>506</v>
      </c>
      <c r="J884" s="25" t="s">
        <v>216</v>
      </c>
      <c r="K884" s="25" t="s">
        <v>2754</v>
      </c>
      <c r="L884" s="25" t="s">
        <v>2755</v>
      </c>
      <c r="M884" s="25" t="s">
        <v>18</v>
      </c>
      <c r="N884" s="25" t="s">
        <v>85</v>
      </c>
      <c r="O884" s="25" t="s">
        <v>92</v>
      </c>
      <c r="P884" s="25" t="s">
        <v>83</v>
      </c>
      <c r="Q884" s="25" t="s">
        <v>129</v>
      </c>
      <c r="R884" s="25"/>
      <c r="S884" s="25" t="s">
        <v>114</v>
      </c>
      <c r="T884" s="25" t="s">
        <v>114</v>
      </c>
      <c r="U884" s="25" t="s">
        <v>113</v>
      </c>
      <c r="V884" s="25" t="s">
        <v>685</v>
      </c>
      <c r="W884" s="25" t="s">
        <v>94</v>
      </c>
      <c r="X884" s="25" t="s">
        <v>508</v>
      </c>
      <c r="Y884" s="25" t="s">
        <v>507</v>
      </c>
      <c r="Z884" s="26">
        <v>40663</v>
      </c>
      <c r="AA884" s="776" t="s">
        <v>1748</v>
      </c>
      <c r="AB884" s="776" t="s">
        <v>1748</v>
      </c>
      <c r="AC884" s="776" t="s">
        <v>1748</v>
      </c>
      <c r="AD884" s="776" t="s">
        <v>1748</v>
      </c>
      <c r="AE884" s="777">
        <v>0</v>
      </c>
      <c r="AF884" s="777">
        <v>19.422000000000001</v>
      </c>
      <c r="AG884" s="778">
        <v>21.136840178545263</v>
      </c>
    </row>
    <row r="885" spans="1:33" x14ac:dyDescent="0.2">
      <c r="A885" s="15">
        <f t="shared" si="111"/>
        <v>2011</v>
      </c>
      <c r="B885" s="14">
        <f t="shared" si="112"/>
        <v>5</v>
      </c>
      <c r="C885" s="13" t="str">
        <f t="shared" si="113"/>
        <v>Q2</v>
      </c>
      <c r="D885" s="13" t="str">
        <f t="shared" si="114"/>
        <v>2011Q2</v>
      </c>
      <c r="E885" s="13" t="str">
        <f t="shared" si="115"/>
        <v>Panama</v>
      </c>
      <c r="F885" s="13" t="str">
        <f t="shared" si="118"/>
        <v>Small Hydro</v>
      </c>
      <c r="G885" s="13" t="str">
        <f t="shared" si="117"/>
        <v>Asset finance investments</v>
      </c>
      <c r="H885" s="638">
        <f t="shared" si="116"/>
        <v>18.065675366278004</v>
      </c>
      <c r="I885" s="24" t="s">
        <v>506</v>
      </c>
      <c r="J885" s="25" t="s">
        <v>246</v>
      </c>
      <c r="K885" s="25" t="s">
        <v>2756</v>
      </c>
      <c r="L885" s="25" t="s">
        <v>576</v>
      </c>
      <c r="M885" s="25" t="s">
        <v>19</v>
      </c>
      <c r="N885" s="25" t="s">
        <v>85</v>
      </c>
      <c r="O885" s="25" t="s">
        <v>92</v>
      </c>
      <c r="P885" s="25" t="s">
        <v>83</v>
      </c>
      <c r="Q885" s="25" t="s">
        <v>82</v>
      </c>
      <c r="R885" s="25"/>
      <c r="S885" s="25" t="s">
        <v>126</v>
      </c>
      <c r="T885" s="25" t="s">
        <v>125</v>
      </c>
      <c r="U885" s="25" t="s">
        <v>247</v>
      </c>
      <c r="V885" s="25">
        <v>0</v>
      </c>
      <c r="W885" s="25" t="s">
        <v>553</v>
      </c>
      <c r="X885" s="25" t="s">
        <v>1752</v>
      </c>
      <c r="Y885" s="25" t="s">
        <v>1753</v>
      </c>
      <c r="Z885" s="26">
        <v>40690</v>
      </c>
      <c r="AA885" s="776">
        <v>8.3000000000000007</v>
      </c>
      <c r="AB885" s="776">
        <v>0</v>
      </c>
      <c r="AC885" s="776">
        <v>0</v>
      </c>
      <c r="AD885" s="776">
        <v>0</v>
      </c>
      <c r="AE885" s="777">
        <v>0</v>
      </c>
      <c r="AF885" s="777">
        <v>16.600000000000001</v>
      </c>
      <c r="AG885" s="778">
        <v>18.065675366278004</v>
      </c>
    </row>
    <row r="886" spans="1:33" x14ac:dyDescent="0.2">
      <c r="A886" s="15">
        <f t="shared" si="111"/>
        <v>2011</v>
      </c>
      <c r="B886" s="14">
        <f t="shared" si="112"/>
        <v>5</v>
      </c>
      <c r="C886" s="13" t="str">
        <f t="shared" si="113"/>
        <v>Q2</v>
      </c>
      <c r="D886" s="13" t="str">
        <f t="shared" si="114"/>
        <v>2011Q2</v>
      </c>
      <c r="E886" s="13" t="str">
        <f t="shared" si="115"/>
        <v>Argentina</v>
      </c>
      <c r="F886" s="13" t="str">
        <f t="shared" si="118"/>
        <v>Solar</v>
      </c>
      <c r="G886" s="13" t="str">
        <f t="shared" si="117"/>
        <v>Asset finance investments</v>
      </c>
      <c r="H886" s="638">
        <f t="shared" si="116"/>
        <v>16.977381669514266</v>
      </c>
      <c r="I886" s="24" t="s">
        <v>506</v>
      </c>
      <c r="J886" s="25" t="s">
        <v>246</v>
      </c>
      <c r="K886" s="25" t="s">
        <v>2757</v>
      </c>
      <c r="L886" s="25" t="s">
        <v>2758</v>
      </c>
      <c r="M886" s="25" t="s">
        <v>4</v>
      </c>
      <c r="N886" s="25" t="s">
        <v>85</v>
      </c>
      <c r="O886" s="25" t="s">
        <v>92</v>
      </c>
      <c r="P886" s="25" t="s">
        <v>83</v>
      </c>
      <c r="Q886" s="25" t="s">
        <v>82</v>
      </c>
      <c r="R886" s="25"/>
      <c r="S886" s="25" t="s">
        <v>80</v>
      </c>
      <c r="T886" s="25" t="s">
        <v>80</v>
      </c>
      <c r="U886" s="25" t="s">
        <v>181</v>
      </c>
      <c r="V886" s="25" t="s">
        <v>232</v>
      </c>
      <c r="W886" s="25" t="s">
        <v>553</v>
      </c>
      <c r="X886" s="25" t="s">
        <v>1749</v>
      </c>
      <c r="Y886" s="25" t="s">
        <v>1750</v>
      </c>
      <c r="Z886" s="26">
        <v>40682</v>
      </c>
      <c r="AA886" s="776">
        <v>3</v>
      </c>
      <c r="AB886" s="776">
        <v>0</v>
      </c>
      <c r="AC886" s="776">
        <v>0</v>
      </c>
      <c r="AD886" s="776">
        <v>0</v>
      </c>
      <c r="AE886" s="777">
        <v>15.6</v>
      </c>
      <c r="AF886" s="777">
        <v>15.6</v>
      </c>
      <c r="AG886" s="778">
        <v>16.977381669514266</v>
      </c>
    </row>
    <row r="887" spans="1:33" x14ac:dyDescent="0.2">
      <c r="A887" s="15">
        <f t="shared" si="111"/>
        <v>2011</v>
      </c>
      <c r="B887" s="14">
        <f t="shared" si="112"/>
        <v>4</v>
      </c>
      <c r="C887" s="13" t="str">
        <f t="shared" si="113"/>
        <v>Q2</v>
      </c>
      <c r="D887" s="13" t="str">
        <f t="shared" si="114"/>
        <v>2011Q2</v>
      </c>
      <c r="E887" s="13" t="str">
        <f t="shared" si="115"/>
        <v>Brazil</v>
      </c>
      <c r="F887" s="13" t="str">
        <f t="shared" si="118"/>
        <v>Biofuels</v>
      </c>
      <c r="G887" s="13" t="str">
        <f t="shared" si="117"/>
        <v>Asset finance investments</v>
      </c>
      <c r="H887" s="638">
        <f t="shared" si="116"/>
        <v>16.455000695067671</v>
      </c>
      <c r="I887" s="24" t="s">
        <v>506</v>
      </c>
      <c r="J887" s="25" t="s">
        <v>246</v>
      </c>
      <c r="K887" s="25" t="s">
        <v>2759</v>
      </c>
      <c r="L887" s="25" t="s">
        <v>2760</v>
      </c>
      <c r="M887" s="25" t="s">
        <v>31</v>
      </c>
      <c r="N887" s="25" t="s">
        <v>31</v>
      </c>
      <c r="O887" s="25" t="s">
        <v>92</v>
      </c>
      <c r="P887" s="25" t="s">
        <v>83</v>
      </c>
      <c r="Q887" s="25" t="s">
        <v>82</v>
      </c>
      <c r="R887" s="25" t="s">
        <v>91</v>
      </c>
      <c r="S887" s="25" t="s">
        <v>96</v>
      </c>
      <c r="T887" s="25" t="s">
        <v>96</v>
      </c>
      <c r="U887" s="25" t="s">
        <v>95</v>
      </c>
      <c r="V887" s="25" t="s">
        <v>223</v>
      </c>
      <c r="W887" s="25" t="s">
        <v>553</v>
      </c>
      <c r="X887" s="25" t="s">
        <v>1752</v>
      </c>
      <c r="Y887" s="25" t="s">
        <v>1753</v>
      </c>
      <c r="Z887" s="26">
        <v>40660</v>
      </c>
      <c r="AA887" s="776">
        <v>0</v>
      </c>
      <c r="AB887" s="776">
        <v>43.2</v>
      </c>
      <c r="AC887" s="776">
        <v>0</v>
      </c>
      <c r="AD887" s="776">
        <v>0</v>
      </c>
      <c r="AE887" s="777">
        <v>0</v>
      </c>
      <c r="AF887" s="777">
        <v>15.12</v>
      </c>
      <c r="AG887" s="778">
        <v>16.455000695067671</v>
      </c>
    </row>
    <row r="888" spans="1:33" x14ac:dyDescent="0.2">
      <c r="A888" s="15">
        <f t="shared" si="111"/>
        <v>2011</v>
      </c>
      <c r="B888" s="14">
        <f t="shared" si="112"/>
        <v>5</v>
      </c>
      <c r="C888" s="13" t="str">
        <f t="shared" si="113"/>
        <v>Q2</v>
      </c>
      <c r="D888" s="13" t="str">
        <f t="shared" si="114"/>
        <v>2011Q2</v>
      </c>
      <c r="E888" s="13" t="str">
        <f t="shared" si="115"/>
        <v>Argentina</v>
      </c>
      <c r="F888" s="13" t="str">
        <f t="shared" si="118"/>
        <v>Solar</v>
      </c>
      <c r="G888" s="13" t="str">
        <f t="shared" si="117"/>
        <v>Asset finance investments</v>
      </c>
      <c r="H888" s="638">
        <f t="shared" si="116"/>
        <v>11.318254446342845</v>
      </c>
      <c r="I888" s="24" t="s">
        <v>506</v>
      </c>
      <c r="J888" s="25" t="s">
        <v>246</v>
      </c>
      <c r="K888" s="25" t="s">
        <v>2761</v>
      </c>
      <c r="L888" s="25" t="s">
        <v>2762</v>
      </c>
      <c r="M888" s="25" t="s">
        <v>4</v>
      </c>
      <c r="N888" s="25" t="s">
        <v>85</v>
      </c>
      <c r="O888" s="25" t="s">
        <v>92</v>
      </c>
      <c r="P888" s="25" t="s">
        <v>83</v>
      </c>
      <c r="Q888" s="25" t="s">
        <v>82</v>
      </c>
      <c r="R888" s="25"/>
      <c r="S888" s="25" t="s">
        <v>80</v>
      </c>
      <c r="T888" s="25" t="s">
        <v>80</v>
      </c>
      <c r="U888" s="25" t="s">
        <v>181</v>
      </c>
      <c r="V888" s="25" t="s">
        <v>232</v>
      </c>
      <c r="W888" s="25" t="s">
        <v>553</v>
      </c>
      <c r="X888" s="25" t="s">
        <v>1749</v>
      </c>
      <c r="Y888" s="25" t="s">
        <v>1750</v>
      </c>
      <c r="Z888" s="26">
        <v>40682</v>
      </c>
      <c r="AA888" s="776">
        <v>2</v>
      </c>
      <c r="AB888" s="776">
        <v>0</v>
      </c>
      <c r="AC888" s="776">
        <v>0</v>
      </c>
      <c r="AD888" s="776">
        <v>0</v>
      </c>
      <c r="AE888" s="777">
        <v>10.4</v>
      </c>
      <c r="AF888" s="777">
        <v>10.4</v>
      </c>
      <c r="AG888" s="778">
        <v>11.318254446342845</v>
      </c>
    </row>
    <row r="889" spans="1:33" x14ac:dyDescent="0.2">
      <c r="A889" s="15">
        <f t="shared" si="111"/>
        <v>2011</v>
      </c>
      <c r="B889" s="14">
        <f t="shared" si="112"/>
        <v>6</v>
      </c>
      <c r="C889" s="13" t="str">
        <f t="shared" si="113"/>
        <v>Q2</v>
      </c>
      <c r="D889" s="13" t="str">
        <f t="shared" si="114"/>
        <v>2011Q2</v>
      </c>
      <c r="E889" s="13" t="str">
        <f t="shared" si="115"/>
        <v>Mexico</v>
      </c>
      <c r="F889" s="13" t="str">
        <f t="shared" si="118"/>
        <v>Solar</v>
      </c>
      <c r="G889" s="13" t="str">
        <f t="shared" si="117"/>
        <v>Asset finance investments</v>
      </c>
      <c r="H889" s="638">
        <f t="shared" si="116"/>
        <v>6.9650796592879054</v>
      </c>
      <c r="I889" s="24" t="s">
        <v>506</v>
      </c>
      <c r="J889" s="25" t="s">
        <v>246</v>
      </c>
      <c r="K889" s="25" t="s">
        <v>2763</v>
      </c>
      <c r="L889" s="25" t="s">
        <v>2764</v>
      </c>
      <c r="M889" s="25" t="s">
        <v>18</v>
      </c>
      <c r="N889" s="25" t="s">
        <v>85</v>
      </c>
      <c r="O889" s="25" t="s">
        <v>92</v>
      </c>
      <c r="P889" s="25" t="s">
        <v>83</v>
      </c>
      <c r="Q889" s="25" t="s">
        <v>129</v>
      </c>
      <c r="R889" s="25"/>
      <c r="S889" s="25" t="s">
        <v>80</v>
      </c>
      <c r="T889" s="25" t="s">
        <v>80</v>
      </c>
      <c r="U889" s="25" t="s">
        <v>181</v>
      </c>
      <c r="V889" s="25" t="s">
        <v>232</v>
      </c>
      <c r="W889" s="25" t="s">
        <v>553</v>
      </c>
      <c r="X889" s="25" t="s">
        <v>1752</v>
      </c>
      <c r="Y889" s="25" t="s">
        <v>1753</v>
      </c>
      <c r="Z889" s="26">
        <v>40724</v>
      </c>
      <c r="AA889" s="776">
        <v>1</v>
      </c>
      <c r="AB889" s="776">
        <v>0</v>
      </c>
      <c r="AC889" s="776">
        <v>0</v>
      </c>
      <c r="AD889" s="776">
        <v>0</v>
      </c>
      <c r="AE889" s="777">
        <v>6.4</v>
      </c>
      <c r="AF889" s="777">
        <v>6.4</v>
      </c>
      <c r="AG889" s="778">
        <v>6.9650796592879054</v>
      </c>
    </row>
    <row r="890" spans="1:33" x14ac:dyDescent="0.2">
      <c r="A890" s="15">
        <f t="shared" si="111"/>
        <v>2011</v>
      </c>
      <c r="B890" s="14">
        <f t="shared" si="112"/>
        <v>4</v>
      </c>
      <c r="C890" s="13" t="str">
        <f t="shared" si="113"/>
        <v>Q2</v>
      </c>
      <c r="D890" s="13" t="str">
        <f t="shared" si="114"/>
        <v>2011Q2</v>
      </c>
      <c r="E890" s="13" t="str">
        <f t="shared" si="115"/>
        <v>Mexico</v>
      </c>
      <c r="F890" s="13" t="str">
        <f t="shared" si="118"/>
        <v>Biomass &amp; Waste</v>
      </c>
      <c r="G890" s="13" t="str">
        <f t="shared" si="117"/>
        <v>Asset finance investments</v>
      </c>
      <c r="H890" s="638">
        <f t="shared" si="116"/>
        <v>6.312103441229663</v>
      </c>
      <c r="I890" s="24" t="s">
        <v>506</v>
      </c>
      <c r="J890" s="25" t="s">
        <v>246</v>
      </c>
      <c r="K890" s="25" t="s">
        <v>2765</v>
      </c>
      <c r="L890" s="25" t="s">
        <v>2766</v>
      </c>
      <c r="M890" s="25" t="s">
        <v>18</v>
      </c>
      <c r="N890" s="25" t="s">
        <v>85</v>
      </c>
      <c r="O890" s="25" t="s">
        <v>92</v>
      </c>
      <c r="P890" s="25" t="s">
        <v>83</v>
      </c>
      <c r="Q890" s="25" t="s">
        <v>129</v>
      </c>
      <c r="R890" s="25"/>
      <c r="S890" s="25" t="s">
        <v>114</v>
      </c>
      <c r="T890" s="25" t="s">
        <v>114</v>
      </c>
      <c r="U890" s="25" t="s">
        <v>113</v>
      </c>
      <c r="V890" s="25" t="s">
        <v>722</v>
      </c>
      <c r="W890" s="25" t="s">
        <v>553</v>
      </c>
      <c r="X890" s="25" t="s">
        <v>1752</v>
      </c>
      <c r="Y890" s="25" t="s">
        <v>1753</v>
      </c>
      <c r="Z890" s="26">
        <v>40657</v>
      </c>
      <c r="AA890" s="776">
        <v>3.2</v>
      </c>
      <c r="AB890" s="776">
        <v>0</v>
      </c>
      <c r="AC890" s="776">
        <v>0</v>
      </c>
      <c r="AD890" s="776">
        <v>0</v>
      </c>
      <c r="AE890" s="777">
        <v>5.8</v>
      </c>
      <c r="AF890" s="777">
        <v>5.8</v>
      </c>
      <c r="AG890" s="778">
        <v>6.312103441229663</v>
      </c>
    </row>
    <row r="891" spans="1:33" x14ac:dyDescent="0.2">
      <c r="A891" s="15">
        <f t="shared" si="111"/>
        <v>2011</v>
      </c>
      <c r="B891" s="14">
        <f t="shared" si="112"/>
        <v>6</v>
      </c>
      <c r="C891" s="13" t="str">
        <f t="shared" si="113"/>
        <v>Q2</v>
      </c>
      <c r="D891" s="13" t="str">
        <f t="shared" si="114"/>
        <v>2011Q2</v>
      </c>
      <c r="E891" s="13" t="str">
        <f t="shared" si="115"/>
        <v>Chile</v>
      </c>
      <c r="F891" s="13" t="str">
        <f t="shared" si="118"/>
        <v>Solar</v>
      </c>
      <c r="G891" s="13" t="str">
        <f t="shared" si="117"/>
        <v>Asset finance investments</v>
      </c>
      <c r="H891" s="638">
        <f t="shared" si="116"/>
        <v>4.3531747870549404</v>
      </c>
      <c r="I891" s="24" t="s">
        <v>506</v>
      </c>
      <c r="J891" s="25" t="s">
        <v>246</v>
      </c>
      <c r="K891" s="25" t="s">
        <v>2767</v>
      </c>
      <c r="L891" s="25" t="s">
        <v>2768</v>
      </c>
      <c r="M891" s="25" t="s">
        <v>8</v>
      </c>
      <c r="N891" s="25" t="s">
        <v>85</v>
      </c>
      <c r="O891" s="25" t="s">
        <v>92</v>
      </c>
      <c r="P891" s="25" t="s">
        <v>83</v>
      </c>
      <c r="Q891" s="25" t="s">
        <v>129</v>
      </c>
      <c r="R891" s="25"/>
      <c r="S891" s="25" t="s">
        <v>80</v>
      </c>
      <c r="T891" s="25" t="s">
        <v>80</v>
      </c>
      <c r="U891" s="25" t="s">
        <v>181</v>
      </c>
      <c r="V891" s="25" t="s">
        <v>232</v>
      </c>
      <c r="W891" s="25" t="s">
        <v>553</v>
      </c>
      <c r="X891" s="25" t="s">
        <v>1752</v>
      </c>
      <c r="Y891" s="25" t="s">
        <v>1753</v>
      </c>
      <c r="Z891" s="26">
        <v>40703</v>
      </c>
      <c r="AA891" s="776">
        <v>1</v>
      </c>
      <c r="AB891" s="776">
        <v>0</v>
      </c>
      <c r="AC891" s="776">
        <v>0</v>
      </c>
      <c r="AD891" s="776">
        <v>0</v>
      </c>
      <c r="AE891" s="777">
        <v>0</v>
      </c>
      <c r="AF891" s="777">
        <v>4</v>
      </c>
      <c r="AG891" s="778">
        <v>4.3531747870549404</v>
      </c>
    </row>
    <row r="892" spans="1:33" x14ac:dyDescent="0.2">
      <c r="A892" s="15">
        <f t="shared" si="111"/>
        <v>2010</v>
      </c>
      <c r="B892" s="14">
        <f t="shared" si="112"/>
        <v>4</v>
      </c>
      <c r="C892" s="13" t="str">
        <f t="shared" si="113"/>
        <v>Q2</v>
      </c>
      <c r="D892" s="13" t="str">
        <f t="shared" si="114"/>
        <v>2010Q2</v>
      </c>
      <c r="E892" s="13" t="str">
        <f t="shared" si="115"/>
        <v>Brazil</v>
      </c>
      <c r="F892" s="13" t="str">
        <f t="shared" si="118"/>
        <v>Biofuels</v>
      </c>
      <c r="G892" s="13" t="str">
        <f t="shared" si="117"/>
        <v>Asset finance investments</v>
      </c>
      <c r="H892" s="638">
        <f t="shared" si="116"/>
        <v>710.67249714263255</v>
      </c>
      <c r="I892" s="24" t="s">
        <v>506</v>
      </c>
      <c r="J892" s="25" t="s">
        <v>246</v>
      </c>
      <c r="K892" s="25" t="s">
        <v>2769</v>
      </c>
      <c r="L892" s="25" t="s">
        <v>2770</v>
      </c>
      <c r="M892" s="25" t="s">
        <v>31</v>
      </c>
      <c r="N892" s="25" t="s">
        <v>31</v>
      </c>
      <c r="O892" s="25" t="s">
        <v>92</v>
      </c>
      <c r="P892" s="25" t="s">
        <v>83</v>
      </c>
      <c r="Q892" s="25" t="s">
        <v>82</v>
      </c>
      <c r="R892" s="25" t="s">
        <v>91</v>
      </c>
      <c r="S892" s="25" t="s">
        <v>96</v>
      </c>
      <c r="T892" s="25" t="s">
        <v>96</v>
      </c>
      <c r="U892" s="25" t="s">
        <v>98</v>
      </c>
      <c r="V892" s="25" t="s">
        <v>230</v>
      </c>
      <c r="W892" s="25" t="s">
        <v>553</v>
      </c>
      <c r="X892" s="25" t="s">
        <v>1752</v>
      </c>
      <c r="Y892" s="25" t="s">
        <v>1753</v>
      </c>
      <c r="Z892" s="26">
        <v>40284</v>
      </c>
      <c r="AA892" s="776">
        <v>297.89999999999998</v>
      </c>
      <c r="AB892" s="776">
        <v>1440</v>
      </c>
      <c r="AC892" s="776">
        <v>0</v>
      </c>
      <c r="AD892" s="776">
        <v>0</v>
      </c>
      <c r="AE892" s="777">
        <v>682</v>
      </c>
      <c r="AF892" s="777">
        <v>682</v>
      </c>
      <c r="AG892" s="778">
        <v>710.67249714263255</v>
      </c>
    </row>
    <row r="893" spans="1:33" x14ac:dyDescent="0.2">
      <c r="A893" s="15">
        <f t="shared" si="111"/>
        <v>2010</v>
      </c>
      <c r="B893" s="14">
        <f t="shared" si="112"/>
        <v>6</v>
      </c>
      <c r="C893" s="13" t="str">
        <f t="shared" si="113"/>
        <v>Q2</v>
      </c>
      <c r="D893" s="13" t="str">
        <f t="shared" si="114"/>
        <v>2010Q2</v>
      </c>
      <c r="E893" s="13" t="str">
        <f t="shared" si="115"/>
        <v>Brazil</v>
      </c>
      <c r="F893" s="13" t="str">
        <f t="shared" si="118"/>
        <v>Biofuels</v>
      </c>
      <c r="G893" s="13" t="str">
        <f t="shared" si="117"/>
        <v>Asset finance investments</v>
      </c>
      <c r="H893" s="638">
        <f t="shared" si="116"/>
        <v>630.6436880802363</v>
      </c>
      <c r="I893" s="24" t="s">
        <v>506</v>
      </c>
      <c r="J893" s="25" t="s">
        <v>246</v>
      </c>
      <c r="K893" s="25" t="s">
        <v>2771</v>
      </c>
      <c r="L893" s="25" t="s">
        <v>779</v>
      </c>
      <c r="M893" s="25" t="s">
        <v>31</v>
      </c>
      <c r="N893" s="25" t="s">
        <v>31</v>
      </c>
      <c r="O893" s="25" t="s">
        <v>92</v>
      </c>
      <c r="P893" s="25" t="s">
        <v>83</v>
      </c>
      <c r="Q893" s="25" t="s">
        <v>82</v>
      </c>
      <c r="R893" s="25" t="s">
        <v>91</v>
      </c>
      <c r="S893" s="25" t="s">
        <v>96</v>
      </c>
      <c r="T893" s="25" t="s">
        <v>96</v>
      </c>
      <c r="U893" s="25" t="s">
        <v>98</v>
      </c>
      <c r="V893" s="25" t="s">
        <v>230</v>
      </c>
      <c r="W893" s="25" t="s">
        <v>553</v>
      </c>
      <c r="X893" s="25" t="s">
        <v>1749</v>
      </c>
      <c r="Y893" s="25" t="s">
        <v>1750</v>
      </c>
      <c r="Z893" s="26">
        <v>40340</v>
      </c>
      <c r="AA893" s="776">
        <v>0</v>
      </c>
      <c r="AB893" s="776">
        <v>0</v>
      </c>
      <c r="AC893" s="776">
        <v>0</v>
      </c>
      <c r="AD893" s="776">
        <v>0</v>
      </c>
      <c r="AE893" s="777">
        <v>605.20000000000005</v>
      </c>
      <c r="AF893" s="777">
        <v>605.20000000000005</v>
      </c>
      <c r="AG893" s="778">
        <v>630.6436880802363</v>
      </c>
    </row>
    <row r="894" spans="1:33" x14ac:dyDescent="0.2">
      <c r="A894" s="15">
        <f t="shared" si="111"/>
        <v>2010</v>
      </c>
      <c r="B894" s="14">
        <f t="shared" si="112"/>
        <v>4</v>
      </c>
      <c r="C894" s="13" t="str">
        <f t="shared" si="113"/>
        <v>Q2</v>
      </c>
      <c r="D894" s="13" t="str">
        <f t="shared" si="114"/>
        <v>2010Q2</v>
      </c>
      <c r="E894" s="13" t="str">
        <f t="shared" si="115"/>
        <v>Brazil</v>
      </c>
      <c r="F894" s="13" t="str">
        <f t="shared" si="118"/>
        <v>Biofuels</v>
      </c>
      <c r="G894" s="13" t="str">
        <f t="shared" si="117"/>
        <v>Asset finance investments</v>
      </c>
      <c r="H894" s="638">
        <f t="shared" si="116"/>
        <v>573.12298156663906</v>
      </c>
      <c r="I894" s="24" t="s">
        <v>506</v>
      </c>
      <c r="J894" s="25" t="s">
        <v>246</v>
      </c>
      <c r="K894" s="25" t="s">
        <v>2772</v>
      </c>
      <c r="L894" s="25" t="s">
        <v>828</v>
      </c>
      <c r="M894" s="25" t="s">
        <v>31</v>
      </c>
      <c r="N894" s="25" t="s">
        <v>31</v>
      </c>
      <c r="O894" s="25" t="s">
        <v>92</v>
      </c>
      <c r="P894" s="25" t="s">
        <v>83</v>
      </c>
      <c r="Q894" s="25" t="s">
        <v>82</v>
      </c>
      <c r="R894" s="25" t="s">
        <v>91</v>
      </c>
      <c r="S894" s="25" t="s">
        <v>96</v>
      </c>
      <c r="T894" s="25" t="s">
        <v>96</v>
      </c>
      <c r="U894" s="25" t="s">
        <v>98</v>
      </c>
      <c r="V894" s="25" t="s">
        <v>230</v>
      </c>
      <c r="W894" s="25" t="s">
        <v>553</v>
      </c>
      <c r="X894" s="25" t="s">
        <v>1752</v>
      </c>
      <c r="Y894" s="25" t="s">
        <v>1753</v>
      </c>
      <c r="Z894" s="26">
        <v>40298</v>
      </c>
      <c r="AA894" s="776">
        <v>79.8</v>
      </c>
      <c r="AB894" s="776">
        <v>360</v>
      </c>
      <c r="AC894" s="776">
        <v>0</v>
      </c>
      <c r="AD894" s="776">
        <v>0</v>
      </c>
      <c r="AE894" s="777">
        <v>550</v>
      </c>
      <c r="AF894" s="777">
        <v>550</v>
      </c>
      <c r="AG894" s="778">
        <v>573.12298156663906</v>
      </c>
    </row>
    <row r="895" spans="1:33" x14ac:dyDescent="0.2">
      <c r="A895" s="15">
        <f t="shared" si="111"/>
        <v>2010</v>
      </c>
      <c r="B895" s="14">
        <f t="shared" si="112"/>
        <v>6</v>
      </c>
      <c r="C895" s="13" t="str">
        <f t="shared" si="113"/>
        <v>Q2</v>
      </c>
      <c r="D895" s="13" t="str">
        <f t="shared" si="114"/>
        <v>2010Q2</v>
      </c>
      <c r="E895" s="13" t="str">
        <f t="shared" si="115"/>
        <v>Brazil</v>
      </c>
      <c r="F895" s="13" t="str">
        <f t="shared" si="118"/>
        <v>Biofuels</v>
      </c>
      <c r="G895" s="13" t="str">
        <f t="shared" si="117"/>
        <v>Asset finance investments</v>
      </c>
      <c r="H895" s="638">
        <f t="shared" si="116"/>
        <v>462.66655239197763</v>
      </c>
      <c r="I895" s="24" t="s">
        <v>506</v>
      </c>
      <c r="J895" s="25" t="s">
        <v>246</v>
      </c>
      <c r="K895" s="25" t="s">
        <v>2773</v>
      </c>
      <c r="L895" s="25" t="s">
        <v>2774</v>
      </c>
      <c r="M895" s="25" t="s">
        <v>31</v>
      </c>
      <c r="N895" s="25" t="s">
        <v>31</v>
      </c>
      <c r="O895" s="25" t="s">
        <v>92</v>
      </c>
      <c r="P895" s="25" t="s">
        <v>83</v>
      </c>
      <c r="Q895" s="25" t="s">
        <v>82</v>
      </c>
      <c r="R895" s="25" t="s">
        <v>91</v>
      </c>
      <c r="S895" s="25" t="s">
        <v>96</v>
      </c>
      <c r="T895" s="25" t="s">
        <v>96</v>
      </c>
      <c r="U895" s="25" t="s">
        <v>98</v>
      </c>
      <c r="V895" s="25" t="s">
        <v>230</v>
      </c>
      <c r="W895" s="25" t="s">
        <v>553</v>
      </c>
      <c r="X895" s="25" t="s">
        <v>1749</v>
      </c>
      <c r="Y895" s="25" t="s">
        <v>1750</v>
      </c>
      <c r="Z895" s="26">
        <v>40346</v>
      </c>
      <c r="AA895" s="776">
        <v>293</v>
      </c>
      <c r="AB895" s="776">
        <v>0</v>
      </c>
      <c r="AC895" s="776">
        <v>0</v>
      </c>
      <c r="AD895" s="776">
        <v>0</v>
      </c>
      <c r="AE895" s="777">
        <v>0</v>
      </c>
      <c r="AF895" s="777">
        <v>444</v>
      </c>
      <c r="AG895" s="778">
        <v>462.66655239197763</v>
      </c>
    </row>
    <row r="896" spans="1:33" x14ac:dyDescent="0.2">
      <c r="A896" s="15">
        <f t="shared" si="111"/>
        <v>2010</v>
      </c>
      <c r="B896" s="14">
        <f t="shared" si="112"/>
        <v>6</v>
      </c>
      <c r="C896" s="13" t="str">
        <f t="shared" si="113"/>
        <v>Q2</v>
      </c>
      <c r="D896" s="13" t="str">
        <f t="shared" si="114"/>
        <v>2010Q2</v>
      </c>
      <c r="E896" s="13" t="str">
        <f t="shared" si="115"/>
        <v>Panama</v>
      </c>
      <c r="F896" s="13" t="str">
        <f t="shared" si="118"/>
        <v>Small Hydro</v>
      </c>
      <c r="G896" s="13" t="str">
        <f t="shared" si="117"/>
        <v>Asset finance investments</v>
      </c>
      <c r="H896" s="638">
        <f t="shared" si="116"/>
        <v>303.96358858725205</v>
      </c>
      <c r="I896" s="24" t="s">
        <v>506</v>
      </c>
      <c r="J896" s="25" t="s">
        <v>246</v>
      </c>
      <c r="K896" s="25" t="s">
        <v>2775</v>
      </c>
      <c r="L896" s="25" t="s">
        <v>902</v>
      </c>
      <c r="M896" s="25" t="s">
        <v>19</v>
      </c>
      <c r="N896" s="25" t="s">
        <v>85</v>
      </c>
      <c r="O896" s="25" t="s">
        <v>92</v>
      </c>
      <c r="P896" s="25" t="s">
        <v>83</v>
      </c>
      <c r="Q896" s="25" t="s">
        <v>82</v>
      </c>
      <c r="R896" s="25"/>
      <c r="S896" s="25" t="s">
        <v>126</v>
      </c>
      <c r="T896" s="25" t="s">
        <v>125</v>
      </c>
      <c r="U896" s="25" t="s">
        <v>247</v>
      </c>
      <c r="V896" s="25">
        <v>0</v>
      </c>
      <c r="W896" s="25" t="s">
        <v>553</v>
      </c>
      <c r="X896" s="25" t="s">
        <v>1749</v>
      </c>
      <c r="Y896" s="25" t="s">
        <v>1750</v>
      </c>
      <c r="Z896" s="26">
        <v>40345</v>
      </c>
      <c r="AA896" s="776">
        <v>83.3</v>
      </c>
      <c r="AB896" s="776">
        <v>0</v>
      </c>
      <c r="AC896" s="776">
        <v>0</v>
      </c>
      <c r="AD896" s="776">
        <v>0</v>
      </c>
      <c r="AE896" s="777">
        <v>291.7</v>
      </c>
      <c r="AF896" s="777">
        <v>291.7</v>
      </c>
      <c r="AG896" s="778">
        <v>303.96358858725205</v>
      </c>
    </row>
    <row r="897" spans="1:33" x14ac:dyDescent="0.2">
      <c r="A897" s="15">
        <f t="shared" si="111"/>
        <v>2010</v>
      </c>
      <c r="B897" s="14">
        <f t="shared" si="112"/>
        <v>6</v>
      </c>
      <c r="C897" s="13" t="str">
        <f t="shared" si="113"/>
        <v>Q2</v>
      </c>
      <c r="D897" s="13" t="str">
        <f t="shared" si="114"/>
        <v>2010Q2</v>
      </c>
      <c r="E897" s="13" t="str">
        <f t="shared" si="115"/>
        <v>Brazil</v>
      </c>
      <c r="F897" s="13" t="str">
        <f t="shared" si="118"/>
        <v>Wind</v>
      </c>
      <c r="G897" s="13" t="str">
        <f t="shared" si="117"/>
        <v>Asset finance investments</v>
      </c>
      <c r="H897" s="638">
        <f t="shared" si="116"/>
        <v>225.08102548798917</v>
      </c>
      <c r="I897" s="24" t="s">
        <v>506</v>
      </c>
      <c r="J897" s="25" t="s">
        <v>246</v>
      </c>
      <c r="K897" s="25" t="s">
        <v>2776</v>
      </c>
      <c r="L897" s="25" t="s">
        <v>2777</v>
      </c>
      <c r="M897" s="25" t="s">
        <v>31</v>
      </c>
      <c r="N897" s="25" t="s">
        <v>31</v>
      </c>
      <c r="O897" s="25" t="s">
        <v>92</v>
      </c>
      <c r="P897" s="25" t="s">
        <v>83</v>
      </c>
      <c r="Q897" s="25" t="s">
        <v>82</v>
      </c>
      <c r="R897" s="25" t="s">
        <v>91</v>
      </c>
      <c r="S897" s="25" t="s">
        <v>101</v>
      </c>
      <c r="T897" s="25" t="s">
        <v>101</v>
      </c>
      <c r="U897" s="25" t="s">
        <v>112</v>
      </c>
      <c r="V897" s="25">
        <v>0</v>
      </c>
      <c r="W897" s="25" t="s">
        <v>553</v>
      </c>
      <c r="X897" s="25" t="s">
        <v>1749</v>
      </c>
      <c r="Y897" s="25" t="s">
        <v>1750</v>
      </c>
      <c r="Z897" s="26">
        <v>40345</v>
      </c>
      <c r="AA897" s="776">
        <v>90</v>
      </c>
      <c r="AB897" s="776">
        <v>0</v>
      </c>
      <c r="AC897" s="776">
        <v>0</v>
      </c>
      <c r="AD897" s="776">
        <v>0</v>
      </c>
      <c r="AE897" s="777">
        <v>216</v>
      </c>
      <c r="AF897" s="777">
        <v>216</v>
      </c>
      <c r="AG897" s="778">
        <v>225.08102548798917</v>
      </c>
    </row>
    <row r="898" spans="1:33" x14ac:dyDescent="0.2">
      <c r="A898" s="15">
        <f t="shared" si="111"/>
        <v>2010</v>
      </c>
      <c r="B898" s="14">
        <f t="shared" si="112"/>
        <v>5</v>
      </c>
      <c r="C898" s="13" t="str">
        <f t="shared" si="113"/>
        <v>Q2</v>
      </c>
      <c r="D898" s="13" t="str">
        <f t="shared" si="114"/>
        <v>2010Q2</v>
      </c>
      <c r="E898" s="13" t="str">
        <f t="shared" si="115"/>
        <v>Mexico</v>
      </c>
      <c r="F898" s="13" t="str">
        <f t="shared" si="118"/>
        <v>Wind</v>
      </c>
      <c r="G898" s="13" t="str">
        <f t="shared" si="117"/>
        <v>Asset finance investments</v>
      </c>
      <c r="H898" s="638">
        <f t="shared" si="116"/>
        <v>210.9092572165232</v>
      </c>
      <c r="I898" s="24" t="s">
        <v>506</v>
      </c>
      <c r="J898" s="25" t="s">
        <v>246</v>
      </c>
      <c r="K898" s="25" t="s">
        <v>2778</v>
      </c>
      <c r="L898" s="25" t="s">
        <v>938</v>
      </c>
      <c r="M898" s="25" t="s">
        <v>18</v>
      </c>
      <c r="N898" s="25" t="s">
        <v>85</v>
      </c>
      <c r="O898" s="25" t="s">
        <v>92</v>
      </c>
      <c r="P898" s="25" t="s">
        <v>83</v>
      </c>
      <c r="Q898" s="25" t="s">
        <v>129</v>
      </c>
      <c r="R898" s="25"/>
      <c r="S898" s="25" t="s">
        <v>101</v>
      </c>
      <c r="T898" s="25" t="s">
        <v>101</v>
      </c>
      <c r="U898" s="25" t="s">
        <v>112</v>
      </c>
      <c r="V898" s="25">
        <v>0</v>
      </c>
      <c r="W898" s="25" t="s">
        <v>553</v>
      </c>
      <c r="X898" s="25" t="s">
        <v>1749</v>
      </c>
      <c r="Y898" s="25" t="s">
        <v>1750</v>
      </c>
      <c r="Z898" s="26">
        <v>40303</v>
      </c>
      <c r="AA898" s="776">
        <v>102.85</v>
      </c>
      <c r="AB898" s="776">
        <v>0</v>
      </c>
      <c r="AC898" s="776">
        <v>0</v>
      </c>
      <c r="AD898" s="776">
        <v>0</v>
      </c>
      <c r="AE898" s="777">
        <v>202.4</v>
      </c>
      <c r="AF898" s="777">
        <v>202.4</v>
      </c>
      <c r="AG898" s="778">
        <v>210.9092572165232</v>
      </c>
    </row>
    <row r="899" spans="1:33" x14ac:dyDescent="0.2">
      <c r="A899" s="15">
        <f t="shared" si="111"/>
        <v>2010</v>
      </c>
      <c r="B899" s="14">
        <f t="shared" si="112"/>
        <v>5</v>
      </c>
      <c r="C899" s="13" t="str">
        <f t="shared" si="113"/>
        <v>Q2</v>
      </c>
      <c r="D899" s="13" t="str">
        <f t="shared" si="114"/>
        <v>2010Q2</v>
      </c>
      <c r="E899" s="13" t="str">
        <f t="shared" si="115"/>
        <v>Brazil</v>
      </c>
      <c r="F899" s="13" t="str">
        <f t="shared" si="118"/>
        <v>Small Hydro</v>
      </c>
      <c r="G899" s="13" t="str">
        <f t="shared" si="117"/>
        <v>Asset finance investments</v>
      </c>
      <c r="H899" s="638">
        <f t="shared" si="116"/>
        <v>137.2369030405934</v>
      </c>
      <c r="I899" s="24" t="s">
        <v>506</v>
      </c>
      <c r="J899" s="25" t="s">
        <v>246</v>
      </c>
      <c r="K899" s="25" t="s">
        <v>2779</v>
      </c>
      <c r="L899" s="25" t="s">
        <v>991</v>
      </c>
      <c r="M899" s="25" t="s">
        <v>31</v>
      </c>
      <c r="N899" s="25" t="s">
        <v>31</v>
      </c>
      <c r="O899" s="25" t="s">
        <v>92</v>
      </c>
      <c r="P899" s="25" t="s">
        <v>83</v>
      </c>
      <c r="Q899" s="25" t="s">
        <v>82</v>
      </c>
      <c r="R899" s="25" t="s">
        <v>91</v>
      </c>
      <c r="S899" s="25" t="s">
        <v>126</v>
      </c>
      <c r="T899" s="25" t="s">
        <v>125</v>
      </c>
      <c r="U899" s="25" t="s">
        <v>247</v>
      </c>
      <c r="V899" s="25">
        <v>0</v>
      </c>
      <c r="W899" s="25" t="s">
        <v>553</v>
      </c>
      <c r="X899" s="25" t="s">
        <v>1752</v>
      </c>
      <c r="Y899" s="25" t="s">
        <v>1753</v>
      </c>
      <c r="Z899" s="26">
        <v>40329</v>
      </c>
      <c r="AA899" s="776">
        <v>64</v>
      </c>
      <c r="AB899" s="776">
        <v>0</v>
      </c>
      <c r="AC899" s="776">
        <v>0</v>
      </c>
      <c r="AD899" s="776">
        <v>0</v>
      </c>
      <c r="AE899" s="777">
        <v>131.69999999999999</v>
      </c>
      <c r="AF899" s="777">
        <v>131.69999999999999</v>
      </c>
      <c r="AG899" s="778">
        <v>137.2369030405934</v>
      </c>
    </row>
    <row r="900" spans="1:33" x14ac:dyDescent="0.2">
      <c r="A900" s="15">
        <f t="shared" si="111"/>
        <v>2010</v>
      </c>
      <c r="B900" s="14">
        <f t="shared" si="112"/>
        <v>4</v>
      </c>
      <c r="C900" s="13" t="str">
        <f t="shared" si="113"/>
        <v>Q2</v>
      </c>
      <c r="D900" s="13" t="str">
        <f t="shared" si="114"/>
        <v>2010Q2</v>
      </c>
      <c r="E900" s="13" t="str">
        <f t="shared" si="115"/>
        <v>Chile</v>
      </c>
      <c r="F900" s="13" t="str">
        <f t="shared" si="118"/>
        <v>Biomass &amp; Waste</v>
      </c>
      <c r="G900" s="13" t="str">
        <f t="shared" si="117"/>
        <v>Asset finance investments</v>
      </c>
      <c r="H900" s="638">
        <f t="shared" si="116"/>
        <v>125.04501415999398</v>
      </c>
      <c r="I900" s="24" t="s">
        <v>506</v>
      </c>
      <c r="J900" s="25" t="s">
        <v>246</v>
      </c>
      <c r="K900" s="25" t="s">
        <v>2780</v>
      </c>
      <c r="L900" s="25" t="s">
        <v>860</v>
      </c>
      <c r="M900" s="25" t="s">
        <v>8</v>
      </c>
      <c r="N900" s="25" t="s">
        <v>85</v>
      </c>
      <c r="O900" s="25" t="s">
        <v>92</v>
      </c>
      <c r="P900" s="25" t="s">
        <v>83</v>
      </c>
      <c r="Q900" s="25" t="s">
        <v>129</v>
      </c>
      <c r="R900" s="25"/>
      <c r="S900" s="25" t="s">
        <v>114</v>
      </c>
      <c r="T900" s="25" t="s">
        <v>114</v>
      </c>
      <c r="U900" s="25" t="s">
        <v>113</v>
      </c>
      <c r="V900" s="25" t="s">
        <v>347</v>
      </c>
      <c r="W900" s="25" t="s">
        <v>553</v>
      </c>
      <c r="X900" s="25" t="s">
        <v>1752</v>
      </c>
      <c r="Y900" s="25" t="s">
        <v>1753</v>
      </c>
      <c r="Z900" s="26">
        <v>40298</v>
      </c>
      <c r="AA900" s="776">
        <v>100</v>
      </c>
      <c r="AB900" s="776">
        <v>0</v>
      </c>
      <c r="AC900" s="776">
        <v>0</v>
      </c>
      <c r="AD900" s="776">
        <v>0</v>
      </c>
      <c r="AE900" s="777">
        <v>120</v>
      </c>
      <c r="AF900" s="777">
        <v>120</v>
      </c>
      <c r="AG900" s="778">
        <v>125.04501415999398</v>
      </c>
    </row>
    <row r="901" spans="1:33" x14ac:dyDescent="0.2">
      <c r="A901" s="15">
        <f t="shared" ref="A901:A964" si="119">IF(K901="","",IF(AND(YEAR(Z901)&lt;2004,YEAR(Z901)&gt;1910),2004,YEAR(Z901)))</f>
        <v>2010</v>
      </c>
      <c r="B901" s="14">
        <f t="shared" ref="B901:B964" si="120">IF(K901="","",IF(ISNUMBER(Z901),MONTH(Z901),0))</f>
        <v>6</v>
      </c>
      <c r="C901" s="13" t="str">
        <f t="shared" ref="C901:C964" si="121">IF(K901="","",IF(AND(B901&gt;=1,B901&lt;=3),"Q1",IF(AND(B901&gt;3,B901&lt;=6),"Q2",IF(AND(B901&gt;6,B901&lt;=9),"Q3",IF(AND(B901&gt;9,B901&lt;=12),"Q4",0)))))</f>
        <v>Q2</v>
      </c>
      <c r="D901" s="13" t="str">
        <f t="shared" ref="D901:D964" si="122">IF(A901&lt;2006, "&lt; 2006", A901&amp;C901)</f>
        <v>2010Q2</v>
      </c>
      <c r="E901" s="13" t="str">
        <f t="shared" ref="E901:E964" si="123">IF(K901="","", M901)</f>
        <v>Brazil</v>
      </c>
      <c r="F901" s="13" t="str">
        <f t="shared" si="118"/>
        <v>Biofuels</v>
      </c>
      <c r="G901" s="13" t="str">
        <f t="shared" si="117"/>
        <v>Asset finance investments</v>
      </c>
      <c r="H901" s="638">
        <f t="shared" ref="H901:H964" si="124">IF(K901="","",AG901)</f>
        <v>124.732401624594</v>
      </c>
      <c r="I901" s="24" t="s">
        <v>506</v>
      </c>
      <c r="J901" s="25" t="s">
        <v>246</v>
      </c>
      <c r="K901" s="25" t="s">
        <v>2781</v>
      </c>
      <c r="L901" s="25" t="s">
        <v>2782</v>
      </c>
      <c r="M901" s="25" t="s">
        <v>31</v>
      </c>
      <c r="N901" s="25" t="s">
        <v>31</v>
      </c>
      <c r="O901" s="25" t="s">
        <v>92</v>
      </c>
      <c r="P901" s="25" t="s">
        <v>83</v>
      </c>
      <c r="Q901" s="25" t="s">
        <v>82</v>
      </c>
      <c r="R901" s="25" t="s">
        <v>91</v>
      </c>
      <c r="S901" s="25" t="s">
        <v>96</v>
      </c>
      <c r="T901" s="25" t="s">
        <v>96</v>
      </c>
      <c r="U901" s="25" t="s">
        <v>98</v>
      </c>
      <c r="V901" s="25" t="s">
        <v>230</v>
      </c>
      <c r="W901" s="25" t="s">
        <v>553</v>
      </c>
      <c r="X901" s="25" t="s">
        <v>1752</v>
      </c>
      <c r="Y901" s="25" t="s">
        <v>1753</v>
      </c>
      <c r="Z901" s="26">
        <v>40352</v>
      </c>
      <c r="AA901" s="776">
        <v>157</v>
      </c>
      <c r="AB901" s="776">
        <v>166</v>
      </c>
      <c r="AC901" s="776">
        <v>0</v>
      </c>
      <c r="AD901" s="776">
        <v>0</v>
      </c>
      <c r="AE901" s="777">
        <v>119.7</v>
      </c>
      <c r="AF901" s="777">
        <v>119.7</v>
      </c>
      <c r="AG901" s="778">
        <v>124.732401624594</v>
      </c>
    </row>
    <row r="902" spans="1:33" x14ac:dyDescent="0.2">
      <c r="A902" s="15">
        <f t="shared" si="119"/>
        <v>2010</v>
      </c>
      <c r="B902" s="14">
        <f t="shared" si="120"/>
        <v>6</v>
      </c>
      <c r="C902" s="13" t="str">
        <f t="shared" si="121"/>
        <v>Q2</v>
      </c>
      <c r="D902" s="13" t="str">
        <f t="shared" si="122"/>
        <v>2010Q2</v>
      </c>
      <c r="E902" s="13" t="str">
        <f t="shared" si="123"/>
        <v>Chile</v>
      </c>
      <c r="F902" s="13" t="str">
        <f t="shared" si="118"/>
        <v>Biomass &amp; Waste</v>
      </c>
      <c r="G902" s="13" t="str">
        <f t="shared" ref="G902:G965" si="125">IF(K902="","",IF(OR(J902="PM",J902="MA"), "Corporate finance investments", IF(J902="VCPE", "VC/PE investments", IF(J902="AF", "Asset finance investments"))))</f>
        <v>Asset finance investments</v>
      </c>
      <c r="H902" s="638">
        <f t="shared" si="124"/>
        <v>109.41438738999474</v>
      </c>
      <c r="I902" s="24" t="s">
        <v>506</v>
      </c>
      <c r="J902" s="25" t="s">
        <v>246</v>
      </c>
      <c r="K902" s="25" t="s">
        <v>2783</v>
      </c>
      <c r="L902" s="25" t="s">
        <v>621</v>
      </c>
      <c r="M902" s="25" t="s">
        <v>8</v>
      </c>
      <c r="N902" s="25" t="s">
        <v>85</v>
      </c>
      <c r="O902" s="25" t="s">
        <v>92</v>
      </c>
      <c r="P902" s="25" t="s">
        <v>83</v>
      </c>
      <c r="Q902" s="25" t="s">
        <v>129</v>
      </c>
      <c r="R902" s="25"/>
      <c r="S902" s="25" t="s">
        <v>114</v>
      </c>
      <c r="T902" s="25" t="s">
        <v>114</v>
      </c>
      <c r="U902" s="25" t="s">
        <v>113</v>
      </c>
      <c r="V902" s="25">
        <v>0</v>
      </c>
      <c r="W902" s="25" t="s">
        <v>553</v>
      </c>
      <c r="X902" s="25" t="s">
        <v>1752</v>
      </c>
      <c r="Y902" s="25" t="s">
        <v>1753</v>
      </c>
      <c r="Z902" s="26">
        <v>40359</v>
      </c>
      <c r="AA902" s="776">
        <v>41</v>
      </c>
      <c r="AB902" s="776">
        <v>0</v>
      </c>
      <c r="AC902" s="776">
        <v>0</v>
      </c>
      <c r="AD902" s="776">
        <v>0</v>
      </c>
      <c r="AE902" s="777">
        <v>105</v>
      </c>
      <c r="AF902" s="777">
        <v>105</v>
      </c>
      <c r="AG902" s="778">
        <v>109.41438738999474</v>
      </c>
    </row>
    <row r="903" spans="1:33" x14ac:dyDescent="0.2">
      <c r="A903" s="15">
        <f t="shared" si="119"/>
        <v>2010</v>
      </c>
      <c r="B903" s="14">
        <f t="shared" si="120"/>
        <v>6</v>
      </c>
      <c r="C903" s="13" t="str">
        <f t="shared" si="121"/>
        <v>Q2</v>
      </c>
      <c r="D903" s="13" t="str">
        <f t="shared" si="122"/>
        <v>2010Q2</v>
      </c>
      <c r="E903" s="13" t="str">
        <f t="shared" si="123"/>
        <v>Brazil</v>
      </c>
      <c r="F903" s="13" t="str">
        <f t="shared" ref="F903:F966" si="126">IF(K903="","",IF(OR(T903="Wind",T903="Solar",T903="Geothermal",T903="Small Hydro",T903="Biofuels",T903="Biomass &amp; Waste"),T903,"Other Clean Energy"))</f>
        <v>Biofuels</v>
      </c>
      <c r="G903" s="13" t="str">
        <f t="shared" si="125"/>
        <v>Asset finance investments</v>
      </c>
      <c r="H903" s="638">
        <f t="shared" si="124"/>
        <v>87.531509911995798</v>
      </c>
      <c r="I903" s="24" t="s">
        <v>506</v>
      </c>
      <c r="J903" s="25" t="s">
        <v>246</v>
      </c>
      <c r="K903" s="25" t="s">
        <v>2784</v>
      </c>
      <c r="L903" s="25" t="s">
        <v>815</v>
      </c>
      <c r="M903" s="25" t="s">
        <v>31</v>
      </c>
      <c r="N903" s="25" t="s">
        <v>31</v>
      </c>
      <c r="O903" s="25" t="s">
        <v>92</v>
      </c>
      <c r="P903" s="25" t="s">
        <v>83</v>
      </c>
      <c r="Q903" s="25" t="s">
        <v>82</v>
      </c>
      <c r="R903" s="25" t="s">
        <v>91</v>
      </c>
      <c r="S903" s="25" t="s">
        <v>96</v>
      </c>
      <c r="T903" s="25" t="s">
        <v>96</v>
      </c>
      <c r="U903" s="25" t="s">
        <v>98</v>
      </c>
      <c r="V903" s="25" t="s">
        <v>230</v>
      </c>
      <c r="W903" s="25" t="s">
        <v>553</v>
      </c>
      <c r="X903" s="25" t="s">
        <v>1752</v>
      </c>
      <c r="Y903" s="25" t="s">
        <v>1753</v>
      </c>
      <c r="Z903" s="26">
        <v>40345</v>
      </c>
      <c r="AA903" s="776">
        <v>0</v>
      </c>
      <c r="AB903" s="776">
        <v>86</v>
      </c>
      <c r="AC903" s="776">
        <v>0</v>
      </c>
      <c r="AD903" s="776">
        <v>0</v>
      </c>
      <c r="AE903" s="777">
        <v>84</v>
      </c>
      <c r="AF903" s="777">
        <v>84</v>
      </c>
      <c r="AG903" s="778">
        <v>87.531509911995798</v>
      </c>
    </row>
    <row r="904" spans="1:33" x14ac:dyDescent="0.2">
      <c r="A904" s="15">
        <f t="shared" si="119"/>
        <v>2010</v>
      </c>
      <c r="B904" s="14">
        <f t="shared" si="120"/>
        <v>6</v>
      </c>
      <c r="C904" s="13" t="str">
        <f t="shared" si="121"/>
        <v>Q2</v>
      </c>
      <c r="D904" s="13" t="str">
        <f t="shared" si="122"/>
        <v>2010Q2</v>
      </c>
      <c r="E904" s="13" t="str">
        <f t="shared" si="123"/>
        <v>Argentina</v>
      </c>
      <c r="F904" s="13" t="str">
        <f t="shared" si="126"/>
        <v>Biomass &amp; Waste</v>
      </c>
      <c r="G904" s="13" t="str">
        <f t="shared" si="125"/>
        <v>Asset finance investments</v>
      </c>
      <c r="H904" s="638">
        <f t="shared" si="124"/>
        <v>83.363342773329322</v>
      </c>
      <c r="I904" s="24" t="s">
        <v>506</v>
      </c>
      <c r="J904" s="25" t="s">
        <v>246</v>
      </c>
      <c r="K904" s="25" t="s">
        <v>2785</v>
      </c>
      <c r="L904" s="25" t="s">
        <v>816</v>
      </c>
      <c r="M904" s="25" t="s">
        <v>4</v>
      </c>
      <c r="N904" s="25" t="s">
        <v>85</v>
      </c>
      <c r="O904" s="25" t="s">
        <v>92</v>
      </c>
      <c r="P904" s="25" t="s">
        <v>83</v>
      </c>
      <c r="Q904" s="25" t="s">
        <v>82</v>
      </c>
      <c r="R904" s="25"/>
      <c r="S904" s="25" t="s">
        <v>114</v>
      </c>
      <c r="T904" s="25" t="s">
        <v>114</v>
      </c>
      <c r="U904" s="25" t="s">
        <v>113</v>
      </c>
      <c r="V904" s="25" t="s">
        <v>347</v>
      </c>
      <c r="W904" s="25" t="s">
        <v>553</v>
      </c>
      <c r="X904" s="25" t="s">
        <v>1752</v>
      </c>
      <c r="Y904" s="25" t="s">
        <v>1753</v>
      </c>
      <c r="Z904" s="26">
        <v>40345</v>
      </c>
      <c r="AA904" s="776">
        <v>50</v>
      </c>
      <c r="AB904" s="776">
        <v>0</v>
      </c>
      <c r="AC904" s="776">
        <v>0</v>
      </c>
      <c r="AD904" s="776">
        <v>0</v>
      </c>
      <c r="AE904" s="777">
        <v>80</v>
      </c>
      <c r="AF904" s="777">
        <v>80</v>
      </c>
      <c r="AG904" s="778">
        <v>83.363342773329322</v>
      </c>
    </row>
    <row r="905" spans="1:33" x14ac:dyDescent="0.2">
      <c r="A905" s="15">
        <f t="shared" si="119"/>
        <v>2010</v>
      </c>
      <c r="B905" s="14">
        <f t="shared" si="120"/>
        <v>6</v>
      </c>
      <c r="C905" s="13" t="str">
        <f t="shared" si="121"/>
        <v>Q2</v>
      </c>
      <c r="D905" s="13" t="str">
        <f t="shared" si="122"/>
        <v>2010Q2</v>
      </c>
      <c r="E905" s="13" t="str">
        <f t="shared" si="123"/>
        <v>Brazil</v>
      </c>
      <c r="F905" s="13" t="str">
        <f t="shared" si="126"/>
        <v>Small Hydro</v>
      </c>
      <c r="G905" s="13" t="str">
        <f t="shared" si="125"/>
        <v>Asset finance investments</v>
      </c>
      <c r="H905" s="638">
        <f t="shared" si="124"/>
        <v>56.374460550463958</v>
      </c>
      <c r="I905" s="24" t="s">
        <v>506</v>
      </c>
      <c r="J905" s="25" t="s">
        <v>246</v>
      </c>
      <c r="K905" s="25" t="s">
        <v>2786</v>
      </c>
      <c r="L905" s="25" t="s">
        <v>817</v>
      </c>
      <c r="M905" s="25" t="s">
        <v>31</v>
      </c>
      <c r="N905" s="25" t="s">
        <v>31</v>
      </c>
      <c r="O905" s="25" t="s">
        <v>92</v>
      </c>
      <c r="P905" s="25" t="s">
        <v>83</v>
      </c>
      <c r="Q905" s="25" t="s">
        <v>82</v>
      </c>
      <c r="R905" s="25" t="s">
        <v>91</v>
      </c>
      <c r="S905" s="25" t="s">
        <v>126</v>
      </c>
      <c r="T905" s="25" t="s">
        <v>125</v>
      </c>
      <c r="U905" s="25" t="s">
        <v>247</v>
      </c>
      <c r="V905" s="25">
        <v>0</v>
      </c>
      <c r="W905" s="25" t="s">
        <v>553</v>
      </c>
      <c r="X905" s="25" t="s">
        <v>1752</v>
      </c>
      <c r="Y905" s="25" t="s">
        <v>1753</v>
      </c>
      <c r="Z905" s="26">
        <v>40330</v>
      </c>
      <c r="AA905" s="776">
        <v>19</v>
      </c>
      <c r="AB905" s="776">
        <v>0</v>
      </c>
      <c r="AC905" s="776">
        <v>0</v>
      </c>
      <c r="AD905" s="776">
        <v>0</v>
      </c>
      <c r="AE905" s="777">
        <v>54.1</v>
      </c>
      <c r="AF905" s="777">
        <v>54.1</v>
      </c>
      <c r="AG905" s="778">
        <v>56.374460550463958</v>
      </c>
    </row>
    <row r="906" spans="1:33" x14ac:dyDescent="0.2">
      <c r="A906" s="15">
        <f t="shared" si="119"/>
        <v>2010</v>
      </c>
      <c r="B906" s="14">
        <f t="shared" si="120"/>
        <v>4</v>
      </c>
      <c r="C906" s="13" t="str">
        <f t="shared" si="121"/>
        <v>Q2</v>
      </c>
      <c r="D906" s="13" t="str">
        <f t="shared" si="122"/>
        <v>2010Q2</v>
      </c>
      <c r="E906" s="13" t="str">
        <f t="shared" si="123"/>
        <v>Brazil</v>
      </c>
      <c r="F906" s="13" t="str">
        <f t="shared" si="126"/>
        <v>Small Hydro</v>
      </c>
      <c r="G906" s="13" t="str">
        <f t="shared" si="125"/>
        <v>Asset finance investments</v>
      </c>
      <c r="H906" s="638">
        <f t="shared" si="124"/>
        <v>52.623110125664134</v>
      </c>
      <c r="I906" s="24" t="s">
        <v>506</v>
      </c>
      <c r="J906" s="25" t="s">
        <v>246</v>
      </c>
      <c r="K906" s="25" t="s">
        <v>2787</v>
      </c>
      <c r="L906" s="25" t="s">
        <v>825</v>
      </c>
      <c r="M906" s="25" t="s">
        <v>31</v>
      </c>
      <c r="N906" s="25" t="s">
        <v>31</v>
      </c>
      <c r="O906" s="25" t="s">
        <v>92</v>
      </c>
      <c r="P906" s="25" t="s">
        <v>83</v>
      </c>
      <c r="Q906" s="25" t="s">
        <v>82</v>
      </c>
      <c r="R906" s="25" t="s">
        <v>91</v>
      </c>
      <c r="S906" s="25" t="s">
        <v>126</v>
      </c>
      <c r="T906" s="25" t="s">
        <v>125</v>
      </c>
      <c r="U906" s="25" t="s">
        <v>247</v>
      </c>
      <c r="V906" s="25">
        <v>0</v>
      </c>
      <c r="W906" s="25" t="s">
        <v>553</v>
      </c>
      <c r="X906" s="25" t="s">
        <v>1752</v>
      </c>
      <c r="Y906" s="25" t="s">
        <v>1753</v>
      </c>
      <c r="Z906" s="26">
        <v>40280.788888888899</v>
      </c>
      <c r="AA906" s="776">
        <v>25</v>
      </c>
      <c r="AB906" s="776">
        <v>0</v>
      </c>
      <c r="AC906" s="776">
        <v>0</v>
      </c>
      <c r="AD906" s="776">
        <v>0</v>
      </c>
      <c r="AE906" s="777">
        <v>0</v>
      </c>
      <c r="AF906" s="777">
        <v>50.5</v>
      </c>
      <c r="AG906" s="778">
        <v>52.623110125664134</v>
      </c>
    </row>
    <row r="907" spans="1:33" x14ac:dyDescent="0.2">
      <c r="A907" s="15">
        <f t="shared" si="119"/>
        <v>2010</v>
      </c>
      <c r="B907" s="14">
        <f t="shared" si="120"/>
        <v>5</v>
      </c>
      <c r="C907" s="13" t="str">
        <f t="shared" si="121"/>
        <v>Q2</v>
      </c>
      <c r="D907" s="13" t="str">
        <f t="shared" si="122"/>
        <v>2010Q2</v>
      </c>
      <c r="E907" s="13" t="str">
        <f t="shared" si="123"/>
        <v>Mexico</v>
      </c>
      <c r="F907" s="13" t="str">
        <f t="shared" si="126"/>
        <v>Biomass &amp; Waste</v>
      </c>
      <c r="G907" s="13" t="str">
        <f t="shared" si="125"/>
        <v>Asset finance investments</v>
      </c>
      <c r="H907" s="638">
        <f t="shared" si="124"/>
        <v>50.018005663997599</v>
      </c>
      <c r="I907" s="24" t="s">
        <v>506</v>
      </c>
      <c r="J907" s="25" t="s">
        <v>246</v>
      </c>
      <c r="K907" s="25" t="s">
        <v>2788</v>
      </c>
      <c r="L907" s="25" t="s">
        <v>736</v>
      </c>
      <c r="M907" s="25" t="s">
        <v>18</v>
      </c>
      <c r="N907" s="25" t="s">
        <v>85</v>
      </c>
      <c r="O907" s="25" t="s">
        <v>92</v>
      </c>
      <c r="P907" s="25" t="s">
        <v>83</v>
      </c>
      <c r="Q907" s="25" t="s">
        <v>129</v>
      </c>
      <c r="R907" s="25"/>
      <c r="S907" s="25" t="s">
        <v>114</v>
      </c>
      <c r="T907" s="25" t="s">
        <v>114</v>
      </c>
      <c r="U907" s="25" t="s">
        <v>113</v>
      </c>
      <c r="V907" s="25" t="s">
        <v>347</v>
      </c>
      <c r="W907" s="25" t="s">
        <v>553</v>
      </c>
      <c r="X907" s="25" t="s">
        <v>1752</v>
      </c>
      <c r="Y907" s="25" t="s">
        <v>1753</v>
      </c>
      <c r="Z907" s="26">
        <v>40316</v>
      </c>
      <c r="AA907" s="776">
        <v>40</v>
      </c>
      <c r="AB907" s="776">
        <v>0</v>
      </c>
      <c r="AC907" s="776">
        <v>0</v>
      </c>
      <c r="AD907" s="776">
        <v>0</v>
      </c>
      <c r="AE907" s="777">
        <v>48</v>
      </c>
      <c r="AF907" s="777">
        <v>48</v>
      </c>
      <c r="AG907" s="778">
        <v>50.018005663997599</v>
      </c>
    </row>
    <row r="908" spans="1:33" x14ac:dyDescent="0.2">
      <c r="A908" s="15">
        <f t="shared" si="119"/>
        <v>2010</v>
      </c>
      <c r="B908" s="14">
        <f t="shared" si="120"/>
        <v>5</v>
      </c>
      <c r="C908" s="13" t="str">
        <f t="shared" si="121"/>
        <v>Q2</v>
      </c>
      <c r="D908" s="13" t="str">
        <f t="shared" si="122"/>
        <v>2010Q2</v>
      </c>
      <c r="E908" s="13" t="str">
        <f t="shared" si="123"/>
        <v>Mexico</v>
      </c>
      <c r="F908" s="13" t="str">
        <f t="shared" si="126"/>
        <v>Geothermal</v>
      </c>
      <c r="G908" s="13" t="str">
        <f t="shared" si="125"/>
        <v>Asset finance investments</v>
      </c>
      <c r="H908" s="638">
        <f t="shared" si="124"/>
        <v>44.8077967406645</v>
      </c>
      <c r="I908" s="24" t="s">
        <v>506</v>
      </c>
      <c r="J908" s="25" t="s">
        <v>246</v>
      </c>
      <c r="K908" s="25" t="s">
        <v>2789</v>
      </c>
      <c r="L908" s="25" t="s">
        <v>2790</v>
      </c>
      <c r="M908" s="25" t="s">
        <v>18</v>
      </c>
      <c r="N908" s="25" t="s">
        <v>85</v>
      </c>
      <c r="O908" s="25" t="s">
        <v>92</v>
      </c>
      <c r="P908" s="25" t="s">
        <v>83</v>
      </c>
      <c r="Q908" s="25" t="s">
        <v>129</v>
      </c>
      <c r="R908" s="25"/>
      <c r="S908" s="25" t="s">
        <v>157</v>
      </c>
      <c r="T908" s="25" t="s">
        <v>157</v>
      </c>
      <c r="U908" s="25" t="s">
        <v>156</v>
      </c>
      <c r="V908" s="25" t="s">
        <v>248</v>
      </c>
      <c r="W908" s="25" t="s">
        <v>553</v>
      </c>
      <c r="X908" s="25" t="s">
        <v>1752</v>
      </c>
      <c r="Y908" s="25" t="s">
        <v>1753</v>
      </c>
      <c r="Z908" s="26">
        <v>40329</v>
      </c>
      <c r="AA908" s="776">
        <v>25</v>
      </c>
      <c r="AB908" s="776">
        <v>0</v>
      </c>
      <c r="AC908" s="776">
        <v>0</v>
      </c>
      <c r="AD908" s="776">
        <v>0</v>
      </c>
      <c r="AE908" s="777">
        <v>0</v>
      </c>
      <c r="AF908" s="777">
        <v>43</v>
      </c>
      <c r="AG908" s="778">
        <v>44.8077967406645</v>
      </c>
    </row>
    <row r="909" spans="1:33" x14ac:dyDescent="0.2">
      <c r="A909" s="15">
        <f t="shared" si="119"/>
        <v>2010</v>
      </c>
      <c r="B909" s="14">
        <f t="shared" si="120"/>
        <v>6</v>
      </c>
      <c r="C909" s="13" t="str">
        <f t="shared" si="121"/>
        <v>Q2</v>
      </c>
      <c r="D909" s="13" t="str">
        <f t="shared" si="122"/>
        <v>2010Q2</v>
      </c>
      <c r="E909" s="13" t="str">
        <f t="shared" si="123"/>
        <v>Brazil</v>
      </c>
      <c r="F909" s="13" t="str">
        <f t="shared" si="126"/>
        <v>Small Hydro</v>
      </c>
      <c r="G909" s="13" t="str">
        <f t="shared" si="125"/>
        <v>Asset finance investments</v>
      </c>
      <c r="H909" s="638">
        <f t="shared" si="124"/>
        <v>43.036325706731262</v>
      </c>
      <c r="I909" s="24" t="s">
        <v>506</v>
      </c>
      <c r="J909" s="25" t="s">
        <v>246</v>
      </c>
      <c r="K909" s="25" t="s">
        <v>2791</v>
      </c>
      <c r="L909" s="25" t="s">
        <v>911</v>
      </c>
      <c r="M909" s="25" t="s">
        <v>31</v>
      </c>
      <c r="N909" s="25" t="s">
        <v>31</v>
      </c>
      <c r="O909" s="25" t="s">
        <v>92</v>
      </c>
      <c r="P909" s="25" t="s">
        <v>83</v>
      </c>
      <c r="Q909" s="25" t="s">
        <v>82</v>
      </c>
      <c r="R909" s="25" t="s">
        <v>91</v>
      </c>
      <c r="S909" s="25" t="s">
        <v>126</v>
      </c>
      <c r="T909" s="25" t="s">
        <v>125</v>
      </c>
      <c r="U909" s="25" t="s">
        <v>247</v>
      </c>
      <c r="V909" s="25">
        <v>0</v>
      </c>
      <c r="W909" s="25" t="s">
        <v>553</v>
      </c>
      <c r="X909" s="25" t="s">
        <v>1749</v>
      </c>
      <c r="Y909" s="25" t="s">
        <v>1750</v>
      </c>
      <c r="Z909" s="26">
        <v>40359</v>
      </c>
      <c r="AA909" s="776">
        <v>11.5</v>
      </c>
      <c r="AB909" s="776">
        <v>0</v>
      </c>
      <c r="AC909" s="776">
        <v>0</v>
      </c>
      <c r="AD909" s="776">
        <v>0</v>
      </c>
      <c r="AE909" s="777">
        <v>41.3</v>
      </c>
      <c r="AF909" s="777">
        <v>41.3</v>
      </c>
      <c r="AG909" s="778">
        <v>43.036325706731262</v>
      </c>
    </row>
    <row r="910" spans="1:33" x14ac:dyDescent="0.2">
      <c r="A910" s="15">
        <f t="shared" si="119"/>
        <v>2010</v>
      </c>
      <c r="B910" s="14">
        <f t="shared" si="120"/>
        <v>4</v>
      </c>
      <c r="C910" s="13" t="str">
        <f t="shared" si="121"/>
        <v>Q2</v>
      </c>
      <c r="D910" s="13" t="str">
        <f t="shared" si="122"/>
        <v>2010Q2</v>
      </c>
      <c r="E910" s="13" t="str">
        <f t="shared" si="123"/>
        <v>Brazil</v>
      </c>
      <c r="F910" s="13" t="str">
        <f t="shared" si="126"/>
        <v>Biomass &amp; Waste</v>
      </c>
      <c r="G910" s="13" t="str">
        <f t="shared" si="125"/>
        <v>Asset finance investments</v>
      </c>
      <c r="H910" s="638">
        <f t="shared" si="124"/>
        <v>31.938580700031796</v>
      </c>
      <c r="I910" s="24" t="s">
        <v>506</v>
      </c>
      <c r="J910" s="25" t="s">
        <v>246</v>
      </c>
      <c r="K910" s="25" t="s">
        <v>2792</v>
      </c>
      <c r="L910" s="25" t="s">
        <v>777</v>
      </c>
      <c r="M910" s="25" t="s">
        <v>31</v>
      </c>
      <c r="N910" s="25" t="s">
        <v>31</v>
      </c>
      <c r="O910" s="25" t="s">
        <v>92</v>
      </c>
      <c r="P910" s="25" t="s">
        <v>83</v>
      </c>
      <c r="Q910" s="25" t="s">
        <v>82</v>
      </c>
      <c r="R910" s="25" t="s">
        <v>91</v>
      </c>
      <c r="S910" s="25" t="s">
        <v>114</v>
      </c>
      <c r="T910" s="25" t="s">
        <v>114</v>
      </c>
      <c r="U910" s="25" t="s">
        <v>379</v>
      </c>
      <c r="V910" s="25" t="s">
        <v>347</v>
      </c>
      <c r="W910" s="25" t="s">
        <v>553</v>
      </c>
      <c r="X910" s="25" t="s">
        <v>1749</v>
      </c>
      <c r="Y910" s="25" t="s">
        <v>1750</v>
      </c>
      <c r="Z910" s="26">
        <v>40282</v>
      </c>
      <c r="AA910" s="776">
        <v>0</v>
      </c>
      <c r="AB910" s="776">
        <v>0</v>
      </c>
      <c r="AC910" s="776">
        <v>0</v>
      </c>
      <c r="AD910" s="776">
        <v>0</v>
      </c>
      <c r="AE910" s="777">
        <v>0</v>
      </c>
      <c r="AF910" s="777">
        <v>30.65</v>
      </c>
      <c r="AG910" s="778">
        <v>31.938580700031796</v>
      </c>
    </row>
    <row r="911" spans="1:33" x14ac:dyDescent="0.2">
      <c r="A911" s="15">
        <f t="shared" si="119"/>
        <v>2010</v>
      </c>
      <c r="B911" s="14">
        <f t="shared" si="120"/>
        <v>4</v>
      </c>
      <c r="C911" s="13" t="str">
        <f t="shared" si="121"/>
        <v>Q2</v>
      </c>
      <c r="D911" s="13" t="str">
        <f t="shared" si="122"/>
        <v>2010Q2</v>
      </c>
      <c r="E911" s="13" t="str">
        <f t="shared" si="123"/>
        <v>Brazil</v>
      </c>
      <c r="F911" s="13" t="str">
        <f t="shared" si="126"/>
        <v>Biomass &amp; Waste</v>
      </c>
      <c r="G911" s="13" t="str">
        <f t="shared" si="125"/>
        <v>Asset finance investments</v>
      </c>
      <c r="H911" s="638">
        <f t="shared" si="124"/>
        <v>31.261253539998496</v>
      </c>
      <c r="I911" s="24" t="s">
        <v>506</v>
      </c>
      <c r="J911" s="25" t="s">
        <v>246</v>
      </c>
      <c r="K911" s="25" t="s">
        <v>2793</v>
      </c>
      <c r="L911" s="25" t="s">
        <v>603</v>
      </c>
      <c r="M911" s="25" t="s">
        <v>31</v>
      </c>
      <c r="N911" s="25" t="s">
        <v>31</v>
      </c>
      <c r="O911" s="25" t="s">
        <v>92</v>
      </c>
      <c r="P911" s="25" t="s">
        <v>83</v>
      </c>
      <c r="Q911" s="25" t="s">
        <v>82</v>
      </c>
      <c r="R911" s="25" t="s">
        <v>91</v>
      </c>
      <c r="S911" s="25" t="s">
        <v>114</v>
      </c>
      <c r="T911" s="25" t="s">
        <v>114</v>
      </c>
      <c r="U911" s="25" t="s">
        <v>113</v>
      </c>
      <c r="V911" s="25" t="s">
        <v>347</v>
      </c>
      <c r="W911" s="25" t="s">
        <v>553</v>
      </c>
      <c r="X911" s="25" t="s">
        <v>1752</v>
      </c>
      <c r="Y911" s="25" t="s">
        <v>1753</v>
      </c>
      <c r="Z911" s="26">
        <v>40298</v>
      </c>
      <c r="AA911" s="776">
        <v>12.5</v>
      </c>
      <c r="AB911" s="776">
        <v>0</v>
      </c>
      <c r="AC911" s="776">
        <v>0</v>
      </c>
      <c r="AD911" s="776">
        <v>0</v>
      </c>
      <c r="AE911" s="777">
        <v>30</v>
      </c>
      <c r="AF911" s="777">
        <v>30</v>
      </c>
      <c r="AG911" s="778">
        <v>31.261253539998496</v>
      </c>
    </row>
    <row r="912" spans="1:33" x14ac:dyDescent="0.2">
      <c r="A912" s="15">
        <f t="shared" si="119"/>
        <v>2010</v>
      </c>
      <c r="B912" s="14">
        <f t="shared" si="120"/>
        <v>6</v>
      </c>
      <c r="C912" s="13" t="str">
        <f t="shared" si="121"/>
        <v>Q2</v>
      </c>
      <c r="D912" s="13" t="str">
        <f t="shared" si="122"/>
        <v>2010Q2</v>
      </c>
      <c r="E912" s="13" t="str">
        <f t="shared" si="123"/>
        <v>Brazil</v>
      </c>
      <c r="F912" s="13" t="str">
        <f t="shared" si="126"/>
        <v>Biomass &amp; Waste</v>
      </c>
      <c r="G912" s="13" t="str">
        <f t="shared" si="125"/>
        <v>Asset finance investments</v>
      </c>
      <c r="H912" s="638">
        <f t="shared" si="124"/>
        <v>29.177169970665265</v>
      </c>
      <c r="I912" s="24" t="s">
        <v>506</v>
      </c>
      <c r="J912" s="25" t="s">
        <v>246</v>
      </c>
      <c r="K912" s="25" t="s">
        <v>2794</v>
      </c>
      <c r="L912" s="25" t="s">
        <v>823</v>
      </c>
      <c r="M912" s="25" t="s">
        <v>31</v>
      </c>
      <c r="N912" s="25" t="s">
        <v>31</v>
      </c>
      <c r="O912" s="25" t="s">
        <v>92</v>
      </c>
      <c r="P912" s="25" t="s">
        <v>83</v>
      </c>
      <c r="Q912" s="25" t="s">
        <v>82</v>
      </c>
      <c r="R912" s="25" t="s">
        <v>91</v>
      </c>
      <c r="S912" s="25" t="s">
        <v>114</v>
      </c>
      <c r="T912" s="25" t="s">
        <v>114</v>
      </c>
      <c r="U912" s="25" t="s">
        <v>113</v>
      </c>
      <c r="V912" s="25" t="s">
        <v>722</v>
      </c>
      <c r="W912" s="25" t="s">
        <v>553</v>
      </c>
      <c r="X912" s="25" t="s">
        <v>1749</v>
      </c>
      <c r="Y912" s="25" t="s">
        <v>1750</v>
      </c>
      <c r="Z912" s="26">
        <v>40359</v>
      </c>
      <c r="AA912" s="776">
        <v>19.7</v>
      </c>
      <c r="AB912" s="776">
        <v>0</v>
      </c>
      <c r="AC912" s="776">
        <v>0</v>
      </c>
      <c r="AD912" s="776">
        <v>0</v>
      </c>
      <c r="AE912" s="777">
        <v>28</v>
      </c>
      <c r="AF912" s="777">
        <v>28</v>
      </c>
      <c r="AG912" s="778">
        <v>29.177169970665265</v>
      </c>
    </row>
    <row r="913" spans="1:33" x14ac:dyDescent="0.2">
      <c r="A913" s="15">
        <f t="shared" si="119"/>
        <v>2010</v>
      </c>
      <c r="B913" s="14">
        <f t="shared" si="120"/>
        <v>4</v>
      </c>
      <c r="C913" s="13" t="str">
        <f t="shared" si="121"/>
        <v>Q2</v>
      </c>
      <c r="D913" s="13" t="str">
        <f t="shared" si="122"/>
        <v>2010Q2</v>
      </c>
      <c r="E913" s="13" t="str">
        <f t="shared" si="123"/>
        <v>Brazil</v>
      </c>
      <c r="F913" s="13" t="str">
        <f t="shared" si="126"/>
        <v>Biofuels</v>
      </c>
      <c r="G913" s="13" t="str">
        <f t="shared" si="125"/>
        <v>Asset finance investments</v>
      </c>
      <c r="H913" s="638">
        <f t="shared" si="124"/>
        <v>22.924919262665565</v>
      </c>
      <c r="I913" s="24" t="s">
        <v>506</v>
      </c>
      <c r="J913" s="25" t="s">
        <v>246</v>
      </c>
      <c r="K913" s="25" t="s">
        <v>2795</v>
      </c>
      <c r="L913" s="25" t="s">
        <v>2796</v>
      </c>
      <c r="M913" s="25" t="s">
        <v>31</v>
      </c>
      <c r="N913" s="25" t="s">
        <v>31</v>
      </c>
      <c r="O913" s="25" t="s">
        <v>92</v>
      </c>
      <c r="P913" s="25" t="s">
        <v>83</v>
      </c>
      <c r="Q913" s="25" t="s">
        <v>82</v>
      </c>
      <c r="R913" s="25" t="s">
        <v>91</v>
      </c>
      <c r="S913" s="25" t="s">
        <v>96</v>
      </c>
      <c r="T913" s="25" t="s">
        <v>96</v>
      </c>
      <c r="U913" s="25" t="s">
        <v>95</v>
      </c>
      <c r="V913" s="25" t="s">
        <v>223</v>
      </c>
      <c r="W913" s="25" t="s">
        <v>553</v>
      </c>
      <c r="X913" s="25" t="s">
        <v>1749</v>
      </c>
      <c r="Y913" s="25" t="s">
        <v>1750</v>
      </c>
      <c r="Z913" s="26">
        <v>40282</v>
      </c>
      <c r="AA913" s="776">
        <v>0</v>
      </c>
      <c r="AB913" s="776">
        <v>151.9</v>
      </c>
      <c r="AC913" s="776">
        <v>0</v>
      </c>
      <c r="AD913" s="776">
        <v>0</v>
      </c>
      <c r="AE913" s="777">
        <v>22</v>
      </c>
      <c r="AF913" s="777">
        <v>22</v>
      </c>
      <c r="AG913" s="778">
        <v>22.924919262665565</v>
      </c>
    </row>
    <row r="914" spans="1:33" x14ac:dyDescent="0.2">
      <c r="A914" s="15">
        <f t="shared" si="119"/>
        <v>2010</v>
      </c>
      <c r="B914" s="14">
        <f t="shared" si="120"/>
        <v>4</v>
      </c>
      <c r="C914" s="13" t="str">
        <f t="shared" si="121"/>
        <v>Q2</v>
      </c>
      <c r="D914" s="13" t="str">
        <f t="shared" si="122"/>
        <v>2010Q2</v>
      </c>
      <c r="E914" s="13" t="str">
        <f t="shared" si="123"/>
        <v>Peru</v>
      </c>
      <c r="F914" s="13" t="str">
        <f t="shared" si="126"/>
        <v>Small Hydro</v>
      </c>
      <c r="G914" s="13" t="str">
        <f t="shared" si="125"/>
        <v>Asset finance investments</v>
      </c>
      <c r="H914" s="638">
        <f t="shared" si="124"/>
        <v>21.049244050265653</v>
      </c>
      <c r="I914" s="24" t="s">
        <v>506</v>
      </c>
      <c r="J914" s="25" t="s">
        <v>246</v>
      </c>
      <c r="K914" s="25" t="s">
        <v>2797</v>
      </c>
      <c r="L914" s="25" t="s">
        <v>2798</v>
      </c>
      <c r="M914" s="25" t="s">
        <v>20</v>
      </c>
      <c r="N914" s="25" t="s">
        <v>85</v>
      </c>
      <c r="O914" s="25" t="s">
        <v>92</v>
      </c>
      <c r="P914" s="25" t="s">
        <v>83</v>
      </c>
      <c r="Q914" s="25" t="s">
        <v>82</v>
      </c>
      <c r="R914" s="25"/>
      <c r="S914" s="25" t="s">
        <v>126</v>
      </c>
      <c r="T914" s="25" t="s">
        <v>125</v>
      </c>
      <c r="U914" s="25" t="s">
        <v>247</v>
      </c>
      <c r="V914" s="25">
        <v>0</v>
      </c>
      <c r="W914" s="25" t="s">
        <v>553</v>
      </c>
      <c r="X914" s="25" t="s">
        <v>1752</v>
      </c>
      <c r="Y914" s="25" t="s">
        <v>1753</v>
      </c>
      <c r="Z914" s="26">
        <v>40298</v>
      </c>
      <c r="AA914" s="776">
        <v>10</v>
      </c>
      <c r="AB914" s="776">
        <v>0</v>
      </c>
      <c r="AC914" s="776">
        <v>0</v>
      </c>
      <c r="AD914" s="776">
        <v>0</v>
      </c>
      <c r="AE914" s="777">
        <v>0</v>
      </c>
      <c r="AF914" s="777">
        <v>20.2</v>
      </c>
      <c r="AG914" s="778">
        <v>21.049244050265653</v>
      </c>
    </row>
    <row r="915" spans="1:33" x14ac:dyDescent="0.2">
      <c r="A915" s="15">
        <f t="shared" si="119"/>
        <v>2010</v>
      </c>
      <c r="B915" s="14">
        <f t="shared" si="120"/>
        <v>6</v>
      </c>
      <c r="C915" s="13" t="str">
        <f t="shared" si="121"/>
        <v>Q2</v>
      </c>
      <c r="D915" s="13" t="str">
        <f t="shared" si="122"/>
        <v>2010Q2</v>
      </c>
      <c r="E915" s="13" t="str">
        <f t="shared" si="123"/>
        <v>Chile</v>
      </c>
      <c r="F915" s="13" t="str">
        <f t="shared" si="126"/>
        <v>Small Hydro</v>
      </c>
      <c r="G915" s="13" t="str">
        <f t="shared" si="125"/>
        <v>Asset finance investments</v>
      </c>
      <c r="H915" s="638">
        <f t="shared" si="124"/>
        <v>20.84083569333233</v>
      </c>
      <c r="I915" s="24" t="s">
        <v>506</v>
      </c>
      <c r="J915" s="25" t="s">
        <v>246</v>
      </c>
      <c r="K915" s="25" t="s">
        <v>2799</v>
      </c>
      <c r="L915" s="25" t="s">
        <v>689</v>
      </c>
      <c r="M915" s="25" t="s">
        <v>8</v>
      </c>
      <c r="N915" s="25" t="s">
        <v>85</v>
      </c>
      <c r="O915" s="25" t="s">
        <v>92</v>
      </c>
      <c r="P915" s="25" t="s">
        <v>83</v>
      </c>
      <c r="Q915" s="25" t="s">
        <v>129</v>
      </c>
      <c r="R915" s="25"/>
      <c r="S915" s="25" t="s">
        <v>126</v>
      </c>
      <c r="T915" s="25" t="s">
        <v>125</v>
      </c>
      <c r="U915" s="25" t="s">
        <v>247</v>
      </c>
      <c r="V915" s="25">
        <v>0</v>
      </c>
      <c r="W915" s="25" t="s">
        <v>553</v>
      </c>
      <c r="X915" s="25" t="s">
        <v>1752</v>
      </c>
      <c r="Y915" s="25" t="s">
        <v>1753</v>
      </c>
      <c r="Z915" s="26">
        <v>40359</v>
      </c>
      <c r="AA915" s="776">
        <v>9</v>
      </c>
      <c r="AB915" s="776">
        <v>0</v>
      </c>
      <c r="AC915" s="776">
        <v>0</v>
      </c>
      <c r="AD915" s="776">
        <v>0</v>
      </c>
      <c r="AE915" s="777">
        <v>20</v>
      </c>
      <c r="AF915" s="777">
        <v>20</v>
      </c>
      <c r="AG915" s="778">
        <v>20.84083569333233</v>
      </c>
    </row>
    <row r="916" spans="1:33" x14ac:dyDescent="0.2">
      <c r="A916" s="15">
        <f t="shared" si="119"/>
        <v>2010</v>
      </c>
      <c r="B916" s="14">
        <f t="shared" si="120"/>
        <v>4</v>
      </c>
      <c r="C916" s="13" t="str">
        <f t="shared" si="121"/>
        <v>Q2</v>
      </c>
      <c r="D916" s="13" t="str">
        <f t="shared" si="122"/>
        <v>2010Q2</v>
      </c>
      <c r="E916" s="13" t="str">
        <f t="shared" si="123"/>
        <v>Brazil</v>
      </c>
      <c r="F916" s="13" t="str">
        <f t="shared" si="126"/>
        <v>Biofuels</v>
      </c>
      <c r="G916" s="13" t="str">
        <f t="shared" si="125"/>
        <v>Asset finance investments</v>
      </c>
      <c r="H916" s="638">
        <f t="shared" si="124"/>
        <v>17.923118696265803</v>
      </c>
      <c r="I916" s="24" t="s">
        <v>506</v>
      </c>
      <c r="J916" s="25" t="s">
        <v>246</v>
      </c>
      <c r="K916" s="25" t="s">
        <v>2800</v>
      </c>
      <c r="L916" s="25" t="s">
        <v>826</v>
      </c>
      <c r="M916" s="25" t="s">
        <v>31</v>
      </c>
      <c r="N916" s="25" t="s">
        <v>31</v>
      </c>
      <c r="O916" s="25" t="s">
        <v>92</v>
      </c>
      <c r="P916" s="25" t="s">
        <v>83</v>
      </c>
      <c r="Q916" s="25" t="s">
        <v>82</v>
      </c>
      <c r="R916" s="25" t="s">
        <v>91</v>
      </c>
      <c r="S916" s="25" t="s">
        <v>96</v>
      </c>
      <c r="T916" s="25" t="s">
        <v>96</v>
      </c>
      <c r="U916" s="25" t="s">
        <v>98</v>
      </c>
      <c r="V916" s="25" t="s">
        <v>230</v>
      </c>
      <c r="W916" s="25" t="s">
        <v>553</v>
      </c>
      <c r="X916" s="25" t="s">
        <v>1749</v>
      </c>
      <c r="Y916" s="25" t="s">
        <v>1750</v>
      </c>
      <c r="Z916" s="26">
        <v>40280</v>
      </c>
      <c r="AA916" s="776">
        <v>0</v>
      </c>
      <c r="AB916" s="776">
        <v>180</v>
      </c>
      <c r="AC916" s="776">
        <v>0</v>
      </c>
      <c r="AD916" s="776">
        <v>0</v>
      </c>
      <c r="AE916" s="777">
        <v>17.2</v>
      </c>
      <c r="AF916" s="777">
        <v>17.2</v>
      </c>
      <c r="AG916" s="778">
        <v>17.923118696265803</v>
      </c>
    </row>
    <row r="917" spans="1:33" x14ac:dyDescent="0.2">
      <c r="A917" s="15">
        <f t="shared" si="119"/>
        <v>2010</v>
      </c>
      <c r="B917" s="14">
        <f t="shared" si="120"/>
        <v>4</v>
      </c>
      <c r="C917" s="13" t="str">
        <f t="shared" si="121"/>
        <v>Q2</v>
      </c>
      <c r="D917" s="13" t="str">
        <f t="shared" si="122"/>
        <v>2010Q2</v>
      </c>
      <c r="E917" s="13" t="str">
        <f t="shared" si="123"/>
        <v>Brazil</v>
      </c>
      <c r="F917" s="13" t="str">
        <f t="shared" si="126"/>
        <v>Small Hydro</v>
      </c>
      <c r="G917" s="13" t="str">
        <f t="shared" si="125"/>
        <v>Asset finance investments</v>
      </c>
      <c r="H917" s="638">
        <f t="shared" si="124"/>
        <v>15.943239305399235</v>
      </c>
      <c r="I917" s="24" t="s">
        <v>506</v>
      </c>
      <c r="J917" s="25" t="s">
        <v>246</v>
      </c>
      <c r="K917" s="25" t="s">
        <v>2801</v>
      </c>
      <c r="L917" s="25" t="s">
        <v>2802</v>
      </c>
      <c r="M917" s="25" t="s">
        <v>31</v>
      </c>
      <c r="N917" s="25" t="s">
        <v>31</v>
      </c>
      <c r="O917" s="25" t="s">
        <v>92</v>
      </c>
      <c r="P917" s="25" t="s">
        <v>83</v>
      </c>
      <c r="Q917" s="25" t="s">
        <v>82</v>
      </c>
      <c r="R917" s="25" t="s">
        <v>91</v>
      </c>
      <c r="S917" s="25" t="s">
        <v>126</v>
      </c>
      <c r="T917" s="25" t="s">
        <v>125</v>
      </c>
      <c r="U917" s="25" t="s">
        <v>189</v>
      </c>
      <c r="V917" s="25">
        <v>0</v>
      </c>
      <c r="W917" s="25" t="s">
        <v>553</v>
      </c>
      <c r="X917" s="25" t="s">
        <v>1752</v>
      </c>
      <c r="Y917" s="25" t="s">
        <v>1753</v>
      </c>
      <c r="Z917" s="26">
        <v>40288</v>
      </c>
      <c r="AA917" s="776">
        <v>6.1</v>
      </c>
      <c r="AB917" s="776">
        <v>0</v>
      </c>
      <c r="AC917" s="776">
        <v>0</v>
      </c>
      <c r="AD917" s="776">
        <v>0</v>
      </c>
      <c r="AE917" s="777">
        <v>0</v>
      </c>
      <c r="AF917" s="777">
        <v>15.3</v>
      </c>
      <c r="AG917" s="778">
        <v>15.943239305399235</v>
      </c>
    </row>
    <row r="918" spans="1:33" x14ac:dyDescent="0.2">
      <c r="A918" s="15">
        <f t="shared" si="119"/>
        <v>2010</v>
      </c>
      <c r="B918" s="14">
        <f t="shared" si="120"/>
        <v>5</v>
      </c>
      <c r="C918" s="13" t="str">
        <f t="shared" si="121"/>
        <v>Q2</v>
      </c>
      <c r="D918" s="13" t="str">
        <f t="shared" si="122"/>
        <v>2010Q2</v>
      </c>
      <c r="E918" s="13" t="str">
        <f t="shared" si="123"/>
        <v>Argentina</v>
      </c>
      <c r="F918" s="13" t="str">
        <f t="shared" si="126"/>
        <v>Biomass &amp; Waste</v>
      </c>
      <c r="G918" s="13" t="str">
        <f t="shared" si="125"/>
        <v>Asset finance investments</v>
      </c>
      <c r="H918" s="638">
        <f t="shared" si="124"/>
        <v>14.536482896099301</v>
      </c>
      <c r="I918" s="24" t="s">
        <v>506</v>
      </c>
      <c r="J918" s="25" t="s">
        <v>246</v>
      </c>
      <c r="K918" s="25" t="s">
        <v>2803</v>
      </c>
      <c r="L918" s="25" t="s">
        <v>2804</v>
      </c>
      <c r="M918" s="25" t="s">
        <v>4</v>
      </c>
      <c r="N918" s="25" t="s">
        <v>85</v>
      </c>
      <c r="O918" s="25" t="s">
        <v>92</v>
      </c>
      <c r="P918" s="25" t="s">
        <v>83</v>
      </c>
      <c r="Q918" s="25" t="s">
        <v>82</v>
      </c>
      <c r="R918" s="25"/>
      <c r="S918" s="25" t="s">
        <v>114</v>
      </c>
      <c r="T918" s="25" t="s">
        <v>114</v>
      </c>
      <c r="U918" s="25" t="s">
        <v>113</v>
      </c>
      <c r="V918" s="25" t="s">
        <v>722</v>
      </c>
      <c r="W918" s="25" t="s">
        <v>553</v>
      </c>
      <c r="X918" s="25" t="s">
        <v>1752</v>
      </c>
      <c r="Y918" s="25" t="s">
        <v>1753</v>
      </c>
      <c r="Z918" s="26">
        <v>40317</v>
      </c>
      <c r="AA918" s="776">
        <v>5</v>
      </c>
      <c r="AB918" s="776">
        <v>0</v>
      </c>
      <c r="AC918" s="776">
        <v>0</v>
      </c>
      <c r="AD918" s="776">
        <v>0</v>
      </c>
      <c r="AE918" s="777">
        <v>0</v>
      </c>
      <c r="AF918" s="777">
        <v>13.95</v>
      </c>
      <c r="AG918" s="778">
        <v>14.536482896099301</v>
      </c>
    </row>
    <row r="919" spans="1:33" x14ac:dyDescent="0.2">
      <c r="A919" s="15">
        <f t="shared" si="119"/>
        <v>2010</v>
      </c>
      <c r="B919" s="14">
        <f t="shared" si="120"/>
        <v>5</v>
      </c>
      <c r="C919" s="13" t="str">
        <f t="shared" si="121"/>
        <v>Q2</v>
      </c>
      <c r="D919" s="13" t="str">
        <f t="shared" si="122"/>
        <v>2010Q2</v>
      </c>
      <c r="E919" s="13" t="str">
        <f t="shared" si="123"/>
        <v>Brazil</v>
      </c>
      <c r="F919" s="13" t="str">
        <f t="shared" si="126"/>
        <v>Biofuels</v>
      </c>
      <c r="G919" s="13" t="str">
        <f t="shared" si="125"/>
        <v>Asset finance investments</v>
      </c>
      <c r="H919" s="638">
        <f t="shared" si="124"/>
        <v>14.005041585919326</v>
      </c>
      <c r="I919" s="24" t="s">
        <v>506</v>
      </c>
      <c r="J919" s="25" t="s">
        <v>246</v>
      </c>
      <c r="K919" s="25" t="s">
        <v>2805</v>
      </c>
      <c r="L919" s="25" t="s">
        <v>896</v>
      </c>
      <c r="M919" s="25" t="s">
        <v>31</v>
      </c>
      <c r="N919" s="25" t="s">
        <v>31</v>
      </c>
      <c r="O919" s="25" t="s">
        <v>92</v>
      </c>
      <c r="P919" s="25" t="s">
        <v>83</v>
      </c>
      <c r="Q919" s="25" t="s">
        <v>82</v>
      </c>
      <c r="R919" s="25" t="s">
        <v>91</v>
      </c>
      <c r="S919" s="25" t="s">
        <v>96</v>
      </c>
      <c r="T919" s="25" t="s">
        <v>96</v>
      </c>
      <c r="U919" s="25" t="s">
        <v>95</v>
      </c>
      <c r="V919" s="25" t="s">
        <v>223</v>
      </c>
      <c r="W919" s="25" t="s">
        <v>553</v>
      </c>
      <c r="X919" s="25" t="s">
        <v>1752</v>
      </c>
      <c r="Y919" s="25" t="s">
        <v>1753</v>
      </c>
      <c r="Z919" s="26">
        <v>40322</v>
      </c>
      <c r="AA919" s="776">
        <v>0</v>
      </c>
      <c r="AB919" s="776">
        <v>38.4</v>
      </c>
      <c r="AC919" s="776">
        <v>0</v>
      </c>
      <c r="AD919" s="776">
        <v>0</v>
      </c>
      <c r="AE919" s="777">
        <v>0</v>
      </c>
      <c r="AF919" s="777">
        <v>13.44</v>
      </c>
      <c r="AG919" s="778">
        <v>14.005041585919326</v>
      </c>
    </row>
    <row r="920" spans="1:33" x14ac:dyDescent="0.2">
      <c r="A920" s="15">
        <f t="shared" si="119"/>
        <v>2010</v>
      </c>
      <c r="B920" s="14">
        <f t="shared" si="120"/>
        <v>6</v>
      </c>
      <c r="C920" s="13" t="str">
        <f t="shared" si="121"/>
        <v>Q2</v>
      </c>
      <c r="D920" s="13" t="str">
        <f t="shared" si="122"/>
        <v>2010Q2</v>
      </c>
      <c r="E920" s="13" t="str">
        <f t="shared" si="123"/>
        <v>Brazil</v>
      </c>
      <c r="F920" s="13" t="str">
        <f t="shared" si="126"/>
        <v>Wind</v>
      </c>
      <c r="G920" s="13" t="str">
        <f t="shared" si="125"/>
        <v>Asset finance investments</v>
      </c>
      <c r="H920" s="638">
        <f t="shared" si="124"/>
        <v>12.712909772932722</v>
      </c>
      <c r="I920" s="24" t="s">
        <v>506</v>
      </c>
      <c r="J920" s="25" t="s">
        <v>246</v>
      </c>
      <c r="K920" s="25" t="s">
        <v>2806</v>
      </c>
      <c r="L920" s="25" t="s">
        <v>814</v>
      </c>
      <c r="M920" s="25" t="s">
        <v>31</v>
      </c>
      <c r="N920" s="25" t="s">
        <v>31</v>
      </c>
      <c r="O920" s="25" t="s">
        <v>92</v>
      </c>
      <c r="P920" s="25" t="s">
        <v>83</v>
      </c>
      <c r="Q920" s="25" t="s">
        <v>82</v>
      </c>
      <c r="R920" s="25" t="s">
        <v>91</v>
      </c>
      <c r="S920" s="25" t="s">
        <v>101</v>
      </c>
      <c r="T920" s="25" t="s">
        <v>101</v>
      </c>
      <c r="U920" s="25" t="s">
        <v>112</v>
      </c>
      <c r="V920" s="25">
        <v>0</v>
      </c>
      <c r="W920" s="25" t="s">
        <v>553</v>
      </c>
      <c r="X920" s="25" t="s">
        <v>1749</v>
      </c>
      <c r="Y920" s="25" t="s">
        <v>1750</v>
      </c>
      <c r="Z920" s="26">
        <v>40339</v>
      </c>
      <c r="AA920" s="776">
        <v>4.5</v>
      </c>
      <c r="AB920" s="776">
        <v>0</v>
      </c>
      <c r="AC920" s="776">
        <v>0</v>
      </c>
      <c r="AD920" s="776">
        <v>0</v>
      </c>
      <c r="AE920" s="777">
        <v>12.2</v>
      </c>
      <c r="AF920" s="777">
        <v>12.2</v>
      </c>
      <c r="AG920" s="778">
        <v>12.712909772932722</v>
      </c>
    </row>
    <row r="921" spans="1:33" x14ac:dyDescent="0.2">
      <c r="A921" s="15">
        <f t="shared" si="119"/>
        <v>2010</v>
      </c>
      <c r="B921" s="14">
        <f t="shared" si="120"/>
        <v>5</v>
      </c>
      <c r="C921" s="13" t="str">
        <f t="shared" si="121"/>
        <v>Q2</v>
      </c>
      <c r="D921" s="13" t="str">
        <f t="shared" si="122"/>
        <v>2010Q2</v>
      </c>
      <c r="E921" s="13" t="str">
        <f t="shared" si="123"/>
        <v>Peru</v>
      </c>
      <c r="F921" s="13" t="str">
        <f t="shared" si="126"/>
        <v>Small Hydro</v>
      </c>
      <c r="G921" s="13" t="str">
        <f t="shared" si="125"/>
        <v>Asset finance investments</v>
      </c>
      <c r="H921" s="638">
        <f t="shared" si="124"/>
        <v>10.628826203599488</v>
      </c>
      <c r="I921" s="24" t="s">
        <v>506</v>
      </c>
      <c r="J921" s="25" t="s">
        <v>246</v>
      </c>
      <c r="K921" s="25" t="s">
        <v>2807</v>
      </c>
      <c r="L921" s="25" t="s">
        <v>836</v>
      </c>
      <c r="M921" s="25" t="s">
        <v>20</v>
      </c>
      <c r="N921" s="25" t="s">
        <v>85</v>
      </c>
      <c r="O921" s="25" t="s">
        <v>92</v>
      </c>
      <c r="P921" s="25" t="s">
        <v>83</v>
      </c>
      <c r="Q921" s="25" t="s">
        <v>82</v>
      </c>
      <c r="R921" s="25"/>
      <c r="S921" s="25" t="s">
        <v>126</v>
      </c>
      <c r="T921" s="25" t="s">
        <v>125</v>
      </c>
      <c r="U921" s="25" t="s">
        <v>247</v>
      </c>
      <c r="V921" s="25">
        <v>0</v>
      </c>
      <c r="W921" s="25" t="s">
        <v>553</v>
      </c>
      <c r="X921" s="25" t="s">
        <v>1752</v>
      </c>
      <c r="Y921" s="25" t="s">
        <v>1753</v>
      </c>
      <c r="Z921" s="26">
        <v>40329</v>
      </c>
      <c r="AA921" s="776">
        <v>6.34</v>
      </c>
      <c r="AB921" s="776">
        <v>0</v>
      </c>
      <c r="AC921" s="776">
        <v>0</v>
      </c>
      <c r="AD921" s="776">
        <v>0</v>
      </c>
      <c r="AE921" s="777">
        <v>10.199999999999999</v>
      </c>
      <c r="AF921" s="777">
        <v>10.199999999999999</v>
      </c>
      <c r="AG921" s="778">
        <v>10.628826203599488</v>
      </c>
    </row>
    <row r="922" spans="1:33" x14ac:dyDescent="0.2">
      <c r="A922" s="15">
        <f t="shared" si="119"/>
        <v>2010</v>
      </c>
      <c r="B922" s="14">
        <f t="shared" si="120"/>
        <v>6</v>
      </c>
      <c r="C922" s="13" t="str">
        <f t="shared" si="121"/>
        <v>Q2</v>
      </c>
      <c r="D922" s="13" t="str">
        <f t="shared" si="122"/>
        <v>2010Q2</v>
      </c>
      <c r="E922" s="13" t="str">
        <f t="shared" si="123"/>
        <v>Brazil</v>
      </c>
      <c r="F922" s="13" t="str">
        <f t="shared" si="126"/>
        <v>Other Clean Energy</v>
      </c>
      <c r="G922" s="13" t="str">
        <f t="shared" si="125"/>
        <v>VC/PE investments</v>
      </c>
      <c r="H922" s="638">
        <f t="shared" si="124"/>
        <v>5.2102089233330826</v>
      </c>
      <c r="I922" s="24" t="s">
        <v>506</v>
      </c>
      <c r="J922" s="25" t="s">
        <v>216</v>
      </c>
      <c r="K922" s="25" t="s">
        <v>2808</v>
      </c>
      <c r="L922" s="25" t="s">
        <v>2809</v>
      </c>
      <c r="M922" s="25" t="s">
        <v>31</v>
      </c>
      <c r="N922" s="25" t="s">
        <v>31</v>
      </c>
      <c r="O922" s="25" t="s">
        <v>92</v>
      </c>
      <c r="P922" s="25" t="s">
        <v>83</v>
      </c>
      <c r="Q922" s="25" t="s">
        <v>82</v>
      </c>
      <c r="R922" s="25" t="s">
        <v>91</v>
      </c>
      <c r="S922" s="25" t="s">
        <v>2810</v>
      </c>
      <c r="T922" s="25" t="s">
        <v>89</v>
      </c>
      <c r="U922" s="25">
        <v>0</v>
      </c>
      <c r="V922" s="25">
        <v>0</v>
      </c>
      <c r="W922" s="25" t="s">
        <v>88</v>
      </c>
      <c r="X922" s="25" t="s">
        <v>508</v>
      </c>
      <c r="Y922" s="25" t="s">
        <v>507</v>
      </c>
      <c r="Z922" s="26">
        <v>40338</v>
      </c>
      <c r="AA922" s="776" t="s">
        <v>1748</v>
      </c>
      <c r="AB922" s="776" t="s">
        <v>1748</v>
      </c>
      <c r="AC922" s="776" t="s">
        <v>1748</v>
      </c>
      <c r="AD922" s="776" t="s">
        <v>1748</v>
      </c>
      <c r="AE922" s="777">
        <v>5</v>
      </c>
      <c r="AF922" s="777">
        <v>5</v>
      </c>
      <c r="AG922" s="778">
        <v>5.2102089233330826</v>
      </c>
    </row>
    <row r="923" spans="1:33" x14ac:dyDescent="0.2">
      <c r="A923" s="15">
        <f t="shared" si="119"/>
        <v>2010</v>
      </c>
      <c r="B923" s="14">
        <f t="shared" si="120"/>
        <v>5</v>
      </c>
      <c r="C923" s="13" t="str">
        <f t="shared" si="121"/>
        <v>Q2</v>
      </c>
      <c r="D923" s="13" t="str">
        <f t="shared" si="122"/>
        <v>2010Q2</v>
      </c>
      <c r="E923" s="13" t="str">
        <f t="shared" si="123"/>
        <v>Argentina</v>
      </c>
      <c r="F923" s="13" t="str">
        <f t="shared" si="126"/>
        <v>Biofuels</v>
      </c>
      <c r="G923" s="13" t="str">
        <f t="shared" si="125"/>
        <v>Asset finance investments</v>
      </c>
      <c r="H923" s="638">
        <f t="shared" si="124"/>
        <v>4.8975963879330964</v>
      </c>
      <c r="I923" s="24" t="s">
        <v>506</v>
      </c>
      <c r="J923" s="25" t="s">
        <v>246</v>
      </c>
      <c r="K923" s="25" t="s">
        <v>2811</v>
      </c>
      <c r="L923" s="25" t="s">
        <v>819</v>
      </c>
      <c r="M923" s="25" t="s">
        <v>4</v>
      </c>
      <c r="N923" s="25" t="s">
        <v>85</v>
      </c>
      <c r="O923" s="25" t="s">
        <v>92</v>
      </c>
      <c r="P923" s="25" t="s">
        <v>83</v>
      </c>
      <c r="Q923" s="25" t="s">
        <v>82</v>
      </c>
      <c r="R923" s="25"/>
      <c r="S923" s="25" t="s">
        <v>96</v>
      </c>
      <c r="T923" s="25" t="s">
        <v>96</v>
      </c>
      <c r="U923" s="25" t="s">
        <v>98</v>
      </c>
      <c r="V923" s="25" t="s">
        <v>691</v>
      </c>
      <c r="W923" s="25" t="s">
        <v>553</v>
      </c>
      <c r="X923" s="25" t="s">
        <v>1752</v>
      </c>
      <c r="Y923" s="25" t="s">
        <v>1753</v>
      </c>
      <c r="Z923" s="26">
        <v>40329</v>
      </c>
      <c r="AA923" s="776">
        <v>0</v>
      </c>
      <c r="AB923" s="776">
        <v>10</v>
      </c>
      <c r="AC923" s="776">
        <v>0</v>
      </c>
      <c r="AD923" s="776">
        <v>0</v>
      </c>
      <c r="AE923" s="777">
        <v>0</v>
      </c>
      <c r="AF923" s="777">
        <v>4.6999999999999993</v>
      </c>
      <c r="AG923" s="778">
        <v>4.8975963879330964</v>
      </c>
    </row>
    <row r="924" spans="1:33" x14ac:dyDescent="0.2">
      <c r="A924" s="15">
        <f t="shared" si="119"/>
        <v>2010</v>
      </c>
      <c r="B924" s="14">
        <f t="shared" si="120"/>
        <v>5</v>
      </c>
      <c r="C924" s="13" t="str">
        <f t="shared" si="121"/>
        <v>Q2</v>
      </c>
      <c r="D924" s="13" t="str">
        <f t="shared" si="122"/>
        <v>2010Q2</v>
      </c>
      <c r="E924" s="13" t="str">
        <f t="shared" si="123"/>
        <v>Peru</v>
      </c>
      <c r="F924" s="13" t="str">
        <f t="shared" si="126"/>
        <v>Biomass &amp; Waste</v>
      </c>
      <c r="G924" s="13" t="str">
        <f t="shared" si="125"/>
        <v>Asset finance investments</v>
      </c>
      <c r="H924" s="638">
        <f t="shared" si="124"/>
        <v>0.41681671386664665</v>
      </c>
      <c r="I924" s="24" t="s">
        <v>506</v>
      </c>
      <c r="J924" s="25" t="s">
        <v>246</v>
      </c>
      <c r="K924" s="25" t="s">
        <v>2812</v>
      </c>
      <c r="L924" s="25" t="s">
        <v>595</v>
      </c>
      <c r="M924" s="25" t="s">
        <v>20</v>
      </c>
      <c r="N924" s="25" t="s">
        <v>85</v>
      </c>
      <c r="O924" s="25" t="s">
        <v>92</v>
      </c>
      <c r="P924" s="25" t="s">
        <v>83</v>
      </c>
      <c r="Q924" s="25" t="s">
        <v>82</v>
      </c>
      <c r="R924" s="25"/>
      <c r="S924" s="25" t="s">
        <v>114</v>
      </c>
      <c r="T924" s="25" t="s">
        <v>114</v>
      </c>
      <c r="U924" s="25" t="s">
        <v>113</v>
      </c>
      <c r="V924" s="25">
        <v>0</v>
      </c>
      <c r="W924" s="25" t="s">
        <v>553</v>
      </c>
      <c r="X924" s="25" t="s">
        <v>1752</v>
      </c>
      <c r="Y924" s="25" t="s">
        <v>1753</v>
      </c>
      <c r="Z924" s="26">
        <v>40299</v>
      </c>
      <c r="AA924" s="776">
        <v>45</v>
      </c>
      <c r="AB924" s="776">
        <v>0</v>
      </c>
      <c r="AC924" s="776">
        <v>0</v>
      </c>
      <c r="AD924" s="776">
        <v>0</v>
      </c>
      <c r="AE924" s="777">
        <v>0</v>
      </c>
      <c r="AF924" s="777">
        <v>0.4</v>
      </c>
      <c r="AG924" s="778">
        <v>0.41681671386664665</v>
      </c>
    </row>
    <row r="925" spans="1:33" x14ac:dyDescent="0.2">
      <c r="A925" s="15">
        <f t="shared" si="119"/>
        <v>2009</v>
      </c>
      <c r="B925" s="14">
        <f t="shared" si="120"/>
        <v>4</v>
      </c>
      <c r="C925" s="13" t="str">
        <f t="shared" si="121"/>
        <v>Q2</v>
      </c>
      <c r="D925" s="13" t="str">
        <f t="shared" si="122"/>
        <v>2009Q2</v>
      </c>
      <c r="E925" s="13" t="str">
        <f t="shared" si="123"/>
        <v>Brazil</v>
      </c>
      <c r="F925" s="13" t="str">
        <f t="shared" si="126"/>
        <v>Biofuels</v>
      </c>
      <c r="G925" s="13" t="str">
        <f t="shared" si="125"/>
        <v>Asset finance investments</v>
      </c>
      <c r="H925" s="638">
        <f t="shared" si="124"/>
        <v>520</v>
      </c>
      <c r="I925" s="24" t="s">
        <v>506</v>
      </c>
      <c r="J925" s="25" t="s">
        <v>246</v>
      </c>
      <c r="K925" s="25" t="s">
        <v>2813</v>
      </c>
      <c r="L925" s="25" t="s">
        <v>1038</v>
      </c>
      <c r="M925" s="25" t="s">
        <v>31</v>
      </c>
      <c r="N925" s="25" t="s">
        <v>31</v>
      </c>
      <c r="O925" s="25" t="s">
        <v>92</v>
      </c>
      <c r="P925" s="25" t="s">
        <v>83</v>
      </c>
      <c r="Q925" s="25" t="s">
        <v>82</v>
      </c>
      <c r="R925" s="25" t="s">
        <v>91</v>
      </c>
      <c r="S925" s="25" t="s">
        <v>96</v>
      </c>
      <c r="T925" s="25" t="s">
        <v>96</v>
      </c>
      <c r="U925" s="25" t="s">
        <v>98</v>
      </c>
      <c r="V925" s="25" t="s">
        <v>230</v>
      </c>
      <c r="W925" s="25" t="s">
        <v>553</v>
      </c>
      <c r="X925" s="25" t="s">
        <v>1752</v>
      </c>
      <c r="Y925" s="25" t="s">
        <v>1753</v>
      </c>
      <c r="Z925" s="26">
        <v>39912</v>
      </c>
      <c r="AA925" s="776">
        <v>82</v>
      </c>
      <c r="AB925" s="776">
        <v>270</v>
      </c>
      <c r="AC925" s="776">
        <v>0</v>
      </c>
      <c r="AD925" s="776">
        <v>0</v>
      </c>
      <c r="AE925" s="777">
        <v>500</v>
      </c>
      <c r="AF925" s="777">
        <v>500</v>
      </c>
      <c r="AG925" s="778">
        <v>520</v>
      </c>
    </row>
    <row r="926" spans="1:33" x14ac:dyDescent="0.2">
      <c r="A926" s="15">
        <f t="shared" si="119"/>
        <v>2009</v>
      </c>
      <c r="B926" s="14">
        <f t="shared" si="120"/>
        <v>6</v>
      </c>
      <c r="C926" s="13" t="str">
        <f t="shared" si="121"/>
        <v>Q2</v>
      </c>
      <c r="D926" s="13" t="str">
        <f t="shared" si="122"/>
        <v>2009Q2</v>
      </c>
      <c r="E926" s="13" t="str">
        <f t="shared" si="123"/>
        <v>Brazil</v>
      </c>
      <c r="F926" s="13" t="str">
        <f t="shared" si="126"/>
        <v>Biofuels</v>
      </c>
      <c r="G926" s="13" t="str">
        <f t="shared" si="125"/>
        <v>Asset finance investments</v>
      </c>
      <c r="H926" s="638">
        <f t="shared" si="124"/>
        <v>520</v>
      </c>
      <c r="I926" s="24" t="s">
        <v>506</v>
      </c>
      <c r="J926" s="25" t="s">
        <v>246</v>
      </c>
      <c r="K926" s="25" t="s">
        <v>2814</v>
      </c>
      <c r="L926" s="25" t="s">
        <v>2815</v>
      </c>
      <c r="M926" s="25" t="s">
        <v>31</v>
      </c>
      <c r="N926" s="25" t="s">
        <v>31</v>
      </c>
      <c r="O926" s="25" t="s">
        <v>92</v>
      </c>
      <c r="P926" s="25" t="s">
        <v>83</v>
      </c>
      <c r="Q926" s="25" t="s">
        <v>82</v>
      </c>
      <c r="R926" s="25" t="s">
        <v>91</v>
      </c>
      <c r="S926" s="25" t="s">
        <v>96</v>
      </c>
      <c r="T926" s="25" t="s">
        <v>96</v>
      </c>
      <c r="U926" s="25" t="s">
        <v>95</v>
      </c>
      <c r="V926" s="25" t="s">
        <v>223</v>
      </c>
      <c r="W926" s="25" t="s">
        <v>553</v>
      </c>
      <c r="X926" s="25" t="s">
        <v>1752</v>
      </c>
      <c r="Y926" s="25" t="s">
        <v>1753</v>
      </c>
      <c r="Z926" s="26">
        <v>39988</v>
      </c>
      <c r="AA926" s="776">
        <v>0</v>
      </c>
      <c r="AB926" s="776">
        <v>160</v>
      </c>
      <c r="AC926" s="776">
        <v>0</v>
      </c>
      <c r="AD926" s="776">
        <v>0</v>
      </c>
      <c r="AE926" s="777">
        <v>500</v>
      </c>
      <c r="AF926" s="777">
        <v>500</v>
      </c>
      <c r="AG926" s="778">
        <v>520</v>
      </c>
    </row>
    <row r="927" spans="1:33" x14ac:dyDescent="0.2">
      <c r="A927" s="15">
        <f t="shared" si="119"/>
        <v>2009</v>
      </c>
      <c r="B927" s="14">
        <f t="shared" si="120"/>
        <v>4</v>
      </c>
      <c r="C927" s="13" t="str">
        <f t="shared" si="121"/>
        <v>Q2</v>
      </c>
      <c r="D927" s="13" t="str">
        <f t="shared" si="122"/>
        <v>2009Q2</v>
      </c>
      <c r="E927" s="13" t="str">
        <f t="shared" si="123"/>
        <v>Dominican Republic</v>
      </c>
      <c r="F927" s="13" t="str">
        <f t="shared" si="126"/>
        <v>Solar</v>
      </c>
      <c r="G927" s="13" t="str">
        <f t="shared" si="125"/>
        <v>Asset finance investments</v>
      </c>
      <c r="H927" s="638">
        <f t="shared" si="124"/>
        <v>208</v>
      </c>
      <c r="I927" s="24" t="s">
        <v>506</v>
      </c>
      <c r="J927" s="25" t="s">
        <v>246</v>
      </c>
      <c r="K927" s="25" t="s">
        <v>2816</v>
      </c>
      <c r="L927" s="25" t="s">
        <v>978</v>
      </c>
      <c r="M927" s="25" t="s">
        <v>11</v>
      </c>
      <c r="N927" s="25" t="s">
        <v>85</v>
      </c>
      <c r="O927" s="25" t="s">
        <v>84</v>
      </c>
      <c r="P927" s="25" t="s">
        <v>83</v>
      </c>
      <c r="Q927" s="25" t="s">
        <v>82</v>
      </c>
      <c r="R927" s="25"/>
      <c r="S927" s="25" t="s">
        <v>80</v>
      </c>
      <c r="T927" s="25" t="s">
        <v>80</v>
      </c>
      <c r="U927" s="25" t="s">
        <v>181</v>
      </c>
      <c r="V927" s="25">
        <v>0</v>
      </c>
      <c r="W927" s="25" t="s">
        <v>553</v>
      </c>
      <c r="X927" s="25" t="s">
        <v>1752</v>
      </c>
      <c r="Y927" s="25" t="s">
        <v>1753</v>
      </c>
      <c r="Z927" s="26">
        <v>39917</v>
      </c>
      <c r="AA927" s="776">
        <v>20</v>
      </c>
      <c r="AB927" s="776">
        <v>0</v>
      </c>
      <c r="AC927" s="776">
        <v>0</v>
      </c>
      <c r="AD927" s="776">
        <v>0</v>
      </c>
      <c r="AE927" s="777">
        <v>200</v>
      </c>
      <c r="AF927" s="777">
        <v>200</v>
      </c>
      <c r="AG927" s="778">
        <v>208</v>
      </c>
    </row>
    <row r="928" spans="1:33" x14ac:dyDescent="0.2">
      <c r="A928" s="15">
        <f t="shared" si="119"/>
        <v>2009</v>
      </c>
      <c r="B928" s="14">
        <f t="shared" si="120"/>
        <v>4</v>
      </c>
      <c r="C928" s="13" t="str">
        <f t="shared" si="121"/>
        <v>Q2</v>
      </c>
      <c r="D928" s="13" t="str">
        <f t="shared" si="122"/>
        <v>2009Q2</v>
      </c>
      <c r="E928" s="13" t="str">
        <f t="shared" si="123"/>
        <v>Brazil</v>
      </c>
      <c r="F928" s="13" t="str">
        <f t="shared" si="126"/>
        <v>Biofuels</v>
      </c>
      <c r="G928" s="13" t="str">
        <f t="shared" si="125"/>
        <v>Asset finance investments</v>
      </c>
      <c r="H928" s="638">
        <f t="shared" si="124"/>
        <v>192.4</v>
      </c>
      <c r="I928" s="24" t="s">
        <v>506</v>
      </c>
      <c r="J928" s="25" t="s">
        <v>246</v>
      </c>
      <c r="K928" s="25" t="s">
        <v>2817</v>
      </c>
      <c r="L928" s="25" t="s">
        <v>1076</v>
      </c>
      <c r="M928" s="25" t="s">
        <v>31</v>
      </c>
      <c r="N928" s="25" t="s">
        <v>31</v>
      </c>
      <c r="O928" s="25" t="s">
        <v>92</v>
      </c>
      <c r="P928" s="25" t="s">
        <v>83</v>
      </c>
      <c r="Q928" s="25" t="s">
        <v>82</v>
      </c>
      <c r="R928" s="25" t="s">
        <v>91</v>
      </c>
      <c r="S928" s="25" t="s">
        <v>96</v>
      </c>
      <c r="T928" s="25" t="s">
        <v>96</v>
      </c>
      <c r="U928" s="25" t="s">
        <v>98</v>
      </c>
      <c r="V928" s="25" t="s">
        <v>230</v>
      </c>
      <c r="W928" s="25" t="s">
        <v>553</v>
      </c>
      <c r="X928" s="25" t="s">
        <v>1752</v>
      </c>
      <c r="Y928" s="25" t="s">
        <v>1753</v>
      </c>
      <c r="Z928" s="26">
        <v>39933</v>
      </c>
      <c r="AA928" s="776">
        <v>22</v>
      </c>
      <c r="AB928" s="776">
        <v>200</v>
      </c>
      <c r="AC928" s="776">
        <v>0</v>
      </c>
      <c r="AD928" s="776">
        <v>0</v>
      </c>
      <c r="AE928" s="777">
        <v>185</v>
      </c>
      <c r="AF928" s="777">
        <v>185</v>
      </c>
      <c r="AG928" s="778">
        <v>192.4</v>
      </c>
    </row>
    <row r="929" spans="1:33" x14ac:dyDescent="0.2">
      <c r="A929" s="15">
        <f t="shared" si="119"/>
        <v>2009</v>
      </c>
      <c r="B929" s="14">
        <f t="shared" si="120"/>
        <v>4</v>
      </c>
      <c r="C929" s="13" t="str">
        <f t="shared" si="121"/>
        <v>Q2</v>
      </c>
      <c r="D929" s="13" t="str">
        <f t="shared" si="122"/>
        <v>2009Q2</v>
      </c>
      <c r="E929" s="13" t="str">
        <f t="shared" si="123"/>
        <v>Brazil</v>
      </c>
      <c r="F929" s="13" t="str">
        <f t="shared" si="126"/>
        <v>Biofuels</v>
      </c>
      <c r="G929" s="13" t="str">
        <f t="shared" si="125"/>
        <v>Asset finance investments</v>
      </c>
      <c r="H929" s="638">
        <f t="shared" si="124"/>
        <v>155.48000000000002</v>
      </c>
      <c r="I929" s="24" t="s">
        <v>506</v>
      </c>
      <c r="J929" s="25" t="s">
        <v>246</v>
      </c>
      <c r="K929" s="25" t="s">
        <v>2818</v>
      </c>
      <c r="L929" s="25" t="s">
        <v>945</v>
      </c>
      <c r="M929" s="25" t="s">
        <v>31</v>
      </c>
      <c r="N929" s="25" t="s">
        <v>31</v>
      </c>
      <c r="O929" s="25" t="s">
        <v>92</v>
      </c>
      <c r="P929" s="25" t="s">
        <v>83</v>
      </c>
      <c r="Q929" s="25" t="s">
        <v>82</v>
      </c>
      <c r="R929" s="25" t="s">
        <v>91</v>
      </c>
      <c r="S929" s="25" t="s">
        <v>96</v>
      </c>
      <c r="T929" s="25" t="s">
        <v>96</v>
      </c>
      <c r="U929" s="25" t="s">
        <v>98</v>
      </c>
      <c r="V929" s="25" t="s">
        <v>230</v>
      </c>
      <c r="W929" s="25" t="s">
        <v>553</v>
      </c>
      <c r="X929" s="25" t="s">
        <v>1749</v>
      </c>
      <c r="Y929" s="25" t="s">
        <v>1750</v>
      </c>
      <c r="Z929" s="26">
        <v>39932</v>
      </c>
      <c r="AA929" s="776">
        <v>0</v>
      </c>
      <c r="AB929" s="776">
        <v>0</v>
      </c>
      <c r="AC929" s="776">
        <v>0</v>
      </c>
      <c r="AD929" s="776">
        <v>0</v>
      </c>
      <c r="AE929" s="777">
        <v>149.5</v>
      </c>
      <c r="AF929" s="777">
        <v>149.5</v>
      </c>
      <c r="AG929" s="778">
        <v>155.48000000000002</v>
      </c>
    </row>
    <row r="930" spans="1:33" x14ac:dyDescent="0.2">
      <c r="A930" s="15">
        <f t="shared" si="119"/>
        <v>2009</v>
      </c>
      <c r="B930" s="14">
        <f t="shared" si="120"/>
        <v>5</v>
      </c>
      <c r="C930" s="13" t="str">
        <f t="shared" si="121"/>
        <v>Q2</v>
      </c>
      <c r="D930" s="13" t="str">
        <f t="shared" si="122"/>
        <v>2009Q2</v>
      </c>
      <c r="E930" s="13" t="str">
        <f t="shared" si="123"/>
        <v>Brazil</v>
      </c>
      <c r="F930" s="13" t="str">
        <f t="shared" si="126"/>
        <v>Biomass &amp; Waste</v>
      </c>
      <c r="G930" s="13" t="str">
        <f t="shared" si="125"/>
        <v>Asset finance investments</v>
      </c>
      <c r="H930" s="638">
        <f t="shared" si="124"/>
        <v>92.352000000000004</v>
      </c>
      <c r="I930" s="24" t="s">
        <v>506</v>
      </c>
      <c r="J930" s="25" t="s">
        <v>246</v>
      </c>
      <c r="K930" s="25" t="s">
        <v>2819</v>
      </c>
      <c r="L930" s="25" t="s">
        <v>2820</v>
      </c>
      <c r="M930" s="25" t="s">
        <v>31</v>
      </c>
      <c r="N930" s="25" t="s">
        <v>31</v>
      </c>
      <c r="O930" s="25" t="s">
        <v>92</v>
      </c>
      <c r="P930" s="25" t="s">
        <v>83</v>
      </c>
      <c r="Q930" s="25" t="s">
        <v>82</v>
      </c>
      <c r="R930" s="25" t="s">
        <v>91</v>
      </c>
      <c r="S930" s="25" t="s">
        <v>114</v>
      </c>
      <c r="T930" s="25" t="s">
        <v>114</v>
      </c>
      <c r="U930" s="25" t="s">
        <v>113</v>
      </c>
      <c r="V930" s="25" t="s">
        <v>347</v>
      </c>
      <c r="W930" s="25" t="s">
        <v>553</v>
      </c>
      <c r="X930" s="25" t="s">
        <v>1749</v>
      </c>
      <c r="Y930" s="25" t="s">
        <v>1750</v>
      </c>
      <c r="Z930" s="26">
        <v>39938</v>
      </c>
      <c r="AA930" s="776">
        <v>40</v>
      </c>
      <c r="AB930" s="776">
        <v>0</v>
      </c>
      <c r="AC930" s="776">
        <v>0</v>
      </c>
      <c r="AD930" s="776">
        <v>0</v>
      </c>
      <c r="AE930" s="777">
        <v>88.8</v>
      </c>
      <c r="AF930" s="777">
        <v>88.8</v>
      </c>
      <c r="AG930" s="778">
        <v>92.352000000000004</v>
      </c>
    </row>
    <row r="931" spans="1:33" x14ac:dyDescent="0.2">
      <c r="A931" s="15">
        <f t="shared" si="119"/>
        <v>2009</v>
      </c>
      <c r="B931" s="14">
        <f t="shared" si="120"/>
        <v>6</v>
      </c>
      <c r="C931" s="13" t="str">
        <f t="shared" si="121"/>
        <v>Q2</v>
      </c>
      <c r="D931" s="13" t="str">
        <f t="shared" si="122"/>
        <v>2009Q2</v>
      </c>
      <c r="E931" s="13" t="str">
        <f t="shared" si="123"/>
        <v>Brazil</v>
      </c>
      <c r="F931" s="13" t="str">
        <f t="shared" si="126"/>
        <v>Wind</v>
      </c>
      <c r="G931" s="13" t="str">
        <f t="shared" si="125"/>
        <v>Asset finance investments</v>
      </c>
      <c r="H931" s="638">
        <f t="shared" si="124"/>
        <v>90.688000000000002</v>
      </c>
      <c r="I931" s="24" t="s">
        <v>506</v>
      </c>
      <c r="J931" s="25" t="s">
        <v>246</v>
      </c>
      <c r="K931" s="25" t="s">
        <v>2821</v>
      </c>
      <c r="L931" s="25" t="s">
        <v>2822</v>
      </c>
      <c r="M931" s="25" t="s">
        <v>31</v>
      </c>
      <c r="N931" s="25" t="s">
        <v>31</v>
      </c>
      <c r="O931" s="25" t="s">
        <v>92</v>
      </c>
      <c r="P931" s="25" t="s">
        <v>83</v>
      </c>
      <c r="Q931" s="25" t="s">
        <v>82</v>
      </c>
      <c r="R931" s="25" t="s">
        <v>91</v>
      </c>
      <c r="S931" s="25" t="s">
        <v>101</v>
      </c>
      <c r="T931" s="25" t="s">
        <v>101</v>
      </c>
      <c r="U931" s="25" t="s">
        <v>112</v>
      </c>
      <c r="V931" s="25">
        <v>0</v>
      </c>
      <c r="W931" s="25" t="s">
        <v>553</v>
      </c>
      <c r="X931" s="25" t="s">
        <v>1752</v>
      </c>
      <c r="Y931" s="25" t="s">
        <v>1753</v>
      </c>
      <c r="Z931" s="26">
        <v>39973</v>
      </c>
      <c r="AA931" s="776">
        <v>21.25</v>
      </c>
      <c r="AB931" s="776">
        <v>0</v>
      </c>
      <c r="AC931" s="776">
        <v>0</v>
      </c>
      <c r="AD931" s="776">
        <v>0</v>
      </c>
      <c r="AE931" s="777">
        <v>87.2</v>
      </c>
      <c r="AF931" s="777">
        <v>87.2</v>
      </c>
      <c r="AG931" s="778">
        <v>90.688000000000002</v>
      </c>
    </row>
    <row r="932" spans="1:33" x14ac:dyDescent="0.2">
      <c r="A932" s="15">
        <f t="shared" si="119"/>
        <v>2009</v>
      </c>
      <c r="B932" s="14">
        <f t="shared" si="120"/>
        <v>4</v>
      </c>
      <c r="C932" s="13" t="str">
        <f t="shared" si="121"/>
        <v>Q2</v>
      </c>
      <c r="D932" s="13" t="str">
        <f t="shared" si="122"/>
        <v>2009Q2</v>
      </c>
      <c r="E932" s="13" t="str">
        <f t="shared" si="123"/>
        <v>Brazil</v>
      </c>
      <c r="F932" s="13" t="str">
        <f t="shared" si="126"/>
        <v>Biofuels</v>
      </c>
      <c r="G932" s="13" t="str">
        <f t="shared" si="125"/>
        <v>Asset finance investments</v>
      </c>
      <c r="H932" s="638">
        <f t="shared" si="124"/>
        <v>89.856000000000009</v>
      </c>
      <c r="I932" s="24" t="s">
        <v>506</v>
      </c>
      <c r="J932" s="25" t="s">
        <v>246</v>
      </c>
      <c r="K932" s="25" t="s">
        <v>2823</v>
      </c>
      <c r="L932" s="25" t="s">
        <v>676</v>
      </c>
      <c r="M932" s="25" t="s">
        <v>31</v>
      </c>
      <c r="N932" s="25" t="s">
        <v>31</v>
      </c>
      <c r="O932" s="25" t="s">
        <v>92</v>
      </c>
      <c r="P932" s="25" t="s">
        <v>83</v>
      </c>
      <c r="Q932" s="25" t="s">
        <v>82</v>
      </c>
      <c r="R932" s="25" t="s">
        <v>91</v>
      </c>
      <c r="S932" s="25" t="s">
        <v>96</v>
      </c>
      <c r="T932" s="25" t="s">
        <v>96</v>
      </c>
      <c r="U932" s="25" t="s">
        <v>95</v>
      </c>
      <c r="V932" s="25">
        <v>0</v>
      </c>
      <c r="W932" s="25" t="s">
        <v>553</v>
      </c>
      <c r="X932" s="25" t="s">
        <v>1752</v>
      </c>
      <c r="Y932" s="25" t="s">
        <v>1753</v>
      </c>
      <c r="Z932" s="26">
        <v>39931</v>
      </c>
      <c r="AA932" s="776">
        <v>0</v>
      </c>
      <c r="AB932" s="776">
        <v>216</v>
      </c>
      <c r="AC932" s="776">
        <v>0</v>
      </c>
      <c r="AD932" s="776">
        <v>0</v>
      </c>
      <c r="AE932" s="777">
        <v>0</v>
      </c>
      <c r="AF932" s="777">
        <v>86.4</v>
      </c>
      <c r="AG932" s="778">
        <v>89.856000000000009</v>
      </c>
    </row>
    <row r="933" spans="1:33" x14ac:dyDescent="0.2">
      <c r="A933" s="15">
        <f t="shared" si="119"/>
        <v>2009</v>
      </c>
      <c r="B933" s="14">
        <f t="shared" si="120"/>
        <v>6</v>
      </c>
      <c r="C933" s="13" t="str">
        <f t="shared" si="121"/>
        <v>Q2</v>
      </c>
      <c r="D933" s="13" t="str">
        <f t="shared" si="122"/>
        <v>2009Q2</v>
      </c>
      <c r="E933" s="13" t="str">
        <f t="shared" si="123"/>
        <v>Brazil</v>
      </c>
      <c r="F933" s="13" t="str">
        <f t="shared" si="126"/>
        <v>Biofuels</v>
      </c>
      <c r="G933" s="13" t="str">
        <f t="shared" si="125"/>
        <v>Asset finance investments</v>
      </c>
      <c r="H933" s="638">
        <f t="shared" si="124"/>
        <v>83.2</v>
      </c>
      <c r="I933" s="24" t="s">
        <v>506</v>
      </c>
      <c r="J933" s="25" t="s">
        <v>246</v>
      </c>
      <c r="K933" s="25" t="s">
        <v>2824</v>
      </c>
      <c r="L933" s="25" t="s">
        <v>2825</v>
      </c>
      <c r="M933" s="25" t="s">
        <v>31</v>
      </c>
      <c r="N933" s="25" t="s">
        <v>31</v>
      </c>
      <c r="O933" s="25" t="s">
        <v>92</v>
      </c>
      <c r="P933" s="25" t="s">
        <v>83</v>
      </c>
      <c r="Q933" s="25" t="s">
        <v>82</v>
      </c>
      <c r="R933" s="25" t="s">
        <v>91</v>
      </c>
      <c r="S933" s="25" t="s">
        <v>96</v>
      </c>
      <c r="T933" s="25" t="s">
        <v>96</v>
      </c>
      <c r="U933" s="25" t="s">
        <v>95</v>
      </c>
      <c r="V933" s="25" t="s">
        <v>223</v>
      </c>
      <c r="W933" s="25" t="s">
        <v>553</v>
      </c>
      <c r="X933" s="25" t="s">
        <v>1752</v>
      </c>
      <c r="Y933" s="25" t="s">
        <v>1753</v>
      </c>
      <c r="Z933" s="26">
        <v>39994</v>
      </c>
      <c r="AA933" s="776">
        <v>0</v>
      </c>
      <c r="AB933" s="776">
        <v>31.8</v>
      </c>
      <c r="AC933" s="776">
        <v>0</v>
      </c>
      <c r="AD933" s="776">
        <v>0</v>
      </c>
      <c r="AE933" s="777">
        <v>80</v>
      </c>
      <c r="AF933" s="777">
        <v>80</v>
      </c>
      <c r="AG933" s="778">
        <v>83.2</v>
      </c>
    </row>
    <row r="934" spans="1:33" x14ac:dyDescent="0.2">
      <c r="A934" s="15">
        <f t="shared" si="119"/>
        <v>2009</v>
      </c>
      <c r="B934" s="14">
        <f t="shared" si="120"/>
        <v>5</v>
      </c>
      <c r="C934" s="13" t="str">
        <f t="shared" si="121"/>
        <v>Q2</v>
      </c>
      <c r="D934" s="13" t="str">
        <f t="shared" si="122"/>
        <v>2009Q2</v>
      </c>
      <c r="E934" s="13" t="str">
        <f t="shared" si="123"/>
        <v>Brazil</v>
      </c>
      <c r="F934" s="13" t="str">
        <f t="shared" si="126"/>
        <v>Biomass &amp; Waste</v>
      </c>
      <c r="G934" s="13" t="str">
        <f t="shared" si="125"/>
        <v>Asset finance investments</v>
      </c>
      <c r="H934" s="638">
        <f t="shared" si="124"/>
        <v>69.888000000000005</v>
      </c>
      <c r="I934" s="24" t="s">
        <v>506</v>
      </c>
      <c r="J934" s="25" t="s">
        <v>246</v>
      </c>
      <c r="K934" s="25" t="s">
        <v>2826</v>
      </c>
      <c r="L934" s="25" t="s">
        <v>1075</v>
      </c>
      <c r="M934" s="25" t="s">
        <v>31</v>
      </c>
      <c r="N934" s="25" t="s">
        <v>31</v>
      </c>
      <c r="O934" s="25" t="s">
        <v>92</v>
      </c>
      <c r="P934" s="25" t="s">
        <v>83</v>
      </c>
      <c r="Q934" s="25" t="s">
        <v>82</v>
      </c>
      <c r="R934" s="25" t="s">
        <v>91</v>
      </c>
      <c r="S934" s="25" t="s">
        <v>114</v>
      </c>
      <c r="T934" s="25" t="s">
        <v>114</v>
      </c>
      <c r="U934" s="25" t="s">
        <v>113</v>
      </c>
      <c r="V934" s="25" t="s">
        <v>347</v>
      </c>
      <c r="W934" s="25" t="s">
        <v>553</v>
      </c>
      <c r="X934" s="25" t="s">
        <v>1752</v>
      </c>
      <c r="Y934" s="25" t="s">
        <v>1753</v>
      </c>
      <c r="Z934" s="26">
        <v>39964</v>
      </c>
      <c r="AA934" s="776">
        <v>33</v>
      </c>
      <c r="AB934" s="776">
        <v>0</v>
      </c>
      <c r="AC934" s="776">
        <v>0</v>
      </c>
      <c r="AD934" s="776">
        <v>0</v>
      </c>
      <c r="AE934" s="777">
        <v>67.2</v>
      </c>
      <c r="AF934" s="777">
        <v>67.2</v>
      </c>
      <c r="AG934" s="778">
        <v>69.888000000000005</v>
      </c>
    </row>
    <row r="935" spans="1:33" x14ac:dyDescent="0.2">
      <c r="A935" s="15">
        <f t="shared" si="119"/>
        <v>2009</v>
      </c>
      <c r="B935" s="14">
        <f t="shared" si="120"/>
        <v>5</v>
      </c>
      <c r="C935" s="13" t="str">
        <f t="shared" si="121"/>
        <v>Q2</v>
      </c>
      <c r="D935" s="13" t="str">
        <f t="shared" si="122"/>
        <v>2009Q2</v>
      </c>
      <c r="E935" s="13" t="str">
        <f t="shared" si="123"/>
        <v>Mexico</v>
      </c>
      <c r="F935" s="13" t="str">
        <f t="shared" si="126"/>
        <v>Geothermal</v>
      </c>
      <c r="G935" s="13" t="str">
        <f t="shared" si="125"/>
        <v>Asset finance investments</v>
      </c>
      <c r="H935" s="638">
        <f t="shared" si="124"/>
        <v>65.52</v>
      </c>
      <c r="I935" s="24" t="s">
        <v>506</v>
      </c>
      <c r="J935" s="25" t="s">
        <v>246</v>
      </c>
      <c r="K935" s="25" t="s">
        <v>2827</v>
      </c>
      <c r="L935" s="25" t="s">
        <v>2828</v>
      </c>
      <c r="M935" s="25" t="s">
        <v>18</v>
      </c>
      <c r="N935" s="25" t="s">
        <v>85</v>
      </c>
      <c r="O935" s="25" t="s">
        <v>92</v>
      </c>
      <c r="P935" s="25" t="s">
        <v>83</v>
      </c>
      <c r="Q935" s="25" t="s">
        <v>129</v>
      </c>
      <c r="R935" s="25"/>
      <c r="S935" s="25" t="s">
        <v>157</v>
      </c>
      <c r="T935" s="25" t="s">
        <v>157</v>
      </c>
      <c r="U935" s="25" t="s">
        <v>156</v>
      </c>
      <c r="V935" s="25" t="s">
        <v>248</v>
      </c>
      <c r="W935" s="25" t="s">
        <v>553</v>
      </c>
      <c r="X935" s="25" t="s">
        <v>1752</v>
      </c>
      <c r="Y935" s="25" t="s">
        <v>1753</v>
      </c>
      <c r="Z935" s="26">
        <v>39964</v>
      </c>
      <c r="AA935" s="776">
        <v>25</v>
      </c>
      <c r="AB935" s="776">
        <v>0</v>
      </c>
      <c r="AC935" s="776">
        <v>0</v>
      </c>
      <c r="AD935" s="776">
        <v>0</v>
      </c>
      <c r="AE935" s="777">
        <v>63</v>
      </c>
      <c r="AF935" s="777">
        <v>63</v>
      </c>
      <c r="AG935" s="778">
        <v>65.52</v>
      </c>
    </row>
    <row r="936" spans="1:33" x14ac:dyDescent="0.2">
      <c r="A936" s="15">
        <f t="shared" si="119"/>
        <v>2009</v>
      </c>
      <c r="B936" s="14">
        <f t="shared" si="120"/>
        <v>4</v>
      </c>
      <c r="C936" s="13" t="str">
        <f t="shared" si="121"/>
        <v>Q2</v>
      </c>
      <c r="D936" s="13" t="str">
        <f t="shared" si="122"/>
        <v>2009Q2</v>
      </c>
      <c r="E936" s="13" t="str">
        <f t="shared" si="123"/>
        <v>Brazil</v>
      </c>
      <c r="F936" s="13" t="str">
        <f t="shared" si="126"/>
        <v>Small Hydro</v>
      </c>
      <c r="G936" s="13" t="str">
        <f t="shared" si="125"/>
        <v>Asset finance investments</v>
      </c>
      <c r="H936" s="638">
        <f t="shared" si="124"/>
        <v>64.688000000000002</v>
      </c>
      <c r="I936" s="24" t="s">
        <v>506</v>
      </c>
      <c r="J936" s="25" t="s">
        <v>246</v>
      </c>
      <c r="K936" s="25" t="s">
        <v>2829</v>
      </c>
      <c r="L936" s="25" t="s">
        <v>1089</v>
      </c>
      <c r="M936" s="25" t="s">
        <v>31</v>
      </c>
      <c r="N936" s="25" t="s">
        <v>31</v>
      </c>
      <c r="O936" s="25" t="s">
        <v>92</v>
      </c>
      <c r="P936" s="25" t="s">
        <v>83</v>
      </c>
      <c r="Q936" s="25" t="s">
        <v>82</v>
      </c>
      <c r="R936" s="25" t="s">
        <v>91</v>
      </c>
      <c r="S936" s="25" t="s">
        <v>126</v>
      </c>
      <c r="T936" s="25" t="s">
        <v>125</v>
      </c>
      <c r="U936" s="25" t="s">
        <v>247</v>
      </c>
      <c r="V936" s="25">
        <v>0</v>
      </c>
      <c r="W936" s="25" t="s">
        <v>553</v>
      </c>
      <c r="X936" s="25" t="s">
        <v>1749</v>
      </c>
      <c r="Y936" s="25" t="s">
        <v>1750</v>
      </c>
      <c r="Z936" s="26">
        <v>39916</v>
      </c>
      <c r="AA936" s="776">
        <v>25</v>
      </c>
      <c r="AB936" s="776">
        <v>0</v>
      </c>
      <c r="AC936" s="776">
        <v>0</v>
      </c>
      <c r="AD936" s="776">
        <v>0</v>
      </c>
      <c r="AE936" s="777">
        <v>62.2</v>
      </c>
      <c r="AF936" s="777">
        <v>62.2</v>
      </c>
      <c r="AG936" s="778">
        <v>64.688000000000002</v>
      </c>
    </row>
    <row r="937" spans="1:33" x14ac:dyDescent="0.2">
      <c r="A937" s="15">
        <f t="shared" si="119"/>
        <v>2009</v>
      </c>
      <c r="B937" s="14">
        <f t="shared" si="120"/>
        <v>6</v>
      </c>
      <c r="C937" s="13" t="str">
        <f t="shared" si="121"/>
        <v>Q2</v>
      </c>
      <c r="D937" s="13" t="str">
        <f t="shared" si="122"/>
        <v>2009Q2</v>
      </c>
      <c r="E937" s="13" t="str">
        <f t="shared" si="123"/>
        <v>Brazil</v>
      </c>
      <c r="F937" s="13" t="str">
        <f t="shared" si="126"/>
        <v>Small Hydro</v>
      </c>
      <c r="G937" s="13" t="str">
        <f t="shared" si="125"/>
        <v>Asset finance investments</v>
      </c>
      <c r="H937" s="638">
        <f t="shared" si="124"/>
        <v>54.808000000000007</v>
      </c>
      <c r="I937" s="24" t="s">
        <v>506</v>
      </c>
      <c r="J937" s="25" t="s">
        <v>246</v>
      </c>
      <c r="K937" s="25" t="s">
        <v>2830</v>
      </c>
      <c r="L937" s="25" t="s">
        <v>920</v>
      </c>
      <c r="M937" s="25" t="s">
        <v>31</v>
      </c>
      <c r="N937" s="25" t="s">
        <v>31</v>
      </c>
      <c r="O937" s="25" t="s">
        <v>92</v>
      </c>
      <c r="P937" s="25" t="s">
        <v>83</v>
      </c>
      <c r="Q937" s="25" t="s">
        <v>82</v>
      </c>
      <c r="R937" s="25" t="s">
        <v>91</v>
      </c>
      <c r="S937" s="25" t="s">
        <v>126</v>
      </c>
      <c r="T937" s="25" t="s">
        <v>125</v>
      </c>
      <c r="U937" s="25" t="s">
        <v>247</v>
      </c>
      <c r="V937" s="25">
        <v>0</v>
      </c>
      <c r="W937" s="25" t="s">
        <v>553</v>
      </c>
      <c r="X937" s="25" t="s">
        <v>1749</v>
      </c>
      <c r="Y937" s="25" t="s">
        <v>1750</v>
      </c>
      <c r="Z937" s="26">
        <v>39973</v>
      </c>
      <c r="AA937" s="776">
        <v>22.68</v>
      </c>
      <c r="AB937" s="776">
        <v>0</v>
      </c>
      <c r="AC937" s="776">
        <v>0</v>
      </c>
      <c r="AD937" s="776">
        <v>0</v>
      </c>
      <c r="AE937" s="777">
        <v>52.7</v>
      </c>
      <c r="AF937" s="777">
        <v>52.7</v>
      </c>
      <c r="AG937" s="778">
        <v>54.808000000000007</v>
      </c>
    </row>
    <row r="938" spans="1:33" x14ac:dyDescent="0.2">
      <c r="A938" s="15">
        <f t="shared" si="119"/>
        <v>2009</v>
      </c>
      <c r="B938" s="14">
        <f t="shared" si="120"/>
        <v>5</v>
      </c>
      <c r="C938" s="13" t="str">
        <f t="shared" si="121"/>
        <v>Q2</v>
      </c>
      <c r="D938" s="13" t="str">
        <f t="shared" si="122"/>
        <v>2009Q2</v>
      </c>
      <c r="E938" s="13" t="str">
        <f t="shared" si="123"/>
        <v>Panama</v>
      </c>
      <c r="F938" s="13" t="str">
        <f t="shared" si="126"/>
        <v>Small Hydro</v>
      </c>
      <c r="G938" s="13" t="str">
        <f t="shared" si="125"/>
        <v>Asset finance investments</v>
      </c>
      <c r="H938" s="638">
        <f t="shared" si="124"/>
        <v>51.375999999999998</v>
      </c>
      <c r="I938" s="24" t="s">
        <v>506</v>
      </c>
      <c r="J938" s="25" t="s">
        <v>246</v>
      </c>
      <c r="K938" s="25" t="s">
        <v>2831</v>
      </c>
      <c r="L938" s="25" t="s">
        <v>884</v>
      </c>
      <c r="M938" s="25" t="s">
        <v>19</v>
      </c>
      <c r="N938" s="25" t="s">
        <v>85</v>
      </c>
      <c r="O938" s="25" t="s">
        <v>92</v>
      </c>
      <c r="P938" s="25" t="s">
        <v>83</v>
      </c>
      <c r="Q938" s="25" t="s">
        <v>82</v>
      </c>
      <c r="R938" s="25"/>
      <c r="S938" s="25" t="s">
        <v>126</v>
      </c>
      <c r="T938" s="25" t="s">
        <v>125</v>
      </c>
      <c r="U938" s="25" t="s">
        <v>247</v>
      </c>
      <c r="V938" s="25">
        <v>0</v>
      </c>
      <c r="W938" s="25" t="s">
        <v>553</v>
      </c>
      <c r="X938" s="25" t="s">
        <v>1752</v>
      </c>
      <c r="Y938" s="25" t="s">
        <v>1753</v>
      </c>
      <c r="Z938" s="26">
        <v>39948</v>
      </c>
      <c r="AA938" s="776">
        <v>19.75</v>
      </c>
      <c r="AB938" s="776">
        <v>0</v>
      </c>
      <c r="AC938" s="776">
        <v>0</v>
      </c>
      <c r="AD938" s="776">
        <v>0</v>
      </c>
      <c r="AE938" s="777">
        <v>0</v>
      </c>
      <c r="AF938" s="777">
        <v>49.4</v>
      </c>
      <c r="AG938" s="778">
        <v>51.375999999999998</v>
      </c>
    </row>
    <row r="939" spans="1:33" x14ac:dyDescent="0.2">
      <c r="A939" s="15">
        <f t="shared" si="119"/>
        <v>2009</v>
      </c>
      <c r="B939" s="14">
        <f t="shared" si="120"/>
        <v>6</v>
      </c>
      <c r="C939" s="13" t="str">
        <f t="shared" si="121"/>
        <v>Q2</v>
      </c>
      <c r="D939" s="13" t="str">
        <f t="shared" si="122"/>
        <v>2009Q2</v>
      </c>
      <c r="E939" s="13" t="str">
        <f t="shared" si="123"/>
        <v>Brazil</v>
      </c>
      <c r="F939" s="13" t="str">
        <f t="shared" si="126"/>
        <v>Biofuels</v>
      </c>
      <c r="G939" s="13" t="str">
        <f t="shared" si="125"/>
        <v>Asset finance investments</v>
      </c>
      <c r="H939" s="638">
        <f t="shared" si="124"/>
        <v>38.84816</v>
      </c>
      <c r="I939" s="24" t="s">
        <v>506</v>
      </c>
      <c r="J939" s="25" t="s">
        <v>246</v>
      </c>
      <c r="K939" s="25" t="s">
        <v>2832</v>
      </c>
      <c r="L939" s="25" t="s">
        <v>760</v>
      </c>
      <c r="M939" s="25" t="s">
        <v>31</v>
      </c>
      <c r="N939" s="25" t="s">
        <v>31</v>
      </c>
      <c r="O939" s="25" t="s">
        <v>92</v>
      </c>
      <c r="P939" s="25" t="s">
        <v>83</v>
      </c>
      <c r="Q939" s="25" t="s">
        <v>82</v>
      </c>
      <c r="R939" s="25" t="s">
        <v>91</v>
      </c>
      <c r="S939" s="25" t="s">
        <v>96</v>
      </c>
      <c r="T939" s="25" t="s">
        <v>96</v>
      </c>
      <c r="U939" s="25" t="s">
        <v>95</v>
      </c>
      <c r="V939" s="25" t="s">
        <v>223</v>
      </c>
      <c r="W939" s="25" t="s">
        <v>553</v>
      </c>
      <c r="X939" s="25" t="s">
        <v>1752</v>
      </c>
      <c r="Y939" s="25" t="s">
        <v>1753</v>
      </c>
      <c r="Z939" s="26">
        <v>39994</v>
      </c>
      <c r="AA939" s="776">
        <v>0</v>
      </c>
      <c r="AB939" s="776">
        <v>98.3</v>
      </c>
      <c r="AC939" s="776">
        <v>0</v>
      </c>
      <c r="AD939" s="776">
        <v>0</v>
      </c>
      <c r="AE939" s="777">
        <v>0</v>
      </c>
      <c r="AF939" s="777">
        <v>37.353999999999999</v>
      </c>
      <c r="AG939" s="778">
        <v>38.84816</v>
      </c>
    </row>
    <row r="940" spans="1:33" x14ac:dyDescent="0.2">
      <c r="A940" s="15">
        <f t="shared" si="119"/>
        <v>2009</v>
      </c>
      <c r="B940" s="14">
        <f t="shared" si="120"/>
        <v>6</v>
      </c>
      <c r="C940" s="13" t="str">
        <f t="shared" si="121"/>
        <v>Q2</v>
      </c>
      <c r="D940" s="13" t="str">
        <f t="shared" si="122"/>
        <v>2009Q2</v>
      </c>
      <c r="E940" s="13" t="str">
        <f t="shared" si="123"/>
        <v>Brazil</v>
      </c>
      <c r="F940" s="13" t="str">
        <f t="shared" si="126"/>
        <v>Biofuels</v>
      </c>
      <c r="G940" s="13" t="str">
        <f t="shared" si="125"/>
        <v>Asset finance investments</v>
      </c>
      <c r="H940" s="638">
        <f t="shared" si="124"/>
        <v>35.984000000000002</v>
      </c>
      <c r="I940" s="24" t="s">
        <v>506</v>
      </c>
      <c r="J940" s="25" t="s">
        <v>246</v>
      </c>
      <c r="K940" s="25" t="s">
        <v>2833</v>
      </c>
      <c r="L940" s="25" t="s">
        <v>935</v>
      </c>
      <c r="M940" s="25" t="s">
        <v>31</v>
      </c>
      <c r="N940" s="25" t="s">
        <v>31</v>
      </c>
      <c r="O940" s="25" t="s">
        <v>92</v>
      </c>
      <c r="P940" s="25" t="s">
        <v>83</v>
      </c>
      <c r="Q940" s="25" t="s">
        <v>82</v>
      </c>
      <c r="R940" s="25" t="s">
        <v>91</v>
      </c>
      <c r="S940" s="25" t="s">
        <v>96</v>
      </c>
      <c r="T940" s="25" t="s">
        <v>96</v>
      </c>
      <c r="U940" s="25" t="s">
        <v>98</v>
      </c>
      <c r="V940" s="25" t="s">
        <v>230</v>
      </c>
      <c r="W940" s="25" t="s">
        <v>553</v>
      </c>
      <c r="X940" s="25" t="s">
        <v>1752</v>
      </c>
      <c r="Y940" s="25" t="s">
        <v>1753</v>
      </c>
      <c r="Z940" s="26">
        <v>39986</v>
      </c>
      <c r="AA940" s="776">
        <v>33</v>
      </c>
      <c r="AB940" s="776">
        <v>0</v>
      </c>
      <c r="AC940" s="776">
        <v>0</v>
      </c>
      <c r="AD940" s="776">
        <v>0</v>
      </c>
      <c r="AE940" s="777">
        <v>34.6</v>
      </c>
      <c r="AF940" s="777">
        <v>34.6</v>
      </c>
      <c r="AG940" s="778">
        <v>35.984000000000002</v>
      </c>
    </row>
    <row r="941" spans="1:33" x14ac:dyDescent="0.2">
      <c r="A941" s="15">
        <f t="shared" si="119"/>
        <v>2009</v>
      </c>
      <c r="B941" s="14">
        <f t="shared" si="120"/>
        <v>5</v>
      </c>
      <c r="C941" s="13" t="str">
        <f t="shared" si="121"/>
        <v>Q2</v>
      </c>
      <c r="D941" s="13" t="str">
        <f t="shared" si="122"/>
        <v>2009Q2</v>
      </c>
      <c r="E941" s="13" t="str">
        <f t="shared" si="123"/>
        <v>Brazil</v>
      </c>
      <c r="F941" s="13" t="str">
        <f t="shared" si="126"/>
        <v>Biomass &amp; Waste</v>
      </c>
      <c r="G941" s="13" t="str">
        <f t="shared" si="125"/>
        <v>Asset finance investments</v>
      </c>
      <c r="H941" s="638">
        <f t="shared" si="124"/>
        <v>34.819200000000002</v>
      </c>
      <c r="I941" s="24" t="s">
        <v>506</v>
      </c>
      <c r="J941" s="25" t="s">
        <v>246</v>
      </c>
      <c r="K941" s="25" t="s">
        <v>2834</v>
      </c>
      <c r="L941" s="25" t="s">
        <v>2835</v>
      </c>
      <c r="M941" s="25" t="s">
        <v>31</v>
      </c>
      <c r="N941" s="25" t="s">
        <v>31</v>
      </c>
      <c r="O941" s="25" t="s">
        <v>92</v>
      </c>
      <c r="P941" s="25" t="s">
        <v>83</v>
      </c>
      <c r="Q941" s="25" t="s">
        <v>82</v>
      </c>
      <c r="R941" s="25" t="s">
        <v>91</v>
      </c>
      <c r="S941" s="25" t="s">
        <v>114</v>
      </c>
      <c r="T941" s="25" t="s">
        <v>114</v>
      </c>
      <c r="U941" s="25" t="s">
        <v>113</v>
      </c>
      <c r="V941" s="25" t="s">
        <v>347</v>
      </c>
      <c r="W941" s="25" t="s">
        <v>553</v>
      </c>
      <c r="X941" s="25" t="s">
        <v>1752</v>
      </c>
      <c r="Y941" s="25" t="s">
        <v>1753</v>
      </c>
      <c r="Z941" s="26">
        <v>39962</v>
      </c>
      <c r="AA941" s="776">
        <v>12</v>
      </c>
      <c r="AB941" s="776">
        <v>0</v>
      </c>
      <c r="AC941" s="776">
        <v>0</v>
      </c>
      <c r="AD941" s="776">
        <v>0</v>
      </c>
      <c r="AE941" s="777">
        <v>0</v>
      </c>
      <c r="AF941" s="777">
        <v>33.480000000000004</v>
      </c>
      <c r="AG941" s="778">
        <v>34.819200000000002</v>
      </c>
    </row>
    <row r="942" spans="1:33" x14ac:dyDescent="0.2">
      <c r="A942" s="15">
        <f t="shared" si="119"/>
        <v>2009</v>
      </c>
      <c r="B942" s="14">
        <f t="shared" si="120"/>
        <v>6</v>
      </c>
      <c r="C942" s="13" t="str">
        <f t="shared" si="121"/>
        <v>Q2</v>
      </c>
      <c r="D942" s="13" t="str">
        <f t="shared" si="122"/>
        <v>2009Q2</v>
      </c>
      <c r="E942" s="13" t="str">
        <f t="shared" si="123"/>
        <v>Brazil</v>
      </c>
      <c r="F942" s="13" t="str">
        <f t="shared" si="126"/>
        <v>Biofuels</v>
      </c>
      <c r="G942" s="13" t="str">
        <f t="shared" si="125"/>
        <v>VC/PE investments</v>
      </c>
      <c r="H942" s="638">
        <f t="shared" si="124"/>
        <v>33.800000000000004</v>
      </c>
      <c r="I942" s="24" t="s">
        <v>506</v>
      </c>
      <c r="J942" s="25" t="s">
        <v>216</v>
      </c>
      <c r="K942" s="25" t="s">
        <v>524</v>
      </c>
      <c r="L942" s="25" t="s">
        <v>123</v>
      </c>
      <c r="M942" s="25" t="s">
        <v>31</v>
      </c>
      <c r="N942" s="25" t="s">
        <v>31</v>
      </c>
      <c r="O942" s="25" t="s">
        <v>92</v>
      </c>
      <c r="P942" s="25" t="s">
        <v>83</v>
      </c>
      <c r="Q942" s="25" t="s">
        <v>82</v>
      </c>
      <c r="R942" s="25" t="s">
        <v>91</v>
      </c>
      <c r="S942" s="25" t="s">
        <v>96</v>
      </c>
      <c r="T942" s="25" t="s">
        <v>96</v>
      </c>
      <c r="U942" s="25" t="s">
        <v>98</v>
      </c>
      <c r="V942" s="25" t="s">
        <v>230</v>
      </c>
      <c r="W942" s="25" t="s">
        <v>94</v>
      </c>
      <c r="X942" s="25" t="s">
        <v>508</v>
      </c>
      <c r="Y942" s="25" t="s">
        <v>507</v>
      </c>
      <c r="Z942" s="26">
        <v>39965</v>
      </c>
      <c r="AA942" s="776" t="s">
        <v>1748</v>
      </c>
      <c r="AB942" s="776" t="s">
        <v>1748</v>
      </c>
      <c r="AC942" s="776" t="s">
        <v>1748</v>
      </c>
      <c r="AD942" s="776" t="s">
        <v>1748</v>
      </c>
      <c r="AE942" s="777">
        <v>32.5</v>
      </c>
      <c r="AF942" s="777">
        <v>32.5</v>
      </c>
      <c r="AG942" s="778">
        <v>33.800000000000004</v>
      </c>
    </row>
    <row r="943" spans="1:33" x14ac:dyDescent="0.2">
      <c r="A943" s="15">
        <f t="shared" si="119"/>
        <v>2009</v>
      </c>
      <c r="B943" s="14">
        <f t="shared" si="120"/>
        <v>4</v>
      </c>
      <c r="C943" s="13" t="str">
        <f t="shared" si="121"/>
        <v>Q2</v>
      </c>
      <c r="D943" s="13" t="str">
        <f t="shared" si="122"/>
        <v>2009Q2</v>
      </c>
      <c r="E943" s="13" t="str">
        <f t="shared" si="123"/>
        <v>Mexico</v>
      </c>
      <c r="F943" s="13" t="str">
        <f t="shared" si="126"/>
        <v>Wind</v>
      </c>
      <c r="G943" s="13" t="str">
        <f t="shared" si="125"/>
        <v>Asset finance investments</v>
      </c>
      <c r="H943" s="638">
        <f t="shared" si="124"/>
        <v>27.248000000000001</v>
      </c>
      <c r="I943" s="24" t="s">
        <v>506</v>
      </c>
      <c r="J943" s="25" t="s">
        <v>246</v>
      </c>
      <c r="K943" s="25" t="s">
        <v>2836</v>
      </c>
      <c r="L943" s="25" t="s">
        <v>2837</v>
      </c>
      <c r="M943" s="25" t="s">
        <v>18</v>
      </c>
      <c r="N943" s="25" t="s">
        <v>85</v>
      </c>
      <c r="O943" s="25" t="s">
        <v>92</v>
      </c>
      <c r="P943" s="25" t="s">
        <v>83</v>
      </c>
      <c r="Q943" s="25" t="s">
        <v>129</v>
      </c>
      <c r="R943" s="25"/>
      <c r="S943" s="25" t="s">
        <v>101</v>
      </c>
      <c r="T943" s="25" t="s">
        <v>101</v>
      </c>
      <c r="U943" s="25" t="s">
        <v>112</v>
      </c>
      <c r="V943" s="25">
        <v>0</v>
      </c>
      <c r="W943" s="25" t="s">
        <v>553</v>
      </c>
      <c r="X943" s="25" t="s">
        <v>1752</v>
      </c>
      <c r="Y943" s="25" t="s">
        <v>1753</v>
      </c>
      <c r="Z943" s="26">
        <v>39933</v>
      </c>
      <c r="AA943" s="776">
        <v>10</v>
      </c>
      <c r="AB943" s="776">
        <v>0</v>
      </c>
      <c r="AC943" s="776">
        <v>0</v>
      </c>
      <c r="AD943" s="776">
        <v>0</v>
      </c>
      <c r="AE943" s="777">
        <v>26.2</v>
      </c>
      <c r="AF943" s="777">
        <v>26.2</v>
      </c>
      <c r="AG943" s="778">
        <v>27.248000000000001</v>
      </c>
    </row>
    <row r="944" spans="1:33" x14ac:dyDescent="0.2">
      <c r="A944" s="15">
        <f t="shared" si="119"/>
        <v>2009</v>
      </c>
      <c r="B944" s="14">
        <f t="shared" si="120"/>
        <v>6</v>
      </c>
      <c r="C944" s="13" t="str">
        <f t="shared" si="121"/>
        <v>Q2</v>
      </c>
      <c r="D944" s="13" t="str">
        <f t="shared" si="122"/>
        <v>2009Q2</v>
      </c>
      <c r="E944" s="13" t="str">
        <f t="shared" si="123"/>
        <v>Chile</v>
      </c>
      <c r="F944" s="13" t="str">
        <f t="shared" si="126"/>
        <v>Small Hydro</v>
      </c>
      <c r="G944" s="13" t="str">
        <f t="shared" si="125"/>
        <v>Asset finance investments</v>
      </c>
      <c r="H944" s="638">
        <f t="shared" si="124"/>
        <v>18.096</v>
      </c>
      <c r="I944" s="24" t="s">
        <v>506</v>
      </c>
      <c r="J944" s="25" t="s">
        <v>246</v>
      </c>
      <c r="K944" s="25" t="s">
        <v>2838</v>
      </c>
      <c r="L944" s="25" t="s">
        <v>795</v>
      </c>
      <c r="M944" s="25" t="s">
        <v>8</v>
      </c>
      <c r="N944" s="25" t="s">
        <v>85</v>
      </c>
      <c r="O944" s="25" t="s">
        <v>92</v>
      </c>
      <c r="P944" s="25" t="s">
        <v>83</v>
      </c>
      <c r="Q944" s="25" t="s">
        <v>129</v>
      </c>
      <c r="R944" s="25"/>
      <c r="S944" s="25" t="s">
        <v>126</v>
      </c>
      <c r="T944" s="25" t="s">
        <v>125</v>
      </c>
      <c r="U944" s="25" t="s">
        <v>247</v>
      </c>
      <c r="V944" s="25">
        <v>0</v>
      </c>
      <c r="W944" s="25" t="s">
        <v>553</v>
      </c>
      <c r="X944" s="25" t="s">
        <v>1749</v>
      </c>
      <c r="Y944" s="25" t="s">
        <v>1750</v>
      </c>
      <c r="Z944" s="26">
        <v>39994</v>
      </c>
      <c r="AA944" s="776">
        <v>10.4</v>
      </c>
      <c r="AB944" s="776">
        <v>0</v>
      </c>
      <c r="AC944" s="776">
        <v>0</v>
      </c>
      <c r="AD944" s="776">
        <v>0</v>
      </c>
      <c r="AE944" s="777">
        <v>17.399999999999999</v>
      </c>
      <c r="AF944" s="777">
        <v>17.399999999999999</v>
      </c>
      <c r="AG944" s="778">
        <v>18.096</v>
      </c>
    </row>
    <row r="945" spans="1:33" x14ac:dyDescent="0.2">
      <c r="A945" s="15">
        <f t="shared" si="119"/>
        <v>2009</v>
      </c>
      <c r="B945" s="14">
        <f t="shared" si="120"/>
        <v>5</v>
      </c>
      <c r="C945" s="13" t="str">
        <f t="shared" si="121"/>
        <v>Q2</v>
      </c>
      <c r="D945" s="13" t="str">
        <f t="shared" si="122"/>
        <v>2009Q2</v>
      </c>
      <c r="E945" s="13" t="str">
        <f t="shared" si="123"/>
        <v>Brazil</v>
      </c>
      <c r="F945" s="13" t="str">
        <f t="shared" si="126"/>
        <v>Biofuels</v>
      </c>
      <c r="G945" s="13" t="str">
        <f t="shared" si="125"/>
        <v>Asset finance investments</v>
      </c>
      <c r="H945" s="638">
        <f t="shared" si="124"/>
        <v>17.971200000000003</v>
      </c>
      <c r="I945" s="24" t="s">
        <v>506</v>
      </c>
      <c r="J945" s="25" t="s">
        <v>246</v>
      </c>
      <c r="K945" s="25" t="s">
        <v>2839</v>
      </c>
      <c r="L945" s="25" t="s">
        <v>677</v>
      </c>
      <c r="M945" s="25" t="s">
        <v>31</v>
      </c>
      <c r="N945" s="25" t="s">
        <v>31</v>
      </c>
      <c r="O945" s="25" t="s">
        <v>92</v>
      </c>
      <c r="P945" s="25" t="s">
        <v>83</v>
      </c>
      <c r="Q945" s="25" t="s">
        <v>82</v>
      </c>
      <c r="R945" s="25" t="s">
        <v>91</v>
      </c>
      <c r="S945" s="25" t="s">
        <v>96</v>
      </c>
      <c r="T945" s="25" t="s">
        <v>96</v>
      </c>
      <c r="U945" s="25" t="s">
        <v>95</v>
      </c>
      <c r="V945" s="25">
        <v>0</v>
      </c>
      <c r="W945" s="25" t="s">
        <v>553</v>
      </c>
      <c r="X945" s="25" t="s">
        <v>1752</v>
      </c>
      <c r="Y945" s="25" t="s">
        <v>1753</v>
      </c>
      <c r="Z945" s="26">
        <v>39937</v>
      </c>
      <c r="AA945" s="776">
        <v>0</v>
      </c>
      <c r="AB945" s="776">
        <v>43.2</v>
      </c>
      <c r="AC945" s="776">
        <v>0</v>
      </c>
      <c r="AD945" s="776">
        <v>0</v>
      </c>
      <c r="AE945" s="777">
        <v>0</v>
      </c>
      <c r="AF945" s="777">
        <v>17.28</v>
      </c>
      <c r="AG945" s="778">
        <v>17.971200000000003</v>
      </c>
    </row>
    <row r="946" spans="1:33" x14ac:dyDescent="0.2">
      <c r="A946" s="15">
        <f t="shared" si="119"/>
        <v>2009</v>
      </c>
      <c r="B946" s="14">
        <f t="shared" si="120"/>
        <v>4</v>
      </c>
      <c r="C946" s="13" t="str">
        <f t="shared" si="121"/>
        <v>Q2</v>
      </c>
      <c r="D946" s="13" t="str">
        <f t="shared" si="122"/>
        <v>2009Q2</v>
      </c>
      <c r="E946" s="13" t="str">
        <f t="shared" si="123"/>
        <v>Brazil</v>
      </c>
      <c r="F946" s="13" t="str">
        <f t="shared" si="126"/>
        <v>Biomass &amp; Waste</v>
      </c>
      <c r="G946" s="13" t="str">
        <f t="shared" si="125"/>
        <v>Asset finance investments</v>
      </c>
      <c r="H946" s="638">
        <f t="shared" si="124"/>
        <v>17.055999999999997</v>
      </c>
      <c r="I946" s="24" t="s">
        <v>506</v>
      </c>
      <c r="J946" s="25" t="s">
        <v>246</v>
      </c>
      <c r="K946" s="25" t="s">
        <v>2840</v>
      </c>
      <c r="L946" s="25" t="s">
        <v>936</v>
      </c>
      <c r="M946" s="25" t="s">
        <v>31</v>
      </c>
      <c r="N946" s="25" t="s">
        <v>31</v>
      </c>
      <c r="O946" s="25" t="s">
        <v>92</v>
      </c>
      <c r="P946" s="25" t="s">
        <v>83</v>
      </c>
      <c r="Q946" s="25" t="s">
        <v>82</v>
      </c>
      <c r="R946" s="25" t="s">
        <v>91</v>
      </c>
      <c r="S946" s="25" t="s">
        <v>114</v>
      </c>
      <c r="T946" s="25" t="s">
        <v>114</v>
      </c>
      <c r="U946" s="25" t="s">
        <v>113</v>
      </c>
      <c r="V946" s="25" t="s">
        <v>347</v>
      </c>
      <c r="W946" s="25" t="s">
        <v>553</v>
      </c>
      <c r="X946" s="25" t="s">
        <v>1752</v>
      </c>
      <c r="Y946" s="25" t="s">
        <v>1753</v>
      </c>
      <c r="Z946" s="26">
        <v>39933</v>
      </c>
      <c r="AA946" s="776">
        <v>43.5</v>
      </c>
      <c r="AB946" s="776">
        <v>0</v>
      </c>
      <c r="AC946" s="776">
        <v>0</v>
      </c>
      <c r="AD946" s="776">
        <v>0</v>
      </c>
      <c r="AE946" s="777">
        <v>16.399999999999999</v>
      </c>
      <c r="AF946" s="777">
        <v>16.399999999999999</v>
      </c>
      <c r="AG946" s="778">
        <v>17.055999999999997</v>
      </c>
    </row>
    <row r="947" spans="1:33" x14ac:dyDescent="0.2">
      <c r="A947" s="15">
        <f t="shared" si="119"/>
        <v>2009</v>
      </c>
      <c r="B947" s="14">
        <f t="shared" si="120"/>
        <v>6</v>
      </c>
      <c r="C947" s="13" t="str">
        <f t="shared" si="121"/>
        <v>Q2</v>
      </c>
      <c r="D947" s="13" t="str">
        <f t="shared" si="122"/>
        <v>2009Q2</v>
      </c>
      <c r="E947" s="13" t="str">
        <f t="shared" si="123"/>
        <v>Brazil</v>
      </c>
      <c r="F947" s="13" t="str">
        <f t="shared" si="126"/>
        <v>Small Hydro</v>
      </c>
      <c r="G947" s="13" t="str">
        <f t="shared" si="125"/>
        <v>Asset finance investments</v>
      </c>
      <c r="H947" s="638">
        <f t="shared" si="124"/>
        <v>16.390400000000003</v>
      </c>
      <c r="I947" s="24" t="s">
        <v>506</v>
      </c>
      <c r="J947" s="25" t="s">
        <v>246</v>
      </c>
      <c r="K947" s="25" t="s">
        <v>2841</v>
      </c>
      <c r="L947" s="25" t="s">
        <v>611</v>
      </c>
      <c r="M947" s="25" t="s">
        <v>31</v>
      </c>
      <c r="N947" s="25" t="s">
        <v>31</v>
      </c>
      <c r="O947" s="25" t="s">
        <v>92</v>
      </c>
      <c r="P947" s="25" t="s">
        <v>83</v>
      </c>
      <c r="Q947" s="25" t="s">
        <v>82</v>
      </c>
      <c r="R947" s="25" t="s">
        <v>91</v>
      </c>
      <c r="S947" s="25" t="s">
        <v>126</v>
      </c>
      <c r="T947" s="25" t="s">
        <v>125</v>
      </c>
      <c r="U947" s="25" t="s">
        <v>247</v>
      </c>
      <c r="V947" s="25">
        <v>0</v>
      </c>
      <c r="W947" s="25" t="s">
        <v>553</v>
      </c>
      <c r="X947" s="25" t="s">
        <v>1752</v>
      </c>
      <c r="Y947" s="25" t="s">
        <v>1753</v>
      </c>
      <c r="Z947" s="26">
        <v>39983</v>
      </c>
      <c r="AA947" s="776">
        <v>6.3040000000000003</v>
      </c>
      <c r="AB947" s="776">
        <v>0</v>
      </c>
      <c r="AC947" s="776">
        <v>0</v>
      </c>
      <c r="AD947" s="776">
        <v>0</v>
      </c>
      <c r="AE947" s="777">
        <v>0</v>
      </c>
      <c r="AF947" s="777">
        <v>15.760000000000002</v>
      </c>
      <c r="AG947" s="778">
        <v>16.390400000000003</v>
      </c>
    </row>
    <row r="948" spans="1:33" x14ac:dyDescent="0.2">
      <c r="A948" s="15">
        <f t="shared" si="119"/>
        <v>2009</v>
      </c>
      <c r="B948" s="14">
        <f t="shared" si="120"/>
        <v>4</v>
      </c>
      <c r="C948" s="13" t="str">
        <f t="shared" si="121"/>
        <v>Q2</v>
      </c>
      <c r="D948" s="13" t="str">
        <f t="shared" si="122"/>
        <v>2009Q2</v>
      </c>
      <c r="E948" s="13" t="str">
        <f t="shared" si="123"/>
        <v>Peru</v>
      </c>
      <c r="F948" s="13" t="str">
        <f t="shared" si="126"/>
        <v>Small Hydro</v>
      </c>
      <c r="G948" s="13" t="str">
        <f t="shared" si="125"/>
        <v>Asset finance investments</v>
      </c>
      <c r="H948" s="638">
        <f t="shared" si="124"/>
        <v>14.576640000000001</v>
      </c>
      <c r="I948" s="24" t="s">
        <v>506</v>
      </c>
      <c r="J948" s="25" t="s">
        <v>246</v>
      </c>
      <c r="K948" s="25" t="s">
        <v>2842</v>
      </c>
      <c r="L948" s="25" t="s">
        <v>835</v>
      </c>
      <c r="M948" s="25" t="s">
        <v>20</v>
      </c>
      <c r="N948" s="25" t="s">
        <v>85</v>
      </c>
      <c r="O948" s="25" t="s">
        <v>92</v>
      </c>
      <c r="P948" s="25" t="s">
        <v>83</v>
      </c>
      <c r="Q948" s="25" t="s">
        <v>82</v>
      </c>
      <c r="R948" s="25"/>
      <c r="S948" s="25" t="s">
        <v>126</v>
      </c>
      <c r="T948" s="25" t="s">
        <v>125</v>
      </c>
      <c r="U948" s="25" t="s">
        <v>247</v>
      </c>
      <c r="V948" s="25">
        <v>0</v>
      </c>
      <c r="W948" s="25" t="s">
        <v>553</v>
      </c>
      <c r="X948" s="25" t="s">
        <v>1752</v>
      </c>
      <c r="Y948" s="25" t="s">
        <v>1753</v>
      </c>
      <c r="Z948" s="26">
        <v>39905</v>
      </c>
      <c r="AA948" s="776">
        <v>9.6</v>
      </c>
      <c r="AB948" s="776">
        <v>0</v>
      </c>
      <c r="AC948" s="776">
        <v>0</v>
      </c>
      <c r="AD948" s="776">
        <v>0</v>
      </c>
      <c r="AE948" s="777">
        <v>0</v>
      </c>
      <c r="AF948" s="777">
        <v>14.016</v>
      </c>
      <c r="AG948" s="778">
        <v>14.576640000000001</v>
      </c>
    </row>
    <row r="949" spans="1:33" x14ac:dyDescent="0.2">
      <c r="A949" s="15">
        <f t="shared" si="119"/>
        <v>2009</v>
      </c>
      <c r="B949" s="14">
        <f t="shared" si="120"/>
        <v>5</v>
      </c>
      <c r="C949" s="13" t="str">
        <f t="shared" si="121"/>
        <v>Q2</v>
      </c>
      <c r="D949" s="13" t="str">
        <f t="shared" si="122"/>
        <v>2009Q2</v>
      </c>
      <c r="E949" s="13" t="str">
        <f t="shared" si="123"/>
        <v>Brazil</v>
      </c>
      <c r="F949" s="13" t="str">
        <f t="shared" si="126"/>
        <v>Biofuels</v>
      </c>
      <c r="G949" s="13" t="str">
        <f t="shared" si="125"/>
        <v>Asset finance investments</v>
      </c>
      <c r="H949" s="638">
        <f t="shared" si="124"/>
        <v>14.148159999999999</v>
      </c>
      <c r="I949" s="24" t="s">
        <v>506</v>
      </c>
      <c r="J949" s="25" t="s">
        <v>246</v>
      </c>
      <c r="K949" s="25" t="s">
        <v>2843</v>
      </c>
      <c r="L949" s="25" t="s">
        <v>2844</v>
      </c>
      <c r="M949" s="25" t="s">
        <v>31</v>
      </c>
      <c r="N949" s="25" t="s">
        <v>31</v>
      </c>
      <c r="O949" s="25" t="s">
        <v>92</v>
      </c>
      <c r="P949" s="25" t="s">
        <v>83</v>
      </c>
      <c r="Q949" s="25" t="s">
        <v>82</v>
      </c>
      <c r="R949" s="25" t="s">
        <v>91</v>
      </c>
      <c r="S949" s="25" t="s">
        <v>96</v>
      </c>
      <c r="T949" s="25" t="s">
        <v>96</v>
      </c>
      <c r="U949" s="25" t="s">
        <v>95</v>
      </c>
      <c r="V949" s="25" t="s">
        <v>223</v>
      </c>
      <c r="W949" s="25" t="s">
        <v>553</v>
      </c>
      <c r="X949" s="25" t="s">
        <v>1752</v>
      </c>
      <c r="Y949" s="25" t="s">
        <v>1753</v>
      </c>
      <c r="Z949" s="26">
        <v>39945</v>
      </c>
      <c r="AA949" s="776">
        <v>0</v>
      </c>
      <c r="AB949" s="776">
        <v>35.799999999999997</v>
      </c>
      <c r="AC949" s="776">
        <v>0</v>
      </c>
      <c r="AD949" s="776">
        <v>0</v>
      </c>
      <c r="AE949" s="777">
        <v>0</v>
      </c>
      <c r="AF949" s="777">
        <v>13.603999999999999</v>
      </c>
      <c r="AG949" s="778">
        <v>14.148159999999999</v>
      </c>
    </row>
    <row r="950" spans="1:33" x14ac:dyDescent="0.2">
      <c r="A950" s="15">
        <f t="shared" si="119"/>
        <v>2009</v>
      </c>
      <c r="B950" s="14">
        <f t="shared" si="120"/>
        <v>6</v>
      </c>
      <c r="C950" s="13" t="str">
        <f t="shared" si="121"/>
        <v>Q2</v>
      </c>
      <c r="D950" s="13" t="str">
        <f t="shared" si="122"/>
        <v>2009Q2</v>
      </c>
      <c r="E950" s="13" t="str">
        <f t="shared" si="123"/>
        <v>Panama</v>
      </c>
      <c r="F950" s="13" t="str">
        <f t="shared" si="126"/>
        <v>Small Hydro</v>
      </c>
      <c r="G950" s="13" t="str">
        <f t="shared" si="125"/>
        <v>Asset finance investments</v>
      </c>
      <c r="H950" s="638">
        <f t="shared" si="124"/>
        <v>13.780000000000001</v>
      </c>
      <c r="I950" s="24" t="s">
        <v>506</v>
      </c>
      <c r="J950" s="25" t="s">
        <v>246</v>
      </c>
      <c r="K950" s="25" t="s">
        <v>2845</v>
      </c>
      <c r="L950" s="25" t="s">
        <v>879</v>
      </c>
      <c r="M950" s="25" t="s">
        <v>19</v>
      </c>
      <c r="N950" s="25" t="s">
        <v>85</v>
      </c>
      <c r="O950" s="25" t="s">
        <v>92</v>
      </c>
      <c r="P950" s="25" t="s">
        <v>83</v>
      </c>
      <c r="Q950" s="25" t="s">
        <v>82</v>
      </c>
      <c r="R950" s="25"/>
      <c r="S950" s="25" t="s">
        <v>126</v>
      </c>
      <c r="T950" s="25" t="s">
        <v>125</v>
      </c>
      <c r="U950" s="25" t="s">
        <v>247</v>
      </c>
      <c r="V950" s="25">
        <v>0</v>
      </c>
      <c r="W950" s="25" t="s">
        <v>553</v>
      </c>
      <c r="X950" s="25" t="s">
        <v>1752</v>
      </c>
      <c r="Y950" s="25" t="s">
        <v>1753</v>
      </c>
      <c r="Z950" s="26">
        <v>39991</v>
      </c>
      <c r="AA950" s="776">
        <v>5.3</v>
      </c>
      <c r="AB950" s="776">
        <v>0</v>
      </c>
      <c r="AC950" s="776">
        <v>0</v>
      </c>
      <c r="AD950" s="776">
        <v>0</v>
      </c>
      <c r="AE950" s="777">
        <v>0</v>
      </c>
      <c r="AF950" s="777">
        <v>13.25</v>
      </c>
      <c r="AG950" s="778">
        <v>13.780000000000001</v>
      </c>
    </row>
    <row r="951" spans="1:33" x14ac:dyDescent="0.2">
      <c r="A951" s="15">
        <f t="shared" si="119"/>
        <v>2009</v>
      </c>
      <c r="B951" s="14">
        <f t="shared" si="120"/>
        <v>4</v>
      </c>
      <c r="C951" s="13" t="str">
        <f t="shared" si="121"/>
        <v>Q2</v>
      </c>
      <c r="D951" s="13" t="str">
        <f t="shared" si="122"/>
        <v>2009Q2</v>
      </c>
      <c r="E951" s="13" t="str">
        <f t="shared" si="123"/>
        <v>Uruguay</v>
      </c>
      <c r="F951" s="13" t="str">
        <f t="shared" si="126"/>
        <v>Biomass &amp; Waste</v>
      </c>
      <c r="G951" s="13" t="str">
        <f t="shared" si="125"/>
        <v>Asset finance investments</v>
      </c>
      <c r="H951" s="638">
        <f t="shared" si="124"/>
        <v>10.4</v>
      </c>
      <c r="I951" s="24" t="s">
        <v>506</v>
      </c>
      <c r="J951" s="25" t="s">
        <v>246</v>
      </c>
      <c r="K951" s="25" t="s">
        <v>2846</v>
      </c>
      <c r="L951" s="25" t="s">
        <v>579</v>
      </c>
      <c r="M951" s="25" t="s">
        <v>22</v>
      </c>
      <c r="N951" s="25" t="s">
        <v>85</v>
      </c>
      <c r="O951" s="25" t="s">
        <v>92</v>
      </c>
      <c r="P951" s="25" t="s">
        <v>83</v>
      </c>
      <c r="Q951" s="25" t="s">
        <v>82</v>
      </c>
      <c r="R951" s="25"/>
      <c r="S951" s="25" t="s">
        <v>114</v>
      </c>
      <c r="T951" s="25" t="s">
        <v>114</v>
      </c>
      <c r="U951" s="25" t="s">
        <v>113</v>
      </c>
      <c r="V951" s="25" t="s">
        <v>347</v>
      </c>
      <c r="W951" s="25" t="s">
        <v>553</v>
      </c>
      <c r="X951" s="25" t="s">
        <v>1752</v>
      </c>
      <c r="Y951" s="25" t="s">
        <v>1753</v>
      </c>
      <c r="Z951" s="26">
        <v>39933</v>
      </c>
      <c r="AA951" s="776">
        <v>5</v>
      </c>
      <c r="AB951" s="776">
        <v>0</v>
      </c>
      <c r="AC951" s="776">
        <v>0</v>
      </c>
      <c r="AD951" s="776">
        <v>0</v>
      </c>
      <c r="AE951" s="777">
        <v>10</v>
      </c>
      <c r="AF951" s="777">
        <v>10</v>
      </c>
      <c r="AG951" s="778">
        <v>10.4</v>
      </c>
    </row>
    <row r="952" spans="1:33" x14ac:dyDescent="0.2">
      <c r="A952" s="15">
        <f t="shared" si="119"/>
        <v>2009</v>
      </c>
      <c r="B952" s="14">
        <f t="shared" si="120"/>
        <v>6</v>
      </c>
      <c r="C952" s="13" t="str">
        <f t="shared" si="121"/>
        <v>Q2</v>
      </c>
      <c r="D952" s="13" t="str">
        <f t="shared" si="122"/>
        <v>2009Q2</v>
      </c>
      <c r="E952" s="13" t="str">
        <f t="shared" si="123"/>
        <v>Brazil</v>
      </c>
      <c r="F952" s="13" t="str">
        <f t="shared" si="126"/>
        <v>Small Hydro</v>
      </c>
      <c r="G952" s="13" t="str">
        <f t="shared" si="125"/>
        <v>Asset finance investments</v>
      </c>
      <c r="H952" s="638">
        <f t="shared" si="124"/>
        <v>8.2888000000000002</v>
      </c>
      <c r="I952" s="24" t="s">
        <v>506</v>
      </c>
      <c r="J952" s="25" t="s">
        <v>246</v>
      </c>
      <c r="K952" s="25" t="s">
        <v>2847</v>
      </c>
      <c r="L952" s="25" t="s">
        <v>612</v>
      </c>
      <c r="M952" s="25" t="s">
        <v>31</v>
      </c>
      <c r="N952" s="25" t="s">
        <v>31</v>
      </c>
      <c r="O952" s="25" t="s">
        <v>92</v>
      </c>
      <c r="P952" s="25" t="s">
        <v>83</v>
      </c>
      <c r="Q952" s="25" t="s">
        <v>82</v>
      </c>
      <c r="R952" s="25" t="s">
        <v>91</v>
      </c>
      <c r="S952" s="25" t="s">
        <v>126</v>
      </c>
      <c r="T952" s="25" t="s">
        <v>125</v>
      </c>
      <c r="U952" s="25" t="s">
        <v>247</v>
      </c>
      <c r="V952" s="25">
        <v>0</v>
      </c>
      <c r="W952" s="25" t="s">
        <v>553</v>
      </c>
      <c r="X952" s="25" t="s">
        <v>1752</v>
      </c>
      <c r="Y952" s="25" t="s">
        <v>1753</v>
      </c>
      <c r="Z952" s="26">
        <v>39983</v>
      </c>
      <c r="AA952" s="776">
        <v>3.1880000000000002</v>
      </c>
      <c r="AB952" s="776">
        <v>0</v>
      </c>
      <c r="AC952" s="776">
        <v>0</v>
      </c>
      <c r="AD952" s="776">
        <v>0</v>
      </c>
      <c r="AE952" s="777">
        <v>0</v>
      </c>
      <c r="AF952" s="777">
        <v>7.9700000000000006</v>
      </c>
      <c r="AG952" s="778">
        <v>8.2888000000000002</v>
      </c>
    </row>
    <row r="953" spans="1:33" x14ac:dyDescent="0.2">
      <c r="A953" s="15">
        <f t="shared" si="119"/>
        <v>2009</v>
      </c>
      <c r="B953" s="14">
        <f t="shared" si="120"/>
        <v>6</v>
      </c>
      <c r="C953" s="13" t="str">
        <f t="shared" si="121"/>
        <v>Q2</v>
      </c>
      <c r="D953" s="13" t="str">
        <f t="shared" si="122"/>
        <v>2009Q2</v>
      </c>
      <c r="E953" s="13" t="str">
        <f t="shared" si="123"/>
        <v>Brazil</v>
      </c>
      <c r="F953" s="13" t="str">
        <f t="shared" si="126"/>
        <v>Small Hydro</v>
      </c>
      <c r="G953" s="13" t="str">
        <f t="shared" si="125"/>
        <v>Asset finance investments</v>
      </c>
      <c r="H953" s="638">
        <f t="shared" si="124"/>
        <v>7.8000000000000007</v>
      </c>
      <c r="I953" s="24" t="s">
        <v>506</v>
      </c>
      <c r="J953" s="25" t="s">
        <v>246</v>
      </c>
      <c r="K953" s="25" t="s">
        <v>2848</v>
      </c>
      <c r="L953" s="25" t="s">
        <v>932</v>
      </c>
      <c r="M953" s="25" t="s">
        <v>31</v>
      </c>
      <c r="N953" s="25" t="s">
        <v>31</v>
      </c>
      <c r="O953" s="25" t="s">
        <v>92</v>
      </c>
      <c r="P953" s="25" t="s">
        <v>83</v>
      </c>
      <c r="Q953" s="25" t="s">
        <v>82</v>
      </c>
      <c r="R953" s="25" t="s">
        <v>91</v>
      </c>
      <c r="S953" s="25" t="s">
        <v>126</v>
      </c>
      <c r="T953" s="25" t="s">
        <v>125</v>
      </c>
      <c r="U953" s="25" t="s">
        <v>247</v>
      </c>
      <c r="V953" s="25">
        <v>0</v>
      </c>
      <c r="W953" s="25" t="s">
        <v>553</v>
      </c>
      <c r="X953" s="25" t="s">
        <v>1752</v>
      </c>
      <c r="Y953" s="25" t="s">
        <v>1753</v>
      </c>
      <c r="Z953" s="26">
        <v>39983</v>
      </c>
      <c r="AA953" s="776">
        <v>3.6989999999999998</v>
      </c>
      <c r="AB953" s="776">
        <v>0</v>
      </c>
      <c r="AC953" s="776">
        <v>0</v>
      </c>
      <c r="AD953" s="776">
        <v>0</v>
      </c>
      <c r="AE953" s="777">
        <v>0</v>
      </c>
      <c r="AF953" s="777">
        <v>7.5</v>
      </c>
      <c r="AG953" s="778">
        <v>7.8000000000000007</v>
      </c>
    </row>
    <row r="954" spans="1:33" x14ac:dyDescent="0.2">
      <c r="A954" s="15">
        <f t="shared" si="119"/>
        <v>2009</v>
      </c>
      <c r="B954" s="14">
        <f t="shared" si="120"/>
        <v>5</v>
      </c>
      <c r="C954" s="13" t="str">
        <f t="shared" si="121"/>
        <v>Q2</v>
      </c>
      <c r="D954" s="13" t="str">
        <f t="shared" si="122"/>
        <v>2009Q2</v>
      </c>
      <c r="E954" s="13" t="str">
        <f t="shared" si="123"/>
        <v>Peru</v>
      </c>
      <c r="F954" s="13" t="str">
        <f t="shared" si="126"/>
        <v>Small Hydro</v>
      </c>
      <c r="G954" s="13" t="str">
        <f t="shared" si="125"/>
        <v>Asset finance investments</v>
      </c>
      <c r="H954" s="638">
        <f t="shared" si="124"/>
        <v>7.8000000000000007</v>
      </c>
      <c r="I954" s="24" t="s">
        <v>506</v>
      </c>
      <c r="J954" s="25" t="s">
        <v>246</v>
      </c>
      <c r="K954" s="25" t="s">
        <v>2849</v>
      </c>
      <c r="L954" s="25" t="s">
        <v>837</v>
      </c>
      <c r="M954" s="25" t="s">
        <v>20</v>
      </c>
      <c r="N954" s="25" t="s">
        <v>85</v>
      </c>
      <c r="O954" s="25" t="s">
        <v>92</v>
      </c>
      <c r="P954" s="25" t="s">
        <v>83</v>
      </c>
      <c r="Q954" s="25" t="s">
        <v>82</v>
      </c>
      <c r="R954" s="25"/>
      <c r="S954" s="25" t="s">
        <v>126</v>
      </c>
      <c r="T954" s="25" t="s">
        <v>125</v>
      </c>
      <c r="U954" s="25" t="s">
        <v>247</v>
      </c>
      <c r="V954" s="25">
        <v>0</v>
      </c>
      <c r="W954" s="25" t="s">
        <v>553</v>
      </c>
      <c r="X954" s="25" t="s">
        <v>1752</v>
      </c>
      <c r="Y954" s="25" t="s">
        <v>1753</v>
      </c>
      <c r="Z954" s="26">
        <v>39962</v>
      </c>
      <c r="AA954" s="776">
        <v>5.9</v>
      </c>
      <c r="AB954" s="776">
        <v>0</v>
      </c>
      <c r="AC954" s="776">
        <v>0</v>
      </c>
      <c r="AD954" s="776">
        <v>0</v>
      </c>
      <c r="AE954" s="777">
        <v>7.5</v>
      </c>
      <c r="AF954" s="777">
        <v>7.5</v>
      </c>
      <c r="AG954" s="778">
        <v>7.8000000000000007</v>
      </c>
    </row>
    <row r="955" spans="1:33" x14ac:dyDescent="0.2">
      <c r="A955" s="15">
        <f t="shared" si="119"/>
        <v>2009</v>
      </c>
      <c r="B955" s="14">
        <f t="shared" si="120"/>
        <v>4</v>
      </c>
      <c r="C955" s="13" t="str">
        <f t="shared" si="121"/>
        <v>Q2</v>
      </c>
      <c r="D955" s="13" t="str">
        <f t="shared" si="122"/>
        <v>2009Q2</v>
      </c>
      <c r="E955" s="13" t="str">
        <f t="shared" si="123"/>
        <v>Uruguay</v>
      </c>
      <c r="F955" s="13" t="str">
        <f t="shared" si="126"/>
        <v>Biofuels</v>
      </c>
      <c r="G955" s="13" t="str">
        <f t="shared" si="125"/>
        <v>Asset finance investments</v>
      </c>
      <c r="H955" s="638">
        <f t="shared" si="124"/>
        <v>7.28</v>
      </c>
      <c r="I955" s="24" t="s">
        <v>506</v>
      </c>
      <c r="J955" s="25" t="s">
        <v>246</v>
      </c>
      <c r="K955" s="25" t="s">
        <v>2850</v>
      </c>
      <c r="L955" s="25" t="s">
        <v>2851</v>
      </c>
      <c r="M955" s="25" t="s">
        <v>22</v>
      </c>
      <c r="N955" s="25" t="s">
        <v>85</v>
      </c>
      <c r="O955" s="25" t="s">
        <v>92</v>
      </c>
      <c r="P955" s="25" t="s">
        <v>83</v>
      </c>
      <c r="Q955" s="25" t="s">
        <v>82</v>
      </c>
      <c r="R955" s="25"/>
      <c r="S955" s="25" t="s">
        <v>96</v>
      </c>
      <c r="T955" s="25" t="s">
        <v>96</v>
      </c>
      <c r="U955" s="25" t="s">
        <v>98</v>
      </c>
      <c r="V955" s="25" t="s">
        <v>230</v>
      </c>
      <c r="W955" s="25" t="s">
        <v>553</v>
      </c>
      <c r="X955" s="25" t="s">
        <v>1752</v>
      </c>
      <c r="Y955" s="25" t="s">
        <v>1753</v>
      </c>
      <c r="Z955" s="26">
        <v>39904</v>
      </c>
      <c r="AA955" s="776">
        <v>0</v>
      </c>
      <c r="AB955" s="776">
        <v>21</v>
      </c>
      <c r="AC955" s="776">
        <v>0</v>
      </c>
      <c r="AD955" s="776">
        <v>0</v>
      </c>
      <c r="AE955" s="777">
        <v>7</v>
      </c>
      <c r="AF955" s="777">
        <v>7</v>
      </c>
      <c r="AG955" s="778">
        <v>7.28</v>
      </c>
    </row>
    <row r="956" spans="1:33" x14ac:dyDescent="0.2">
      <c r="A956" s="15">
        <f t="shared" si="119"/>
        <v>2009</v>
      </c>
      <c r="B956" s="14">
        <f t="shared" si="120"/>
        <v>5</v>
      </c>
      <c r="C956" s="13" t="str">
        <f t="shared" si="121"/>
        <v>Q2</v>
      </c>
      <c r="D956" s="13" t="str">
        <f t="shared" si="122"/>
        <v>2009Q2</v>
      </c>
      <c r="E956" s="13" t="str">
        <f t="shared" si="123"/>
        <v>Brazil</v>
      </c>
      <c r="F956" s="13" t="str">
        <f t="shared" si="126"/>
        <v>Biofuels</v>
      </c>
      <c r="G956" s="13" t="str">
        <f t="shared" si="125"/>
        <v>Asset finance investments</v>
      </c>
      <c r="H956" s="638">
        <f t="shared" si="124"/>
        <v>7.0740799999999995</v>
      </c>
      <c r="I956" s="24" t="s">
        <v>506</v>
      </c>
      <c r="J956" s="25" t="s">
        <v>246</v>
      </c>
      <c r="K956" s="25" t="s">
        <v>2852</v>
      </c>
      <c r="L956" s="25" t="s">
        <v>2853</v>
      </c>
      <c r="M956" s="25" t="s">
        <v>31</v>
      </c>
      <c r="N956" s="25" t="s">
        <v>31</v>
      </c>
      <c r="O956" s="25" t="s">
        <v>92</v>
      </c>
      <c r="P956" s="25" t="s">
        <v>83</v>
      </c>
      <c r="Q956" s="25" t="s">
        <v>82</v>
      </c>
      <c r="R956" s="25" t="s">
        <v>91</v>
      </c>
      <c r="S956" s="25" t="s">
        <v>96</v>
      </c>
      <c r="T956" s="25" t="s">
        <v>96</v>
      </c>
      <c r="U956" s="25" t="s">
        <v>95</v>
      </c>
      <c r="V956" s="25" t="s">
        <v>223</v>
      </c>
      <c r="W956" s="25" t="s">
        <v>553</v>
      </c>
      <c r="X956" s="25" t="s">
        <v>1752</v>
      </c>
      <c r="Y956" s="25" t="s">
        <v>1753</v>
      </c>
      <c r="Z956" s="26">
        <v>39938</v>
      </c>
      <c r="AA956" s="776">
        <v>0</v>
      </c>
      <c r="AB956" s="776">
        <v>17.899999999999999</v>
      </c>
      <c r="AC956" s="776">
        <v>0</v>
      </c>
      <c r="AD956" s="776">
        <v>0</v>
      </c>
      <c r="AE956" s="777">
        <v>0</v>
      </c>
      <c r="AF956" s="777">
        <v>6.8019999999999996</v>
      </c>
      <c r="AG956" s="778">
        <v>7.0740799999999995</v>
      </c>
    </row>
    <row r="957" spans="1:33" x14ac:dyDescent="0.2">
      <c r="A957" s="15">
        <f t="shared" si="119"/>
        <v>2009</v>
      </c>
      <c r="B957" s="14">
        <f t="shared" si="120"/>
        <v>6</v>
      </c>
      <c r="C957" s="13" t="str">
        <f t="shared" si="121"/>
        <v>Q2</v>
      </c>
      <c r="D957" s="13" t="str">
        <f t="shared" si="122"/>
        <v>2009Q2</v>
      </c>
      <c r="E957" s="13" t="str">
        <f t="shared" si="123"/>
        <v>Brazil</v>
      </c>
      <c r="F957" s="13" t="str">
        <f t="shared" si="126"/>
        <v>Small Hydro</v>
      </c>
      <c r="G957" s="13" t="str">
        <f t="shared" si="125"/>
        <v>Asset finance investments</v>
      </c>
      <c r="H957" s="638">
        <f t="shared" si="124"/>
        <v>6.032</v>
      </c>
      <c r="I957" s="24" t="s">
        <v>506</v>
      </c>
      <c r="J957" s="25" t="s">
        <v>246</v>
      </c>
      <c r="K957" s="25" t="s">
        <v>2854</v>
      </c>
      <c r="L957" s="25" t="s">
        <v>933</v>
      </c>
      <c r="M957" s="25" t="s">
        <v>31</v>
      </c>
      <c r="N957" s="25" t="s">
        <v>31</v>
      </c>
      <c r="O957" s="25" t="s">
        <v>92</v>
      </c>
      <c r="P957" s="25" t="s">
        <v>83</v>
      </c>
      <c r="Q957" s="25" t="s">
        <v>82</v>
      </c>
      <c r="R957" s="25" t="s">
        <v>91</v>
      </c>
      <c r="S957" s="25" t="s">
        <v>126</v>
      </c>
      <c r="T957" s="25" t="s">
        <v>125</v>
      </c>
      <c r="U957" s="25" t="s">
        <v>247</v>
      </c>
      <c r="V957" s="25">
        <v>0</v>
      </c>
      <c r="W957" s="25" t="s">
        <v>553</v>
      </c>
      <c r="X957" s="25" t="s">
        <v>1752</v>
      </c>
      <c r="Y957" s="25" t="s">
        <v>1753</v>
      </c>
      <c r="Z957" s="26">
        <v>39983</v>
      </c>
      <c r="AA957" s="776">
        <v>2.34</v>
      </c>
      <c r="AB957" s="776">
        <v>0</v>
      </c>
      <c r="AC957" s="776">
        <v>0</v>
      </c>
      <c r="AD957" s="776">
        <v>0</v>
      </c>
      <c r="AE957" s="777">
        <v>0</v>
      </c>
      <c r="AF957" s="777">
        <v>5.8</v>
      </c>
      <c r="AG957" s="778">
        <v>6.032</v>
      </c>
    </row>
    <row r="958" spans="1:33" x14ac:dyDescent="0.2">
      <c r="A958" s="15">
        <f t="shared" si="119"/>
        <v>2009</v>
      </c>
      <c r="B958" s="14">
        <f t="shared" si="120"/>
        <v>6</v>
      </c>
      <c r="C958" s="13" t="str">
        <f t="shared" si="121"/>
        <v>Q2</v>
      </c>
      <c r="D958" s="13" t="str">
        <f t="shared" si="122"/>
        <v>2009Q2</v>
      </c>
      <c r="E958" s="13" t="str">
        <f t="shared" si="123"/>
        <v>Mexico</v>
      </c>
      <c r="F958" s="13" t="str">
        <f t="shared" si="126"/>
        <v>Biomass &amp; Waste</v>
      </c>
      <c r="G958" s="13" t="str">
        <f t="shared" si="125"/>
        <v>Asset finance investments</v>
      </c>
      <c r="H958" s="638">
        <f t="shared" si="124"/>
        <v>4.68</v>
      </c>
      <c r="I958" s="24" t="s">
        <v>506</v>
      </c>
      <c r="J958" s="25" t="s">
        <v>246</v>
      </c>
      <c r="K958" s="25" t="s">
        <v>2855</v>
      </c>
      <c r="L958" s="25" t="s">
        <v>602</v>
      </c>
      <c r="M958" s="25" t="s">
        <v>18</v>
      </c>
      <c r="N958" s="25" t="s">
        <v>85</v>
      </c>
      <c r="O958" s="25" t="s">
        <v>92</v>
      </c>
      <c r="P958" s="25" t="s">
        <v>83</v>
      </c>
      <c r="Q958" s="25" t="s">
        <v>129</v>
      </c>
      <c r="R958" s="25"/>
      <c r="S958" s="25" t="s">
        <v>114</v>
      </c>
      <c r="T958" s="25" t="s">
        <v>114</v>
      </c>
      <c r="U958" s="25" t="s">
        <v>113</v>
      </c>
      <c r="V958" s="25">
        <v>0</v>
      </c>
      <c r="W958" s="25" t="s">
        <v>553</v>
      </c>
      <c r="X958" s="25" t="s">
        <v>1752</v>
      </c>
      <c r="Y958" s="25" t="s">
        <v>1753</v>
      </c>
      <c r="Z958" s="26">
        <v>39979</v>
      </c>
      <c r="AA958" s="776">
        <v>35</v>
      </c>
      <c r="AB958" s="776">
        <v>0</v>
      </c>
      <c r="AC958" s="776">
        <v>0</v>
      </c>
      <c r="AD958" s="776">
        <v>0</v>
      </c>
      <c r="AE958" s="777">
        <v>0</v>
      </c>
      <c r="AF958" s="777">
        <v>4.5</v>
      </c>
      <c r="AG958" s="778">
        <v>4.68</v>
      </c>
    </row>
    <row r="959" spans="1:33" x14ac:dyDescent="0.2">
      <c r="A959" s="15">
        <f t="shared" si="119"/>
        <v>2009</v>
      </c>
      <c r="B959" s="14">
        <f t="shared" si="120"/>
        <v>6</v>
      </c>
      <c r="C959" s="13" t="str">
        <f t="shared" si="121"/>
        <v>Q2</v>
      </c>
      <c r="D959" s="13" t="str">
        <f t="shared" si="122"/>
        <v>2009Q2</v>
      </c>
      <c r="E959" s="13" t="str">
        <f t="shared" si="123"/>
        <v>Brazil</v>
      </c>
      <c r="F959" s="13" t="str">
        <f t="shared" si="126"/>
        <v>Small Hydro</v>
      </c>
      <c r="G959" s="13" t="str">
        <f t="shared" si="125"/>
        <v>Asset finance investments</v>
      </c>
      <c r="H959" s="638">
        <f t="shared" si="124"/>
        <v>4.0040000000000004</v>
      </c>
      <c r="I959" s="24" t="s">
        <v>506</v>
      </c>
      <c r="J959" s="25" t="s">
        <v>246</v>
      </c>
      <c r="K959" s="25" t="s">
        <v>2856</v>
      </c>
      <c r="L959" s="25" t="s">
        <v>613</v>
      </c>
      <c r="M959" s="25" t="s">
        <v>31</v>
      </c>
      <c r="N959" s="25" t="s">
        <v>31</v>
      </c>
      <c r="O959" s="25" t="s">
        <v>92</v>
      </c>
      <c r="P959" s="25" t="s">
        <v>83</v>
      </c>
      <c r="Q959" s="25" t="s">
        <v>82</v>
      </c>
      <c r="R959" s="25" t="s">
        <v>91</v>
      </c>
      <c r="S959" s="25" t="s">
        <v>126</v>
      </c>
      <c r="T959" s="25" t="s">
        <v>125</v>
      </c>
      <c r="U959" s="25" t="s">
        <v>247</v>
      </c>
      <c r="V959" s="25">
        <v>0</v>
      </c>
      <c r="W959" s="25" t="s">
        <v>553</v>
      </c>
      <c r="X959" s="25" t="s">
        <v>1752</v>
      </c>
      <c r="Y959" s="25" t="s">
        <v>1753</v>
      </c>
      <c r="Z959" s="26">
        <v>39983</v>
      </c>
      <c r="AA959" s="776">
        <v>1.54</v>
      </c>
      <c r="AB959" s="776">
        <v>0</v>
      </c>
      <c r="AC959" s="776">
        <v>0</v>
      </c>
      <c r="AD959" s="776">
        <v>0</v>
      </c>
      <c r="AE959" s="777">
        <v>0</v>
      </c>
      <c r="AF959" s="777">
        <v>3.85</v>
      </c>
      <c r="AG959" s="778">
        <v>4.0040000000000004</v>
      </c>
    </row>
    <row r="960" spans="1:33" x14ac:dyDescent="0.2">
      <c r="A960" s="15">
        <f t="shared" si="119"/>
        <v>2009</v>
      </c>
      <c r="B960" s="14">
        <f t="shared" si="120"/>
        <v>5</v>
      </c>
      <c r="C960" s="13" t="str">
        <f t="shared" si="121"/>
        <v>Q2</v>
      </c>
      <c r="D960" s="13" t="str">
        <f t="shared" si="122"/>
        <v>2009Q2</v>
      </c>
      <c r="E960" s="13" t="str">
        <f t="shared" si="123"/>
        <v>Brazil</v>
      </c>
      <c r="F960" s="13" t="str">
        <f t="shared" si="126"/>
        <v>Biofuels</v>
      </c>
      <c r="G960" s="13" t="str">
        <f t="shared" si="125"/>
        <v>Asset finance investments</v>
      </c>
      <c r="H960" s="638">
        <f t="shared" si="124"/>
        <v>0.36399999999999999</v>
      </c>
      <c r="I960" s="24" t="s">
        <v>506</v>
      </c>
      <c r="J960" s="25" t="s">
        <v>246</v>
      </c>
      <c r="K960" s="25" t="s">
        <v>2857</v>
      </c>
      <c r="L960" s="25" t="s">
        <v>919</v>
      </c>
      <c r="M960" s="25" t="s">
        <v>31</v>
      </c>
      <c r="N960" s="25" t="s">
        <v>31</v>
      </c>
      <c r="O960" s="25" t="s">
        <v>92</v>
      </c>
      <c r="P960" s="25" t="s">
        <v>83</v>
      </c>
      <c r="Q960" s="25" t="s">
        <v>82</v>
      </c>
      <c r="R960" s="25" t="s">
        <v>91</v>
      </c>
      <c r="S960" s="25" t="s">
        <v>96</v>
      </c>
      <c r="T960" s="25" t="s">
        <v>96</v>
      </c>
      <c r="U960" s="25" t="s">
        <v>95</v>
      </c>
      <c r="V960" s="25" t="s">
        <v>223</v>
      </c>
      <c r="W960" s="25" t="s">
        <v>553</v>
      </c>
      <c r="X960" s="25" t="s">
        <v>1752</v>
      </c>
      <c r="Y960" s="25" t="s">
        <v>1753</v>
      </c>
      <c r="Z960" s="26">
        <v>39960</v>
      </c>
      <c r="AA960" s="776">
        <v>0</v>
      </c>
      <c r="AB960" s="776">
        <v>0</v>
      </c>
      <c r="AC960" s="776">
        <v>0</v>
      </c>
      <c r="AD960" s="776">
        <v>0</v>
      </c>
      <c r="AE960" s="777">
        <v>0.35</v>
      </c>
      <c r="AF960" s="777">
        <v>0.35</v>
      </c>
      <c r="AG960" s="778">
        <v>0.36399999999999999</v>
      </c>
    </row>
    <row r="961" spans="1:33" x14ac:dyDescent="0.2">
      <c r="A961" s="15">
        <f t="shared" si="119"/>
        <v>2008</v>
      </c>
      <c r="B961" s="14">
        <f t="shared" si="120"/>
        <v>6</v>
      </c>
      <c r="C961" s="13" t="str">
        <f t="shared" si="121"/>
        <v>Q2</v>
      </c>
      <c r="D961" s="13" t="str">
        <f t="shared" si="122"/>
        <v>2008Q2</v>
      </c>
      <c r="E961" s="13" t="str">
        <f t="shared" si="123"/>
        <v>Mexico</v>
      </c>
      <c r="F961" s="13" t="str">
        <f t="shared" si="126"/>
        <v>Wind</v>
      </c>
      <c r="G961" s="13" t="str">
        <f t="shared" si="125"/>
        <v>Asset finance investments</v>
      </c>
      <c r="H961" s="638">
        <f t="shared" si="124"/>
        <v>566.5</v>
      </c>
      <c r="I961" s="24" t="s">
        <v>506</v>
      </c>
      <c r="J961" s="25" t="s">
        <v>246</v>
      </c>
      <c r="K961" s="25" t="s">
        <v>2858</v>
      </c>
      <c r="L961" s="25" t="s">
        <v>983</v>
      </c>
      <c r="M961" s="25" t="s">
        <v>18</v>
      </c>
      <c r="N961" s="25" t="s">
        <v>85</v>
      </c>
      <c r="O961" s="25" t="s">
        <v>92</v>
      </c>
      <c r="P961" s="25" t="s">
        <v>83</v>
      </c>
      <c r="Q961" s="25" t="s">
        <v>129</v>
      </c>
      <c r="R961" s="25"/>
      <c r="S961" s="25" t="s">
        <v>101</v>
      </c>
      <c r="T961" s="25" t="s">
        <v>101</v>
      </c>
      <c r="U961" s="25" t="s">
        <v>112</v>
      </c>
      <c r="V961" s="25">
        <v>0</v>
      </c>
      <c r="W961" s="25" t="s">
        <v>553</v>
      </c>
      <c r="X961" s="25" t="s">
        <v>1752</v>
      </c>
      <c r="Y961" s="25" t="s">
        <v>1753</v>
      </c>
      <c r="Z961" s="26">
        <v>39629</v>
      </c>
      <c r="AA961" s="776">
        <v>250.5</v>
      </c>
      <c r="AB961" s="776">
        <v>0</v>
      </c>
      <c r="AC961" s="776">
        <v>0</v>
      </c>
      <c r="AD961" s="776">
        <v>0</v>
      </c>
      <c r="AE961" s="777">
        <v>550</v>
      </c>
      <c r="AF961" s="777">
        <v>550</v>
      </c>
      <c r="AG961" s="778">
        <v>566.5</v>
      </c>
    </row>
    <row r="962" spans="1:33" x14ac:dyDescent="0.2">
      <c r="A962" s="15">
        <f t="shared" si="119"/>
        <v>2008</v>
      </c>
      <c r="B962" s="14">
        <f t="shared" si="120"/>
        <v>4</v>
      </c>
      <c r="C962" s="13" t="str">
        <f t="shared" si="121"/>
        <v>Q2</v>
      </c>
      <c r="D962" s="13" t="str">
        <f t="shared" si="122"/>
        <v>2008Q2</v>
      </c>
      <c r="E962" s="13" t="str">
        <f t="shared" si="123"/>
        <v>Brazil</v>
      </c>
      <c r="F962" s="13" t="str">
        <f t="shared" si="126"/>
        <v>Biofuels</v>
      </c>
      <c r="G962" s="13" t="str">
        <f t="shared" si="125"/>
        <v>Asset finance investments</v>
      </c>
      <c r="H962" s="638">
        <f t="shared" si="124"/>
        <v>515</v>
      </c>
      <c r="I962" s="24" t="s">
        <v>506</v>
      </c>
      <c r="J962" s="25" t="s">
        <v>246</v>
      </c>
      <c r="K962" s="25" t="s">
        <v>2859</v>
      </c>
      <c r="L962" s="25" t="s">
        <v>2860</v>
      </c>
      <c r="M962" s="25" t="s">
        <v>31</v>
      </c>
      <c r="N962" s="25" t="s">
        <v>31</v>
      </c>
      <c r="O962" s="25" t="s">
        <v>92</v>
      </c>
      <c r="P962" s="25" t="s">
        <v>83</v>
      </c>
      <c r="Q962" s="25" t="s">
        <v>82</v>
      </c>
      <c r="R962" s="25" t="s">
        <v>91</v>
      </c>
      <c r="S962" s="25" t="s">
        <v>96</v>
      </c>
      <c r="T962" s="25" t="s">
        <v>96</v>
      </c>
      <c r="U962" s="25" t="s">
        <v>98</v>
      </c>
      <c r="V962" s="25" t="s">
        <v>230</v>
      </c>
      <c r="W962" s="25" t="s">
        <v>553</v>
      </c>
      <c r="X962" s="25" t="s">
        <v>1749</v>
      </c>
      <c r="Y962" s="25" t="s">
        <v>1750</v>
      </c>
      <c r="Z962" s="26">
        <v>39562</v>
      </c>
      <c r="AA962" s="776">
        <v>0</v>
      </c>
      <c r="AB962" s="776">
        <v>217.5</v>
      </c>
      <c r="AC962" s="776">
        <v>0</v>
      </c>
      <c r="AD962" s="776">
        <v>0</v>
      </c>
      <c r="AE962" s="777">
        <v>500</v>
      </c>
      <c r="AF962" s="777">
        <v>500</v>
      </c>
      <c r="AG962" s="778">
        <v>515</v>
      </c>
    </row>
    <row r="963" spans="1:33" x14ac:dyDescent="0.2">
      <c r="A963" s="15">
        <f t="shared" si="119"/>
        <v>2008</v>
      </c>
      <c r="B963" s="14">
        <f t="shared" si="120"/>
        <v>6</v>
      </c>
      <c r="C963" s="13" t="str">
        <f t="shared" si="121"/>
        <v>Q2</v>
      </c>
      <c r="D963" s="13" t="str">
        <f t="shared" si="122"/>
        <v>2008Q2</v>
      </c>
      <c r="E963" s="13" t="str">
        <f t="shared" si="123"/>
        <v>Brazil</v>
      </c>
      <c r="F963" s="13" t="str">
        <f t="shared" si="126"/>
        <v>Biofuels</v>
      </c>
      <c r="G963" s="13" t="str">
        <f t="shared" si="125"/>
        <v>Asset finance investments</v>
      </c>
      <c r="H963" s="638">
        <f t="shared" si="124"/>
        <v>331.96899999999999</v>
      </c>
      <c r="I963" s="24" t="s">
        <v>506</v>
      </c>
      <c r="J963" s="25" t="s">
        <v>246</v>
      </c>
      <c r="K963" s="25" t="s">
        <v>2861</v>
      </c>
      <c r="L963" s="25" t="s">
        <v>969</v>
      </c>
      <c r="M963" s="25" t="s">
        <v>31</v>
      </c>
      <c r="N963" s="25" t="s">
        <v>31</v>
      </c>
      <c r="O963" s="25" t="s">
        <v>92</v>
      </c>
      <c r="P963" s="25" t="s">
        <v>83</v>
      </c>
      <c r="Q963" s="25" t="s">
        <v>82</v>
      </c>
      <c r="R963" s="25" t="s">
        <v>91</v>
      </c>
      <c r="S963" s="25" t="s">
        <v>96</v>
      </c>
      <c r="T963" s="25" t="s">
        <v>96</v>
      </c>
      <c r="U963" s="25" t="s">
        <v>98</v>
      </c>
      <c r="V963" s="25" t="s">
        <v>230</v>
      </c>
      <c r="W963" s="25" t="s">
        <v>553</v>
      </c>
      <c r="X963" s="25" t="s">
        <v>1749</v>
      </c>
      <c r="Y963" s="25" t="s">
        <v>1750</v>
      </c>
      <c r="Z963" s="26">
        <v>39629</v>
      </c>
      <c r="AA963" s="776">
        <v>0</v>
      </c>
      <c r="AB963" s="776">
        <v>193.5</v>
      </c>
      <c r="AC963" s="776">
        <v>0</v>
      </c>
      <c r="AD963" s="776">
        <v>0</v>
      </c>
      <c r="AE963" s="777">
        <v>322.3</v>
      </c>
      <c r="AF963" s="777">
        <v>322.3</v>
      </c>
      <c r="AG963" s="778">
        <v>331.96899999999999</v>
      </c>
    </row>
    <row r="964" spans="1:33" x14ac:dyDescent="0.2">
      <c r="A964" s="15">
        <f t="shared" si="119"/>
        <v>2008</v>
      </c>
      <c r="B964" s="14">
        <f t="shared" si="120"/>
        <v>4</v>
      </c>
      <c r="C964" s="13" t="str">
        <f t="shared" si="121"/>
        <v>Q2</v>
      </c>
      <c r="D964" s="13" t="str">
        <f t="shared" si="122"/>
        <v>2008Q2</v>
      </c>
      <c r="E964" s="13" t="str">
        <f t="shared" si="123"/>
        <v>Brazil</v>
      </c>
      <c r="F964" s="13" t="str">
        <f t="shared" si="126"/>
        <v>Wind</v>
      </c>
      <c r="G964" s="13" t="str">
        <f t="shared" si="125"/>
        <v>Asset finance investments</v>
      </c>
      <c r="H964" s="638">
        <f t="shared" si="124"/>
        <v>323.72900000000004</v>
      </c>
      <c r="I964" s="24" t="s">
        <v>506</v>
      </c>
      <c r="J964" s="25" t="s">
        <v>246</v>
      </c>
      <c r="K964" s="25" t="s">
        <v>2862</v>
      </c>
      <c r="L964" s="25" t="s">
        <v>2863</v>
      </c>
      <c r="M964" s="25" t="s">
        <v>31</v>
      </c>
      <c r="N964" s="25" t="s">
        <v>31</v>
      </c>
      <c r="O964" s="25" t="s">
        <v>92</v>
      </c>
      <c r="P964" s="25" t="s">
        <v>83</v>
      </c>
      <c r="Q964" s="25" t="s">
        <v>82</v>
      </c>
      <c r="R964" s="25" t="s">
        <v>91</v>
      </c>
      <c r="S964" s="25" t="s">
        <v>101</v>
      </c>
      <c r="T964" s="25" t="s">
        <v>101</v>
      </c>
      <c r="U964" s="25" t="s">
        <v>112</v>
      </c>
      <c r="V964" s="25">
        <v>0</v>
      </c>
      <c r="W964" s="25" t="s">
        <v>553</v>
      </c>
      <c r="X964" s="25" t="s">
        <v>1749</v>
      </c>
      <c r="Y964" s="25" t="s">
        <v>1750</v>
      </c>
      <c r="Z964" s="26">
        <v>39539</v>
      </c>
      <c r="AA964" s="776">
        <v>99.6</v>
      </c>
      <c r="AB964" s="776">
        <v>0</v>
      </c>
      <c r="AC964" s="776">
        <v>0</v>
      </c>
      <c r="AD964" s="776">
        <v>0</v>
      </c>
      <c r="AE964" s="777">
        <v>314.3</v>
      </c>
      <c r="AF964" s="777">
        <v>314.3</v>
      </c>
      <c r="AG964" s="778">
        <v>323.72900000000004</v>
      </c>
    </row>
    <row r="965" spans="1:33" x14ac:dyDescent="0.2">
      <c r="A965" s="15">
        <f t="shared" ref="A965:A1028" si="127">IF(K965="","",IF(AND(YEAR(Z965)&lt;2004,YEAR(Z965)&gt;1910),2004,YEAR(Z965)))</f>
        <v>2008</v>
      </c>
      <c r="B965" s="14">
        <f t="shared" ref="B965:B1028" si="128">IF(K965="","",IF(ISNUMBER(Z965),MONTH(Z965),0))</f>
        <v>6</v>
      </c>
      <c r="C965" s="13" t="str">
        <f t="shared" ref="C965:C1028" si="129">IF(K965="","",IF(AND(B965&gt;=1,B965&lt;=3),"Q1",IF(AND(B965&gt;3,B965&lt;=6),"Q2",IF(AND(B965&gt;6,B965&lt;=9),"Q3",IF(AND(B965&gt;9,B965&lt;=12),"Q4",0)))))</f>
        <v>Q2</v>
      </c>
      <c r="D965" s="13" t="str">
        <f t="shared" ref="D965:D1028" si="130">IF(A965&lt;2006, "&lt; 2006", A965&amp;C965)</f>
        <v>2008Q2</v>
      </c>
      <c r="E965" s="13" t="str">
        <f t="shared" ref="E965:E1028" si="131">IF(K965="","", M965)</f>
        <v>Brazil</v>
      </c>
      <c r="F965" s="13" t="str">
        <f t="shared" si="126"/>
        <v>Biomass &amp; Waste</v>
      </c>
      <c r="G965" s="13" t="str">
        <f t="shared" si="125"/>
        <v>Asset finance investments</v>
      </c>
      <c r="H965" s="638">
        <f t="shared" ref="H965:H1028" si="132">IF(K965="","",AG965)</f>
        <v>247.20000000000002</v>
      </c>
      <c r="I965" s="24" t="s">
        <v>506</v>
      </c>
      <c r="J965" s="25" t="s">
        <v>246</v>
      </c>
      <c r="K965" s="25" t="s">
        <v>2864</v>
      </c>
      <c r="L965" s="25" t="s">
        <v>2865</v>
      </c>
      <c r="M965" s="25" t="s">
        <v>31</v>
      </c>
      <c r="N965" s="25" t="s">
        <v>31</v>
      </c>
      <c r="O965" s="25" t="s">
        <v>92</v>
      </c>
      <c r="P965" s="25" t="s">
        <v>83</v>
      </c>
      <c r="Q965" s="25" t="s">
        <v>82</v>
      </c>
      <c r="R965" s="25" t="s">
        <v>91</v>
      </c>
      <c r="S965" s="25" t="s">
        <v>114</v>
      </c>
      <c r="T965" s="25" t="s">
        <v>114</v>
      </c>
      <c r="U965" s="25" t="s">
        <v>113</v>
      </c>
      <c r="V965" s="25" t="s">
        <v>347</v>
      </c>
      <c r="W965" s="25" t="s">
        <v>553</v>
      </c>
      <c r="X965" s="25" t="s">
        <v>1749</v>
      </c>
      <c r="Y965" s="25" t="s">
        <v>1750</v>
      </c>
      <c r="Z965" s="26">
        <v>39629</v>
      </c>
      <c r="AA965" s="776">
        <v>75</v>
      </c>
      <c r="AB965" s="776">
        <v>0</v>
      </c>
      <c r="AC965" s="776">
        <v>0</v>
      </c>
      <c r="AD965" s="776">
        <v>0</v>
      </c>
      <c r="AE965" s="777">
        <v>0</v>
      </c>
      <c r="AF965" s="777">
        <v>240</v>
      </c>
      <c r="AG965" s="778">
        <v>247.20000000000002</v>
      </c>
    </row>
    <row r="966" spans="1:33" x14ac:dyDescent="0.2">
      <c r="A966" s="15">
        <f t="shared" si="127"/>
        <v>2008</v>
      </c>
      <c r="B966" s="14">
        <f t="shared" si="128"/>
        <v>6</v>
      </c>
      <c r="C966" s="13" t="str">
        <f t="shared" si="129"/>
        <v>Q2</v>
      </c>
      <c r="D966" s="13" t="str">
        <f t="shared" si="130"/>
        <v>2008Q2</v>
      </c>
      <c r="E966" s="13" t="str">
        <f t="shared" si="131"/>
        <v>Brazil</v>
      </c>
      <c r="F966" s="13" t="str">
        <f t="shared" si="126"/>
        <v>Biomass &amp; Waste</v>
      </c>
      <c r="G966" s="13" t="str">
        <f t="shared" ref="G966:G1029" si="133">IF(K966="","",IF(OR(J966="PM",J966="MA"), "Corporate finance investments", IF(J966="VCPE", "VC/PE investments", IF(J966="AF", "Asset finance investments"))))</f>
        <v>Asset finance investments</v>
      </c>
      <c r="H966" s="638">
        <f t="shared" si="132"/>
        <v>235.76700000000002</v>
      </c>
      <c r="I966" s="24" t="s">
        <v>506</v>
      </c>
      <c r="J966" s="25" t="s">
        <v>246</v>
      </c>
      <c r="K966" s="25" t="s">
        <v>2866</v>
      </c>
      <c r="L966" s="25" t="s">
        <v>988</v>
      </c>
      <c r="M966" s="25" t="s">
        <v>31</v>
      </c>
      <c r="N966" s="25" t="s">
        <v>31</v>
      </c>
      <c r="O966" s="25" t="s">
        <v>92</v>
      </c>
      <c r="P966" s="25" t="s">
        <v>83</v>
      </c>
      <c r="Q966" s="25" t="s">
        <v>82</v>
      </c>
      <c r="R966" s="25" t="s">
        <v>91</v>
      </c>
      <c r="S966" s="25" t="s">
        <v>114</v>
      </c>
      <c r="T966" s="25" t="s">
        <v>114</v>
      </c>
      <c r="U966" s="25" t="s">
        <v>113</v>
      </c>
      <c r="V966" s="25" t="s">
        <v>347</v>
      </c>
      <c r="W966" s="25" t="s">
        <v>553</v>
      </c>
      <c r="X966" s="25" t="s">
        <v>1752</v>
      </c>
      <c r="Y966" s="25" t="s">
        <v>1753</v>
      </c>
      <c r="Z966" s="26">
        <v>39609</v>
      </c>
      <c r="AA966" s="776">
        <v>160</v>
      </c>
      <c r="AB966" s="776">
        <v>118</v>
      </c>
      <c r="AC966" s="776">
        <v>0</v>
      </c>
      <c r="AD966" s="776">
        <v>0</v>
      </c>
      <c r="AE966" s="777">
        <v>228.9</v>
      </c>
      <c r="AF966" s="777">
        <v>228.9</v>
      </c>
      <c r="AG966" s="778">
        <v>235.76700000000002</v>
      </c>
    </row>
    <row r="967" spans="1:33" x14ac:dyDescent="0.2">
      <c r="A967" s="15">
        <f t="shared" si="127"/>
        <v>2008</v>
      </c>
      <c r="B967" s="14">
        <f t="shared" si="128"/>
        <v>5</v>
      </c>
      <c r="C967" s="13" t="str">
        <f t="shared" si="129"/>
        <v>Q2</v>
      </c>
      <c r="D967" s="13" t="str">
        <f t="shared" si="130"/>
        <v>2008Q2</v>
      </c>
      <c r="E967" s="13" t="str">
        <f t="shared" si="131"/>
        <v>Trinidad &amp; Tobago</v>
      </c>
      <c r="F967" s="13" t="str">
        <f t="shared" ref="F967:F1030" si="134">IF(K967="","",IF(OR(T967="Wind",T967="Solar",T967="Geothermal",T967="Small Hydro",T967="Biofuels",T967="Biomass &amp; Waste"),T967,"Other Clean Energy"))</f>
        <v>Biofuels</v>
      </c>
      <c r="G967" s="13" t="str">
        <f t="shared" si="133"/>
        <v>Asset finance investments</v>
      </c>
      <c r="H967" s="638">
        <f t="shared" si="132"/>
        <v>222.51089999999996</v>
      </c>
      <c r="I967" s="24" t="s">
        <v>506</v>
      </c>
      <c r="J967" s="25" t="s">
        <v>246</v>
      </c>
      <c r="K967" s="25" t="s">
        <v>2867</v>
      </c>
      <c r="L967" s="25" t="s">
        <v>1097</v>
      </c>
      <c r="M967" s="25" t="s">
        <v>1096</v>
      </c>
      <c r="N967" s="25" t="s">
        <v>85</v>
      </c>
      <c r="O967" s="25" t="s">
        <v>84</v>
      </c>
      <c r="P967" s="25" t="s">
        <v>83</v>
      </c>
      <c r="Q967" s="25" t="s">
        <v>82</v>
      </c>
      <c r="R967" s="25"/>
      <c r="S967" s="25" t="s">
        <v>96</v>
      </c>
      <c r="T967" s="25" t="s">
        <v>96</v>
      </c>
      <c r="U967" s="25" t="s">
        <v>98</v>
      </c>
      <c r="V967" s="25" t="s">
        <v>691</v>
      </c>
      <c r="W967" s="25" t="s">
        <v>553</v>
      </c>
      <c r="X967" s="25" t="s">
        <v>1749</v>
      </c>
      <c r="Y967" s="25" t="s">
        <v>1750</v>
      </c>
      <c r="Z967" s="26">
        <v>39596</v>
      </c>
      <c r="AA967" s="776">
        <v>0</v>
      </c>
      <c r="AB967" s="776">
        <v>379</v>
      </c>
      <c r="AC967" s="776">
        <v>0</v>
      </c>
      <c r="AD967" s="776">
        <v>0</v>
      </c>
      <c r="AE967" s="777">
        <v>0</v>
      </c>
      <c r="AF967" s="777">
        <v>216.02999999999997</v>
      </c>
      <c r="AG967" s="778">
        <v>222.51089999999996</v>
      </c>
    </row>
    <row r="968" spans="1:33" x14ac:dyDescent="0.2">
      <c r="A968" s="15">
        <f t="shared" si="127"/>
        <v>2008</v>
      </c>
      <c r="B968" s="14">
        <f t="shared" si="128"/>
        <v>5</v>
      </c>
      <c r="C968" s="13" t="str">
        <f t="shared" si="129"/>
        <v>Q2</v>
      </c>
      <c r="D968" s="13" t="str">
        <f t="shared" si="130"/>
        <v>2008Q2</v>
      </c>
      <c r="E968" s="13" t="str">
        <f t="shared" si="131"/>
        <v>Brazil</v>
      </c>
      <c r="F968" s="13" t="str">
        <f t="shared" si="134"/>
        <v>Biofuels</v>
      </c>
      <c r="G968" s="13" t="str">
        <f t="shared" si="133"/>
        <v>Asset finance investments</v>
      </c>
      <c r="H968" s="638">
        <f t="shared" si="132"/>
        <v>218.15400000000002</v>
      </c>
      <c r="I968" s="24" t="s">
        <v>506</v>
      </c>
      <c r="J968" s="25" t="s">
        <v>246</v>
      </c>
      <c r="K968" s="25" t="s">
        <v>2868</v>
      </c>
      <c r="L968" s="25" t="s">
        <v>942</v>
      </c>
      <c r="M968" s="25" t="s">
        <v>31</v>
      </c>
      <c r="N968" s="25" t="s">
        <v>31</v>
      </c>
      <c r="O968" s="25" t="s">
        <v>92</v>
      </c>
      <c r="P968" s="25" t="s">
        <v>83</v>
      </c>
      <c r="Q968" s="25" t="s">
        <v>82</v>
      </c>
      <c r="R968" s="25" t="s">
        <v>91</v>
      </c>
      <c r="S968" s="25" t="s">
        <v>96</v>
      </c>
      <c r="T968" s="25" t="s">
        <v>96</v>
      </c>
      <c r="U968" s="25" t="s">
        <v>98</v>
      </c>
      <c r="V968" s="25" t="s">
        <v>230</v>
      </c>
      <c r="W968" s="25" t="s">
        <v>553</v>
      </c>
      <c r="X968" s="25" t="s">
        <v>1752</v>
      </c>
      <c r="Y968" s="25" t="s">
        <v>1753</v>
      </c>
      <c r="Z968" s="26">
        <v>39575</v>
      </c>
      <c r="AA968" s="776">
        <v>13.8</v>
      </c>
      <c r="AB968" s="776">
        <v>0</v>
      </c>
      <c r="AC968" s="776">
        <v>0</v>
      </c>
      <c r="AD968" s="776">
        <v>0</v>
      </c>
      <c r="AE968" s="777">
        <v>211.8</v>
      </c>
      <c r="AF968" s="777">
        <v>211.8</v>
      </c>
      <c r="AG968" s="778">
        <v>218.15400000000002</v>
      </c>
    </row>
    <row r="969" spans="1:33" x14ac:dyDescent="0.2">
      <c r="A969" s="15">
        <f t="shared" si="127"/>
        <v>2008</v>
      </c>
      <c r="B969" s="14">
        <f t="shared" si="128"/>
        <v>6</v>
      </c>
      <c r="C969" s="13" t="str">
        <f t="shared" si="129"/>
        <v>Q2</v>
      </c>
      <c r="D969" s="13" t="str">
        <f t="shared" si="130"/>
        <v>2008Q2</v>
      </c>
      <c r="E969" s="13" t="str">
        <f t="shared" si="131"/>
        <v>Brazil</v>
      </c>
      <c r="F969" s="13" t="str">
        <f t="shared" si="134"/>
        <v>Biofuels</v>
      </c>
      <c r="G969" s="13" t="str">
        <f t="shared" si="133"/>
        <v>VC/PE investments</v>
      </c>
      <c r="H969" s="638">
        <f t="shared" si="132"/>
        <v>148.32</v>
      </c>
      <c r="I969" s="24" t="s">
        <v>506</v>
      </c>
      <c r="J969" s="25" t="s">
        <v>216</v>
      </c>
      <c r="K969" s="25" t="s">
        <v>540</v>
      </c>
      <c r="L969" s="25" t="s">
        <v>539</v>
      </c>
      <c r="M969" s="25" t="s">
        <v>31</v>
      </c>
      <c r="N969" s="25" t="s">
        <v>31</v>
      </c>
      <c r="O969" s="25" t="s">
        <v>92</v>
      </c>
      <c r="P969" s="25" t="s">
        <v>83</v>
      </c>
      <c r="Q969" s="25" t="s">
        <v>82</v>
      </c>
      <c r="R969" s="25" t="s">
        <v>91</v>
      </c>
      <c r="S969" s="25" t="s">
        <v>96</v>
      </c>
      <c r="T969" s="25" t="s">
        <v>96</v>
      </c>
      <c r="U969" s="25" t="s">
        <v>98</v>
      </c>
      <c r="V969" s="25" t="s">
        <v>230</v>
      </c>
      <c r="W969" s="25" t="s">
        <v>97</v>
      </c>
      <c r="X969" s="25" t="s">
        <v>508</v>
      </c>
      <c r="Y969" s="25" t="s">
        <v>507</v>
      </c>
      <c r="Z969" s="26">
        <v>39617.4909722222</v>
      </c>
      <c r="AA969" s="776" t="s">
        <v>1748</v>
      </c>
      <c r="AB969" s="776" t="s">
        <v>1748</v>
      </c>
      <c r="AC969" s="776" t="s">
        <v>1748</v>
      </c>
      <c r="AD969" s="776" t="s">
        <v>1748</v>
      </c>
      <c r="AE969" s="777">
        <v>144</v>
      </c>
      <c r="AF969" s="777">
        <v>144</v>
      </c>
      <c r="AG969" s="778">
        <v>148.32</v>
      </c>
    </row>
    <row r="970" spans="1:33" x14ac:dyDescent="0.2">
      <c r="A970" s="15">
        <f t="shared" si="127"/>
        <v>2008</v>
      </c>
      <c r="B970" s="14">
        <f t="shared" si="128"/>
        <v>4</v>
      </c>
      <c r="C970" s="13" t="str">
        <f t="shared" si="129"/>
        <v>Q2</v>
      </c>
      <c r="D970" s="13" t="str">
        <f t="shared" si="130"/>
        <v>2008Q2</v>
      </c>
      <c r="E970" s="13" t="str">
        <f t="shared" si="131"/>
        <v>Brazil</v>
      </c>
      <c r="F970" s="13" t="str">
        <f t="shared" si="134"/>
        <v>Small Hydro</v>
      </c>
      <c r="G970" s="13" t="str">
        <f t="shared" si="133"/>
        <v>Asset finance investments</v>
      </c>
      <c r="H970" s="638">
        <f t="shared" si="132"/>
        <v>126.69</v>
      </c>
      <c r="I970" s="24" t="s">
        <v>506</v>
      </c>
      <c r="J970" s="25" t="s">
        <v>246</v>
      </c>
      <c r="K970" s="25" t="s">
        <v>2869</v>
      </c>
      <c r="L970" s="25" t="s">
        <v>1099</v>
      </c>
      <c r="M970" s="25" t="s">
        <v>31</v>
      </c>
      <c r="N970" s="25" t="s">
        <v>31</v>
      </c>
      <c r="O970" s="25" t="s">
        <v>92</v>
      </c>
      <c r="P970" s="25" t="s">
        <v>83</v>
      </c>
      <c r="Q970" s="25" t="s">
        <v>82</v>
      </c>
      <c r="R970" s="25" t="s">
        <v>91</v>
      </c>
      <c r="S970" s="25" t="s">
        <v>126</v>
      </c>
      <c r="T970" s="25" t="s">
        <v>125</v>
      </c>
      <c r="U970" s="25" t="s">
        <v>247</v>
      </c>
      <c r="V970" s="25">
        <v>0</v>
      </c>
      <c r="W970" s="25" t="s">
        <v>553</v>
      </c>
      <c r="X970" s="25" t="s">
        <v>1752</v>
      </c>
      <c r="Y970" s="25" t="s">
        <v>1753</v>
      </c>
      <c r="Z970" s="26">
        <v>39539.720138888901</v>
      </c>
      <c r="AA970" s="776">
        <v>30</v>
      </c>
      <c r="AB970" s="776">
        <v>0</v>
      </c>
      <c r="AC970" s="776">
        <v>0</v>
      </c>
      <c r="AD970" s="776">
        <v>0</v>
      </c>
      <c r="AE970" s="777">
        <v>123</v>
      </c>
      <c r="AF970" s="777">
        <v>123</v>
      </c>
      <c r="AG970" s="778">
        <v>126.69</v>
      </c>
    </row>
    <row r="971" spans="1:33" x14ac:dyDescent="0.2">
      <c r="A971" s="15">
        <f t="shared" si="127"/>
        <v>2008</v>
      </c>
      <c r="B971" s="14">
        <f t="shared" si="128"/>
        <v>4</v>
      </c>
      <c r="C971" s="13" t="str">
        <f t="shared" si="129"/>
        <v>Q2</v>
      </c>
      <c r="D971" s="13" t="str">
        <f t="shared" si="130"/>
        <v>2008Q2</v>
      </c>
      <c r="E971" s="13" t="str">
        <f t="shared" si="131"/>
        <v>Brazil</v>
      </c>
      <c r="F971" s="13" t="str">
        <f t="shared" si="134"/>
        <v>Small Hydro</v>
      </c>
      <c r="G971" s="13" t="str">
        <f t="shared" si="133"/>
        <v>Asset finance investments</v>
      </c>
      <c r="H971" s="638">
        <f t="shared" si="132"/>
        <v>126.69</v>
      </c>
      <c r="I971" s="24" t="s">
        <v>506</v>
      </c>
      <c r="J971" s="25" t="s">
        <v>246</v>
      </c>
      <c r="K971" s="25" t="s">
        <v>2870</v>
      </c>
      <c r="L971" s="25" t="s">
        <v>1098</v>
      </c>
      <c r="M971" s="25" t="s">
        <v>31</v>
      </c>
      <c r="N971" s="25" t="s">
        <v>31</v>
      </c>
      <c r="O971" s="25" t="s">
        <v>92</v>
      </c>
      <c r="P971" s="25" t="s">
        <v>83</v>
      </c>
      <c r="Q971" s="25" t="s">
        <v>82</v>
      </c>
      <c r="R971" s="25" t="s">
        <v>91</v>
      </c>
      <c r="S971" s="25" t="s">
        <v>126</v>
      </c>
      <c r="T971" s="25" t="s">
        <v>125</v>
      </c>
      <c r="U971" s="25" t="s">
        <v>247</v>
      </c>
      <c r="V971" s="25">
        <v>0</v>
      </c>
      <c r="W971" s="25" t="s">
        <v>553</v>
      </c>
      <c r="X971" s="25" t="s">
        <v>1752</v>
      </c>
      <c r="Y971" s="25" t="s">
        <v>1753</v>
      </c>
      <c r="Z971" s="26">
        <v>39539.726388888899</v>
      </c>
      <c r="AA971" s="776">
        <v>30</v>
      </c>
      <c r="AB971" s="776">
        <v>0</v>
      </c>
      <c r="AC971" s="776">
        <v>0</v>
      </c>
      <c r="AD971" s="776">
        <v>0</v>
      </c>
      <c r="AE971" s="777">
        <v>123</v>
      </c>
      <c r="AF971" s="777">
        <v>123</v>
      </c>
      <c r="AG971" s="778">
        <v>126.69</v>
      </c>
    </row>
    <row r="972" spans="1:33" x14ac:dyDescent="0.2">
      <c r="A972" s="15">
        <f t="shared" si="127"/>
        <v>2008</v>
      </c>
      <c r="B972" s="14">
        <f t="shared" si="128"/>
        <v>5</v>
      </c>
      <c r="C972" s="13" t="str">
        <f t="shared" si="129"/>
        <v>Q2</v>
      </c>
      <c r="D972" s="13" t="str">
        <f t="shared" si="130"/>
        <v>2008Q2</v>
      </c>
      <c r="E972" s="13" t="str">
        <f t="shared" si="131"/>
        <v>Brazil</v>
      </c>
      <c r="F972" s="13" t="str">
        <f t="shared" si="134"/>
        <v>Biomass &amp; Waste</v>
      </c>
      <c r="G972" s="13" t="str">
        <f t="shared" si="133"/>
        <v>Asset finance investments</v>
      </c>
      <c r="H972" s="638">
        <f t="shared" si="132"/>
        <v>113.37209999999999</v>
      </c>
      <c r="I972" s="24" t="s">
        <v>506</v>
      </c>
      <c r="J972" s="25" t="s">
        <v>246</v>
      </c>
      <c r="K972" s="25" t="s">
        <v>2871</v>
      </c>
      <c r="L972" s="25" t="s">
        <v>1100</v>
      </c>
      <c r="M972" s="25" t="s">
        <v>31</v>
      </c>
      <c r="N972" s="25" t="s">
        <v>31</v>
      </c>
      <c r="O972" s="25" t="s">
        <v>92</v>
      </c>
      <c r="P972" s="25" t="s">
        <v>83</v>
      </c>
      <c r="Q972" s="25" t="s">
        <v>82</v>
      </c>
      <c r="R972" s="25" t="s">
        <v>91</v>
      </c>
      <c r="S972" s="25" t="s">
        <v>114</v>
      </c>
      <c r="T972" s="25" t="s">
        <v>114</v>
      </c>
      <c r="U972" s="25" t="s">
        <v>113</v>
      </c>
      <c r="V972" s="25" t="s">
        <v>347</v>
      </c>
      <c r="W972" s="25" t="s">
        <v>553</v>
      </c>
      <c r="X972" s="25" t="s">
        <v>1749</v>
      </c>
      <c r="Y972" s="25" t="s">
        <v>1750</v>
      </c>
      <c r="Z972" s="26">
        <v>39597</v>
      </c>
      <c r="AA972" s="776">
        <v>65.599999999999994</v>
      </c>
      <c r="AB972" s="776">
        <v>0</v>
      </c>
      <c r="AC972" s="776">
        <v>0</v>
      </c>
      <c r="AD972" s="776">
        <v>0</v>
      </c>
      <c r="AE972" s="777">
        <v>110.07</v>
      </c>
      <c r="AF972" s="777">
        <v>110.07</v>
      </c>
      <c r="AG972" s="778">
        <v>113.37209999999999</v>
      </c>
    </row>
    <row r="973" spans="1:33" x14ac:dyDescent="0.2">
      <c r="A973" s="15">
        <f t="shared" si="127"/>
        <v>2008</v>
      </c>
      <c r="B973" s="14">
        <f t="shared" si="128"/>
        <v>4</v>
      </c>
      <c r="C973" s="13" t="str">
        <f t="shared" si="129"/>
        <v>Q2</v>
      </c>
      <c r="D973" s="13" t="str">
        <f t="shared" si="130"/>
        <v>2008Q2</v>
      </c>
      <c r="E973" s="13" t="str">
        <f t="shared" si="131"/>
        <v>Brazil</v>
      </c>
      <c r="F973" s="13" t="str">
        <f t="shared" si="134"/>
        <v>Biofuels</v>
      </c>
      <c r="G973" s="13" t="str">
        <f t="shared" si="133"/>
        <v>Asset finance investments</v>
      </c>
      <c r="H973" s="638">
        <f t="shared" si="132"/>
        <v>109.46016</v>
      </c>
      <c r="I973" s="24" t="s">
        <v>506</v>
      </c>
      <c r="J973" s="25" t="s">
        <v>246</v>
      </c>
      <c r="K973" s="25" t="s">
        <v>2872</v>
      </c>
      <c r="L973" s="25" t="s">
        <v>623</v>
      </c>
      <c r="M973" s="25" t="s">
        <v>31</v>
      </c>
      <c r="N973" s="25" t="s">
        <v>31</v>
      </c>
      <c r="O973" s="25" t="s">
        <v>92</v>
      </c>
      <c r="P973" s="25" t="s">
        <v>83</v>
      </c>
      <c r="Q973" s="25" t="s">
        <v>82</v>
      </c>
      <c r="R973" s="25" t="s">
        <v>91</v>
      </c>
      <c r="S973" s="25" t="s">
        <v>96</v>
      </c>
      <c r="T973" s="25" t="s">
        <v>96</v>
      </c>
      <c r="U973" s="25" t="s">
        <v>98</v>
      </c>
      <c r="V973" s="25">
        <v>0</v>
      </c>
      <c r="W973" s="25" t="s">
        <v>553</v>
      </c>
      <c r="X973" s="25" t="s">
        <v>1752</v>
      </c>
      <c r="Y973" s="25" t="s">
        <v>1753</v>
      </c>
      <c r="Z973" s="26">
        <v>39554</v>
      </c>
      <c r="AA973" s="776">
        <v>0</v>
      </c>
      <c r="AB973" s="776">
        <v>86.4</v>
      </c>
      <c r="AC973" s="776">
        <v>0</v>
      </c>
      <c r="AD973" s="776">
        <v>0</v>
      </c>
      <c r="AE973" s="777">
        <v>0</v>
      </c>
      <c r="AF973" s="777">
        <v>106.27200000000001</v>
      </c>
      <c r="AG973" s="778">
        <v>109.46016</v>
      </c>
    </row>
    <row r="974" spans="1:33" x14ac:dyDescent="0.2">
      <c r="A974" s="15">
        <f t="shared" si="127"/>
        <v>2008</v>
      </c>
      <c r="B974" s="14">
        <f t="shared" si="128"/>
        <v>5</v>
      </c>
      <c r="C974" s="13" t="str">
        <f t="shared" si="129"/>
        <v>Q2</v>
      </c>
      <c r="D974" s="13" t="str">
        <f t="shared" si="130"/>
        <v>2008Q2</v>
      </c>
      <c r="E974" s="13" t="str">
        <f t="shared" si="131"/>
        <v>Brazil</v>
      </c>
      <c r="F974" s="13" t="str">
        <f t="shared" si="134"/>
        <v>Biofuels</v>
      </c>
      <c r="G974" s="13" t="str">
        <f t="shared" si="133"/>
        <v>Asset finance investments</v>
      </c>
      <c r="H974" s="638">
        <f t="shared" si="132"/>
        <v>107.6865</v>
      </c>
      <c r="I974" s="24" t="s">
        <v>506</v>
      </c>
      <c r="J974" s="25" t="s">
        <v>246</v>
      </c>
      <c r="K974" s="25" t="s">
        <v>2873</v>
      </c>
      <c r="L974" s="25" t="s">
        <v>614</v>
      </c>
      <c r="M974" s="25" t="s">
        <v>31</v>
      </c>
      <c r="N974" s="25" t="s">
        <v>31</v>
      </c>
      <c r="O974" s="25" t="s">
        <v>92</v>
      </c>
      <c r="P974" s="25" t="s">
        <v>83</v>
      </c>
      <c r="Q974" s="25" t="s">
        <v>82</v>
      </c>
      <c r="R974" s="25" t="s">
        <v>91</v>
      </c>
      <c r="S974" s="25" t="s">
        <v>96</v>
      </c>
      <c r="T974" s="25" t="s">
        <v>96</v>
      </c>
      <c r="U974" s="25" t="s">
        <v>98</v>
      </c>
      <c r="V974" s="25">
        <v>0</v>
      </c>
      <c r="W974" s="25" t="s">
        <v>553</v>
      </c>
      <c r="X974" s="25" t="s">
        <v>1752</v>
      </c>
      <c r="Y974" s="25" t="s">
        <v>1753</v>
      </c>
      <c r="Z974" s="26">
        <v>39599</v>
      </c>
      <c r="AA974" s="776">
        <v>0</v>
      </c>
      <c r="AB974" s="776">
        <v>85</v>
      </c>
      <c r="AC974" s="776">
        <v>0</v>
      </c>
      <c r="AD974" s="776">
        <v>0</v>
      </c>
      <c r="AE974" s="777">
        <v>0</v>
      </c>
      <c r="AF974" s="777">
        <v>104.55</v>
      </c>
      <c r="AG974" s="778">
        <v>107.6865</v>
      </c>
    </row>
    <row r="975" spans="1:33" x14ac:dyDescent="0.2">
      <c r="A975" s="15">
        <f t="shared" si="127"/>
        <v>2008</v>
      </c>
      <c r="B975" s="14">
        <f t="shared" si="128"/>
        <v>6</v>
      </c>
      <c r="C975" s="13" t="str">
        <f t="shared" si="129"/>
        <v>Q2</v>
      </c>
      <c r="D975" s="13" t="str">
        <f t="shared" si="130"/>
        <v>2008Q2</v>
      </c>
      <c r="E975" s="13" t="str">
        <f t="shared" si="131"/>
        <v>Brazil</v>
      </c>
      <c r="F975" s="13" t="str">
        <f t="shared" si="134"/>
        <v>Biofuels</v>
      </c>
      <c r="G975" s="13" t="str">
        <f t="shared" si="133"/>
        <v>Asset finance investments</v>
      </c>
      <c r="H975" s="638">
        <f t="shared" si="132"/>
        <v>96.614000000000004</v>
      </c>
      <c r="I975" s="24" t="s">
        <v>506</v>
      </c>
      <c r="J975" s="25" t="s">
        <v>246</v>
      </c>
      <c r="K975" s="25" t="s">
        <v>2874</v>
      </c>
      <c r="L975" s="25" t="s">
        <v>971</v>
      </c>
      <c r="M975" s="25" t="s">
        <v>31</v>
      </c>
      <c r="N975" s="25" t="s">
        <v>31</v>
      </c>
      <c r="O975" s="25" t="s">
        <v>92</v>
      </c>
      <c r="P975" s="25" t="s">
        <v>83</v>
      </c>
      <c r="Q975" s="25" t="s">
        <v>82</v>
      </c>
      <c r="R975" s="25" t="s">
        <v>91</v>
      </c>
      <c r="S975" s="25" t="s">
        <v>96</v>
      </c>
      <c r="T975" s="25" t="s">
        <v>96</v>
      </c>
      <c r="U975" s="25" t="s">
        <v>98</v>
      </c>
      <c r="V975" s="25" t="s">
        <v>230</v>
      </c>
      <c r="W975" s="25" t="s">
        <v>553</v>
      </c>
      <c r="X975" s="25" t="s">
        <v>1749</v>
      </c>
      <c r="Y975" s="25" t="s">
        <v>1750</v>
      </c>
      <c r="Z975" s="26">
        <v>39612</v>
      </c>
      <c r="AA975" s="776">
        <v>25</v>
      </c>
      <c r="AB975" s="776">
        <v>120</v>
      </c>
      <c r="AC975" s="776">
        <v>0</v>
      </c>
      <c r="AD975" s="776">
        <v>0</v>
      </c>
      <c r="AE975" s="777">
        <v>93.8</v>
      </c>
      <c r="AF975" s="777">
        <v>93.8</v>
      </c>
      <c r="AG975" s="778">
        <v>96.614000000000004</v>
      </c>
    </row>
    <row r="976" spans="1:33" x14ac:dyDescent="0.2">
      <c r="A976" s="15">
        <f t="shared" si="127"/>
        <v>2008</v>
      </c>
      <c r="B976" s="14">
        <f t="shared" si="128"/>
        <v>4</v>
      </c>
      <c r="C976" s="13" t="str">
        <f t="shared" si="129"/>
        <v>Q2</v>
      </c>
      <c r="D976" s="13" t="str">
        <f t="shared" si="130"/>
        <v>2008Q2</v>
      </c>
      <c r="E976" s="13" t="str">
        <f t="shared" si="131"/>
        <v>Brazil</v>
      </c>
      <c r="F976" s="13" t="str">
        <f t="shared" si="134"/>
        <v>Biomass &amp; Waste</v>
      </c>
      <c r="G976" s="13" t="str">
        <f t="shared" si="133"/>
        <v>Asset finance investments</v>
      </c>
      <c r="H976" s="638">
        <f t="shared" si="132"/>
        <v>91.978999999999999</v>
      </c>
      <c r="I976" s="24" t="s">
        <v>506</v>
      </c>
      <c r="J976" s="25" t="s">
        <v>246</v>
      </c>
      <c r="K976" s="25" t="s">
        <v>2875</v>
      </c>
      <c r="L976" s="25" t="s">
        <v>2876</v>
      </c>
      <c r="M976" s="25" t="s">
        <v>31</v>
      </c>
      <c r="N976" s="25" t="s">
        <v>31</v>
      </c>
      <c r="O976" s="25" t="s">
        <v>92</v>
      </c>
      <c r="P976" s="25" t="s">
        <v>83</v>
      </c>
      <c r="Q976" s="25" t="s">
        <v>82</v>
      </c>
      <c r="R976" s="25" t="s">
        <v>91</v>
      </c>
      <c r="S976" s="25" t="s">
        <v>114</v>
      </c>
      <c r="T976" s="25" t="s">
        <v>114</v>
      </c>
      <c r="U976" s="25" t="s">
        <v>113</v>
      </c>
      <c r="V976" s="25" t="s">
        <v>347</v>
      </c>
      <c r="W976" s="25" t="s">
        <v>553</v>
      </c>
      <c r="X976" s="25" t="s">
        <v>1749</v>
      </c>
      <c r="Y976" s="25" t="s">
        <v>1750</v>
      </c>
      <c r="Z976" s="26">
        <v>39553</v>
      </c>
      <c r="AA976" s="776">
        <v>38.700000000000003</v>
      </c>
      <c r="AB976" s="776">
        <v>0</v>
      </c>
      <c r="AC976" s="776">
        <v>0</v>
      </c>
      <c r="AD976" s="776">
        <v>0</v>
      </c>
      <c r="AE976" s="777">
        <v>89.3</v>
      </c>
      <c r="AF976" s="777">
        <v>89.3</v>
      </c>
      <c r="AG976" s="778">
        <v>91.978999999999999</v>
      </c>
    </row>
    <row r="977" spans="1:33" x14ac:dyDescent="0.2">
      <c r="A977" s="15">
        <f t="shared" si="127"/>
        <v>2008</v>
      </c>
      <c r="B977" s="14">
        <f t="shared" si="128"/>
        <v>5</v>
      </c>
      <c r="C977" s="13" t="str">
        <f t="shared" si="129"/>
        <v>Q2</v>
      </c>
      <c r="D977" s="13" t="str">
        <f t="shared" si="130"/>
        <v>2008Q2</v>
      </c>
      <c r="E977" s="13" t="str">
        <f t="shared" si="131"/>
        <v>Brazil</v>
      </c>
      <c r="F977" s="13" t="str">
        <f t="shared" si="134"/>
        <v>Biofuels</v>
      </c>
      <c r="G977" s="13" t="str">
        <f t="shared" si="133"/>
        <v>Asset finance investments</v>
      </c>
      <c r="H977" s="638">
        <f t="shared" si="132"/>
        <v>90.948999999999998</v>
      </c>
      <c r="I977" s="24" t="s">
        <v>506</v>
      </c>
      <c r="J977" s="25" t="s">
        <v>246</v>
      </c>
      <c r="K977" s="25" t="s">
        <v>2877</v>
      </c>
      <c r="L977" s="25" t="s">
        <v>1022</v>
      </c>
      <c r="M977" s="25" t="s">
        <v>31</v>
      </c>
      <c r="N977" s="25" t="s">
        <v>31</v>
      </c>
      <c r="O977" s="25" t="s">
        <v>92</v>
      </c>
      <c r="P977" s="25" t="s">
        <v>83</v>
      </c>
      <c r="Q977" s="25" t="s">
        <v>82</v>
      </c>
      <c r="R977" s="25" t="s">
        <v>91</v>
      </c>
      <c r="S977" s="25" t="s">
        <v>96</v>
      </c>
      <c r="T977" s="25" t="s">
        <v>96</v>
      </c>
      <c r="U977" s="25" t="s">
        <v>98</v>
      </c>
      <c r="V977" s="25" t="s">
        <v>230</v>
      </c>
      <c r="W977" s="25" t="s">
        <v>553</v>
      </c>
      <c r="X977" s="25" t="s">
        <v>1749</v>
      </c>
      <c r="Y977" s="25" t="s">
        <v>1750</v>
      </c>
      <c r="Z977" s="26">
        <v>39569</v>
      </c>
      <c r="AA977" s="776">
        <v>30</v>
      </c>
      <c r="AB977" s="776">
        <v>108</v>
      </c>
      <c r="AC977" s="776">
        <v>0</v>
      </c>
      <c r="AD977" s="776">
        <v>0</v>
      </c>
      <c r="AE977" s="777">
        <v>88.3</v>
      </c>
      <c r="AF977" s="777">
        <v>88.3</v>
      </c>
      <c r="AG977" s="778">
        <v>90.948999999999998</v>
      </c>
    </row>
    <row r="978" spans="1:33" x14ac:dyDescent="0.2">
      <c r="A978" s="15">
        <f t="shared" si="127"/>
        <v>2008</v>
      </c>
      <c r="B978" s="14">
        <f t="shared" si="128"/>
        <v>6</v>
      </c>
      <c r="C978" s="13" t="str">
        <f t="shared" si="129"/>
        <v>Q2</v>
      </c>
      <c r="D978" s="13" t="str">
        <f t="shared" si="130"/>
        <v>2008Q2</v>
      </c>
      <c r="E978" s="13" t="str">
        <f t="shared" si="131"/>
        <v>Brazil</v>
      </c>
      <c r="F978" s="13" t="str">
        <f t="shared" si="134"/>
        <v>Biofuels</v>
      </c>
      <c r="G978" s="13" t="str">
        <f t="shared" si="133"/>
        <v>Asset finance investments</v>
      </c>
      <c r="H978" s="638">
        <f t="shared" si="132"/>
        <v>71.997000000000014</v>
      </c>
      <c r="I978" s="24" t="s">
        <v>506</v>
      </c>
      <c r="J978" s="25" t="s">
        <v>246</v>
      </c>
      <c r="K978" s="25" t="s">
        <v>2878</v>
      </c>
      <c r="L978" s="25" t="s">
        <v>2879</v>
      </c>
      <c r="M978" s="25" t="s">
        <v>31</v>
      </c>
      <c r="N978" s="25" t="s">
        <v>31</v>
      </c>
      <c r="O978" s="25" t="s">
        <v>92</v>
      </c>
      <c r="P978" s="25" t="s">
        <v>83</v>
      </c>
      <c r="Q978" s="25" t="s">
        <v>82</v>
      </c>
      <c r="R978" s="25" t="s">
        <v>91</v>
      </c>
      <c r="S978" s="25" t="s">
        <v>96</v>
      </c>
      <c r="T978" s="25" t="s">
        <v>96</v>
      </c>
      <c r="U978" s="25" t="s">
        <v>98</v>
      </c>
      <c r="V978" s="25" t="s">
        <v>230</v>
      </c>
      <c r="W978" s="25" t="s">
        <v>553</v>
      </c>
      <c r="X978" s="25" t="s">
        <v>1749</v>
      </c>
      <c r="Y978" s="25" t="s">
        <v>1750</v>
      </c>
      <c r="Z978" s="26">
        <v>39610</v>
      </c>
      <c r="AA978" s="776">
        <v>30</v>
      </c>
      <c r="AB978" s="776">
        <v>0</v>
      </c>
      <c r="AC978" s="776">
        <v>0</v>
      </c>
      <c r="AD978" s="776">
        <v>0</v>
      </c>
      <c r="AE978" s="777">
        <v>69.900000000000006</v>
      </c>
      <c r="AF978" s="777">
        <v>69.900000000000006</v>
      </c>
      <c r="AG978" s="778">
        <v>71.997000000000014</v>
      </c>
    </row>
    <row r="979" spans="1:33" x14ac:dyDescent="0.2">
      <c r="A979" s="15">
        <f t="shared" si="127"/>
        <v>2008</v>
      </c>
      <c r="B979" s="14">
        <f t="shared" si="128"/>
        <v>6</v>
      </c>
      <c r="C979" s="13" t="str">
        <f t="shared" si="129"/>
        <v>Q2</v>
      </c>
      <c r="D979" s="13" t="str">
        <f t="shared" si="130"/>
        <v>2008Q2</v>
      </c>
      <c r="E979" s="13" t="str">
        <f t="shared" si="131"/>
        <v>Argentina</v>
      </c>
      <c r="F979" s="13" t="str">
        <f t="shared" si="134"/>
        <v>Biofuels</v>
      </c>
      <c r="G979" s="13" t="str">
        <f t="shared" si="133"/>
        <v>Asset finance investments</v>
      </c>
      <c r="H979" s="638">
        <f t="shared" si="132"/>
        <v>61.800000000000004</v>
      </c>
      <c r="I979" s="24" t="s">
        <v>506</v>
      </c>
      <c r="J979" s="25" t="s">
        <v>246</v>
      </c>
      <c r="K979" s="25" t="s">
        <v>2880</v>
      </c>
      <c r="L979" s="25" t="s">
        <v>996</v>
      </c>
      <c r="M979" s="25" t="s">
        <v>4</v>
      </c>
      <c r="N979" s="25" t="s">
        <v>85</v>
      </c>
      <c r="O979" s="25" t="s">
        <v>92</v>
      </c>
      <c r="P979" s="25" t="s">
        <v>83</v>
      </c>
      <c r="Q979" s="25" t="s">
        <v>82</v>
      </c>
      <c r="R979" s="25"/>
      <c r="S979" s="25" t="s">
        <v>96</v>
      </c>
      <c r="T979" s="25" t="s">
        <v>96</v>
      </c>
      <c r="U979" s="25" t="s">
        <v>95</v>
      </c>
      <c r="V979" s="25">
        <v>0</v>
      </c>
      <c r="W979" s="25" t="s">
        <v>553</v>
      </c>
      <c r="X979" s="25" t="s">
        <v>1749</v>
      </c>
      <c r="Y979" s="25" t="s">
        <v>1750</v>
      </c>
      <c r="Z979" s="26">
        <v>39612</v>
      </c>
      <c r="AA979" s="776">
        <v>0</v>
      </c>
      <c r="AB979" s="776">
        <v>297.60000000000002</v>
      </c>
      <c r="AC979" s="776">
        <v>0</v>
      </c>
      <c r="AD979" s="776">
        <v>0</v>
      </c>
      <c r="AE979" s="777">
        <v>60</v>
      </c>
      <c r="AF979" s="777">
        <v>60</v>
      </c>
      <c r="AG979" s="778">
        <v>61.800000000000004</v>
      </c>
    </row>
    <row r="980" spans="1:33" x14ac:dyDescent="0.2">
      <c r="A980" s="15">
        <f t="shared" si="127"/>
        <v>2008</v>
      </c>
      <c r="B980" s="14">
        <f t="shared" si="128"/>
        <v>4</v>
      </c>
      <c r="C980" s="13" t="str">
        <f t="shared" si="129"/>
        <v>Q2</v>
      </c>
      <c r="D980" s="13" t="str">
        <f t="shared" si="130"/>
        <v>2008Q2</v>
      </c>
      <c r="E980" s="13" t="str">
        <f t="shared" si="131"/>
        <v>Colombia</v>
      </c>
      <c r="F980" s="13" t="str">
        <f t="shared" si="134"/>
        <v>Small Hydro</v>
      </c>
      <c r="G980" s="13" t="str">
        <f t="shared" si="133"/>
        <v>Asset finance investments</v>
      </c>
      <c r="H980" s="638">
        <f t="shared" si="132"/>
        <v>48.410000000000004</v>
      </c>
      <c r="I980" s="24" t="s">
        <v>506</v>
      </c>
      <c r="J980" s="25" t="s">
        <v>246</v>
      </c>
      <c r="K980" s="25" t="s">
        <v>2881</v>
      </c>
      <c r="L980" s="25" t="s">
        <v>903</v>
      </c>
      <c r="M980" s="25" t="s">
        <v>9</v>
      </c>
      <c r="N980" s="25" t="s">
        <v>85</v>
      </c>
      <c r="O980" s="25" t="s">
        <v>92</v>
      </c>
      <c r="P980" s="25" t="s">
        <v>83</v>
      </c>
      <c r="Q980" s="25" t="s">
        <v>82</v>
      </c>
      <c r="R980" s="25"/>
      <c r="S980" s="25" t="s">
        <v>126</v>
      </c>
      <c r="T980" s="25" t="s">
        <v>125</v>
      </c>
      <c r="U980" s="25" t="s">
        <v>247</v>
      </c>
      <c r="V980" s="25">
        <v>0</v>
      </c>
      <c r="W980" s="25" t="s">
        <v>553</v>
      </c>
      <c r="X980" s="25" t="s">
        <v>1752</v>
      </c>
      <c r="Y980" s="25" t="s">
        <v>1753</v>
      </c>
      <c r="Z980" s="26">
        <v>39568</v>
      </c>
      <c r="AA980" s="776">
        <v>18</v>
      </c>
      <c r="AB980" s="776">
        <v>0</v>
      </c>
      <c r="AC980" s="776">
        <v>0</v>
      </c>
      <c r="AD980" s="776">
        <v>0</v>
      </c>
      <c r="AE980" s="777">
        <v>47</v>
      </c>
      <c r="AF980" s="777">
        <v>47</v>
      </c>
      <c r="AG980" s="778">
        <v>48.410000000000004</v>
      </c>
    </row>
    <row r="981" spans="1:33" x14ac:dyDescent="0.2">
      <c r="A981" s="15">
        <f t="shared" si="127"/>
        <v>2008</v>
      </c>
      <c r="B981" s="14">
        <f t="shared" si="128"/>
        <v>6</v>
      </c>
      <c r="C981" s="13" t="str">
        <f t="shared" si="129"/>
        <v>Q2</v>
      </c>
      <c r="D981" s="13" t="str">
        <f t="shared" si="130"/>
        <v>2008Q2</v>
      </c>
      <c r="E981" s="13" t="str">
        <f t="shared" si="131"/>
        <v>Brazil</v>
      </c>
      <c r="F981" s="13" t="str">
        <f t="shared" si="134"/>
        <v>Biomass &amp; Waste</v>
      </c>
      <c r="G981" s="13" t="str">
        <f t="shared" si="133"/>
        <v>Asset finance investments</v>
      </c>
      <c r="H981" s="638">
        <f t="shared" si="132"/>
        <v>39.14</v>
      </c>
      <c r="I981" s="24" t="s">
        <v>506</v>
      </c>
      <c r="J981" s="25" t="s">
        <v>246</v>
      </c>
      <c r="K981" s="25" t="s">
        <v>2882</v>
      </c>
      <c r="L981" s="25" t="s">
        <v>2883</v>
      </c>
      <c r="M981" s="25" t="s">
        <v>31</v>
      </c>
      <c r="N981" s="25" t="s">
        <v>31</v>
      </c>
      <c r="O981" s="25" t="s">
        <v>92</v>
      </c>
      <c r="P981" s="25" t="s">
        <v>83</v>
      </c>
      <c r="Q981" s="25" t="s">
        <v>82</v>
      </c>
      <c r="R981" s="25" t="s">
        <v>91</v>
      </c>
      <c r="S981" s="25" t="s">
        <v>114</v>
      </c>
      <c r="T981" s="25" t="s">
        <v>114</v>
      </c>
      <c r="U981" s="25" t="s">
        <v>925</v>
      </c>
      <c r="V981" s="25" t="s">
        <v>685</v>
      </c>
      <c r="W981" s="25" t="s">
        <v>553</v>
      </c>
      <c r="X981" s="25" t="s">
        <v>1752</v>
      </c>
      <c r="Y981" s="25" t="s">
        <v>1753</v>
      </c>
      <c r="Z981" s="26">
        <v>39604</v>
      </c>
      <c r="AA981" s="776">
        <v>0</v>
      </c>
      <c r="AB981" s="776">
        <v>8333</v>
      </c>
      <c r="AC981" s="776">
        <v>0</v>
      </c>
      <c r="AD981" s="776">
        <v>0</v>
      </c>
      <c r="AE981" s="777">
        <v>38</v>
      </c>
      <c r="AF981" s="777">
        <v>38</v>
      </c>
      <c r="AG981" s="778">
        <v>39.14</v>
      </c>
    </row>
    <row r="982" spans="1:33" x14ac:dyDescent="0.2">
      <c r="A982" s="15">
        <f t="shared" si="127"/>
        <v>2008</v>
      </c>
      <c r="B982" s="14">
        <f t="shared" si="128"/>
        <v>6</v>
      </c>
      <c r="C982" s="13" t="str">
        <f t="shared" si="129"/>
        <v>Q2</v>
      </c>
      <c r="D982" s="13" t="str">
        <f t="shared" si="130"/>
        <v>2008Q2</v>
      </c>
      <c r="E982" s="13" t="str">
        <f t="shared" si="131"/>
        <v>Brazil</v>
      </c>
      <c r="F982" s="13" t="str">
        <f t="shared" si="134"/>
        <v>Biomass &amp; Waste</v>
      </c>
      <c r="G982" s="13" t="str">
        <f t="shared" si="133"/>
        <v>Asset finance investments</v>
      </c>
      <c r="H982" s="638">
        <f t="shared" si="132"/>
        <v>35.329000000000001</v>
      </c>
      <c r="I982" s="24" t="s">
        <v>506</v>
      </c>
      <c r="J982" s="25" t="s">
        <v>246</v>
      </c>
      <c r="K982" s="25" t="s">
        <v>2884</v>
      </c>
      <c r="L982" s="25" t="s">
        <v>967</v>
      </c>
      <c r="M982" s="25" t="s">
        <v>31</v>
      </c>
      <c r="N982" s="25" t="s">
        <v>31</v>
      </c>
      <c r="O982" s="25" t="s">
        <v>92</v>
      </c>
      <c r="P982" s="25" t="s">
        <v>83</v>
      </c>
      <c r="Q982" s="25" t="s">
        <v>82</v>
      </c>
      <c r="R982" s="25" t="s">
        <v>91</v>
      </c>
      <c r="S982" s="25" t="s">
        <v>114</v>
      </c>
      <c r="T982" s="25" t="s">
        <v>114</v>
      </c>
      <c r="U982" s="25" t="s">
        <v>113</v>
      </c>
      <c r="V982" s="25" t="s">
        <v>347</v>
      </c>
      <c r="W982" s="25" t="s">
        <v>553</v>
      </c>
      <c r="X982" s="25" t="s">
        <v>1749</v>
      </c>
      <c r="Y982" s="25" t="s">
        <v>1750</v>
      </c>
      <c r="Z982" s="26">
        <v>39604</v>
      </c>
      <c r="AA982" s="776">
        <v>7</v>
      </c>
      <c r="AB982" s="776">
        <v>0</v>
      </c>
      <c r="AC982" s="776">
        <v>0</v>
      </c>
      <c r="AD982" s="776">
        <v>0</v>
      </c>
      <c r="AE982" s="777">
        <v>34.299999999999997</v>
      </c>
      <c r="AF982" s="777">
        <v>34.299999999999997</v>
      </c>
      <c r="AG982" s="778">
        <v>35.329000000000001</v>
      </c>
    </row>
    <row r="983" spans="1:33" x14ac:dyDescent="0.2">
      <c r="A983" s="15">
        <f t="shared" si="127"/>
        <v>2008</v>
      </c>
      <c r="B983" s="14">
        <f t="shared" si="128"/>
        <v>5</v>
      </c>
      <c r="C983" s="13" t="str">
        <f t="shared" si="129"/>
        <v>Q2</v>
      </c>
      <c r="D983" s="13" t="str">
        <f t="shared" si="130"/>
        <v>2008Q2</v>
      </c>
      <c r="E983" s="13" t="str">
        <f t="shared" si="131"/>
        <v>Brazil</v>
      </c>
      <c r="F983" s="13" t="str">
        <f t="shared" si="134"/>
        <v>Biofuels</v>
      </c>
      <c r="G983" s="13" t="str">
        <f t="shared" si="133"/>
        <v>Asset finance investments</v>
      </c>
      <c r="H983" s="638">
        <f t="shared" si="132"/>
        <v>31.796099999999999</v>
      </c>
      <c r="I983" s="24" t="s">
        <v>506</v>
      </c>
      <c r="J983" s="25" t="s">
        <v>246</v>
      </c>
      <c r="K983" s="25" t="s">
        <v>2885</v>
      </c>
      <c r="L983" s="25" t="s">
        <v>2886</v>
      </c>
      <c r="M983" s="25" t="s">
        <v>31</v>
      </c>
      <c r="N983" s="25" t="s">
        <v>31</v>
      </c>
      <c r="O983" s="25" t="s">
        <v>92</v>
      </c>
      <c r="P983" s="25" t="s">
        <v>83</v>
      </c>
      <c r="Q983" s="25" t="s">
        <v>82</v>
      </c>
      <c r="R983" s="25" t="s">
        <v>91</v>
      </c>
      <c r="S983" s="25" t="s">
        <v>96</v>
      </c>
      <c r="T983" s="25" t="s">
        <v>96</v>
      </c>
      <c r="U983" s="25" t="s">
        <v>95</v>
      </c>
      <c r="V983" s="25" t="s">
        <v>223</v>
      </c>
      <c r="W983" s="25" t="s">
        <v>553</v>
      </c>
      <c r="X983" s="25" t="s">
        <v>1752</v>
      </c>
      <c r="Y983" s="25" t="s">
        <v>1753</v>
      </c>
      <c r="Z983" s="26">
        <v>39587</v>
      </c>
      <c r="AA983" s="776">
        <v>0</v>
      </c>
      <c r="AB983" s="776">
        <v>73.5</v>
      </c>
      <c r="AC983" s="776">
        <v>0</v>
      </c>
      <c r="AD983" s="776">
        <v>0</v>
      </c>
      <c r="AE983" s="777">
        <v>0</v>
      </c>
      <c r="AF983" s="777">
        <v>30.869999999999997</v>
      </c>
      <c r="AG983" s="778">
        <v>31.796099999999999</v>
      </c>
    </row>
    <row r="984" spans="1:33" x14ac:dyDescent="0.2">
      <c r="A984" s="15">
        <f t="shared" si="127"/>
        <v>2008</v>
      </c>
      <c r="B984" s="14">
        <f t="shared" si="128"/>
        <v>4</v>
      </c>
      <c r="C984" s="13" t="str">
        <f t="shared" si="129"/>
        <v>Q2</v>
      </c>
      <c r="D984" s="13" t="str">
        <f t="shared" si="130"/>
        <v>2008Q2</v>
      </c>
      <c r="E984" s="13" t="str">
        <f t="shared" si="131"/>
        <v>Brazil</v>
      </c>
      <c r="F984" s="13" t="str">
        <f t="shared" si="134"/>
        <v>Biofuels</v>
      </c>
      <c r="G984" s="13" t="str">
        <f t="shared" si="133"/>
        <v>Asset finance investments</v>
      </c>
      <c r="H984" s="638">
        <f t="shared" si="132"/>
        <v>30.900000000000002</v>
      </c>
      <c r="I984" s="24" t="s">
        <v>506</v>
      </c>
      <c r="J984" s="25" t="s">
        <v>246</v>
      </c>
      <c r="K984" s="25" t="s">
        <v>2887</v>
      </c>
      <c r="L984" s="25" t="s">
        <v>1103</v>
      </c>
      <c r="M984" s="25" t="s">
        <v>31</v>
      </c>
      <c r="N984" s="25" t="s">
        <v>31</v>
      </c>
      <c r="O984" s="25" t="s">
        <v>92</v>
      </c>
      <c r="P984" s="25" t="s">
        <v>83</v>
      </c>
      <c r="Q984" s="25" t="s">
        <v>82</v>
      </c>
      <c r="R984" s="25" t="s">
        <v>91</v>
      </c>
      <c r="S984" s="25" t="s">
        <v>96</v>
      </c>
      <c r="T984" s="25" t="s">
        <v>96</v>
      </c>
      <c r="U984" s="25" t="s">
        <v>98</v>
      </c>
      <c r="V984" s="25" t="s">
        <v>230</v>
      </c>
      <c r="W984" s="25" t="s">
        <v>553</v>
      </c>
      <c r="X984" s="25" t="s">
        <v>1752</v>
      </c>
      <c r="Y984" s="25" t="s">
        <v>1753</v>
      </c>
      <c r="Z984" s="26">
        <v>39542.34375</v>
      </c>
      <c r="AA984" s="776">
        <v>0</v>
      </c>
      <c r="AB984" s="776">
        <v>60</v>
      </c>
      <c r="AC984" s="776">
        <v>0</v>
      </c>
      <c r="AD984" s="776">
        <v>0</v>
      </c>
      <c r="AE984" s="777">
        <v>0</v>
      </c>
      <c r="AF984" s="777">
        <v>30</v>
      </c>
      <c r="AG984" s="778">
        <v>30.900000000000002</v>
      </c>
    </row>
    <row r="985" spans="1:33" x14ac:dyDescent="0.2">
      <c r="A985" s="15">
        <f t="shared" si="127"/>
        <v>2008</v>
      </c>
      <c r="B985" s="14">
        <f t="shared" si="128"/>
        <v>4</v>
      </c>
      <c r="C985" s="13" t="str">
        <f t="shared" si="129"/>
        <v>Q2</v>
      </c>
      <c r="D985" s="13" t="str">
        <f t="shared" si="130"/>
        <v>2008Q2</v>
      </c>
      <c r="E985" s="13" t="str">
        <f t="shared" si="131"/>
        <v>Uruguay</v>
      </c>
      <c r="F985" s="13" t="str">
        <f t="shared" si="134"/>
        <v>Wind</v>
      </c>
      <c r="G985" s="13" t="str">
        <f t="shared" si="133"/>
        <v>Asset finance investments</v>
      </c>
      <c r="H985" s="638">
        <f t="shared" si="132"/>
        <v>30.900000000000002</v>
      </c>
      <c r="I985" s="24" t="s">
        <v>506</v>
      </c>
      <c r="J985" s="25" t="s">
        <v>246</v>
      </c>
      <c r="K985" s="25" t="s">
        <v>2888</v>
      </c>
      <c r="L985" s="25" t="s">
        <v>948</v>
      </c>
      <c r="M985" s="25" t="s">
        <v>22</v>
      </c>
      <c r="N985" s="25" t="s">
        <v>85</v>
      </c>
      <c r="O985" s="25" t="s">
        <v>92</v>
      </c>
      <c r="P985" s="25" t="s">
        <v>83</v>
      </c>
      <c r="Q985" s="25" t="s">
        <v>82</v>
      </c>
      <c r="R985" s="25"/>
      <c r="S985" s="25" t="s">
        <v>101</v>
      </c>
      <c r="T985" s="25" t="s">
        <v>101</v>
      </c>
      <c r="U985" s="25" t="s">
        <v>112</v>
      </c>
      <c r="V985" s="25">
        <v>0</v>
      </c>
      <c r="W985" s="25" t="s">
        <v>553</v>
      </c>
      <c r="X985" s="25" t="s">
        <v>1752</v>
      </c>
      <c r="Y985" s="25" t="s">
        <v>1753</v>
      </c>
      <c r="Z985" s="26">
        <v>39561</v>
      </c>
      <c r="AA985" s="776">
        <v>13.45</v>
      </c>
      <c r="AB985" s="776">
        <v>0</v>
      </c>
      <c r="AC985" s="776">
        <v>0</v>
      </c>
      <c r="AD985" s="776">
        <v>0</v>
      </c>
      <c r="AE985" s="777">
        <v>30</v>
      </c>
      <c r="AF985" s="777">
        <v>30</v>
      </c>
      <c r="AG985" s="778">
        <v>30.900000000000002</v>
      </c>
    </row>
    <row r="986" spans="1:33" x14ac:dyDescent="0.2">
      <c r="A986" s="15">
        <f t="shared" si="127"/>
        <v>2008</v>
      </c>
      <c r="B986" s="14">
        <f t="shared" si="128"/>
        <v>4</v>
      </c>
      <c r="C986" s="13" t="str">
        <f t="shared" si="129"/>
        <v>Q2</v>
      </c>
      <c r="D986" s="13" t="str">
        <f t="shared" si="130"/>
        <v>2008Q2</v>
      </c>
      <c r="E986" s="13" t="str">
        <f t="shared" si="131"/>
        <v>Brazil</v>
      </c>
      <c r="F986" s="13" t="str">
        <f t="shared" si="134"/>
        <v>Biomass &amp; Waste</v>
      </c>
      <c r="G986" s="13" t="str">
        <f t="shared" si="133"/>
        <v>Asset finance investments</v>
      </c>
      <c r="H986" s="638">
        <f t="shared" si="132"/>
        <v>20.6</v>
      </c>
      <c r="I986" s="24" t="s">
        <v>506</v>
      </c>
      <c r="J986" s="25" t="s">
        <v>246</v>
      </c>
      <c r="K986" s="25" t="s">
        <v>2889</v>
      </c>
      <c r="L986" s="25" t="s">
        <v>714</v>
      </c>
      <c r="M986" s="25" t="s">
        <v>31</v>
      </c>
      <c r="N986" s="25" t="s">
        <v>31</v>
      </c>
      <c r="O986" s="25" t="s">
        <v>92</v>
      </c>
      <c r="P986" s="25" t="s">
        <v>83</v>
      </c>
      <c r="Q986" s="25" t="s">
        <v>82</v>
      </c>
      <c r="R986" s="25" t="s">
        <v>91</v>
      </c>
      <c r="S986" s="25" t="s">
        <v>114</v>
      </c>
      <c r="T986" s="25" t="s">
        <v>114</v>
      </c>
      <c r="U986" s="25" t="s">
        <v>113</v>
      </c>
      <c r="V986" s="25" t="s">
        <v>347</v>
      </c>
      <c r="W986" s="25" t="s">
        <v>553</v>
      </c>
      <c r="X986" s="25" t="s">
        <v>1752</v>
      </c>
      <c r="Y986" s="25" t="s">
        <v>1753</v>
      </c>
      <c r="Z986" s="26">
        <v>39540</v>
      </c>
      <c r="AA986" s="776">
        <v>10</v>
      </c>
      <c r="AB986" s="776">
        <v>0</v>
      </c>
      <c r="AC986" s="776">
        <v>0</v>
      </c>
      <c r="AD986" s="776">
        <v>0</v>
      </c>
      <c r="AE986" s="777">
        <v>0</v>
      </c>
      <c r="AF986" s="777">
        <v>20</v>
      </c>
      <c r="AG986" s="778">
        <v>20.6</v>
      </c>
    </row>
    <row r="987" spans="1:33" x14ac:dyDescent="0.2">
      <c r="A987" s="15">
        <f t="shared" si="127"/>
        <v>2008</v>
      </c>
      <c r="B987" s="14">
        <f t="shared" si="128"/>
        <v>4</v>
      </c>
      <c r="C987" s="13" t="str">
        <f t="shared" si="129"/>
        <v>Q2</v>
      </c>
      <c r="D987" s="13" t="str">
        <f t="shared" si="130"/>
        <v>2008Q2</v>
      </c>
      <c r="E987" s="13" t="str">
        <f t="shared" si="131"/>
        <v>Honduras</v>
      </c>
      <c r="F987" s="13" t="str">
        <f t="shared" si="134"/>
        <v>Small Hydro</v>
      </c>
      <c r="G987" s="13" t="str">
        <f t="shared" si="133"/>
        <v>Asset finance investments</v>
      </c>
      <c r="H987" s="638">
        <f t="shared" si="132"/>
        <v>19.776</v>
      </c>
      <c r="I987" s="24" t="s">
        <v>506</v>
      </c>
      <c r="J987" s="25" t="s">
        <v>246</v>
      </c>
      <c r="K987" s="25" t="s">
        <v>2890</v>
      </c>
      <c r="L987" s="25" t="s">
        <v>793</v>
      </c>
      <c r="M987" s="25" t="s">
        <v>16</v>
      </c>
      <c r="N987" s="25" t="s">
        <v>85</v>
      </c>
      <c r="O987" s="25" t="s">
        <v>92</v>
      </c>
      <c r="P987" s="25" t="s">
        <v>83</v>
      </c>
      <c r="Q987" s="25" t="s">
        <v>82</v>
      </c>
      <c r="R987" s="25"/>
      <c r="S987" s="25" t="s">
        <v>126</v>
      </c>
      <c r="T987" s="25" t="s">
        <v>125</v>
      </c>
      <c r="U987" s="25" t="s">
        <v>247</v>
      </c>
      <c r="V987" s="25">
        <v>0</v>
      </c>
      <c r="W987" s="25" t="s">
        <v>553</v>
      </c>
      <c r="X987" s="25" t="s">
        <v>1752</v>
      </c>
      <c r="Y987" s="25" t="s">
        <v>1753</v>
      </c>
      <c r="Z987" s="26">
        <v>39545</v>
      </c>
      <c r="AA987" s="776">
        <v>9.6</v>
      </c>
      <c r="AB987" s="776">
        <v>0</v>
      </c>
      <c r="AC987" s="776">
        <v>0</v>
      </c>
      <c r="AD987" s="776">
        <v>0</v>
      </c>
      <c r="AE987" s="777">
        <v>0</v>
      </c>
      <c r="AF987" s="777">
        <v>19.2</v>
      </c>
      <c r="AG987" s="778">
        <v>19.776</v>
      </c>
    </row>
    <row r="988" spans="1:33" x14ac:dyDescent="0.2">
      <c r="A988" s="15">
        <f t="shared" si="127"/>
        <v>2008</v>
      </c>
      <c r="B988" s="14">
        <f t="shared" si="128"/>
        <v>6</v>
      </c>
      <c r="C988" s="13" t="str">
        <f t="shared" si="129"/>
        <v>Q2</v>
      </c>
      <c r="D988" s="13" t="str">
        <f t="shared" si="130"/>
        <v>2008Q2</v>
      </c>
      <c r="E988" s="13" t="str">
        <f t="shared" si="131"/>
        <v>Chile</v>
      </c>
      <c r="F988" s="13" t="str">
        <f t="shared" si="134"/>
        <v>Biomass &amp; Waste</v>
      </c>
      <c r="G988" s="13" t="str">
        <f t="shared" si="133"/>
        <v>Asset finance investments</v>
      </c>
      <c r="H988" s="638">
        <f t="shared" si="132"/>
        <v>17.510000000000002</v>
      </c>
      <c r="I988" s="24" t="s">
        <v>506</v>
      </c>
      <c r="J988" s="25" t="s">
        <v>246</v>
      </c>
      <c r="K988" s="25" t="s">
        <v>2891</v>
      </c>
      <c r="L988" s="25" t="s">
        <v>1017</v>
      </c>
      <c r="M988" s="25" t="s">
        <v>8</v>
      </c>
      <c r="N988" s="25" t="s">
        <v>85</v>
      </c>
      <c r="O988" s="25" t="s">
        <v>92</v>
      </c>
      <c r="P988" s="25" t="s">
        <v>83</v>
      </c>
      <c r="Q988" s="25" t="s">
        <v>129</v>
      </c>
      <c r="R988" s="25"/>
      <c r="S988" s="25" t="s">
        <v>114</v>
      </c>
      <c r="T988" s="25" t="s">
        <v>114</v>
      </c>
      <c r="U988" s="25" t="s">
        <v>113</v>
      </c>
      <c r="V988" s="25" t="s">
        <v>347</v>
      </c>
      <c r="W988" s="25" t="s">
        <v>553</v>
      </c>
      <c r="X988" s="25" t="s">
        <v>1752</v>
      </c>
      <c r="Y988" s="25" t="s">
        <v>1753</v>
      </c>
      <c r="Z988" s="26">
        <v>39629</v>
      </c>
      <c r="AA988" s="776">
        <v>9.6</v>
      </c>
      <c r="AB988" s="776">
        <v>0</v>
      </c>
      <c r="AC988" s="776">
        <v>0</v>
      </c>
      <c r="AD988" s="776">
        <v>0</v>
      </c>
      <c r="AE988" s="777">
        <v>17</v>
      </c>
      <c r="AF988" s="777">
        <v>17</v>
      </c>
      <c r="AG988" s="778">
        <v>17.510000000000002</v>
      </c>
    </row>
    <row r="989" spans="1:33" x14ac:dyDescent="0.2">
      <c r="A989" s="15">
        <f t="shared" si="127"/>
        <v>2008</v>
      </c>
      <c r="B989" s="14">
        <f t="shared" si="128"/>
        <v>4</v>
      </c>
      <c r="C989" s="13" t="str">
        <f t="shared" si="129"/>
        <v>Q2</v>
      </c>
      <c r="D989" s="13" t="str">
        <f t="shared" si="130"/>
        <v>2008Q2</v>
      </c>
      <c r="E989" s="13" t="str">
        <f t="shared" si="131"/>
        <v>Brazil</v>
      </c>
      <c r="F989" s="13" t="str">
        <f t="shared" si="134"/>
        <v>Biomass &amp; Waste</v>
      </c>
      <c r="G989" s="13" t="str">
        <f t="shared" si="133"/>
        <v>Asset finance investments</v>
      </c>
      <c r="H989" s="638">
        <f t="shared" si="132"/>
        <v>16.48</v>
      </c>
      <c r="I989" s="24" t="s">
        <v>506</v>
      </c>
      <c r="J989" s="25" t="s">
        <v>246</v>
      </c>
      <c r="K989" s="25" t="s">
        <v>2892</v>
      </c>
      <c r="L989" s="25" t="s">
        <v>622</v>
      </c>
      <c r="M989" s="25" t="s">
        <v>31</v>
      </c>
      <c r="N989" s="25" t="s">
        <v>31</v>
      </c>
      <c r="O989" s="25" t="s">
        <v>92</v>
      </c>
      <c r="P989" s="25" t="s">
        <v>83</v>
      </c>
      <c r="Q989" s="25" t="s">
        <v>82</v>
      </c>
      <c r="R989" s="25" t="s">
        <v>91</v>
      </c>
      <c r="S989" s="25" t="s">
        <v>114</v>
      </c>
      <c r="T989" s="25" t="s">
        <v>114</v>
      </c>
      <c r="U989" s="25" t="s">
        <v>113</v>
      </c>
      <c r="V989" s="25">
        <v>0</v>
      </c>
      <c r="W989" s="25" t="s">
        <v>553</v>
      </c>
      <c r="X989" s="25" t="s">
        <v>1752</v>
      </c>
      <c r="Y989" s="25" t="s">
        <v>1753</v>
      </c>
      <c r="Z989" s="26">
        <v>39566</v>
      </c>
      <c r="AA989" s="776">
        <v>8</v>
      </c>
      <c r="AB989" s="776">
        <v>0</v>
      </c>
      <c r="AC989" s="776">
        <v>0</v>
      </c>
      <c r="AD989" s="776">
        <v>0</v>
      </c>
      <c r="AE989" s="777">
        <v>0</v>
      </c>
      <c r="AF989" s="777">
        <v>16</v>
      </c>
      <c r="AG989" s="778">
        <v>16.48</v>
      </c>
    </row>
    <row r="990" spans="1:33" x14ac:dyDescent="0.2">
      <c r="A990" s="15">
        <f t="shared" si="127"/>
        <v>2008</v>
      </c>
      <c r="B990" s="14">
        <f t="shared" si="128"/>
        <v>6</v>
      </c>
      <c r="C990" s="13" t="str">
        <f t="shared" si="129"/>
        <v>Q2</v>
      </c>
      <c r="D990" s="13" t="str">
        <f t="shared" si="130"/>
        <v>2008Q2</v>
      </c>
      <c r="E990" s="13" t="str">
        <f t="shared" si="131"/>
        <v>Chile</v>
      </c>
      <c r="F990" s="13" t="str">
        <f t="shared" si="134"/>
        <v>Small Hydro</v>
      </c>
      <c r="G990" s="13" t="str">
        <f t="shared" si="133"/>
        <v>Asset finance investments</v>
      </c>
      <c r="H990" s="638">
        <f t="shared" si="132"/>
        <v>15.450000000000001</v>
      </c>
      <c r="I990" s="24" t="s">
        <v>506</v>
      </c>
      <c r="J990" s="25" t="s">
        <v>246</v>
      </c>
      <c r="K990" s="25" t="s">
        <v>2893</v>
      </c>
      <c r="L990" s="25" t="s">
        <v>1055</v>
      </c>
      <c r="M990" s="25" t="s">
        <v>8</v>
      </c>
      <c r="N990" s="25" t="s">
        <v>85</v>
      </c>
      <c r="O990" s="25" t="s">
        <v>92</v>
      </c>
      <c r="P990" s="25" t="s">
        <v>83</v>
      </c>
      <c r="Q990" s="25" t="s">
        <v>129</v>
      </c>
      <c r="R990" s="25"/>
      <c r="S990" s="25" t="s">
        <v>126</v>
      </c>
      <c r="T990" s="25" t="s">
        <v>125</v>
      </c>
      <c r="U990" s="25" t="s">
        <v>247</v>
      </c>
      <c r="V990" s="25">
        <v>0</v>
      </c>
      <c r="W990" s="25" t="s">
        <v>553</v>
      </c>
      <c r="X990" s="25" t="s">
        <v>1749</v>
      </c>
      <c r="Y990" s="25" t="s">
        <v>1750</v>
      </c>
      <c r="Z990" s="26">
        <v>39629</v>
      </c>
      <c r="AA990" s="776">
        <v>5.8</v>
      </c>
      <c r="AB990" s="776">
        <v>0</v>
      </c>
      <c r="AC990" s="776">
        <v>0</v>
      </c>
      <c r="AD990" s="776">
        <v>0</v>
      </c>
      <c r="AE990" s="777">
        <v>15</v>
      </c>
      <c r="AF990" s="777">
        <v>15</v>
      </c>
      <c r="AG990" s="778">
        <v>15.450000000000001</v>
      </c>
    </row>
    <row r="991" spans="1:33" x14ac:dyDescent="0.2">
      <c r="A991" s="15">
        <f t="shared" si="127"/>
        <v>2008</v>
      </c>
      <c r="B991" s="14">
        <f t="shared" si="128"/>
        <v>5</v>
      </c>
      <c r="C991" s="13" t="str">
        <f t="shared" si="129"/>
        <v>Q2</v>
      </c>
      <c r="D991" s="13" t="str">
        <f t="shared" si="130"/>
        <v>2008Q2</v>
      </c>
      <c r="E991" s="13" t="str">
        <f t="shared" si="131"/>
        <v>Argentina</v>
      </c>
      <c r="F991" s="13" t="str">
        <f t="shared" si="134"/>
        <v>Biofuels</v>
      </c>
      <c r="G991" s="13" t="str">
        <f t="shared" si="133"/>
        <v>Asset finance investments</v>
      </c>
      <c r="H991" s="638">
        <f t="shared" si="132"/>
        <v>11.402100000000001</v>
      </c>
      <c r="I991" s="24" t="s">
        <v>506</v>
      </c>
      <c r="J991" s="25" t="s">
        <v>246</v>
      </c>
      <c r="K991" s="25" t="s">
        <v>2894</v>
      </c>
      <c r="L991" s="25" t="s">
        <v>2895</v>
      </c>
      <c r="M991" s="25" t="s">
        <v>4</v>
      </c>
      <c r="N991" s="25" t="s">
        <v>85</v>
      </c>
      <c r="O991" s="25" t="s">
        <v>92</v>
      </c>
      <c r="P991" s="25" t="s">
        <v>83</v>
      </c>
      <c r="Q991" s="25" t="s">
        <v>82</v>
      </c>
      <c r="R991" s="25"/>
      <c r="S991" s="25" t="s">
        <v>96</v>
      </c>
      <c r="T991" s="25" t="s">
        <v>96</v>
      </c>
      <c r="U991" s="25" t="s">
        <v>98</v>
      </c>
      <c r="V991" s="25">
        <v>0</v>
      </c>
      <c r="W991" s="25" t="s">
        <v>553</v>
      </c>
      <c r="X991" s="25" t="s">
        <v>1752</v>
      </c>
      <c r="Y991" s="25" t="s">
        <v>1753</v>
      </c>
      <c r="Z991" s="26">
        <v>39599</v>
      </c>
      <c r="AA991" s="776">
        <v>0</v>
      </c>
      <c r="AB991" s="776">
        <v>9</v>
      </c>
      <c r="AC991" s="776">
        <v>0</v>
      </c>
      <c r="AD991" s="776">
        <v>0</v>
      </c>
      <c r="AE991" s="777">
        <v>0</v>
      </c>
      <c r="AF991" s="777">
        <v>11.07</v>
      </c>
      <c r="AG991" s="778">
        <v>11.402100000000001</v>
      </c>
    </row>
    <row r="992" spans="1:33" x14ac:dyDescent="0.2">
      <c r="A992" s="15">
        <f t="shared" si="127"/>
        <v>2008</v>
      </c>
      <c r="B992" s="14">
        <f t="shared" si="128"/>
        <v>6</v>
      </c>
      <c r="C992" s="13" t="str">
        <f t="shared" si="129"/>
        <v>Q2</v>
      </c>
      <c r="D992" s="13" t="str">
        <f t="shared" si="130"/>
        <v>2008Q2</v>
      </c>
      <c r="E992" s="13" t="str">
        <f t="shared" si="131"/>
        <v>Chile</v>
      </c>
      <c r="F992" s="13" t="str">
        <f t="shared" si="134"/>
        <v>Small Hydro</v>
      </c>
      <c r="G992" s="13" t="str">
        <f t="shared" si="133"/>
        <v>Asset finance investments</v>
      </c>
      <c r="H992" s="638">
        <f t="shared" si="132"/>
        <v>9.27</v>
      </c>
      <c r="I992" s="24" t="s">
        <v>506</v>
      </c>
      <c r="J992" s="25" t="s">
        <v>246</v>
      </c>
      <c r="K992" s="25" t="s">
        <v>2896</v>
      </c>
      <c r="L992" s="25" t="s">
        <v>1058</v>
      </c>
      <c r="M992" s="25" t="s">
        <v>8</v>
      </c>
      <c r="N992" s="25" t="s">
        <v>85</v>
      </c>
      <c r="O992" s="25" t="s">
        <v>92</v>
      </c>
      <c r="P992" s="25" t="s">
        <v>83</v>
      </c>
      <c r="Q992" s="25" t="s">
        <v>129</v>
      </c>
      <c r="R992" s="25"/>
      <c r="S992" s="25" t="s">
        <v>126</v>
      </c>
      <c r="T992" s="25" t="s">
        <v>125</v>
      </c>
      <c r="U992" s="25" t="s">
        <v>247</v>
      </c>
      <c r="V992" s="25">
        <v>0</v>
      </c>
      <c r="W992" s="25" t="s">
        <v>553</v>
      </c>
      <c r="X992" s="25" t="s">
        <v>1752</v>
      </c>
      <c r="Y992" s="25" t="s">
        <v>1753</v>
      </c>
      <c r="Z992" s="26">
        <v>39600</v>
      </c>
      <c r="AA992" s="776">
        <v>6</v>
      </c>
      <c r="AB992" s="776">
        <v>0</v>
      </c>
      <c r="AC992" s="776">
        <v>0</v>
      </c>
      <c r="AD992" s="776">
        <v>0</v>
      </c>
      <c r="AE992" s="777">
        <v>9</v>
      </c>
      <c r="AF992" s="777">
        <v>9</v>
      </c>
      <c r="AG992" s="778">
        <v>9.27</v>
      </c>
    </row>
    <row r="993" spans="1:33" x14ac:dyDescent="0.2">
      <c r="A993" s="15">
        <f t="shared" si="127"/>
        <v>2008</v>
      </c>
      <c r="B993" s="14">
        <f t="shared" si="128"/>
        <v>6</v>
      </c>
      <c r="C993" s="13" t="str">
        <f t="shared" si="129"/>
        <v>Q2</v>
      </c>
      <c r="D993" s="13" t="str">
        <f t="shared" si="130"/>
        <v>2008Q2</v>
      </c>
      <c r="E993" s="13" t="str">
        <f t="shared" si="131"/>
        <v>Brazil</v>
      </c>
      <c r="F993" s="13" t="str">
        <f t="shared" si="134"/>
        <v>Biofuels</v>
      </c>
      <c r="G993" s="13" t="str">
        <f t="shared" si="133"/>
        <v>Asset finance investments</v>
      </c>
      <c r="H993" s="638">
        <f t="shared" si="132"/>
        <v>8.9980800000000016</v>
      </c>
      <c r="I993" s="24" t="s">
        <v>506</v>
      </c>
      <c r="J993" s="25" t="s">
        <v>246</v>
      </c>
      <c r="K993" s="25" t="s">
        <v>2897</v>
      </c>
      <c r="L993" s="25" t="s">
        <v>2898</v>
      </c>
      <c r="M993" s="25" t="s">
        <v>31</v>
      </c>
      <c r="N993" s="25" t="s">
        <v>31</v>
      </c>
      <c r="O993" s="25" t="s">
        <v>92</v>
      </c>
      <c r="P993" s="25" t="s">
        <v>83</v>
      </c>
      <c r="Q993" s="25" t="s">
        <v>82</v>
      </c>
      <c r="R993" s="25" t="s">
        <v>91</v>
      </c>
      <c r="S993" s="25" t="s">
        <v>96</v>
      </c>
      <c r="T993" s="25" t="s">
        <v>96</v>
      </c>
      <c r="U993" s="25" t="s">
        <v>95</v>
      </c>
      <c r="V993" s="25" t="s">
        <v>223</v>
      </c>
      <c r="W993" s="25" t="s">
        <v>553</v>
      </c>
      <c r="X993" s="25" t="s">
        <v>1752</v>
      </c>
      <c r="Y993" s="25" t="s">
        <v>1753</v>
      </c>
      <c r="Z993" s="26">
        <v>39622</v>
      </c>
      <c r="AA993" s="776">
        <v>0</v>
      </c>
      <c r="AB993" s="776">
        <v>20.8</v>
      </c>
      <c r="AC993" s="776">
        <v>0</v>
      </c>
      <c r="AD993" s="776">
        <v>0</v>
      </c>
      <c r="AE993" s="777">
        <v>0</v>
      </c>
      <c r="AF993" s="777">
        <v>8.7360000000000007</v>
      </c>
      <c r="AG993" s="778">
        <v>8.9980800000000016</v>
      </c>
    </row>
    <row r="994" spans="1:33" x14ac:dyDescent="0.2">
      <c r="A994" s="15">
        <f t="shared" si="127"/>
        <v>2008</v>
      </c>
      <c r="B994" s="14">
        <f t="shared" si="128"/>
        <v>6</v>
      </c>
      <c r="C994" s="13" t="str">
        <f t="shared" si="129"/>
        <v>Q2</v>
      </c>
      <c r="D994" s="13" t="str">
        <f t="shared" si="130"/>
        <v>2008Q2</v>
      </c>
      <c r="E994" s="13" t="str">
        <f t="shared" si="131"/>
        <v>Argentina</v>
      </c>
      <c r="F994" s="13" t="str">
        <f t="shared" si="134"/>
        <v>Biomass &amp; Waste</v>
      </c>
      <c r="G994" s="13" t="str">
        <f t="shared" si="133"/>
        <v>Asset finance investments</v>
      </c>
      <c r="H994" s="638">
        <f t="shared" si="132"/>
        <v>5.7679999999999998</v>
      </c>
      <c r="I994" s="24" t="s">
        <v>506</v>
      </c>
      <c r="J994" s="25" t="s">
        <v>246</v>
      </c>
      <c r="K994" s="25" t="s">
        <v>2899</v>
      </c>
      <c r="L994" s="25" t="s">
        <v>667</v>
      </c>
      <c r="M994" s="25" t="s">
        <v>4</v>
      </c>
      <c r="N994" s="25" t="s">
        <v>85</v>
      </c>
      <c r="O994" s="25" t="s">
        <v>92</v>
      </c>
      <c r="P994" s="25" t="s">
        <v>83</v>
      </c>
      <c r="Q994" s="25" t="s">
        <v>82</v>
      </c>
      <c r="R994" s="25"/>
      <c r="S994" s="25" t="s">
        <v>114</v>
      </c>
      <c r="T994" s="25" t="s">
        <v>114</v>
      </c>
      <c r="U994" s="25" t="s">
        <v>113</v>
      </c>
      <c r="V994" s="25">
        <v>0</v>
      </c>
      <c r="W994" s="25" t="s">
        <v>553</v>
      </c>
      <c r="X994" s="25" t="s">
        <v>1752</v>
      </c>
      <c r="Y994" s="25" t="s">
        <v>1753</v>
      </c>
      <c r="Z994" s="26">
        <v>39600</v>
      </c>
      <c r="AA994" s="776">
        <v>4</v>
      </c>
      <c r="AB994" s="776">
        <v>0</v>
      </c>
      <c r="AC994" s="776">
        <v>0</v>
      </c>
      <c r="AD994" s="776">
        <v>0</v>
      </c>
      <c r="AE994" s="777">
        <v>5.6</v>
      </c>
      <c r="AF994" s="777">
        <v>5.6</v>
      </c>
      <c r="AG994" s="778">
        <v>5.7679999999999998</v>
      </c>
    </row>
    <row r="995" spans="1:33" x14ac:dyDescent="0.2">
      <c r="A995" s="15">
        <f t="shared" si="127"/>
        <v>2007</v>
      </c>
      <c r="B995" s="14">
        <f t="shared" si="128"/>
        <v>4</v>
      </c>
      <c r="C995" s="13" t="str">
        <f t="shared" si="129"/>
        <v>Q2</v>
      </c>
      <c r="D995" s="13" t="str">
        <f t="shared" si="130"/>
        <v>2007Q2</v>
      </c>
      <c r="E995" s="13" t="str">
        <f t="shared" si="131"/>
        <v>Brazil</v>
      </c>
      <c r="F995" s="13" t="str">
        <f t="shared" si="134"/>
        <v>Small Hydro</v>
      </c>
      <c r="G995" s="13" t="str">
        <f t="shared" si="133"/>
        <v>Asset finance investments</v>
      </c>
      <c r="H995" s="638">
        <f t="shared" si="132"/>
        <v>360.99</v>
      </c>
      <c r="I995" s="24" t="s">
        <v>506</v>
      </c>
      <c r="J995" s="25" t="s">
        <v>246</v>
      </c>
      <c r="K995" s="25" t="s">
        <v>2900</v>
      </c>
      <c r="L995" s="25" t="s">
        <v>1154</v>
      </c>
      <c r="M995" s="25" t="s">
        <v>31</v>
      </c>
      <c r="N995" s="25" t="s">
        <v>31</v>
      </c>
      <c r="O995" s="25" t="s">
        <v>92</v>
      </c>
      <c r="P995" s="25" t="s">
        <v>83</v>
      </c>
      <c r="Q995" s="25" t="s">
        <v>82</v>
      </c>
      <c r="R995" s="25" t="s">
        <v>91</v>
      </c>
      <c r="S995" s="25" t="s">
        <v>126</v>
      </c>
      <c r="T995" s="25" t="s">
        <v>125</v>
      </c>
      <c r="U995" s="25" t="s">
        <v>342</v>
      </c>
      <c r="V995" s="25">
        <v>0</v>
      </c>
      <c r="W995" s="25" t="s">
        <v>553</v>
      </c>
      <c r="X995" s="25" t="s">
        <v>1749</v>
      </c>
      <c r="Y995" s="25" t="s">
        <v>1750</v>
      </c>
      <c r="Z995" s="26">
        <v>39182.624305555597</v>
      </c>
      <c r="AA995" s="776">
        <v>214.9</v>
      </c>
      <c r="AB995" s="776">
        <v>0</v>
      </c>
      <c r="AC995" s="776">
        <v>0</v>
      </c>
      <c r="AD995" s="776">
        <v>0</v>
      </c>
      <c r="AE995" s="777">
        <v>343.8</v>
      </c>
      <c r="AF995" s="777">
        <v>343.8</v>
      </c>
      <c r="AG995" s="778">
        <v>360.99</v>
      </c>
    </row>
    <row r="996" spans="1:33" x14ac:dyDescent="0.2">
      <c r="A996" s="15">
        <f t="shared" si="127"/>
        <v>2007</v>
      </c>
      <c r="B996" s="14">
        <f t="shared" si="128"/>
        <v>6</v>
      </c>
      <c r="C996" s="13" t="str">
        <f t="shared" si="129"/>
        <v>Q2</v>
      </c>
      <c r="D996" s="13" t="str">
        <f t="shared" si="130"/>
        <v>2007Q2</v>
      </c>
      <c r="E996" s="13" t="str">
        <f t="shared" si="131"/>
        <v>Brazil</v>
      </c>
      <c r="F996" s="13" t="str">
        <f t="shared" si="134"/>
        <v>Small Hydro</v>
      </c>
      <c r="G996" s="13" t="str">
        <f t="shared" si="133"/>
        <v>Asset finance investments</v>
      </c>
      <c r="H996" s="638">
        <f t="shared" si="132"/>
        <v>280.03500000000003</v>
      </c>
      <c r="I996" s="24" t="s">
        <v>506</v>
      </c>
      <c r="J996" s="25" t="s">
        <v>246</v>
      </c>
      <c r="K996" s="25" t="s">
        <v>2901</v>
      </c>
      <c r="L996" s="25" t="s">
        <v>1006</v>
      </c>
      <c r="M996" s="25" t="s">
        <v>31</v>
      </c>
      <c r="N996" s="25" t="s">
        <v>31</v>
      </c>
      <c r="O996" s="25" t="s">
        <v>92</v>
      </c>
      <c r="P996" s="25" t="s">
        <v>83</v>
      </c>
      <c r="Q996" s="25" t="s">
        <v>82</v>
      </c>
      <c r="R996" s="25" t="s">
        <v>91</v>
      </c>
      <c r="S996" s="25" t="s">
        <v>126</v>
      </c>
      <c r="T996" s="25" t="s">
        <v>125</v>
      </c>
      <c r="U996" s="25" t="s">
        <v>342</v>
      </c>
      <c r="V996" s="25">
        <v>0</v>
      </c>
      <c r="W996" s="25" t="s">
        <v>553</v>
      </c>
      <c r="X996" s="25" t="s">
        <v>1749</v>
      </c>
      <c r="Y996" s="25" t="s">
        <v>1750</v>
      </c>
      <c r="Z996" s="26">
        <v>39244</v>
      </c>
      <c r="AA996" s="776">
        <v>91.4</v>
      </c>
      <c r="AB996" s="776">
        <v>0</v>
      </c>
      <c r="AC996" s="776">
        <v>0</v>
      </c>
      <c r="AD996" s="776">
        <v>0</v>
      </c>
      <c r="AE996" s="777">
        <v>266.7</v>
      </c>
      <c r="AF996" s="777">
        <v>266.7</v>
      </c>
      <c r="AG996" s="778">
        <v>280.03500000000003</v>
      </c>
    </row>
    <row r="997" spans="1:33" x14ac:dyDescent="0.2">
      <c r="A997" s="15">
        <f t="shared" si="127"/>
        <v>2007</v>
      </c>
      <c r="B997" s="14">
        <f t="shared" si="128"/>
        <v>6</v>
      </c>
      <c r="C997" s="13" t="str">
        <f t="shared" si="129"/>
        <v>Q2</v>
      </c>
      <c r="D997" s="13" t="str">
        <f t="shared" si="130"/>
        <v>2007Q2</v>
      </c>
      <c r="E997" s="13" t="str">
        <f t="shared" si="131"/>
        <v>Chile</v>
      </c>
      <c r="F997" s="13" t="str">
        <f t="shared" si="134"/>
        <v>Biomass &amp; Waste</v>
      </c>
      <c r="G997" s="13" t="str">
        <f t="shared" si="133"/>
        <v>Asset finance investments</v>
      </c>
      <c r="H997" s="638">
        <f t="shared" si="132"/>
        <v>170.1</v>
      </c>
      <c r="I997" s="24" t="s">
        <v>506</v>
      </c>
      <c r="J997" s="25" t="s">
        <v>246</v>
      </c>
      <c r="K997" s="25" t="s">
        <v>2902</v>
      </c>
      <c r="L997" s="25" t="s">
        <v>1151</v>
      </c>
      <c r="M997" s="25" t="s">
        <v>8</v>
      </c>
      <c r="N997" s="25" t="s">
        <v>85</v>
      </c>
      <c r="O997" s="25" t="s">
        <v>92</v>
      </c>
      <c r="P997" s="25" t="s">
        <v>83</v>
      </c>
      <c r="Q997" s="25" t="s">
        <v>129</v>
      </c>
      <c r="R997" s="25"/>
      <c r="S997" s="25" t="s">
        <v>114</v>
      </c>
      <c r="T997" s="25" t="s">
        <v>114</v>
      </c>
      <c r="U997" s="25" t="s">
        <v>113</v>
      </c>
      <c r="V997" s="25" t="s">
        <v>347</v>
      </c>
      <c r="W997" s="25" t="s">
        <v>553</v>
      </c>
      <c r="X997" s="25" t="s">
        <v>1752</v>
      </c>
      <c r="Y997" s="25" t="s">
        <v>1753</v>
      </c>
      <c r="Z997" s="26">
        <v>39255.463194444397</v>
      </c>
      <c r="AA997" s="776">
        <v>97</v>
      </c>
      <c r="AB997" s="776">
        <v>0</v>
      </c>
      <c r="AC997" s="776">
        <v>0</v>
      </c>
      <c r="AD997" s="776">
        <v>0</v>
      </c>
      <c r="AE997" s="777">
        <v>162</v>
      </c>
      <c r="AF997" s="777">
        <v>162</v>
      </c>
      <c r="AG997" s="778">
        <v>170.1</v>
      </c>
    </row>
    <row r="998" spans="1:33" x14ac:dyDescent="0.2">
      <c r="A998" s="15">
        <f t="shared" si="127"/>
        <v>2007</v>
      </c>
      <c r="B998" s="14">
        <f t="shared" si="128"/>
        <v>6</v>
      </c>
      <c r="C998" s="13" t="str">
        <f t="shared" si="129"/>
        <v>Q2</v>
      </c>
      <c r="D998" s="13" t="str">
        <f t="shared" si="130"/>
        <v>2007Q2</v>
      </c>
      <c r="E998" s="13" t="str">
        <f t="shared" si="131"/>
        <v>Brazil</v>
      </c>
      <c r="F998" s="13" t="str">
        <f t="shared" si="134"/>
        <v>Biofuels</v>
      </c>
      <c r="G998" s="13" t="str">
        <f t="shared" si="133"/>
        <v>Asset finance investments</v>
      </c>
      <c r="H998" s="638">
        <f t="shared" si="132"/>
        <v>146.05500000000001</v>
      </c>
      <c r="I998" s="24" t="s">
        <v>506</v>
      </c>
      <c r="J998" s="25" t="s">
        <v>246</v>
      </c>
      <c r="K998" s="25" t="s">
        <v>2903</v>
      </c>
      <c r="L998" s="25" t="s">
        <v>658</v>
      </c>
      <c r="M998" s="25" t="s">
        <v>31</v>
      </c>
      <c r="N998" s="25" t="s">
        <v>31</v>
      </c>
      <c r="O998" s="25" t="s">
        <v>92</v>
      </c>
      <c r="P998" s="25" t="s">
        <v>83</v>
      </c>
      <c r="Q998" s="25" t="s">
        <v>82</v>
      </c>
      <c r="R998" s="25" t="s">
        <v>91</v>
      </c>
      <c r="S998" s="25" t="s">
        <v>96</v>
      </c>
      <c r="T998" s="25" t="s">
        <v>96</v>
      </c>
      <c r="U998" s="25" t="s">
        <v>98</v>
      </c>
      <c r="V998" s="25">
        <v>0</v>
      </c>
      <c r="W998" s="25" t="s">
        <v>553</v>
      </c>
      <c r="X998" s="25" t="s">
        <v>1752</v>
      </c>
      <c r="Y998" s="25" t="s">
        <v>1753</v>
      </c>
      <c r="Z998" s="26">
        <v>39239</v>
      </c>
      <c r="AA998" s="776">
        <v>0</v>
      </c>
      <c r="AB998" s="776">
        <v>43.7</v>
      </c>
      <c r="AC998" s="776">
        <v>0</v>
      </c>
      <c r="AD998" s="776">
        <v>0</v>
      </c>
      <c r="AE998" s="777">
        <v>139.1</v>
      </c>
      <c r="AF998" s="777">
        <v>139.1</v>
      </c>
      <c r="AG998" s="778">
        <v>146.05500000000001</v>
      </c>
    </row>
    <row r="999" spans="1:33" x14ac:dyDescent="0.2">
      <c r="A999" s="15">
        <f t="shared" si="127"/>
        <v>2007</v>
      </c>
      <c r="B999" s="14">
        <f t="shared" si="128"/>
        <v>5</v>
      </c>
      <c r="C999" s="13" t="str">
        <f t="shared" si="129"/>
        <v>Q2</v>
      </c>
      <c r="D999" s="13" t="str">
        <f t="shared" si="130"/>
        <v>2007Q2</v>
      </c>
      <c r="E999" s="13" t="str">
        <f t="shared" si="131"/>
        <v>Brazil</v>
      </c>
      <c r="F999" s="13" t="str">
        <f t="shared" si="134"/>
        <v>Biofuels</v>
      </c>
      <c r="G999" s="13" t="str">
        <f t="shared" si="133"/>
        <v>Asset finance investments</v>
      </c>
      <c r="H999" s="638">
        <f t="shared" si="132"/>
        <v>142.06500000000003</v>
      </c>
      <c r="I999" s="24" t="s">
        <v>506</v>
      </c>
      <c r="J999" s="25" t="s">
        <v>246</v>
      </c>
      <c r="K999" s="25" t="s">
        <v>2904</v>
      </c>
      <c r="L999" s="25" t="s">
        <v>657</v>
      </c>
      <c r="M999" s="25" t="s">
        <v>31</v>
      </c>
      <c r="N999" s="25" t="s">
        <v>31</v>
      </c>
      <c r="O999" s="25" t="s">
        <v>92</v>
      </c>
      <c r="P999" s="25" t="s">
        <v>83</v>
      </c>
      <c r="Q999" s="25" t="s">
        <v>82</v>
      </c>
      <c r="R999" s="25" t="s">
        <v>91</v>
      </c>
      <c r="S999" s="25" t="s">
        <v>96</v>
      </c>
      <c r="T999" s="25" t="s">
        <v>96</v>
      </c>
      <c r="U999" s="25" t="s">
        <v>98</v>
      </c>
      <c r="V999" s="25">
        <v>0</v>
      </c>
      <c r="W999" s="25" t="s">
        <v>553</v>
      </c>
      <c r="X999" s="25" t="s">
        <v>1752</v>
      </c>
      <c r="Y999" s="25" t="s">
        <v>1753</v>
      </c>
      <c r="Z999" s="26">
        <v>39228</v>
      </c>
      <c r="AA999" s="776">
        <v>4.5</v>
      </c>
      <c r="AB999" s="776">
        <v>110</v>
      </c>
      <c r="AC999" s="776">
        <v>0</v>
      </c>
      <c r="AD999" s="776">
        <v>0</v>
      </c>
      <c r="AE999" s="777">
        <v>0</v>
      </c>
      <c r="AF999" s="777">
        <v>135.30000000000001</v>
      </c>
      <c r="AG999" s="778">
        <v>142.06500000000003</v>
      </c>
    </row>
    <row r="1000" spans="1:33" x14ac:dyDescent="0.2">
      <c r="A1000" s="15">
        <f t="shared" si="127"/>
        <v>2007</v>
      </c>
      <c r="B1000" s="14">
        <f t="shared" si="128"/>
        <v>6</v>
      </c>
      <c r="C1000" s="13" t="str">
        <f t="shared" si="129"/>
        <v>Q2</v>
      </c>
      <c r="D1000" s="13" t="str">
        <f t="shared" si="130"/>
        <v>2007Q2</v>
      </c>
      <c r="E1000" s="13" t="str">
        <f t="shared" si="131"/>
        <v>Mexico</v>
      </c>
      <c r="F1000" s="13" t="str">
        <f t="shared" si="134"/>
        <v>Wind</v>
      </c>
      <c r="G1000" s="13" t="str">
        <f t="shared" si="133"/>
        <v>Asset finance investments</v>
      </c>
      <c r="H1000" s="638">
        <f t="shared" si="132"/>
        <v>123.48</v>
      </c>
      <c r="I1000" s="24" t="s">
        <v>506</v>
      </c>
      <c r="J1000" s="25" t="s">
        <v>246</v>
      </c>
      <c r="K1000" s="25" t="s">
        <v>2905</v>
      </c>
      <c r="L1000" s="25" t="s">
        <v>1086</v>
      </c>
      <c r="M1000" s="25" t="s">
        <v>18</v>
      </c>
      <c r="N1000" s="25" t="s">
        <v>85</v>
      </c>
      <c r="O1000" s="25" t="s">
        <v>92</v>
      </c>
      <c r="P1000" s="25" t="s">
        <v>83</v>
      </c>
      <c r="Q1000" s="25" t="s">
        <v>129</v>
      </c>
      <c r="R1000" s="25"/>
      <c r="S1000" s="25" t="s">
        <v>101</v>
      </c>
      <c r="T1000" s="25" t="s">
        <v>101</v>
      </c>
      <c r="U1000" s="25" t="s">
        <v>112</v>
      </c>
      <c r="V1000" s="25">
        <v>0</v>
      </c>
      <c r="W1000" s="25" t="s">
        <v>553</v>
      </c>
      <c r="X1000" s="25" t="s">
        <v>1752</v>
      </c>
      <c r="Y1000" s="25" t="s">
        <v>1753</v>
      </c>
      <c r="Z1000" s="26">
        <v>39247</v>
      </c>
      <c r="AA1000" s="776">
        <v>80</v>
      </c>
      <c r="AB1000" s="776">
        <v>0</v>
      </c>
      <c r="AC1000" s="776">
        <v>0</v>
      </c>
      <c r="AD1000" s="776">
        <v>0</v>
      </c>
      <c r="AE1000" s="777">
        <v>0</v>
      </c>
      <c r="AF1000" s="777">
        <v>117.6</v>
      </c>
      <c r="AG1000" s="778">
        <v>123.48</v>
      </c>
    </row>
    <row r="1001" spans="1:33" x14ac:dyDescent="0.2">
      <c r="A1001" s="15">
        <f t="shared" si="127"/>
        <v>2007</v>
      </c>
      <c r="B1001" s="14">
        <f t="shared" si="128"/>
        <v>4</v>
      </c>
      <c r="C1001" s="13" t="str">
        <f t="shared" si="129"/>
        <v>Q2</v>
      </c>
      <c r="D1001" s="13" t="str">
        <f t="shared" si="130"/>
        <v>2007Q2</v>
      </c>
      <c r="E1001" s="13" t="str">
        <f t="shared" si="131"/>
        <v>Brazil</v>
      </c>
      <c r="F1001" s="13" t="str">
        <f t="shared" si="134"/>
        <v>Small Hydro</v>
      </c>
      <c r="G1001" s="13" t="str">
        <f t="shared" si="133"/>
        <v>Asset finance investments</v>
      </c>
      <c r="H1001" s="638">
        <f t="shared" si="132"/>
        <v>115.5</v>
      </c>
      <c r="I1001" s="24" t="s">
        <v>506</v>
      </c>
      <c r="J1001" s="25" t="s">
        <v>246</v>
      </c>
      <c r="K1001" s="25" t="s">
        <v>2906</v>
      </c>
      <c r="L1001" s="25" t="s">
        <v>1156</v>
      </c>
      <c r="M1001" s="25" t="s">
        <v>31</v>
      </c>
      <c r="N1001" s="25" t="s">
        <v>31</v>
      </c>
      <c r="O1001" s="25" t="s">
        <v>92</v>
      </c>
      <c r="P1001" s="25" t="s">
        <v>83</v>
      </c>
      <c r="Q1001" s="25" t="s">
        <v>82</v>
      </c>
      <c r="R1001" s="25" t="s">
        <v>91</v>
      </c>
      <c r="S1001" s="25" t="s">
        <v>126</v>
      </c>
      <c r="T1001" s="25" t="s">
        <v>125</v>
      </c>
      <c r="U1001" s="25" t="s">
        <v>342</v>
      </c>
      <c r="V1001" s="25">
        <v>0</v>
      </c>
      <c r="W1001" s="25" t="s">
        <v>553</v>
      </c>
      <c r="X1001" s="25" t="s">
        <v>1752</v>
      </c>
      <c r="Y1001" s="25" t="s">
        <v>1753</v>
      </c>
      <c r="Z1001" s="26">
        <v>39182.618055555598</v>
      </c>
      <c r="AA1001" s="776">
        <v>55</v>
      </c>
      <c r="AB1001" s="776">
        <v>0</v>
      </c>
      <c r="AC1001" s="776">
        <v>0</v>
      </c>
      <c r="AD1001" s="776">
        <v>0</v>
      </c>
      <c r="AE1001" s="777">
        <v>110</v>
      </c>
      <c r="AF1001" s="777">
        <v>110</v>
      </c>
      <c r="AG1001" s="778">
        <v>115.5</v>
      </c>
    </row>
    <row r="1002" spans="1:33" x14ac:dyDescent="0.2">
      <c r="A1002" s="15">
        <f t="shared" si="127"/>
        <v>2007</v>
      </c>
      <c r="B1002" s="14">
        <f t="shared" si="128"/>
        <v>4</v>
      </c>
      <c r="C1002" s="13" t="str">
        <f t="shared" si="129"/>
        <v>Q2</v>
      </c>
      <c r="D1002" s="13" t="str">
        <f t="shared" si="130"/>
        <v>2007Q2</v>
      </c>
      <c r="E1002" s="13" t="str">
        <f t="shared" si="131"/>
        <v>Brazil</v>
      </c>
      <c r="F1002" s="13" t="str">
        <f t="shared" si="134"/>
        <v>Biofuels</v>
      </c>
      <c r="G1002" s="13" t="str">
        <f t="shared" si="133"/>
        <v>Asset finance investments</v>
      </c>
      <c r="H1002" s="638">
        <f t="shared" si="132"/>
        <v>113.4</v>
      </c>
      <c r="I1002" s="24" t="s">
        <v>506</v>
      </c>
      <c r="J1002" s="25" t="s">
        <v>246</v>
      </c>
      <c r="K1002" s="25" t="s">
        <v>2907</v>
      </c>
      <c r="L1002" s="25" t="s">
        <v>1153</v>
      </c>
      <c r="M1002" s="25" t="s">
        <v>31</v>
      </c>
      <c r="N1002" s="25" t="s">
        <v>31</v>
      </c>
      <c r="O1002" s="25" t="s">
        <v>92</v>
      </c>
      <c r="P1002" s="25" t="s">
        <v>83</v>
      </c>
      <c r="Q1002" s="25" t="s">
        <v>82</v>
      </c>
      <c r="R1002" s="25" t="s">
        <v>91</v>
      </c>
      <c r="S1002" s="25" t="s">
        <v>96</v>
      </c>
      <c r="T1002" s="25" t="s">
        <v>96</v>
      </c>
      <c r="U1002" s="25" t="s">
        <v>98</v>
      </c>
      <c r="V1002" s="25" t="s">
        <v>230</v>
      </c>
      <c r="W1002" s="25" t="s">
        <v>553</v>
      </c>
      <c r="X1002" s="25" t="s">
        <v>1749</v>
      </c>
      <c r="Y1002" s="25" t="s">
        <v>1750</v>
      </c>
      <c r="Z1002" s="26">
        <v>39178.631944444402</v>
      </c>
      <c r="AA1002" s="776">
        <v>0</v>
      </c>
      <c r="AB1002" s="776">
        <v>70</v>
      </c>
      <c r="AC1002" s="776">
        <v>0</v>
      </c>
      <c r="AD1002" s="776">
        <v>0</v>
      </c>
      <c r="AE1002" s="777">
        <v>108</v>
      </c>
      <c r="AF1002" s="777">
        <v>108</v>
      </c>
      <c r="AG1002" s="778">
        <v>113.4</v>
      </c>
    </row>
    <row r="1003" spans="1:33" x14ac:dyDescent="0.2">
      <c r="A1003" s="15">
        <f t="shared" si="127"/>
        <v>2007</v>
      </c>
      <c r="B1003" s="14">
        <f t="shared" si="128"/>
        <v>4</v>
      </c>
      <c r="C1003" s="13" t="str">
        <f t="shared" si="129"/>
        <v>Q2</v>
      </c>
      <c r="D1003" s="13" t="str">
        <f t="shared" si="130"/>
        <v>2007Q2</v>
      </c>
      <c r="E1003" s="13" t="str">
        <f t="shared" si="131"/>
        <v>Brazil</v>
      </c>
      <c r="F1003" s="13" t="str">
        <f t="shared" si="134"/>
        <v>Biomass &amp; Waste</v>
      </c>
      <c r="G1003" s="13" t="str">
        <f t="shared" si="133"/>
        <v>Asset finance investments</v>
      </c>
      <c r="H1003" s="638">
        <f t="shared" si="132"/>
        <v>103.63500000000001</v>
      </c>
      <c r="I1003" s="24" t="s">
        <v>506</v>
      </c>
      <c r="J1003" s="25" t="s">
        <v>246</v>
      </c>
      <c r="K1003" s="25" t="s">
        <v>2908</v>
      </c>
      <c r="L1003" s="25" t="s">
        <v>2909</v>
      </c>
      <c r="M1003" s="25" t="s">
        <v>31</v>
      </c>
      <c r="N1003" s="25" t="s">
        <v>31</v>
      </c>
      <c r="O1003" s="25" t="s">
        <v>92</v>
      </c>
      <c r="P1003" s="25" t="s">
        <v>83</v>
      </c>
      <c r="Q1003" s="25" t="s">
        <v>82</v>
      </c>
      <c r="R1003" s="25" t="s">
        <v>91</v>
      </c>
      <c r="S1003" s="25" t="s">
        <v>114</v>
      </c>
      <c r="T1003" s="25" t="s">
        <v>114</v>
      </c>
      <c r="U1003" s="25" t="s">
        <v>113</v>
      </c>
      <c r="V1003" s="25" t="s">
        <v>347</v>
      </c>
      <c r="W1003" s="25" t="s">
        <v>553</v>
      </c>
      <c r="X1003" s="25" t="s">
        <v>1752</v>
      </c>
      <c r="Y1003" s="25" t="s">
        <v>1753</v>
      </c>
      <c r="Z1003" s="26">
        <v>39180</v>
      </c>
      <c r="AA1003" s="776">
        <v>30</v>
      </c>
      <c r="AB1003" s="776">
        <v>0</v>
      </c>
      <c r="AC1003" s="776">
        <v>0</v>
      </c>
      <c r="AD1003" s="776">
        <v>0</v>
      </c>
      <c r="AE1003" s="777">
        <v>0</v>
      </c>
      <c r="AF1003" s="777">
        <v>98.7</v>
      </c>
      <c r="AG1003" s="778">
        <v>103.63500000000001</v>
      </c>
    </row>
    <row r="1004" spans="1:33" x14ac:dyDescent="0.2">
      <c r="A1004" s="15">
        <f t="shared" si="127"/>
        <v>2007</v>
      </c>
      <c r="B1004" s="14">
        <f t="shared" si="128"/>
        <v>4</v>
      </c>
      <c r="C1004" s="13" t="str">
        <f t="shared" si="129"/>
        <v>Q2</v>
      </c>
      <c r="D1004" s="13" t="str">
        <f t="shared" si="130"/>
        <v>2007Q2</v>
      </c>
      <c r="E1004" s="13" t="str">
        <f t="shared" si="131"/>
        <v>Brazil</v>
      </c>
      <c r="F1004" s="13" t="str">
        <f t="shared" si="134"/>
        <v>Small Hydro</v>
      </c>
      <c r="G1004" s="13" t="str">
        <f t="shared" si="133"/>
        <v>Asset finance investments</v>
      </c>
      <c r="H1004" s="638">
        <f t="shared" si="132"/>
        <v>62.160000000000004</v>
      </c>
      <c r="I1004" s="24" t="s">
        <v>506</v>
      </c>
      <c r="J1004" s="25" t="s">
        <v>246</v>
      </c>
      <c r="K1004" s="25" t="s">
        <v>2910</v>
      </c>
      <c r="L1004" s="25" t="s">
        <v>1155</v>
      </c>
      <c r="M1004" s="25" t="s">
        <v>31</v>
      </c>
      <c r="N1004" s="25" t="s">
        <v>31</v>
      </c>
      <c r="O1004" s="25" t="s">
        <v>92</v>
      </c>
      <c r="P1004" s="25" t="s">
        <v>83</v>
      </c>
      <c r="Q1004" s="25" t="s">
        <v>82</v>
      </c>
      <c r="R1004" s="25" t="s">
        <v>91</v>
      </c>
      <c r="S1004" s="25" t="s">
        <v>126</v>
      </c>
      <c r="T1004" s="25" t="s">
        <v>125</v>
      </c>
      <c r="U1004" s="25" t="s">
        <v>342</v>
      </c>
      <c r="V1004" s="25">
        <v>0</v>
      </c>
      <c r="W1004" s="25" t="s">
        <v>553</v>
      </c>
      <c r="X1004" s="25" t="s">
        <v>1752</v>
      </c>
      <c r="Y1004" s="25" t="s">
        <v>1753</v>
      </c>
      <c r="Z1004" s="26">
        <v>39182.613888888904</v>
      </c>
      <c r="AA1004" s="776">
        <v>37</v>
      </c>
      <c r="AB1004" s="776">
        <v>0</v>
      </c>
      <c r="AC1004" s="776">
        <v>0</v>
      </c>
      <c r="AD1004" s="776">
        <v>0</v>
      </c>
      <c r="AE1004" s="777">
        <v>59.2</v>
      </c>
      <c r="AF1004" s="777">
        <v>59.2</v>
      </c>
      <c r="AG1004" s="778">
        <v>62.160000000000004</v>
      </c>
    </row>
    <row r="1005" spans="1:33" x14ac:dyDescent="0.2">
      <c r="A1005" s="15">
        <f t="shared" si="127"/>
        <v>2007</v>
      </c>
      <c r="B1005" s="14">
        <f t="shared" si="128"/>
        <v>6</v>
      </c>
      <c r="C1005" s="13" t="str">
        <f t="shared" si="129"/>
        <v>Q2</v>
      </c>
      <c r="D1005" s="13" t="str">
        <f t="shared" si="130"/>
        <v>2007Q2</v>
      </c>
      <c r="E1005" s="13" t="str">
        <f t="shared" si="131"/>
        <v>Brazil</v>
      </c>
      <c r="F1005" s="13" t="str">
        <f t="shared" si="134"/>
        <v>Biofuels</v>
      </c>
      <c r="G1005" s="13" t="str">
        <f t="shared" si="133"/>
        <v>Asset finance investments</v>
      </c>
      <c r="H1005" s="638">
        <f t="shared" si="132"/>
        <v>48.300000000000004</v>
      </c>
      <c r="I1005" s="24" t="s">
        <v>506</v>
      </c>
      <c r="J1005" s="25" t="s">
        <v>246</v>
      </c>
      <c r="K1005" s="25" t="s">
        <v>2911</v>
      </c>
      <c r="L1005" s="25" t="s">
        <v>661</v>
      </c>
      <c r="M1005" s="25" t="s">
        <v>31</v>
      </c>
      <c r="N1005" s="25" t="s">
        <v>31</v>
      </c>
      <c r="O1005" s="25" t="s">
        <v>92</v>
      </c>
      <c r="P1005" s="25" t="s">
        <v>83</v>
      </c>
      <c r="Q1005" s="25" t="s">
        <v>82</v>
      </c>
      <c r="R1005" s="25" t="s">
        <v>91</v>
      </c>
      <c r="S1005" s="25" t="s">
        <v>96</v>
      </c>
      <c r="T1005" s="25" t="s">
        <v>96</v>
      </c>
      <c r="U1005" s="25" t="s">
        <v>98</v>
      </c>
      <c r="V1005" s="25">
        <v>0</v>
      </c>
      <c r="W1005" s="25" t="s">
        <v>553</v>
      </c>
      <c r="X1005" s="25" t="s">
        <v>1752</v>
      </c>
      <c r="Y1005" s="25" t="s">
        <v>1753</v>
      </c>
      <c r="Z1005" s="26">
        <v>39235</v>
      </c>
      <c r="AA1005" s="776">
        <v>0</v>
      </c>
      <c r="AB1005" s="776">
        <v>36</v>
      </c>
      <c r="AC1005" s="776">
        <v>0</v>
      </c>
      <c r="AD1005" s="776">
        <v>0</v>
      </c>
      <c r="AE1005" s="777">
        <v>46</v>
      </c>
      <c r="AF1005" s="777">
        <v>46</v>
      </c>
      <c r="AG1005" s="778">
        <v>48.300000000000004</v>
      </c>
    </row>
    <row r="1006" spans="1:33" x14ac:dyDescent="0.2">
      <c r="A1006" s="15">
        <f t="shared" si="127"/>
        <v>2007</v>
      </c>
      <c r="B1006" s="14">
        <f t="shared" si="128"/>
        <v>6</v>
      </c>
      <c r="C1006" s="13" t="str">
        <f t="shared" si="129"/>
        <v>Q2</v>
      </c>
      <c r="D1006" s="13" t="str">
        <f t="shared" si="130"/>
        <v>2007Q2</v>
      </c>
      <c r="E1006" s="13" t="str">
        <f t="shared" si="131"/>
        <v>Brazil</v>
      </c>
      <c r="F1006" s="13" t="str">
        <f t="shared" si="134"/>
        <v>Biomass &amp; Waste</v>
      </c>
      <c r="G1006" s="13" t="str">
        <f t="shared" si="133"/>
        <v>Asset finance investments</v>
      </c>
      <c r="H1006" s="638">
        <f t="shared" si="132"/>
        <v>32.76</v>
      </c>
      <c r="I1006" s="24" t="s">
        <v>506</v>
      </c>
      <c r="J1006" s="25" t="s">
        <v>246</v>
      </c>
      <c r="K1006" s="25" t="s">
        <v>2912</v>
      </c>
      <c r="L1006" s="25" t="s">
        <v>2913</v>
      </c>
      <c r="M1006" s="25" t="s">
        <v>31</v>
      </c>
      <c r="N1006" s="25" t="s">
        <v>31</v>
      </c>
      <c r="O1006" s="25" t="s">
        <v>92</v>
      </c>
      <c r="P1006" s="25" t="s">
        <v>83</v>
      </c>
      <c r="Q1006" s="25" t="s">
        <v>82</v>
      </c>
      <c r="R1006" s="25" t="s">
        <v>91</v>
      </c>
      <c r="S1006" s="25" t="s">
        <v>114</v>
      </c>
      <c r="T1006" s="25" t="s">
        <v>114</v>
      </c>
      <c r="U1006" s="25" t="s">
        <v>113</v>
      </c>
      <c r="V1006" s="25" t="s">
        <v>347</v>
      </c>
      <c r="W1006" s="25" t="s">
        <v>553</v>
      </c>
      <c r="X1006" s="25" t="s">
        <v>1752</v>
      </c>
      <c r="Y1006" s="25" t="s">
        <v>1753</v>
      </c>
      <c r="Z1006" s="26">
        <v>39263</v>
      </c>
      <c r="AA1006" s="776">
        <v>40</v>
      </c>
      <c r="AB1006" s="776">
        <v>0</v>
      </c>
      <c r="AC1006" s="776">
        <v>0</v>
      </c>
      <c r="AD1006" s="776">
        <v>0</v>
      </c>
      <c r="AE1006" s="777">
        <v>31.2</v>
      </c>
      <c r="AF1006" s="777">
        <v>31.2</v>
      </c>
      <c r="AG1006" s="778">
        <v>32.76</v>
      </c>
    </row>
    <row r="1007" spans="1:33" x14ac:dyDescent="0.2">
      <c r="A1007" s="15">
        <f t="shared" si="127"/>
        <v>2007</v>
      </c>
      <c r="B1007" s="14">
        <f t="shared" si="128"/>
        <v>6</v>
      </c>
      <c r="C1007" s="13" t="str">
        <f t="shared" si="129"/>
        <v>Q2</v>
      </c>
      <c r="D1007" s="13" t="str">
        <f t="shared" si="130"/>
        <v>2007Q2</v>
      </c>
      <c r="E1007" s="13" t="str">
        <f t="shared" si="131"/>
        <v>Brazil</v>
      </c>
      <c r="F1007" s="13" t="str">
        <f t="shared" si="134"/>
        <v>Biomass &amp; Waste</v>
      </c>
      <c r="G1007" s="13" t="str">
        <f t="shared" si="133"/>
        <v>Asset finance investments</v>
      </c>
      <c r="H1007" s="638">
        <f t="shared" si="132"/>
        <v>31.5</v>
      </c>
      <c r="I1007" s="24" t="s">
        <v>506</v>
      </c>
      <c r="J1007" s="25" t="s">
        <v>246</v>
      </c>
      <c r="K1007" s="25" t="s">
        <v>2914</v>
      </c>
      <c r="L1007" s="25" t="s">
        <v>1094</v>
      </c>
      <c r="M1007" s="25" t="s">
        <v>31</v>
      </c>
      <c r="N1007" s="25" t="s">
        <v>31</v>
      </c>
      <c r="O1007" s="25" t="s">
        <v>92</v>
      </c>
      <c r="P1007" s="25" t="s">
        <v>83</v>
      </c>
      <c r="Q1007" s="25" t="s">
        <v>82</v>
      </c>
      <c r="R1007" s="25" t="s">
        <v>91</v>
      </c>
      <c r="S1007" s="25" t="s">
        <v>114</v>
      </c>
      <c r="T1007" s="25" t="s">
        <v>114</v>
      </c>
      <c r="U1007" s="25" t="s">
        <v>113</v>
      </c>
      <c r="V1007" s="25" t="s">
        <v>347</v>
      </c>
      <c r="W1007" s="25" t="s">
        <v>553</v>
      </c>
      <c r="X1007" s="25" t="s">
        <v>1752</v>
      </c>
      <c r="Y1007" s="25" t="s">
        <v>1753</v>
      </c>
      <c r="Z1007" s="26">
        <v>39263</v>
      </c>
      <c r="AA1007" s="776">
        <v>25</v>
      </c>
      <c r="AB1007" s="776">
        <v>0</v>
      </c>
      <c r="AC1007" s="776">
        <v>0</v>
      </c>
      <c r="AD1007" s="776">
        <v>0</v>
      </c>
      <c r="AE1007" s="777">
        <v>0</v>
      </c>
      <c r="AF1007" s="777">
        <v>30</v>
      </c>
      <c r="AG1007" s="778">
        <v>31.5</v>
      </c>
    </row>
    <row r="1008" spans="1:33" x14ac:dyDescent="0.2">
      <c r="A1008" s="15">
        <f t="shared" si="127"/>
        <v>2007</v>
      </c>
      <c r="B1008" s="14">
        <f t="shared" si="128"/>
        <v>6</v>
      </c>
      <c r="C1008" s="13" t="str">
        <f t="shared" si="129"/>
        <v>Q2</v>
      </c>
      <c r="D1008" s="13" t="str">
        <f t="shared" si="130"/>
        <v>2007Q2</v>
      </c>
      <c r="E1008" s="13" t="str">
        <f t="shared" si="131"/>
        <v>Brazil</v>
      </c>
      <c r="F1008" s="13" t="str">
        <f t="shared" si="134"/>
        <v>Small Hydro</v>
      </c>
      <c r="G1008" s="13" t="str">
        <f t="shared" si="133"/>
        <v>Asset finance investments</v>
      </c>
      <c r="H1008" s="638">
        <f t="shared" si="132"/>
        <v>30.450000000000003</v>
      </c>
      <c r="I1008" s="24" t="s">
        <v>506</v>
      </c>
      <c r="J1008" s="25" t="s">
        <v>246</v>
      </c>
      <c r="K1008" s="25" t="s">
        <v>2915</v>
      </c>
      <c r="L1008" s="25" t="s">
        <v>561</v>
      </c>
      <c r="M1008" s="25" t="s">
        <v>31</v>
      </c>
      <c r="N1008" s="25" t="s">
        <v>31</v>
      </c>
      <c r="O1008" s="25" t="s">
        <v>92</v>
      </c>
      <c r="P1008" s="25" t="s">
        <v>83</v>
      </c>
      <c r="Q1008" s="25" t="s">
        <v>82</v>
      </c>
      <c r="R1008" s="25" t="s">
        <v>91</v>
      </c>
      <c r="S1008" s="25" t="s">
        <v>126</v>
      </c>
      <c r="T1008" s="25" t="s">
        <v>125</v>
      </c>
      <c r="U1008" s="25" t="s">
        <v>247</v>
      </c>
      <c r="V1008" s="25">
        <v>0</v>
      </c>
      <c r="W1008" s="25" t="s">
        <v>553</v>
      </c>
      <c r="X1008" s="25" t="s">
        <v>1752</v>
      </c>
      <c r="Y1008" s="25" t="s">
        <v>1753</v>
      </c>
      <c r="Z1008" s="26">
        <v>39234</v>
      </c>
      <c r="AA1008" s="776">
        <v>11.6</v>
      </c>
      <c r="AB1008" s="776">
        <v>0</v>
      </c>
      <c r="AC1008" s="776">
        <v>0</v>
      </c>
      <c r="AD1008" s="776">
        <v>0</v>
      </c>
      <c r="AE1008" s="777">
        <v>0</v>
      </c>
      <c r="AF1008" s="777">
        <v>29</v>
      </c>
      <c r="AG1008" s="778">
        <v>30.450000000000003</v>
      </c>
    </row>
    <row r="1009" spans="1:33" x14ac:dyDescent="0.2">
      <c r="A1009" s="15">
        <f t="shared" si="127"/>
        <v>2007</v>
      </c>
      <c r="B1009" s="14">
        <f t="shared" si="128"/>
        <v>5</v>
      </c>
      <c r="C1009" s="13" t="str">
        <f t="shared" si="129"/>
        <v>Q2</v>
      </c>
      <c r="D1009" s="13" t="str">
        <f t="shared" si="130"/>
        <v>2007Q2</v>
      </c>
      <c r="E1009" s="13" t="str">
        <f t="shared" si="131"/>
        <v>Colombia</v>
      </c>
      <c r="F1009" s="13" t="str">
        <f t="shared" si="134"/>
        <v>Biofuels</v>
      </c>
      <c r="G1009" s="13" t="str">
        <f t="shared" si="133"/>
        <v>Asset finance investments</v>
      </c>
      <c r="H1009" s="638">
        <f t="shared" si="132"/>
        <v>25.577999999999999</v>
      </c>
      <c r="I1009" s="24" t="s">
        <v>506</v>
      </c>
      <c r="J1009" s="25" t="s">
        <v>246</v>
      </c>
      <c r="K1009" s="25" t="s">
        <v>2916</v>
      </c>
      <c r="L1009" s="25" t="s">
        <v>1149</v>
      </c>
      <c r="M1009" s="25" t="s">
        <v>9</v>
      </c>
      <c r="N1009" s="25" t="s">
        <v>85</v>
      </c>
      <c r="O1009" s="25" t="s">
        <v>92</v>
      </c>
      <c r="P1009" s="25" t="s">
        <v>83</v>
      </c>
      <c r="Q1009" s="25" t="s">
        <v>82</v>
      </c>
      <c r="R1009" s="25"/>
      <c r="S1009" s="25" t="s">
        <v>96</v>
      </c>
      <c r="T1009" s="25" t="s">
        <v>96</v>
      </c>
      <c r="U1009" s="25" t="s">
        <v>95</v>
      </c>
      <c r="V1009" s="25">
        <v>0</v>
      </c>
      <c r="W1009" s="25" t="s">
        <v>553</v>
      </c>
      <c r="X1009" s="25" t="s">
        <v>1752</v>
      </c>
      <c r="Y1009" s="25" t="s">
        <v>1753</v>
      </c>
      <c r="Z1009" s="26">
        <v>39233.445833333302</v>
      </c>
      <c r="AA1009" s="776">
        <v>0</v>
      </c>
      <c r="AB1009" s="776">
        <v>58</v>
      </c>
      <c r="AC1009" s="776">
        <v>0</v>
      </c>
      <c r="AD1009" s="776">
        <v>0</v>
      </c>
      <c r="AE1009" s="777">
        <v>0</v>
      </c>
      <c r="AF1009" s="777">
        <v>24.36</v>
      </c>
      <c r="AG1009" s="778">
        <v>25.577999999999999</v>
      </c>
    </row>
    <row r="1010" spans="1:33" x14ac:dyDescent="0.2">
      <c r="A1010" s="15">
        <f t="shared" si="127"/>
        <v>2007</v>
      </c>
      <c r="B1010" s="14">
        <f t="shared" si="128"/>
        <v>4</v>
      </c>
      <c r="C1010" s="13" t="str">
        <f t="shared" si="129"/>
        <v>Q2</v>
      </c>
      <c r="D1010" s="13" t="str">
        <f t="shared" si="130"/>
        <v>2007Q2</v>
      </c>
      <c r="E1010" s="13" t="str">
        <f t="shared" si="131"/>
        <v>Panama</v>
      </c>
      <c r="F1010" s="13" t="str">
        <f t="shared" si="134"/>
        <v>Small Hydro</v>
      </c>
      <c r="G1010" s="13" t="str">
        <f t="shared" si="133"/>
        <v>Asset finance investments</v>
      </c>
      <c r="H1010" s="638">
        <f t="shared" si="132"/>
        <v>25.515000000000001</v>
      </c>
      <c r="I1010" s="24" t="s">
        <v>506</v>
      </c>
      <c r="J1010" s="25" t="s">
        <v>246</v>
      </c>
      <c r="K1010" s="25" t="s">
        <v>2917</v>
      </c>
      <c r="L1010" s="25" t="s">
        <v>875</v>
      </c>
      <c r="M1010" s="25" t="s">
        <v>19</v>
      </c>
      <c r="N1010" s="25" t="s">
        <v>85</v>
      </c>
      <c r="O1010" s="25" t="s">
        <v>92</v>
      </c>
      <c r="P1010" s="25" t="s">
        <v>83</v>
      </c>
      <c r="Q1010" s="25" t="s">
        <v>82</v>
      </c>
      <c r="R1010" s="25"/>
      <c r="S1010" s="25" t="s">
        <v>126</v>
      </c>
      <c r="T1010" s="25" t="s">
        <v>125</v>
      </c>
      <c r="U1010" s="25" t="s">
        <v>247</v>
      </c>
      <c r="V1010" s="25">
        <v>0</v>
      </c>
      <c r="W1010" s="25" t="s">
        <v>553</v>
      </c>
      <c r="X1010" s="25" t="s">
        <v>1752</v>
      </c>
      <c r="Y1010" s="25" t="s">
        <v>1753</v>
      </c>
      <c r="Z1010" s="26">
        <v>39198</v>
      </c>
      <c r="AA1010" s="776">
        <v>9.6999999999999993</v>
      </c>
      <c r="AB1010" s="776">
        <v>0</v>
      </c>
      <c r="AC1010" s="776">
        <v>0</v>
      </c>
      <c r="AD1010" s="776">
        <v>0</v>
      </c>
      <c r="AE1010" s="777">
        <v>0</v>
      </c>
      <c r="AF1010" s="777">
        <v>24.3</v>
      </c>
      <c r="AG1010" s="778">
        <v>25.515000000000001</v>
      </c>
    </row>
    <row r="1011" spans="1:33" x14ac:dyDescent="0.2">
      <c r="A1011" s="15">
        <f t="shared" si="127"/>
        <v>2007</v>
      </c>
      <c r="B1011" s="14">
        <f t="shared" si="128"/>
        <v>6</v>
      </c>
      <c r="C1011" s="13" t="str">
        <f t="shared" si="129"/>
        <v>Q2</v>
      </c>
      <c r="D1011" s="13" t="str">
        <f t="shared" si="130"/>
        <v>2007Q2</v>
      </c>
      <c r="E1011" s="13" t="str">
        <f t="shared" si="131"/>
        <v>Brazil</v>
      </c>
      <c r="F1011" s="13" t="str">
        <f t="shared" si="134"/>
        <v>Biofuels</v>
      </c>
      <c r="G1011" s="13" t="str">
        <f t="shared" si="133"/>
        <v>Asset finance investments</v>
      </c>
      <c r="H1011" s="638">
        <f t="shared" si="132"/>
        <v>24.990000000000002</v>
      </c>
      <c r="I1011" s="24" t="s">
        <v>506</v>
      </c>
      <c r="J1011" s="25" t="s">
        <v>246</v>
      </c>
      <c r="K1011" s="25" t="s">
        <v>2918</v>
      </c>
      <c r="L1011" s="25" t="s">
        <v>2919</v>
      </c>
      <c r="M1011" s="25" t="s">
        <v>31</v>
      </c>
      <c r="N1011" s="25" t="s">
        <v>31</v>
      </c>
      <c r="O1011" s="25" t="s">
        <v>92</v>
      </c>
      <c r="P1011" s="25" t="s">
        <v>83</v>
      </c>
      <c r="Q1011" s="25" t="s">
        <v>82</v>
      </c>
      <c r="R1011" s="25" t="s">
        <v>91</v>
      </c>
      <c r="S1011" s="25" t="s">
        <v>96</v>
      </c>
      <c r="T1011" s="25" t="s">
        <v>96</v>
      </c>
      <c r="U1011" s="25" t="s">
        <v>95</v>
      </c>
      <c r="V1011" s="25" t="s">
        <v>223</v>
      </c>
      <c r="W1011" s="25" t="s">
        <v>553</v>
      </c>
      <c r="X1011" s="25" t="s">
        <v>1749</v>
      </c>
      <c r="Y1011" s="25" t="s">
        <v>1750</v>
      </c>
      <c r="Z1011" s="26">
        <v>39251</v>
      </c>
      <c r="AA1011" s="776">
        <v>0</v>
      </c>
      <c r="AB1011" s="776">
        <v>36</v>
      </c>
      <c r="AC1011" s="776">
        <v>0</v>
      </c>
      <c r="AD1011" s="776">
        <v>0</v>
      </c>
      <c r="AE1011" s="777">
        <v>23.8</v>
      </c>
      <c r="AF1011" s="777">
        <v>23.8</v>
      </c>
      <c r="AG1011" s="778">
        <v>24.990000000000002</v>
      </c>
    </row>
    <row r="1012" spans="1:33" x14ac:dyDescent="0.2">
      <c r="A1012" s="15">
        <f t="shared" si="127"/>
        <v>2007</v>
      </c>
      <c r="B1012" s="14">
        <f t="shared" si="128"/>
        <v>4</v>
      </c>
      <c r="C1012" s="13" t="str">
        <f t="shared" si="129"/>
        <v>Q2</v>
      </c>
      <c r="D1012" s="13" t="str">
        <f t="shared" si="130"/>
        <v>2007Q2</v>
      </c>
      <c r="E1012" s="13" t="str">
        <f t="shared" si="131"/>
        <v>Brazil</v>
      </c>
      <c r="F1012" s="13" t="str">
        <f t="shared" si="134"/>
        <v>Biofuels</v>
      </c>
      <c r="G1012" s="13" t="str">
        <f t="shared" si="133"/>
        <v>Asset finance investments</v>
      </c>
      <c r="H1012" s="638">
        <f t="shared" si="132"/>
        <v>23.1</v>
      </c>
      <c r="I1012" s="24" t="s">
        <v>506</v>
      </c>
      <c r="J1012" s="25" t="s">
        <v>246</v>
      </c>
      <c r="K1012" s="25" t="s">
        <v>2920</v>
      </c>
      <c r="L1012" s="25" t="s">
        <v>1109</v>
      </c>
      <c r="M1012" s="25" t="s">
        <v>31</v>
      </c>
      <c r="N1012" s="25" t="s">
        <v>31</v>
      </c>
      <c r="O1012" s="25" t="s">
        <v>92</v>
      </c>
      <c r="P1012" s="25" t="s">
        <v>83</v>
      </c>
      <c r="Q1012" s="25" t="s">
        <v>82</v>
      </c>
      <c r="R1012" s="25" t="s">
        <v>91</v>
      </c>
      <c r="S1012" s="25" t="s">
        <v>96</v>
      </c>
      <c r="T1012" s="25" t="s">
        <v>96</v>
      </c>
      <c r="U1012" s="25" t="s">
        <v>95</v>
      </c>
      <c r="V1012" s="25" t="s">
        <v>223</v>
      </c>
      <c r="W1012" s="25" t="s">
        <v>553</v>
      </c>
      <c r="X1012" s="25" t="s">
        <v>1749</v>
      </c>
      <c r="Y1012" s="25" t="s">
        <v>1750</v>
      </c>
      <c r="Z1012" s="26">
        <v>39174</v>
      </c>
      <c r="AA1012" s="776">
        <v>0</v>
      </c>
      <c r="AB1012" s="776">
        <v>147.19999999999999</v>
      </c>
      <c r="AC1012" s="776">
        <v>0</v>
      </c>
      <c r="AD1012" s="776">
        <v>0</v>
      </c>
      <c r="AE1012" s="777">
        <v>22</v>
      </c>
      <c r="AF1012" s="777">
        <v>22</v>
      </c>
      <c r="AG1012" s="778">
        <v>23.1</v>
      </c>
    </row>
    <row r="1013" spans="1:33" x14ac:dyDescent="0.2">
      <c r="A1013" s="15">
        <f t="shared" si="127"/>
        <v>2007</v>
      </c>
      <c r="B1013" s="14">
        <f t="shared" si="128"/>
        <v>5</v>
      </c>
      <c r="C1013" s="13" t="str">
        <f t="shared" si="129"/>
        <v>Q2</v>
      </c>
      <c r="D1013" s="13" t="str">
        <f t="shared" si="130"/>
        <v>2007Q2</v>
      </c>
      <c r="E1013" s="13" t="str">
        <f t="shared" si="131"/>
        <v>Brazil</v>
      </c>
      <c r="F1013" s="13" t="str">
        <f t="shared" si="134"/>
        <v>Biomass &amp; Waste</v>
      </c>
      <c r="G1013" s="13" t="str">
        <f t="shared" si="133"/>
        <v>Asset finance investments</v>
      </c>
      <c r="H1013" s="638">
        <f t="shared" si="132"/>
        <v>21</v>
      </c>
      <c r="I1013" s="24" t="s">
        <v>506</v>
      </c>
      <c r="J1013" s="25" t="s">
        <v>246</v>
      </c>
      <c r="K1013" s="25" t="s">
        <v>2921</v>
      </c>
      <c r="L1013" s="25" t="s">
        <v>645</v>
      </c>
      <c r="M1013" s="25" t="s">
        <v>31</v>
      </c>
      <c r="N1013" s="25" t="s">
        <v>31</v>
      </c>
      <c r="O1013" s="25" t="s">
        <v>92</v>
      </c>
      <c r="P1013" s="25" t="s">
        <v>83</v>
      </c>
      <c r="Q1013" s="25" t="s">
        <v>82</v>
      </c>
      <c r="R1013" s="25" t="s">
        <v>91</v>
      </c>
      <c r="S1013" s="25" t="s">
        <v>114</v>
      </c>
      <c r="T1013" s="25" t="s">
        <v>114</v>
      </c>
      <c r="U1013" s="25" t="s">
        <v>113</v>
      </c>
      <c r="V1013" s="25">
        <v>0</v>
      </c>
      <c r="W1013" s="25" t="s">
        <v>553</v>
      </c>
      <c r="X1013" s="25" t="s">
        <v>1752</v>
      </c>
      <c r="Y1013" s="25" t="s">
        <v>1753</v>
      </c>
      <c r="Z1013" s="26">
        <v>39226</v>
      </c>
      <c r="AA1013" s="776">
        <v>0</v>
      </c>
      <c r="AB1013" s="776">
        <v>0</v>
      </c>
      <c r="AC1013" s="776">
        <v>0</v>
      </c>
      <c r="AD1013" s="776">
        <v>0</v>
      </c>
      <c r="AE1013" s="777">
        <v>0</v>
      </c>
      <c r="AF1013" s="777">
        <v>20</v>
      </c>
      <c r="AG1013" s="778">
        <v>21</v>
      </c>
    </row>
    <row r="1014" spans="1:33" x14ac:dyDescent="0.2">
      <c r="A1014" s="15">
        <f t="shared" si="127"/>
        <v>2007</v>
      </c>
      <c r="B1014" s="14">
        <f t="shared" si="128"/>
        <v>6</v>
      </c>
      <c r="C1014" s="13" t="str">
        <f t="shared" si="129"/>
        <v>Q2</v>
      </c>
      <c r="D1014" s="13" t="str">
        <f t="shared" si="130"/>
        <v>2007Q2</v>
      </c>
      <c r="E1014" s="13" t="str">
        <f t="shared" si="131"/>
        <v>Chile</v>
      </c>
      <c r="F1014" s="13" t="str">
        <f t="shared" si="134"/>
        <v>Wind</v>
      </c>
      <c r="G1014" s="13" t="str">
        <f t="shared" si="133"/>
        <v>Asset finance investments</v>
      </c>
      <c r="H1014" s="638">
        <f t="shared" si="132"/>
        <v>15.435</v>
      </c>
      <c r="I1014" s="24" t="s">
        <v>506</v>
      </c>
      <c r="J1014" s="25" t="s">
        <v>246</v>
      </c>
      <c r="K1014" s="25" t="s">
        <v>2922</v>
      </c>
      <c r="L1014" s="25" t="s">
        <v>956</v>
      </c>
      <c r="M1014" s="25" t="s">
        <v>8</v>
      </c>
      <c r="N1014" s="25" t="s">
        <v>85</v>
      </c>
      <c r="O1014" s="25" t="s">
        <v>92</v>
      </c>
      <c r="P1014" s="25" t="s">
        <v>83</v>
      </c>
      <c r="Q1014" s="25" t="s">
        <v>129</v>
      </c>
      <c r="R1014" s="25"/>
      <c r="S1014" s="25" t="s">
        <v>101</v>
      </c>
      <c r="T1014" s="25" t="s">
        <v>101</v>
      </c>
      <c r="U1014" s="25" t="s">
        <v>112</v>
      </c>
      <c r="V1014" s="25">
        <v>0</v>
      </c>
      <c r="W1014" s="25" t="s">
        <v>553</v>
      </c>
      <c r="X1014" s="25" t="s">
        <v>1752</v>
      </c>
      <c r="Y1014" s="25" t="s">
        <v>1753</v>
      </c>
      <c r="Z1014" s="26">
        <v>39253</v>
      </c>
      <c r="AA1014" s="776">
        <v>10</v>
      </c>
      <c r="AB1014" s="776">
        <v>0</v>
      </c>
      <c r="AC1014" s="776">
        <v>0</v>
      </c>
      <c r="AD1014" s="776">
        <v>0</v>
      </c>
      <c r="AE1014" s="777">
        <v>0</v>
      </c>
      <c r="AF1014" s="777">
        <v>14.7</v>
      </c>
      <c r="AG1014" s="778">
        <v>15.435</v>
      </c>
    </row>
    <row r="1015" spans="1:33" x14ac:dyDescent="0.2">
      <c r="A1015" s="15">
        <f t="shared" si="127"/>
        <v>2007</v>
      </c>
      <c r="B1015" s="14">
        <f t="shared" si="128"/>
        <v>4</v>
      </c>
      <c r="C1015" s="13" t="str">
        <f t="shared" si="129"/>
        <v>Q2</v>
      </c>
      <c r="D1015" s="13" t="str">
        <f t="shared" si="130"/>
        <v>2007Q2</v>
      </c>
      <c r="E1015" s="13" t="str">
        <f t="shared" si="131"/>
        <v>Brazil</v>
      </c>
      <c r="F1015" s="13" t="str">
        <f t="shared" si="134"/>
        <v>Biomass &amp; Waste</v>
      </c>
      <c r="G1015" s="13" t="str">
        <f t="shared" si="133"/>
        <v>Asset finance investments</v>
      </c>
      <c r="H1015" s="638">
        <f t="shared" si="132"/>
        <v>12.600000000000001</v>
      </c>
      <c r="I1015" s="24" t="s">
        <v>506</v>
      </c>
      <c r="J1015" s="25" t="s">
        <v>246</v>
      </c>
      <c r="K1015" s="25" t="s">
        <v>2923</v>
      </c>
      <c r="L1015" s="25" t="s">
        <v>569</v>
      </c>
      <c r="M1015" s="25" t="s">
        <v>31</v>
      </c>
      <c r="N1015" s="25" t="s">
        <v>31</v>
      </c>
      <c r="O1015" s="25" t="s">
        <v>92</v>
      </c>
      <c r="P1015" s="25" t="s">
        <v>83</v>
      </c>
      <c r="Q1015" s="25" t="s">
        <v>82</v>
      </c>
      <c r="R1015" s="25" t="s">
        <v>91</v>
      </c>
      <c r="S1015" s="25" t="s">
        <v>114</v>
      </c>
      <c r="T1015" s="25" t="s">
        <v>114</v>
      </c>
      <c r="U1015" s="25" t="s">
        <v>554</v>
      </c>
      <c r="V1015" s="25">
        <v>0</v>
      </c>
      <c r="W1015" s="25" t="s">
        <v>553</v>
      </c>
      <c r="X1015" s="25" t="s">
        <v>1752</v>
      </c>
      <c r="Y1015" s="25" t="s">
        <v>1753</v>
      </c>
      <c r="Z1015" s="26">
        <v>39173</v>
      </c>
      <c r="AA1015" s="776">
        <v>12.8</v>
      </c>
      <c r="AB1015" s="776">
        <v>0</v>
      </c>
      <c r="AC1015" s="776">
        <v>0</v>
      </c>
      <c r="AD1015" s="776">
        <v>0</v>
      </c>
      <c r="AE1015" s="777">
        <v>0</v>
      </c>
      <c r="AF1015" s="777">
        <v>12</v>
      </c>
      <c r="AG1015" s="778">
        <v>12.600000000000001</v>
      </c>
    </row>
    <row r="1016" spans="1:33" x14ac:dyDescent="0.2">
      <c r="A1016" s="15">
        <f t="shared" si="127"/>
        <v>2007</v>
      </c>
      <c r="B1016" s="14">
        <f t="shared" si="128"/>
        <v>4</v>
      </c>
      <c r="C1016" s="13" t="str">
        <f t="shared" si="129"/>
        <v>Q2</v>
      </c>
      <c r="D1016" s="13" t="str">
        <f t="shared" si="130"/>
        <v>2007Q2</v>
      </c>
      <c r="E1016" s="13" t="str">
        <f t="shared" si="131"/>
        <v>Honduras</v>
      </c>
      <c r="F1016" s="13" t="str">
        <f t="shared" si="134"/>
        <v>Biomass &amp; Waste</v>
      </c>
      <c r="G1016" s="13" t="str">
        <f t="shared" si="133"/>
        <v>Asset finance investments</v>
      </c>
      <c r="H1016" s="638">
        <f t="shared" si="132"/>
        <v>12.547499999999999</v>
      </c>
      <c r="I1016" s="24" t="s">
        <v>506</v>
      </c>
      <c r="J1016" s="25" t="s">
        <v>246</v>
      </c>
      <c r="K1016" s="25" t="s">
        <v>2924</v>
      </c>
      <c r="L1016" s="25" t="s">
        <v>663</v>
      </c>
      <c r="M1016" s="25" t="s">
        <v>16</v>
      </c>
      <c r="N1016" s="25" t="s">
        <v>85</v>
      </c>
      <c r="O1016" s="25" t="s">
        <v>92</v>
      </c>
      <c r="P1016" s="25" t="s">
        <v>83</v>
      </c>
      <c r="Q1016" s="25" t="s">
        <v>82</v>
      </c>
      <c r="R1016" s="25"/>
      <c r="S1016" s="25" t="s">
        <v>114</v>
      </c>
      <c r="T1016" s="25" t="s">
        <v>114</v>
      </c>
      <c r="U1016" s="25" t="s">
        <v>113</v>
      </c>
      <c r="V1016" s="25">
        <v>0</v>
      </c>
      <c r="W1016" s="25" t="s">
        <v>553</v>
      </c>
      <c r="X1016" s="25" t="s">
        <v>1752</v>
      </c>
      <c r="Y1016" s="25" t="s">
        <v>1753</v>
      </c>
      <c r="Z1016" s="26">
        <v>39174</v>
      </c>
      <c r="AA1016" s="776">
        <v>6.9</v>
      </c>
      <c r="AB1016" s="776">
        <v>0</v>
      </c>
      <c r="AC1016" s="776">
        <v>0</v>
      </c>
      <c r="AD1016" s="776">
        <v>0</v>
      </c>
      <c r="AE1016" s="777">
        <v>11.95</v>
      </c>
      <c r="AF1016" s="777">
        <v>11.95</v>
      </c>
      <c r="AG1016" s="778">
        <v>12.547499999999999</v>
      </c>
    </row>
    <row r="1017" spans="1:33" x14ac:dyDescent="0.2">
      <c r="A1017" s="15">
        <f t="shared" si="127"/>
        <v>2007</v>
      </c>
      <c r="B1017" s="14">
        <f t="shared" si="128"/>
        <v>5</v>
      </c>
      <c r="C1017" s="13" t="str">
        <f t="shared" si="129"/>
        <v>Q2</v>
      </c>
      <c r="D1017" s="13" t="str">
        <f t="shared" si="130"/>
        <v>2007Q2</v>
      </c>
      <c r="E1017" s="13" t="str">
        <f t="shared" si="131"/>
        <v>Brazil</v>
      </c>
      <c r="F1017" s="13" t="str">
        <f t="shared" si="134"/>
        <v>Biofuels</v>
      </c>
      <c r="G1017" s="13" t="str">
        <f t="shared" si="133"/>
        <v>Asset finance investments</v>
      </c>
      <c r="H1017" s="638">
        <f t="shared" si="132"/>
        <v>11.686499999999999</v>
      </c>
      <c r="I1017" s="24" t="s">
        <v>506</v>
      </c>
      <c r="J1017" s="25" t="s">
        <v>246</v>
      </c>
      <c r="K1017" s="25" t="s">
        <v>2925</v>
      </c>
      <c r="L1017" s="25" t="s">
        <v>2926</v>
      </c>
      <c r="M1017" s="25" t="s">
        <v>31</v>
      </c>
      <c r="N1017" s="25" t="s">
        <v>31</v>
      </c>
      <c r="O1017" s="25" t="s">
        <v>92</v>
      </c>
      <c r="P1017" s="25" t="s">
        <v>83</v>
      </c>
      <c r="Q1017" s="25" t="s">
        <v>82</v>
      </c>
      <c r="R1017" s="25" t="s">
        <v>91</v>
      </c>
      <c r="S1017" s="25" t="s">
        <v>96</v>
      </c>
      <c r="T1017" s="25" t="s">
        <v>96</v>
      </c>
      <c r="U1017" s="25" t="s">
        <v>95</v>
      </c>
      <c r="V1017" s="25" t="s">
        <v>223</v>
      </c>
      <c r="W1017" s="25" t="s">
        <v>553</v>
      </c>
      <c r="X1017" s="25" t="s">
        <v>1752</v>
      </c>
      <c r="Y1017" s="25" t="s">
        <v>1753</v>
      </c>
      <c r="Z1017" s="26">
        <v>39203</v>
      </c>
      <c r="AA1017" s="776">
        <v>0</v>
      </c>
      <c r="AB1017" s="776">
        <v>26.5</v>
      </c>
      <c r="AC1017" s="776">
        <v>0</v>
      </c>
      <c r="AD1017" s="776">
        <v>0</v>
      </c>
      <c r="AE1017" s="777">
        <v>0</v>
      </c>
      <c r="AF1017" s="777">
        <v>11.129999999999999</v>
      </c>
      <c r="AG1017" s="778">
        <v>11.686499999999999</v>
      </c>
    </row>
    <row r="1018" spans="1:33" x14ac:dyDescent="0.2">
      <c r="A1018" s="15">
        <f t="shared" si="127"/>
        <v>2007</v>
      </c>
      <c r="B1018" s="14">
        <f t="shared" si="128"/>
        <v>4</v>
      </c>
      <c r="C1018" s="13" t="str">
        <f t="shared" si="129"/>
        <v>Q2</v>
      </c>
      <c r="D1018" s="13" t="str">
        <f t="shared" si="130"/>
        <v>2007Q2</v>
      </c>
      <c r="E1018" s="13" t="str">
        <f t="shared" si="131"/>
        <v>Brazil</v>
      </c>
      <c r="F1018" s="13" t="str">
        <f t="shared" si="134"/>
        <v>Biofuels</v>
      </c>
      <c r="G1018" s="13" t="str">
        <f t="shared" si="133"/>
        <v>Asset finance investments</v>
      </c>
      <c r="H1018" s="638">
        <f t="shared" si="132"/>
        <v>9.5256000000000007</v>
      </c>
      <c r="I1018" s="24" t="s">
        <v>506</v>
      </c>
      <c r="J1018" s="25" t="s">
        <v>246</v>
      </c>
      <c r="K1018" s="25" t="s">
        <v>2927</v>
      </c>
      <c r="L1018" s="25" t="s">
        <v>982</v>
      </c>
      <c r="M1018" s="25" t="s">
        <v>31</v>
      </c>
      <c r="N1018" s="25" t="s">
        <v>31</v>
      </c>
      <c r="O1018" s="25" t="s">
        <v>92</v>
      </c>
      <c r="P1018" s="25" t="s">
        <v>83</v>
      </c>
      <c r="Q1018" s="25" t="s">
        <v>82</v>
      </c>
      <c r="R1018" s="25" t="s">
        <v>91</v>
      </c>
      <c r="S1018" s="25" t="s">
        <v>96</v>
      </c>
      <c r="T1018" s="25" t="s">
        <v>96</v>
      </c>
      <c r="U1018" s="25" t="s">
        <v>95</v>
      </c>
      <c r="V1018" s="25" t="s">
        <v>223</v>
      </c>
      <c r="W1018" s="25" t="s">
        <v>553</v>
      </c>
      <c r="X1018" s="25" t="s">
        <v>1749</v>
      </c>
      <c r="Y1018" s="25" t="s">
        <v>1750</v>
      </c>
      <c r="Z1018" s="26">
        <v>39180</v>
      </c>
      <c r="AA1018" s="776">
        <v>0</v>
      </c>
      <c r="AB1018" s="776">
        <v>21.6</v>
      </c>
      <c r="AC1018" s="776">
        <v>0</v>
      </c>
      <c r="AD1018" s="776">
        <v>0</v>
      </c>
      <c r="AE1018" s="777">
        <v>0</v>
      </c>
      <c r="AF1018" s="777">
        <v>9.072000000000001</v>
      </c>
      <c r="AG1018" s="778">
        <v>9.5256000000000007</v>
      </c>
    </row>
    <row r="1019" spans="1:33" x14ac:dyDescent="0.2">
      <c r="A1019" s="15">
        <f t="shared" si="127"/>
        <v>2007</v>
      </c>
      <c r="B1019" s="14">
        <f t="shared" si="128"/>
        <v>5</v>
      </c>
      <c r="C1019" s="13" t="str">
        <f t="shared" si="129"/>
        <v>Q2</v>
      </c>
      <c r="D1019" s="13" t="str">
        <f t="shared" si="130"/>
        <v>2007Q2</v>
      </c>
      <c r="E1019" s="13" t="str">
        <f t="shared" si="131"/>
        <v>Chile</v>
      </c>
      <c r="F1019" s="13" t="str">
        <f t="shared" si="134"/>
        <v>Small Hydro</v>
      </c>
      <c r="G1019" s="13" t="str">
        <f t="shared" si="133"/>
        <v>Asset finance investments</v>
      </c>
      <c r="H1019" s="638">
        <f t="shared" si="132"/>
        <v>7.3500000000000005</v>
      </c>
      <c r="I1019" s="24" t="s">
        <v>506</v>
      </c>
      <c r="J1019" s="25" t="s">
        <v>246</v>
      </c>
      <c r="K1019" s="25" t="s">
        <v>2928</v>
      </c>
      <c r="L1019" s="25" t="s">
        <v>2929</v>
      </c>
      <c r="M1019" s="25" t="s">
        <v>8</v>
      </c>
      <c r="N1019" s="25" t="s">
        <v>85</v>
      </c>
      <c r="O1019" s="25" t="s">
        <v>92</v>
      </c>
      <c r="P1019" s="25" t="s">
        <v>83</v>
      </c>
      <c r="Q1019" s="25" t="s">
        <v>129</v>
      </c>
      <c r="R1019" s="25"/>
      <c r="S1019" s="25" t="s">
        <v>126</v>
      </c>
      <c r="T1019" s="25" t="s">
        <v>125</v>
      </c>
      <c r="U1019" s="25" t="s">
        <v>247</v>
      </c>
      <c r="V1019" s="25">
        <v>0</v>
      </c>
      <c r="W1019" s="25" t="s">
        <v>553</v>
      </c>
      <c r="X1019" s="25" t="s">
        <v>1749</v>
      </c>
      <c r="Y1019" s="25" t="s">
        <v>1750</v>
      </c>
      <c r="Z1019" s="26">
        <v>39208</v>
      </c>
      <c r="AA1019" s="776">
        <v>5.8</v>
      </c>
      <c r="AB1019" s="776">
        <v>0</v>
      </c>
      <c r="AC1019" s="776">
        <v>0</v>
      </c>
      <c r="AD1019" s="776">
        <v>0</v>
      </c>
      <c r="AE1019" s="777">
        <v>7</v>
      </c>
      <c r="AF1019" s="777">
        <v>7</v>
      </c>
      <c r="AG1019" s="778">
        <v>7.3500000000000005</v>
      </c>
    </row>
    <row r="1020" spans="1:33" x14ac:dyDescent="0.2">
      <c r="A1020" s="15">
        <f t="shared" si="127"/>
        <v>2007</v>
      </c>
      <c r="B1020" s="14">
        <f t="shared" si="128"/>
        <v>4</v>
      </c>
      <c r="C1020" s="13" t="str">
        <f t="shared" si="129"/>
        <v>Q2</v>
      </c>
      <c r="D1020" s="13" t="str">
        <f t="shared" si="130"/>
        <v>2007Q2</v>
      </c>
      <c r="E1020" s="13" t="str">
        <f t="shared" si="131"/>
        <v>Brazil</v>
      </c>
      <c r="F1020" s="13" t="str">
        <f t="shared" si="134"/>
        <v>Biofuels</v>
      </c>
      <c r="G1020" s="13" t="str">
        <f t="shared" si="133"/>
        <v>Asset finance investments</v>
      </c>
      <c r="H1020" s="638">
        <f t="shared" si="132"/>
        <v>7.3206000000000007</v>
      </c>
      <c r="I1020" s="24" t="s">
        <v>506</v>
      </c>
      <c r="J1020" s="25" t="s">
        <v>246</v>
      </c>
      <c r="K1020" s="25" t="s">
        <v>2930</v>
      </c>
      <c r="L1020" s="25" t="s">
        <v>2931</v>
      </c>
      <c r="M1020" s="25" t="s">
        <v>31</v>
      </c>
      <c r="N1020" s="25" t="s">
        <v>31</v>
      </c>
      <c r="O1020" s="25" t="s">
        <v>92</v>
      </c>
      <c r="P1020" s="25" t="s">
        <v>83</v>
      </c>
      <c r="Q1020" s="25" t="s">
        <v>82</v>
      </c>
      <c r="R1020" s="25" t="s">
        <v>91</v>
      </c>
      <c r="S1020" s="25" t="s">
        <v>96</v>
      </c>
      <c r="T1020" s="25" t="s">
        <v>96</v>
      </c>
      <c r="U1020" s="25" t="s">
        <v>95</v>
      </c>
      <c r="V1020" s="25" t="s">
        <v>223</v>
      </c>
      <c r="W1020" s="25" t="s">
        <v>553</v>
      </c>
      <c r="X1020" s="25" t="s">
        <v>1752</v>
      </c>
      <c r="Y1020" s="25" t="s">
        <v>1753</v>
      </c>
      <c r="Z1020" s="26">
        <v>39185</v>
      </c>
      <c r="AA1020" s="776">
        <v>0</v>
      </c>
      <c r="AB1020" s="776">
        <v>16.600000000000001</v>
      </c>
      <c r="AC1020" s="776">
        <v>0</v>
      </c>
      <c r="AD1020" s="776">
        <v>0</v>
      </c>
      <c r="AE1020" s="777">
        <v>0</v>
      </c>
      <c r="AF1020" s="777">
        <v>6.9720000000000004</v>
      </c>
      <c r="AG1020" s="778">
        <v>7.3206000000000007</v>
      </c>
    </row>
    <row r="1021" spans="1:33" x14ac:dyDescent="0.2">
      <c r="A1021" s="15">
        <f t="shared" si="127"/>
        <v>2007</v>
      </c>
      <c r="B1021" s="14">
        <f t="shared" si="128"/>
        <v>4</v>
      </c>
      <c r="C1021" s="13" t="str">
        <f t="shared" si="129"/>
        <v>Q2</v>
      </c>
      <c r="D1021" s="13" t="str">
        <f t="shared" si="130"/>
        <v>2007Q2</v>
      </c>
      <c r="E1021" s="13" t="str">
        <f t="shared" si="131"/>
        <v>Brazil</v>
      </c>
      <c r="F1021" s="13" t="str">
        <f t="shared" si="134"/>
        <v>Biofuels</v>
      </c>
      <c r="G1021" s="13" t="str">
        <f t="shared" si="133"/>
        <v>Asset finance investments</v>
      </c>
      <c r="H1021" s="638">
        <f t="shared" si="132"/>
        <v>4.7628000000000004</v>
      </c>
      <c r="I1021" s="24" t="s">
        <v>506</v>
      </c>
      <c r="J1021" s="25" t="s">
        <v>246</v>
      </c>
      <c r="K1021" s="25" t="s">
        <v>2932</v>
      </c>
      <c r="L1021" s="25" t="s">
        <v>2933</v>
      </c>
      <c r="M1021" s="25" t="s">
        <v>31</v>
      </c>
      <c r="N1021" s="25" t="s">
        <v>31</v>
      </c>
      <c r="O1021" s="25" t="s">
        <v>92</v>
      </c>
      <c r="P1021" s="25" t="s">
        <v>83</v>
      </c>
      <c r="Q1021" s="25" t="s">
        <v>82</v>
      </c>
      <c r="R1021" s="25" t="s">
        <v>91</v>
      </c>
      <c r="S1021" s="25" t="s">
        <v>96</v>
      </c>
      <c r="T1021" s="25" t="s">
        <v>96</v>
      </c>
      <c r="U1021" s="25" t="s">
        <v>95</v>
      </c>
      <c r="V1021" s="25" t="s">
        <v>223</v>
      </c>
      <c r="W1021" s="25" t="s">
        <v>553</v>
      </c>
      <c r="X1021" s="25" t="s">
        <v>1752</v>
      </c>
      <c r="Y1021" s="25" t="s">
        <v>1753</v>
      </c>
      <c r="Z1021" s="26">
        <v>39202</v>
      </c>
      <c r="AA1021" s="776">
        <v>0</v>
      </c>
      <c r="AB1021" s="776">
        <v>10.8</v>
      </c>
      <c r="AC1021" s="776">
        <v>0</v>
      </c>
      <c r="AD1021" s="776">
        <v>0</v>
      </c>
      <c r="AE1021" s="777">
        <v>0</v>
      </c>
      <c r="AF1021" s="777">
        <v>4.5360000000000005</v>
      </c>
      <c r="AG1021" s="778">
        <v>4.7628000000000004</v>
      </c>
    </row>
    <row r="1022" spans="1:33" x14ac:dyDescent="0.2">
      <c r="A1022" s="15">
        <f t="shared" si="127"/>
        <v>2007</v>
      </c>
      <c r="B1022" s="14">
        <f t="shared" si="128"/>
        <v>5</v>
      </c>
      <c r="C1022" s="13" t="str">
        <f t="shared" si="129"/>
        <v>Q2</v>
      </c>
      <c r="D1022" s="13" t="str">
        <f t="shared" si="130"/>
        <v>2007Q2</v>
      </c>
      <c r="E1022" s="13" t="str">
        <f t="shared" si="131"/>
        <v>Brazil</v>
      </c>
      <c r="F1022" s="13" t="str">
        <f t="shared" si="134"/>
        <v>Biofuels</v>
      </c>
      <c r="G1022" s="13" t="str">
        <f t="shared" si="133"/>
        <v>Asset finance investments</v>
      </c>
      <c r="H1022" s="638">
        <f t="shared" si="132"/>
        <v>4.7628000000000004</v>
      </c>
      <c r="I1022" s="24" t="s">
        <v>506</v>
      </c>
      <c r="J1022" s="25" t="s">
        <v>246</v>
      </c>
      <c r="K1022" s="25" t="s">
        <v>2934</v>
      </c>
      <c r="L1022" s="25" t="s">
        <v>2935</v>
      </c>
      <c r="M1022" s="25" t="s">
        <v>31</v>
      </c>
      <c r="N1022" s="25" t="s">
        <v>31</v>
      </c>
      <c r="O1022" s="25" t="s">
        <v>92</v>
      </c>
      <c r="P1022" s="25" t="s">
        <v>83</v>
      </c>
      <c r="Q1022" s="25" t="s">
        <v>82</v>
      </c>
      <c r="R1022" s="25" t="s">
        <v>91</v>
      </c>
      <c r="S1022" s="25" t="s">
        <v>96</v>
      </c>
      <c r="T1022" s="25" t="s">
        <v>96</v>
      </c>
      <c r="U1022" s="25" t="s">
        <v>95</v>
      </c>
      <c r="V1022" s="25" t="s">
        <v>223</v>
      </c>
      <c r="W1022" s="25" t="s">
        <v>553</v>
      </c>
      <c r="X1022" s="25" t="s">
        <v>1752</v>
      </c>
      <c r="Y1022" s="25" t="s">
        <v>1753</v>
      </c>
      <c r="Z1022" s="26">
        <v>39216</v>
      </c>
      <c r="AA1022" s="776">
        <v>0</v>
      </c>
      <c r="AB1022" s="776">
        <v>10.8</v>
      </c>
      <c r="AC1022" s="776">
        <v>0</v>
      </c>
      <c r="AD1022" s="776">
        <v>0</v>
      </c>
      <c r="AE1022" s="777">
        <v>0</v>
      </c>
      <c r="AF1022" s="777">
        <v>4.5360000000000005</v>
      </c>
      <c r="AG1022" s="778">
        <v>4.7628000000000004</v>
      </c>
    </row>
    <row r="1023" spans="1:33" x14ac:dyDescent="0.2">
      <c r="A1023" s="15">
        <f t="shared" si="127"/>
        <v>2007</v>
      </c>
      <c r="B1023" s="14">
        <f t="shared" si="128"/>
        <v>5</v>
      </c>
      <c r="C1023" s="13" t="str">
        <f t="shared" si="129"/>
        <v>Q2</v>
      </c>
      <c r="D1023" s="13" t="str">
        <f t="shared" si="130"/>
        <v>2007Q2</v>
      </c>
      <c r="E1023" s="13" t="str">
        <f t="shared" si="131"/>
        <v>Peru</v>
      </c>
      <c r="F1023" s="13" t="str">
        <f t="shared" si="134"/>
        <v>Biofuels</v>
      </c>
      <c r="G1023" s="13" t="str">
        <f t="shared" si="133"/>
        <v>Asset finance investments</v>
      </c>
      <c r="H1023" s="638">
        <f t="shared" si="132"/>
        <v>4.1894999999999998</v>
      </c>
      <c r="I1023" s="24" t="s">
        <v>506</v>
      </c>
      <c r="J1023" s="25" t="s">
        <v>246</v>
      </c>
      <c r="K1023" s="25" t="s">
        <v>2936</v>
      </c>
      <c r="L1023" s="25" t="s">
        <v>1101</v>
      </c>
      <c r="M1023" s="25" t="s">
        <v>20</v>
      </c>
      <c r="N1023" s="25" t="s">
        <v>85</v>
      </c>
      <c r="O1023" s="25" t="s">
        <v>92</v>
      </c>
      <c r="P1023" s="25" t="s">
        <v>83</v>
      </c>
      <c r="Q1023" s="25" t="s">
        <v>82</v>
      </c>
      <c r="R1023" s="25"/>
      <c r="S1023" s="25" t="s">
        <v>96</v>
      </c>
      <c r="T1023" s="25" t="s">
        <v>96</v>
      </c>
      <c r="U1023" s="25" t="s">
        <v>95</v>
      </c>
      <c r="V1023" s="25" t="s">
        <v>223</v>
      </c>
      <c r="W1023" s="25" t="s">
        <v>553</v>
      </c>
      <c r="X1023" s="25" t="s">
        <v>1752</v>
      </c>
      <c r="Y1023" s="25" t="s">
        <v>1753</v>
      </c>
      <c r="Z1023" s="26">
        <v>39203</v>
      </c>
      <c r="AA1023" s="776">
        <v>0</v>
      </c>
      <c r="AB1023" s="776">
        <v>9.5</v>
      </c>
      <c r="AC1023" s="776">
        <v>0</v>
      </c>
      <c r="AD1023" s="776">
        <v>0</v>
      </c>
      <c r="AE1023" s="777">
        <v>0</v>
      </c>
      <c r="AF1023" s="777">
        <v>3.9899999999999998</v>
      </c>
      <c r="AG1023" s="778">
        <v>4.1894999999999998</v>
      </c>
    </row>
    <row r="1024" spans="1:33" x14ac:dyDescent="0.2">
      <c r="A1024" s="15">
        <f t="shared" si="127"/>
        <v>2007</v>
      </c>
      <c r="B1024" s="14">
        <f t="shared" si="128"/>
        <v>5</v>
      </c>
      <c r="C1024" s="13" t="str">
        <f t="shared" si="129"/>
        <v>Q2</v>
      </c>
      <c r="D1024" s="13" t="str">
        <f t="shared" si="130"/>
        <v>2007Q2</v>
      </c>
      <c r="E1024" s="13" t="str">
        <f t="shared" si="131"/>
        <v>Brazil</v>
      </c>
      <c r="F1024" s="13" t="str">
        <f t="shared" si="134"/>
        <v>Biomass &amp; Waste</v>
      </c>
      <c r="G1024" s="13" t="str">
        <f t="shared" si="133"/>
        <v>Asset finance investments</v>
      </c>
      <c r="H1024" s="638">
        <f t="shared" si="132"/>
        <v>0.21000000000000002</v>
      </c>
      <c r="I1024" s="24" t="s">
        <v>506</v>
      </c>
      <c r="J1024" s="25" t="s">
        <v>246</v>
      </c>
      <c r="K1024" s="25" t="s">
        <v>2937</v>
      </c>
      <c r="L1024" s="25" t="s">
        <v>596</v>
      </c>
      <c r="M1024" s="25" t="s">
        <v>31</v>
      </c>
      <c r="N1024" s="25" t="s">
        <v>31</v>
      </c>
      <c r="O1024" s="25" t="s">
        <v>92</v>
      </c>
      <c r="P1024" s="25" t="s">
        <v>83</v>
      </c>
      <c r="Q1024" s="25" t="s">
        <v>82</v>
      </c>
      <c r="R1024" s="25" t="s">
        <v>91</v>
      </c>
      <c r="S1024" s="25" t="s">
        <v>114</v>
      </c>
      <c r="T1024" s="25" t="s">
        <v>114</v>
      </c>
      <c r="U1024" s="25" t="s">
        <v>554</v>
      </c>
      <c r="V1024" s="25">
        <v>0</v>
      </c>
      <c r="W1024" s="25" t="s">
        <v>553</v>
      </c>
      <c r="X1024" s="25" t="s">
        <v>1752</v>
      </c>
      <c r="Y1024" s="25" t="s">
        <v>1753</v>
      </c>
      <c r="Z1024" s="26">
        <v>39233</v>
      </c>
      <c r="AA1024" s="776">
        <v>22.5</v>
      </c>
      <c r="AB1024" s="776">
        <v>0</v>
      </c>
      <c r="AC1024" s="776">
        <v>0</v>
      </c>
      <c r="AD1024" s="776">
        <v>0</v>
      </c>
      <c r="AE1024" s="777">
        <v>0</v>
      </c>
      <c r="AF1024" s="777">
        <v>0.2</v>
      </c>
      <c r="AG1024" s="778">
        <v>0.21000000000000002</v>
      </c>
    </row>
    <row r="1025" spans="1:33" x14ac:dyDescent="0.2">
      <c r="A1025" s="15">
        <f t="shared" si="127"/>
        <v>2006</v>
      </c>
      <c r="B1025" s="14">
        <f t="shared" si="128"/>
        <v>5</v>
      </c>
      <c r="C1025" s="13" t="str">
        <f t="shared" si="129"/>
        <v>Q2</v>
      </c>
      <c r="D1025" s="13" t="str">
        <f t="shared" si="130"/>
        <v>2006Q2</v>
      </c>
      <c r="E1025" s="13" t="str">
        <f t="shared" si="131"/>
        <v>Brazil</v>
      </c>
      <c r="F1025" s="13" t="str">
        <f t="shared" si="134"/>
        <v>Biofuels</v>
      </c>
      <c r="G1025" s="13" t="str">
        <f t="shared" si="133"/>
        <v>Asset finance investments</v>
      </c>
      <c r="H1025" s="638">
        <f t="shared" si="132"/>
        <v>144.64459978133419</v>
      </c>
      <c r="I1025" s="24" t="s">
        <v>506</v>
      </c>
      <c r="J1025" s="25" t="s">
        <v>246</v>
      </c>
      <c r="K1025" s="25" t="s">
        <v>2938</v>
      </c>
      <c r="L1025" s="25" t="s">
        <v>824</v>
      </c>
      <c r="M1025" s="25" t="s">
        <v>31</v>
      </c>
      <c r="N1025" s="25" t="s">
        <v>31</v>
      </c>
      <c r="O1025" s="25" t="s">
        <v>92</v>
      </c>
      <c r="P1025" s="25" t="s">
        <v>83</v>
      </c>
      <c r="Q1025" s="25" t="s">
        <v>82</v>
      </c>
      <c r="R1025" s="25" t="s">
        <v>91</v>
      </c>
      <c r="S1025" s="25" t="s">
        <v>96</v>
      </c>
      <c r="T1025" s="25" t="s">
        <v>96</v>
      </c>
      <c r="U1025" s="25" t="s">
        <v>98</v>
      </c>
      <c r="V1025" s="25" t="s">
        <v>230</v>
      </c>
      <c r="W1025" s="25" t="s">
        <v>553</v>
      </c>
      <c r="X1025" s="25" t="s">
        <v>1752</v>
      </c>
      <c r="Y1025" s="25" t="s">
        <v>1753</v>
      </c>
      <c r="Z1025" s="26">
        <v>38868</v>
      </c>
      <c r="AA1025" s="776">
        <v>70</v>
      </c>
      <c r="AB1025" s="776">
        <v>125</v>
      </c>
      <c r="AC1025" s="776">
        <v>0</v>
      </c>
      <c r="AD1025" s="776">
        <v>0</v>
      </c>
      <c r="AE1025" s="777">
        <v>138.69999999999999</v>
      </c>
      <c r="AF1025" s="777">
        <v>138.69999999999999</v>
      </c>
      <c r="AG1025" s="778">
        <v>144.64459978133419</v>
      </c>
    </row>
    <row r="1026" spans="1:33" x14ac:dyDescent="0.2">
      <c r="A1026" s="15">
        <f t="shared" si="127"/>
        <v>2006</v>
      </c>
      <c r="B1026" s="14">
        <f t="shared" si="128"/>
        <v>5</v>
      </c>
      <c r="C1026" s="13" t="str">
        <f t="shared" si="129"/>
        <v>Q2</v>
      </c>
      <c r="D1026" s="13" t="str">
        <f t="shared" si="130"/>
        <v>2006Q2</v>
      </c>
      <c r="E1026" s="13" t="str">
        <f t="shared" si="131"/>
        <v>Brazil</v>
      </c>
      <c r="F1026" s="13" t="str">
        <f t="shared" si="134"/>
        <v>Biofuels</v>
      </c>
      <c r="G1026" s="13" t="str">
        <f t="shared" si="133"/>
        <v>Asset finance investments</v>
      </c>
      <c r="H1026" s="638">
        <f t="shared" si="132"/>
        <v>106.58023141782522</v>
      </c>
      <c r="I1026" s="24" t="s">
        <v>506</v>
      </c>
      <c r="J1026" s="25" t="s">
        <v>246</v>
      </c>
      <c r="K1026" s="25" t="s">
        <v>2939</v>
      </c>
      <c r="L1026" s="25" t="s">
        <v>2940</v>
      </c>
      <c r="M1026" s="25" t="s">
        <v>31</v>
      </c>
      <c r="N1026" s="25" t="s">
        <v>31</v>
      </c>
      <c r="O1026" s="25" t="s">
        <v>92</v>
      </c>
      <c r="P1026" s="25" t="s">
        <v>83</v>
      </c>
      <c r="Q1026" s="25" t="s">
        <v>82</v>
      </c>
      <c r="R1026" s="25" t="s">
        <v>91</v>
      </c>
      <c r="S1026" s="25" t="s">
        <v>96</v>
      </c>
      <c r="T1026" s="25" t="s">
        <v>96</v>
      </c>
      <c r="U1026" s="25" t="s">
        <v>98</v>
      </c>
      <c r="V1026" s="25" t="s">
        <v>230</v>
      </c>
      <c r="W1026" s="25" t="s">
        <v>553</v>
      </c>
      <c r="X1026" s="25" t="s">
        <v>1752</v>
      </c>
      <c r="Y1026" s="25" t="s">
        <v>1753</v>
      </c>
      <c r="Z1026" s="26">
        <v>38838</v>
      </c>
      <c r="AA1026" s="776">
        <v>0</v>
      </c>
      <c r="AB1026" s="776">
        <v>140</v>
      </c>
      <c r="AC1026" s="776">
        <v>0</v>
      </c>
      <c r="AD1026" s="776">
        <v>0</v>
      </c>
      <c r="AE1026" s="777">
        <v>0</v>
      </c>
      <c r="AF1026" s="777">
        <v>102.2</v>
      </c>
      <c r="AG1026" s="778">
        <v>106.58023141782522</v>
      </c>
    </row>
    <row r="1027" spans="1:33" x14ac:dyDescent="0.2">
      <c r="A1027" s="15">
        <f t="shared" si="127"/>
        <v>2006</v>
      </c>
      <c r="B1027" s="14">
        <f t="shared" si="128"/>
        <v>5</v>
      </c>
      <c r="C1027" s="13" t="str">
        <f t="shared" si="129"/>
        <v>Q2</v>
      </c>
      <c r="D1027" s="13" t="str">
        <f t="shared" si="130"/>
        <v>2006Q2</v>
      </c>
      <c r="E1027" s="13" t="str">
        <f t="shared" si="131"/>
        <v>Brazil</v>
      </c>
      <c r="F1027" s="13" t="str">
        <f t="shared" si="134"/>
        <v>Small Hydro</v>
      </c>
      <c r="G1027" s="13" t="str">
        <f t="shared" si="133"/>
        <v>Asset finance investments</v>
      </c>
      <c r="H1027" s="638">
        <f t="shared" si="132"/>
        <v>99.686366236879422</v>
      </c>
      <c r="I1027" s="24" t="s">
        <v>506</v>
      </c>
      <c r="J1027" s="25" t="s">
        <v>246</v>
      </c>
      <c r="K1027" s="25" t="s">
        <v>2941</v>
      </c>
      <c r="L1027" s="25" t="s">
        <v>565</v>
      </c>
      <c r="M1027" s="25" t="s">
        <v>31</v>
      </c>
      <c r="N1027" s="25" t="s">
        <v>31</v>
      </c>
      <c r="O1027" s="25" t="s">
        <v>92</v>
      </c>
      <c r="P1027" s="25" t="s">
        <v>83</v>
      </c>
      <c r="Q1027" s="25" t="s">
        <v>82</v>
      </c>
      <c r="R1027" s="25" t="s">
        <v>91</v>
      </c>
      <c r="S1027" s="25" t="s">
        <v>126</v>
      </c>
      <c r="T1027" s="25" t="s">
        <v>125</v>
      </c>
      <c r="U1027" s="25" t="s">
        <v>189</v>
      </c>
      <c r="V1027" s="25">
        <v>0</v>
      </c>
      <c r="W1027" s="25" t="s">
        <v>553</v>
      </c>
      <c r="X1027" s="25" t="s">
        <v>1752</v>
      </c>
      <c r="Y1027" s="25" t="s">
        <v>1753</v>
      </c>
      <c r="Z1027" s="26">
        <v>38864</v>
      </c>
      <c r="AA1027" s="776">
        <v>49.5</v>
      </c>
      <c r="AB1027" s="776">
        <v>0</v>
      </c>
      <c r="AC1027" s="776">
        <v>0</v>
      </c>
      <c r="AD1027" s="776">
        <v>0</v>
      </c>
      <c r="AE1027" s="777">
        <v>0</v>
      </c>
      <c r="AF1027" s="777">
        <v>99</v>
      </c>
      <c r="AG1027" s="778">
        <v>99.686366236879422</v>
      </c>
    </row>
    <row r="1028" spans="1:33" x14ac:dyDescent="0.2">
      <c r="A1028" s="15">
        <f t="shared" si="127"/>
        <v>2006</v>
      </c>
      <c r="B1028" s="14">
        <f t="shared" si="128"/>
        <v>4</v>
      </c>
      <c r="C1028" s="13" t="str">
        <f t="shared" si="129"/>
        <v>Q2</v>
      </c>
      <c r="D1028" s="13" t="str">
        <f t="shared" si="130"/>
        <v>2006Q2</v>
      </c>
      <c r="E1028" s="13" t="str">
        <f t="shared" si="131"/>
        <v>Brazil</v>
      </c>
      <c r="F1028" s="13" t="str">
        <f t="shared" si="134"/>
        <v>Small Hydro</v>
      </c>
      <c r="G1028" s="13" t="str">
        <f t="shared" si="133"/>
        <v>Asset finance investments</v>
      </c>
      <c r="H1028" s="638">
        <f t="shared" si="132"/>
        <v>94.349621377733357</v>
      </c>
      <c r="I1028" s="24" t="s">
        <v>506</v>
      </c>
      <c r="J1028" s="25" t="s">
        <v>246</v>
      </c>
      <c r="K1028" s="25" t="s">
        <v>2942</v>
      </c>
      <c r="L1028" s="25" t="s">
        <v>563</v>
      </c>
      <c r="M1028" s="25" t="s">
        <v>31</v>
      </c>
      <c r="N1028" s="25" t="s">
        <v>31</v>
      </c>
      <c r="O1028" s="25" t="s">
        <v>92</v>
      </c>
      <c r="P1028" s="25" t="s">
        <v>83</v>
      </c>
      <c r="Q1028" s="25" t="s">
        <v>82</v>
      </c>
      <c r="R1028" s="25" t="s">
        <v>91</v>
      </c>
      <c r="S1028" s="25" t="s">
        <v>126</v>
      </c>
      <c r="T1028" s="25" t="s">
        <v>125</v>
      </c>
      <c r="U1028" s="25" t="s">
        <v>247</v>
      </c>
      <c r="V1028" s="25">
        <v>0</v>
      </c>
      <c r="W1028" s="25" t="s">
        <v>553</v>
      </c>
      <c r="X1028" s="25" t="s">
        <v>1752</v>
      </c>
      <c r="Y1028" s="25" t="s">
        <v>1753</v>
      </c>
      <c r="Z1028" s="26">
        <v>38824</v>
      </c>
      <c r="AA1028" s="776">
        <v>30</v>
      </c>
      <c r="AB1028" s="776">
        <v>0</v>
      </c>
      <c r="AC1028" s="776">
        <v>0</v>
      </c>
      <c r="AD1028" s="776">
        <v>0</v>
      </c>
      <c r="AE1028" s="777">
        <v>93.7</v>
      </c>
      <c r="AF1028" s="777">
        <v>93.7</v>
      </c>
      <c r="AG1028" s="778">
        <v>94.349621377733357</v>
      </c>
    </row>
    <row r="1029" spans="1:33" x14ac:dyDescent="0.2">
      <c r="A1029" s="15">
        <f t="shared" ref="A1029:A1092" si="135">IF(K1029="","",IF(AND(YEAR(Z1029)&lt;2004,YEAR(Z1029)&gt;1910),2004,YEAR(Z1029)))</f>
        <v>2006</v>
      </c>
      <c r="B1029" s="14">
        <f t="shared" ref="B1029:B1092" si="136">IF(K1029="","",IF(ISNUMBER(Z1029),MONTH(Z1029),0))</f>
        <v>6</v>
      </c>
      <c r="C1029" s="13" t="str">
        <f t="shared" ref="C1029:C1092" si="137">IF(K1029="","",IF(AND(B1029&gt;=1,B1029&lt;=3),"Q1",IF(AND(B1029&gt;3,B1029&lt;=6),"Q2",IF(AND(B1029&gt;6,B1029&lt;=9),"Q3",IF(AND(B1029&gt;9,B1029&lt;=12),"Q4",0)))))</f>
        <v>Q2</v>
      </c>
      <c r="D1029" s="13" t="str">
        <f t="shared" ref="D1029:D1092" si="138">IF(A1029&lt;2006, "&lt; 2006", A1029&amp;C1029)</f>
        <v>2006Q2</v>
      </c>
      <c r="E1029" s="13" t="str">
        <f t="shared" ref="E1029:E1092" si="139">IF(K1029="","", M1029)</f>
        <v>Brazil</v>
      </c>
      <c r="F1029" s="13" t="str">
        <f t="shared" si="134"/>
        <v>Small Hydro</v>
      </c>
      <c r="G1029" s="13" t="str">
        <f t="shared" si="133"/>
        <v>Asset finance investments</v>
      </c>
      <c r="H1029" s="638">
        <f t="shared" ref="H1029:H1092" si="140">IF(K1029="","",AG1029)</f>
        <v>85.891384242482985</v>
      </c>
      <c r="I1029" s="24" t="s">
        <v>506</v>
      </c>
      <c r="J1029" s="25" t="s">
        <v>246</v>
      </c>
      <c r="K1029" s="25" t="s">
        <v>2943</v>
      </c>
      <c r="L1029" s="25" t="s">
        <v>1177</v>
      </c>
      <c r="M1029" s="25" t="s">
        <v>31</v>
      </c>
      <c r="N1029" s="25" t="s">
        <v>31</v>
      </c>
      <c r="O1029" s="25" t="s">
        <v>92</v>
      </c>
      <c r="P1029" s="25" t="s">
        <v>83</v>
      </c>
      <c r="Q1029" s="25" t="s">
        <v>82</v>
      </c>
      <c r="R1029" s="25" t="s">
        <v>91</v>
      </c>
      <c r="S1029" s="25" t="s">
        <v>126</v>
      </c>
      <c r="T1029" s="25" t="s">
        <v>125</v>
      </c>
      <c r="U1029" s="25" t="s">
        <v>247</v>
      </c>
      <c r="V1029" s="25">
        <v>0</v>
      </c>
      <c r="W1029" s="25" t="s">
        <v>553</v>
      </c>
      <c r="X1029" s="25" t="s">
        <v>1749</v>
      </c>
      <c r="Y1029" s="25" t="s">
        <v>1750</v>
      </c>
      <c r="Z1029" s="26">
        <v>38898</v>
      </c>
      <c r="AA1029" s="776">
        <v>41.8</v>
      </c>
      <c r="AB1029" s="776">
        <v>0</v>
      </c>
      <c r="AC1029" s="776">
        <v>0</v>
      </c>
      <c r="AD1029" s="776">
        <v>0</v>
      </c>
      <c r="AE1029" s="777">
        <v>85.3</v>
      </c>
      <c r="AF1029" s="777">
        <v>85.3</v>
      </c>
      <c r="AG1029" s="778">
        <v>85.891384242482985</v>
      </c>
    </row>
    <row r="1030" spans="1:33" x14ac:dyDescent="0.2">
      <c r="A1030" s="15">
        <f t="shared" si="135"/>
        <v>2006</v>
      </c>
      <c r="B1030" s="14">
        <f t="shared" si="136"/>
        <v>6</v>
      </c>
      <c r="C1030" s="13" t="str">
        <f t="shared" si="137"/>
        <v>Q2</v>
      </c>
      <c r="D1030" s="13" t="str">
        <f t="shared" si="138"/>
        <v>2006Q2</v>
      </c>
      <c r="E1030" s="13" t="str">
        <f t="shared" si="139"/>
        <v>Brazil</v>
      </c>
      <c r="F1030" s="13" t="str">
        <f t="shared" si="134"/>
        <v>Biofuels</v>
      </c>
      <c r="G1030" s="13" t="str">
        <f t="shared" ref="G1030:G1093" si="141">IF(K1030="","",IF(OR(J1030="PM",J1030="MA"), "Corporate finance investments", IF(J1030="VCPE", "VC/PE investments", IF(J1030="AF", "Asset finance investments"))))</f>
        <v>Asset finance investments</v>
      </c>
      <c r="H1030" s="638">
        <f t="shared" si="140"/>
        <v>76.963024252793545</v>
      </c>
      <c r="I1030" s="24" t="s">
        <v>506</v>
      </c>
      <c r="J1030" s="25" t="s">
        <v>246</v>
      </c>
      <c r="K1030" s="25" t="s">
        <v>2944</v>
      </c>
      <c r="L1030" s="25" t="s">
        <v>637</v>
      </c>
      <c r="M1030" s="25" t="s">
        <v>31</v>
      </c>
      <c r="N1030" s="25" t="s">
        <v>31</v>
      </c>
      <c r="O1030" s="25" t="s">
        <v>92</v>
      </c>
      <c r="P1030" s="25" t="s">
        <v>83</v>
      </c>
      <c r="Q1030" s="25" t="s">
        <v>82</v>
      </c>
      <c r="R1030" s="25" t="s">
        <v>91</v>
      </c>
      <c r="S1030" s="25" t="s">
        <v>96</v>
      </c>
      <c r="T1030" s="25" t="s">
        <v>96</v>
      </c>
      <c r="U1030" s="25" t="s">
        <v>98</v>
      </c>
      <c r="V1030" s="25">
        <v>0</v>
      </c>
      <c r="W1030" s="25" t="s">
        <v>553</v>
      </c>
      <c r="X1030" s="25" t="s">
        <v>1752</v>
      </c>
      <c r="Y1030" s="25" t="s">
        <v>1753</v>
      </c>
      <c r="Z1030" s="26">
        <v>38869</v>
      </c>
      <c r="AA1030" s="776">
        <v>3</v>
      </c>
      <c r="AB1030" s="776">
        <v>60</v>
      </c>
      <c r="AC1030" s="776">
        <v>0</v>
      </c>
      <c r="AD1030" s="776">
        <v>0</v>
      </c>
      <c r="AE1030" s="777">
        <v>0</v>
      </c>
      <c r="AF1030" s="777">
        <v>73.8</v>
      </c>
      <c r="AG1030" s="778">
        <v>76.963024252793545</v>
      </c>
    </row>
    <row r="1031" spans="1:33" x14ac:dyDescent="0.2">
      <c r="A1031" s="15">
        <f t="shared" si="135"/>
        <v>2006</v>
      </c>
      <c r="B1031" s="14">
        <f t="shared" si="136"/>
        <v>5</v>
      </c>
      <c r="C1031" s="13" t="str">
        <f t="shared" si="137"/>
        <v>Q2</v>
      </c>
      <c r="D1031" s="13" t="str">
        <f t="shared" si="138"/>
        <v>2006Q2</v>
      </c>
      <c r="E1031" s="13" t="str">
        <f t="shared" si="139"/>
        <v>Brazil</v>
      </c>
      <c r="F1031" s="13" t="str">
        <f t="shared" ref="F1031:F1094" si="142">IF(K1031="","",IF(OR(T1031="Wind",T1031="Solar",T1031="Geothermal",T1031="Small Hydro",T1031="Biofuels",T1031="Biomass &amp; Waste"),T1031,"Other Clean Energy"))</f>
        <v>Small Hydro</v>
      </c>
      <c r="G1031" s="13" t="str">
        <f t="shared" si="141"/>
        <v>Asset finance investments</v>
      </c>
      <c r="H1031" s="638">
        <f t="shared" si="140"/>
        <v>70.485309460419785</v>
      </c>
      <c r="I1031" s="24" t="s">
        <v>506</v>
      </c>
      <c r="J1031" s="25" t="s">
        <v>246</v>
      </c>
      <c r="K1031" s="25" t="s">
        <v>2945</v>
      </c>
      <c r="L1031" s="25" t="s">
        <v>619</v>
      </c>
      <c r="M1031" s="25" t="s">
        <v>31</v>
      </c>
      <c r="N1031" s="25" t="s">
        <v>31</v>
      </c>
      <c r="O1031" s="25" t="s">
        <v>92</v>
      </c>
      <c r="P1031" s="25" t="s">
        <v>83</v>
      </c>
      <c r="Q1031" s="25" t="s">
        <v>82</v>
      </c>
      <c r="R1031" s="25" t="s">
        <v>91</v>
      </c>
      <c r="S1031" s="25" t="s">
        <v>126</v>
      </c>
      <c r="T1031" s="25" t="s">
        <v>125</v>
      </c>
      <c r="U1031" s="25" t="s">
        <v>247</v>
      </c>
      <c r="V1031" s="25">
        <v>0</v>
      </c>
      <c r="W1031" s="25" t="s">
        <v>553</v>
      </c>
      <c r="X1031" s="25" t="s">
        <v>1752</v>
      </c>
      <c r="Y1031" s="25" t="s">
        <v>1753</v>
      </c>
      <c r="Z1031" s="26">
        <v>38855</v>
      </c>
      <c r="AA1031" s="776">
        <v>28</v>
      </c>
      <c r="AB1031" s="776">
        <v>0</v>
      </c>
      <c r="AC1031" s="776">
        <v>0</v>
      </c>
      <c r="AD1031" s="776">
        <v>0</v>
      </c>
      <c r="AE1031" s="777">
        <v>0</v>
      </c>
      <c r="AF1031" s="777">
        <v>70</v>
      </c>
      <c r="AG1031" s="778">
        <v>70.485309460419785</v>
      </c>
    </row>
    <row r="1032" spans="1:33" x14ac:dyDescent="0.2">
      <c r="A1032" s="15">
        <f t="shared" si="135"/>
        <v>2006</v>
      </c>
      <c r="B1032" s="14">
        <f t="shared" si="136"/>
        <v>4</v>
      </c>
      <c r="C1032" s="13" t="str">
        <f t="shared" si="137"/>
        <v>Q2</v>
      </c>
      <c r="D1032" s="13" t="str">
        <f t="shared" si="138"/>
        <v>2006Q2</v>
      </c>
      <c r="E1032" s="13" t="str">
        <f t="shared" si="139"/>
        <v>Brazil</v>
      </c>
      <c r="F1032" s="13" t="str">
        <f t="shared" si="142"/>
        <v>Biofuels</v>
      </c>
      <c r="G1032" s="13" t="str">
        <f t="shared" si="141"/>
        <v>Asset finance investments</v>
      </c>
      <c r="H1032" s="638">
        <f t="shared" si="140"/>
        <v>69.871580283701462</v>
      </c>
      <c r="I1032" s="24" t="s">
        <v>506</v>
      </c>
      <c r="J1032" s="25" t="s">
        <v>246</v>
      </c>
      <c r="K1032" s="25" t="s">
        <v>2946</v>
      </c>
      <c r="L1032" s="25" t="s">
        <v>1182</v>
      </c>
      <c r="M1032" s="25" t="s">
        <v>31</v>
      </c>
      <c r="N1032" s="25" t="s">
        <v>31</v>
      </c>
      <c r="O1032" s="25" t="s">
        <v>92</v>
      </c>
      <c r="P1032" s="25" t="s">
        <v>83</v>
      </c>
      <c r="Q1032" s="25" t="s">
        <v>82</v>
      </c>
      <c r="R1032" s="25" t="s">
        <v>91</v>
      </c>
      <c r="S1032" s="25" t="s">
        <v>96</v>
      </c>
      <c r="T1032" s="25" t="s">
        <v>96</v>
      </c>
      <c r="U1032" s="25" t="s">
        <v>98</v>
      </c>
      <c r="V1032" s="25" t="s">
        <v>230</v>
      </c>
      <c r="W1032" s="25" t="s">
        <v>553</v>
      </c>
      <c r="X1032" s="25" t="s">
        <v>1749</v>
      </c>
      <c r="Y1032" s="25" t="s">
        <v>1750</v>
      </c>
      <c r="Z1032" s="26">
        <v>38825</v>
      </c>
      <c r="AA1032" s="776">
        <v>0</v>
      </c>
      <c r="AB1032" s="776">
        <v>134</v>
      </c>
      <c r="AC1032" s="776">
        <v>0</v>
      </c>
      <c r="AD1032" s="776">
        <v>0</v>
      </c>
      <c r="AE1032" s="777">
        <v>67</v>
      </c>
      <c r="AF1032" s="777">
        <v>67</v>
      </c>
      <c r="AG1032" s="778">
        <v>69.871580283701462</v>
      </c>
    </row>
    <row r="1033" spans="1:33" x14ac:dyDescent="0.2">
      <c r="A1033" s="15">
        <f t="shared" si="135"/>
        <v>2006</v>
      </c>
      <c r="B1033" s="14">
        <f t="shared" si="136"/>
        <v>5</v>
      </c>
      <c r="C1033" s="13" t="str">
        <f t="shared" si="137"/>
        <v>Q2</v>
      </c>
      <c r="D1033" s="13" t="str">
        <f t="shared" si="138"/>
        <v>2006Q2</v>
      </c>
      <c r="E1033" s="13" t="str">
        <f t="shared" si="139"/>
        <v>Brazil</v>
      </c>
      <c r="F1033" s="13" t="str">
        <f t="shared" si="142"/>
        <v>Small Hydro</v>
      </c>
      <c r="G1033" s="13" t="str">
        <f t="shared" si="141"/>
        <v>Asset finance investments</v>
      </c>
      <c r="H1033" s="638">
        <f t="shared" si="140"/>
        <v>64.343018207440352</v>
      </c>
      <c r="I1033" s="24" t="s">
        <v>506</v>
      </c>
      <c r="J1033" s="25" t="s">
        <v>246</v>
      </c>
      <c r="K1033" s="25" t="s">
        <v>2947</v>
      </c>
      <c r="L1033" s="25" t="s">
        <v>1183</v>
      </c>
      <c r="M1033" s="25" t="s">
        <v>31</v>
      </c>
      <c r="N1033" s="25" t="s">
        <v>31</v>
      </c>
      <c r="O1033" s="25" t="s">
        <v>92</v>
      </c>
      <c r="P1033" s="25" t="s">
        <v>83</v>
      </c>
      <c r="Q1033" s="25" t="s">
        <v>82</v>
      </c>
      <c r="R1033" s="25" t="s">
        <v>91</v>
      </c>
      <c r="S1033" s="25" t="s">
        <v>126</v>
      </c>
      <c r="T1033" s="25" t="s">
        <v>125</v>
      </c>
      <c r="U1033" s="25" t="s">
        <v>342</v>
      </c>
      <c r="V1033" s="25">
        <v>0</v>
      </c>
      <c r="W1033" s="25" t="s">
        <v>553</v>
      </c>
      <c r="X1033" s="25" t="s">
        <v>1749</v>
      </c>
      <c r="Y1033" s="25" t="s">
        <v>1750</v>
      </c>
      <c r="Z1033" s="26">
        <v>38856</v>
      </c>
      <c r="AA1033" s="776">
        <v>28</v>
      </c>
      <c r="AB1033" s="776">
        <v>0</v>
      </c>
      <c r="AC1033" s="776">
        <v>0</v>
      </c>
      <c r="AD1033" s="776">
        <v>0</v>
      </c>
      <c r="AE1033" s="777">
        <v>0</v>
      </c>
      <c r="AF1033" s="777">
        <v>63.9</v>
      </c>
      <c r="AG1033" s="778">
        <v>64.343018207440352</v>
      </c>
    </row>
    <row r="1034" spans="1:33" x14ac:dyDescent="0.2">
      <c r="A1034" s="15">
        <f t="shared" si="135"/>
        <v>2006</v>
      </c>
      <c r="B1034" s="14">
        <f t="shared" si="136"/>
        <v>4</v>
      </c>
      <c r="C1034" s="13" t="str">
        <f t="shared" si="137"/>
        <v>Q2</v>
      </c>
      <c r="D1034" s="13" t="str">
        <f t="shared" si="138"/>
        <v>2006Q2</v>
      </c>
      <c r="E1034" s="13" t="str">
        <f t="shared" si="139"/>
        <v>Chile</v>
      </c>
      <c r="F1034" s="13" t="str">
        <f t="shared" si="142"/>
        <v>Biomass &amp; Waste</v>
      </c>
      <c r="G1034" s="13" t="str">
        <f t="shared" si="141"/>
        <v>Asset finance investments</v>
      </c>
      <c r="H1034" s="638">
        <f t="shared" si="140"/>
        <v>55.930465420011025</v>
      </c>
      <c r="I1034" s="24" t="s">
        <v>506</v>
      </c>
      <c r="J1034" s="25" t="s">
        <v>246</v>
      </c>
      <c r="K1034" s="25" t="s">
        <v>2948</v>
      </c>
      <c r="L1034" s="25" t="s">
        <v>560</v>
      </c>
      <c r="M1034" s="25" t="s">
        <v>8</v>
      </c>
      <c r="N1034" s="25" t="s">
        <v>85</v>
      </c>
      <c r="O1034" s="25" t="s">
        <v>92</v>
      </c>
      <c r="P1034" s="25" t="s">
        <v>83</v>
      </c>
      <c r="Q1034" s="25" t="s">
        <v>129</v>
      </c>
      <c r="R1034" s="25"/>
      <c r="S1034" s="25" t="s">
        <v>114</v>
      </c>
      <c r="T1034" s="25" t="s">
        <v>114</v>
      </c>
      <c r="U1034" s="25" t="s">
        <v>113</v>
      </c>
      <c r="V1034" s="25">
        <v>0</v>
      </c>
      <c r="W1034" s="25" t="s">
        <v>553</v>
      </c>
      <c r="X1034" s="25" t="s">
        <v>1752</v>
      </c>
      <c r="Y1034" s="25" t="s">
        <v>1753</v>
      </c>
      <c r="Z1034" s="26">
        <v>38808</v>
      </c>
      <c r="AA1034" s="776">
        <v>37</v>
      </c>
      <c r="AB1034" s="776">
        <v>0</v>
      </c>
      <c r="AC1034" s="776">
        <v>0</v>
      </c>
      <c r="AD1034" s="776">
        <v>0</v>
      </c>
      <c r="AE1034" s="777">
        <v>0</v>
      </c>
      <c r="AF1034" s="777">
        <v>55.5</v>
      </c>
      <c r="AG1034" s="778">
        <v>55.930465420011025</v>
      </c>
    </row>
    <row r="1035" spans="1:33" x14ac:dyDescent="0.2">
      <c r="A1035" s="15">
        <f t="shared" si="135"/>
        <v>2006</v>
      </c>
      <c r="B1035" s="14">
        <f t="shared" si="136"/>
        <v>6</v>
      </c>
      <c r="C1035" s="13" t="str">
        <f t="shared" si="137"/>
        <v>Q2</v>
      </c>
      <c r="D1035" s="13" t="str">
        <f t="shared" si="138"/>
        <v>2006Q2</v>
      </c>
      <c r="E1035" s="13" t="str">
        <f t="shared" si="139"/>
        <v>Brazil</v>
      </c>
      <c r="F1035" s="13" t="str">
        <f t="shared" si="142"/>
        <v>Biofuels</v>
      </c>
      <c r="G1035" s="13" t="str">
        <f t="shared" si="141"/>
        <v>Asset finance investments</v>
      </c>
      <c r="H1035" s="638">
        <f t="shared" si="140"/>
        <v>38.377226185674829</v>
      </c>
      <c r="I1035" s="24" t="s">
        <v>506</v>
      </c>
      <c r="J1035" s="25" t="s">
        <v>246</v>
      </c>
      <c r="K1035" s="25" t="s">
        <v>2949</v>
      </c>
      <c r="L1035" s="25" t="s">
        <v>1178</v>
      </c>
      <c r="M1035" s="25" t="s">
        <v>31</v>
      </c>
      <c r="N1035" s="25" t="s">
        <v>31</v>
      </c>
      <c r="O1035" s="25" t="s">
        <v>92</v>
      </c>
      <c r="P1035" s="25" t="s">
        <v>83</v>
      </c>
      <c r="Q1035" s="25" t="s">
        <v>82</v>
      </c>
      <c r="R1035" s="25" t="s">
        <v>91</v>
      </c>
      <c r="S1035" s="25" t="s">
        <v>96</v>
      </c>
      <c r="T1035" s="25" t="s">
        <v>96</v>
      </c>
      <c r="U1035" s="25" t="s">
        <v>98</v>
      </c>
      <c r="V1035" s="25" t="s">
        <v>230</v>
      </c>
      <c r="W1035" s="25" t="s">
        <v>553</v>
      </c>
      <c r="X1035" s="25" t="s">
        <v>1752</v>
      </c>
      <c r="Y1035" s="25" t="s">
        <v>1753</v>
      </c>
      <c r="Z1035" s="26">
        <v>38890</v>
      </c>
      <c r="AA1035" s="776">
        <v>0</v>
      </c>
      <c r="AB1035" s="776">
        <v>95</v>
      </c>
      <c r="AC1035" s="776">
        <v>0</v>
      </c>
      <c r="AD1035" s="776">
        <v>0</v>
      </c>
      <c r="AE1035" s="777">
        <v>36.799999999999997</v>
      </c>
      <c r="AF1035" s="777">
        <v>36.799999999999997</v>
      </c>
      <c r="AG1035" s="778">
        <v>38.377226185674829</v>
      </c>
    </row>
    <row r="1036" spans="1:33" x14ac:dyDescent="0.2">
      <c r="A1036" s="15">
        <f t="shared" si="135"/>
        <v>2006</v>
      </c>
      <c r="B1036" s="14">
        <f t="shared" si="136"/>
        <v>4</v>
      </c>
      <c r="C1036" s="13" t="str">
        <f t="shared" si="137"/>
        <v>Q2</v>
      </c>
      <c r="D1036" s="13" t="str">
        <f t="shared" si="138"/>
        <v>2006Q2</v>
      </c>
      <c r="E1036" s="13" t="str">
        <f t="shared" si="139"/>
        <v>Brazil</v>
      </c>
      <c r="F1036" s="13" t="str">
        <f t="shared" si="142"/>
        <v>Biofuels</v>
      </c>
      <c r="G1036" s="13" t="str">
        <f t="shared" si="141"/>
        <v>Asset finance investments</v>
      </c>
      <c r="H1036" s="638">
        <f t="shared" si="140"/>
        <v>22.816720970553796</v>
      </c>
      <c r="I1036" s="24" t="s">
        <v>506</v>
      </c>
      <c r="J1036" s="25" t="s">
        <v>246</v>
      </c>
      <c r="K1036" s="25" t="s">
        <v>2950</v>
      </c>
      <c r="L1036" s="25" t="s">
        <v>1025</v>
      </c>
      <c r="M1036" s="25" t="s">
        <v>31</v>
      </c>
      <c r="N1036" s="25" t="s">
        <v>31</v>
      </c>
      <c r="O1036" s="25" t="s">
        <v>92</v>
      </c>
      <c r="P1036" s="25" t="s">
        <v>83</v>
      </c>
      <c r="Q1036" s="25" t="s">
        <v>82</v>
      </c>
      <c r="R1036" s="25" t="s">
        <v>91</v>
      </c>
      <c r="S1036" s="25" t="s">
        <v>96</v>
      </c>
      <c r="T1036" s="25" t="s">
        <v>96</v>
      </c>
      <c r="U1036" s="25" t="s">
        <v>95</v>
      </c>
      <c r="V1036" s="25" t="s">
        <v>223</v>
      </c>
      <c r="W1036" s="25" t="s">
        <v>553</v>
      </c>
      <c r="X1036" s="25" t="s">
        <v>1752</v>
      </c>
      <c r="Y1036" s="25" t="s">
        <v>1753</v>
      </c>
      <c r="Z1036" s="26">
        <v>38820</v>
      </c>
      <c r="AA1036" s="776">
        <v>0</v>
      </c>
      <c r="AB1036" s="776">
        <v>66.3</v>
      </c>
      <c r="AC1036" s="776">
        <v>0</v>
      </c>
      <c r="AD1036" s="776">
        <v>0</v>
      </c>
      <c r="AE1036" s="777">
        <v>0</v>
      </c>
      <c r="AF1036" s="777">
        <v>21.879000000000001</v>
      </c>
      <c r="AG1036" s="778">
        <v>22.816720970553796</v>
      </c>
    </row>
    <row r="1037" spans="1:33" x14ac:dyDescent="0.2">
      <c r="A1037" s="15">
        <f t="shared" si="135"/>
        <v>2006</v>
      </c>
      <c r="B1037" s="14">
        <f t="shared" si="136"/>
        <v>6</v>
      </c>
      <c r="C1037" s="13" t="str">
        <f t="shared" si="137"/>
        <v>Q2</v>
      </c>
      <c r="D1037" s="13" t="str">
        <f t="shared" si="138"/>
        <v>2006Q2</v>
      </c>
      <c r="E1037" s="13" t="str">
        <f t="shared" si="139"/>
        <v>Argentina</v>
      </c>
      <c r="F1037" s="13" t="str">
        <f t="shared" si="142"/>
        <v>Biofuels</v>
      </c>
      <c r="G1037" s="13" t="str">
        <f t="shared" si="141"/>
        <v>Asset finance investments</v>
      </c>
      <c r="H1037" s="638">
        <f t="shared" si="140"/>
        <v>19.678749082473256</v>
      </c>
      <c r="I1037" s="24" t="s">
        <v>506</v>
      </c>
      <c r="J1037" s="25" t="s">
        <v>246</v>
      </c>
      <c r="K1037" s="25" t="s">
        <v>2951</v>
      </c>
      <c r="L1037" s="25" t="s">
        <v>845</v>
      </c>
      <c r="M1037" s="25" t="s">
        <v>4</v>
      </c>
      <c r="N1037" s="25" t="s">
        <v>85</v>
      </c>
      <c r="O1037" s="25" t="s">
        <v>92</v>
      </c>
      <c r="P1037" s="25" t="s">
        <v>83</v>
      </c>
      <c r="Q1037" s="25" t="s">
        <v>82</v>
      </c>
      <c r="R1037" s="25"/>
      <c r="S1037" s="25" t="s">
        <v>96</v>
      </c>
      <c r="T1037" s="25" t="s">
        <v>96</v>
      </c>
      <c r="U1037" s="25" t="s">
        <v>95</v>
      </c>
      <c r="V1037" s="25" t="s">
        <v>223</v>
      </c>
      <c r="W1037" s="25" t="s">
        <v>553</v>
      </c>
      <c r="X1037" s="25" t="s">
        <v>1752</v>
      </c>
      <c r="Y1037" s="25" t="s">
        <v>1753</v>
      </c>
      <c r="Z1037" s="26">
        <v>38869</v>
      </c>
      <c r="AA1037" s="776">
        <v>0</v>
      </c>
      <c r="AB1037" s="776">
        <v>59.5</v>
      </c>
      <c r="AC1037" s="776">
        <v>0</v>
      </c>
      <c r="AD1037" s="776">
        <v>0</v>
      </c>
      <c r="AE1037" s="777">
        <v>0</v>
      </c>
      <c r="AF1037" s="777">
        <v>19.635000000000002</v>
      </c>
      <c r="AG1037" s="778">
        <v>19.678749082473256</v>
      </c>
    </row>
    <row r="1038" spans="1:33" x14ac:dyDescent="0.2">
      <c r="A1038" s="15">
        <f t="shared" si="135"/>
        <v>2006</v>
      </c>
      <c r="B1038" s="14">
        <f t="shared" si="136"/>
        <v>6</v>
      </c>
      <c r="C1038" s="13" t="str">
        <f t="shared" si="137"/>
        <v>Q2</v>
      </c>
      <c r="D1038" s="13" t="str">
        <f t="shared" si="138"/>
        <v>2006Q2</v>
      </c>
      <c r="E1038" s="13" t="str">
        <f t="shared" si="139"/>
        <v>Brazil</v>
      </c>
      <c r="F1038" s="13" t="str">
        <f t="shared" si="142"/>
        <v>Biofuels</v>
      </c>
      <c r="G1038" s="13" t="str">
        <f t="shared" si="141"/>
        <v>Asset finance investments</v>
      </c>
      <c r="H1038" s="638">
        <f t="shared" si="140"/>
        <v>19.605756855725186</v>
      </c>
      <c r="I1038" s="24" t="s">
        <v>506</v>
      </c>
      <c r="J1038" s="25" t="s">
        <v>246</v>
      </c>
      <c r="K1038" s="25" t="s">
        <v>2952</v>
      </c>
      <c r="L1038" s="25" t="s">
        <v>2953</v>
      </c>
      <c r="M1038" s="25" t="s">
        <v>31</v>
      </c>
      <c r="N1038" s="25" t="s">
        <v>31</v>
      </c>
      <c r="O1038" s="25" t="s">
        <v>92</v>
      </c>
      <c r="P1038" s="25" t="s">
        <v>83</v>
      </c>
      <c r="Q1038" s="25" t="s">
        <v>82</v>
      </c>
      <c r="R1038" s="25" t="s">
        <v>91</v>
      </c>
      <c r="S1038" s="25" t="s">
        <v>96</v>
      </c>
      <c r="T1038" s="25" t="s">
        <v>96</v>
      </c>
      <c r="U1038" s="25" t="s">
        <v>95</v>
      </c>
      <c r="V1038" s="25" t="s">
        <v>223</v>
      </c>
      <c r="W1038" s="25" t="s">
        <v>553</v>
      </c>
      <c r="X1038" s="25" t="s">
        <v>1749</v>
      </c>
      <c r="Y1038" s="25" t="s">
        <v>1750</v>
      </c>
      <c r="Z1038" s="26">
        <v>38888</v>
      </c>
      <c r="AA1038" s="776">
        <v>0</v>
      </c>
      <c r="AB1038" s="776">
        <v>124.2</v>
      </c>
      <c r="AC1038" s="776">
        <v>0</v>
      </c>
      <c r="AD1038" s="776">
        <v>0</v>
      </c>
      <c r="AE1038" s="777">
        <v>18.8</v>
      </c>
      <c r="AF1038" s="777">
        <v>18.8</v>
      </c>
      <c r="AG1038" s="778">
        <v>19.605756855725186</v>
      </c>
    </row>
    <row r="1039" spans="1:33" x14ac:dyDescent="0.2">
      <c r="A1039" s="15">
        <f t="shared" si="135"/>
        <v>2006</v>
      </c>
      <c r="B1039" s="14">
        <f t="shared" si="136"/>
        <v>6</v>
      </c>
      <c r="C1039" s="13" t="str">
        <f t="shared" si="137"/>
        <v>Q2</v>
      </c>
      <c r="D1039" s="13" t="str">
        <f t="shared" si="138"/>
        <v>2006Q2</v>
      </c>
      <c r="E1039" s="13" t="str">
        <f t="shared" si="139"/>
        <v>Chile</v>
      </c>
      <c r="F1039" s="13" t="str">
        <f t="shared" si="142"/>
        <v>Small Hydro</v>
      </c>
      <c r="G1039" s="13" t="str">
        <f t="shared" si="141"/>
        <v>Asset finance investments</v>
      </c>
      <c r="H1039" s="638">
        <f t="shared" si="140"/>
        <v>17.473650119629994</v>
      </c>
      <c r="I1039" s="24" t="s">
        <v>506</v>
      </c>
      <c r="J1039" s="25" t="s">
        <v>246</v>
      </c>
      <c r="K1039" s="25" t="s">
        <v>2954</v>
      </c>
      <c r="L1039" s="25" t="s">
        <v>1175</v>
      </c>
      <c r="M1039" s="25" t="s">
        <v>8</v>
      </c>
      <c r="N1039" s="25" t="s">
        <v>85</v>
      </c>
      <c r="O1039" s="25" t="s">
        <v>92</v>
      </c>
      <c r="P1039" s="25" t="s">
        <v>83</v>
      </c>
      <c r="Q1039" s="25" t="s">
        <v>129</v>
      </c>
      <c r="R1039" s="25"/>
      <c r="S1039" s="25" t="s">
        <v>126</v>
      </c>
      <c r="T1039" s="25" t="s">
        <v>125</v>
      </c>
      <c r="U1039" s="25" t="s">
        <v>247</v>
      </c>
      <c r="V1039" s="25">
        <v>0</v>
      </c>
      <c r="W1039" s="25" t="s">
        <v>553</v>
      </c>
      <c r="X1039" s="25" t="s">
        <v>1752</v>
      </c>
      <c r="Y1039" s="25" t="s">
        <v>1753</v>
      </c>
      <c r="Z1039" s="26">
        <v>38869</v>
      </c>
      <c r="AA1039" s="776">
        <v>9.5</v>
      </c>
      <c r="AB1039" s="776">
        <v>0</v>
      </c>
      <c r="AC1039" s="776">
        <v>0</v>
      </c>
      <c r="AD1039" s="776">
        <v>0</v>
      </c>
      <c r="AE1039" s="777">
        <v>17</v>
      </c>
      <c r="AF1039" s="777">
        <v>17</v>
      </c>
      <c r="AG1039" s="778">
        <v>17.473650119629994</v>
      </c>
    </row>
    <row r="1040" spans="1:33" x14ac:dyDescent="0.2">
      <c r="A1040" s="15">
        <f t="shared" si="135"/>
        <v>2006</v>
      </c>
      <c r="B1040" s="14">
        <f t="shared" si="136"/>
        <v>4</v>
      </c>
      <c r="C1040" s="13" t="str">
        <f t="shared" si="137"/>
        <v>Q2</v>
      </c>
      <c r="D1040" s="13" t="str">
        <f t="shared" si="138"/>
        <v>2006Q2</v>
      </c>
      <c r="E1040" s="13" t="str">
        <f t="shared" si="139"/>
        <v>Brazil</v>
      </c>
      <c r="F1040" s="13" t="str">
        <f t="shared" si="142"/>
        <v>Wind</v>
      </c>
      <c r="G1040" s="13" t="str">
        <f t="shared" si="141"/>
        <v>Asset finance investments</v>
      </c>
      <c r="H1040" s="638">
        <f t="shared" si="140"/>
        <v>17.146888341341882</v>
      </c>
      <c r="I1040" s="24" t="s">
        <v>506</v>
      </c>
      <c r="J1040" s="25" t="s">
        <v>246</v>
      </c>
      <c r="K1040" s="25" t="s">
        <v>2955</v>
      </c>
      <c r="L1040" s="25" t="s">
        <v>2956</v>
      </c>
      <c r="M1040" s="25" t="s">
        <v>31</v>
      </c>
      <c r="N1040" s="25" t="s">
        <v>31</v>
      </c>
      <c r="O1040" s="25" t="s">
        <v>92</v>
      </c>
      <c r="P1040" s="25" t="s">
        <v>83</v>
      </c>
      <c r="Q1040" s="25" t="s">
        <v>82</v>
      </c>
      <c r="R1040" s="25" t="s">
        <v>91</v>
      </c>
      <c r="S1040" s="25" t="s">
        <v>101</v>
      </c>
      <c r="T1040" s="25" t="s">
        <v>101</v>
      </c>
      <c r="U1040" s="25" t="s">
        <v>112</v>
      </c>
      <c r="V1040" s="25">
        <v>0</v>
      </c>
      <c r="W1040" s="25" t="s">
        <v>553</v>
      </c>
      <c r="X1040" s="25" t="s">
        <v>1749</v>
      </c>
      <c r="Y1040" s="25" t="s">
        <v>1750</v>
      </c>
      <c r="Z1040" s="26">
        <v>38826</v>
      </c>
      <c r="AA1040" s="776">
        <v>9</v>
      </c>
      <c r="AB1040" s="776">
        <v>0</v>
      </c>
      <c r="AC1040" s="776">
        <v>0</v>
      </c>
      <c r="AD1040" s="776">
        <v>0</v>
      </c>
      <c r="AE1040" s="777">
        <v>17</v>
      </c>
      <c r="AF1040" s="777">
        <v>17</v>
      </c>
      <c r="AG1040" s="778">
        <v>17.146888341341882</v>
      </c>
    </row>
    <row r="1041" spans="1:33" x14ac:dyDescent="0.2">
      <c r="A1041" s="15">
        <f t="shared" si="135"/>
        <v>2006</v>
      </c>
      <c r="B1041" s="14">
        <f t="shared" si="136"/>
        <v>6</v>
      </c>
      <c r="C1041" s="13" t="str">
        <f t="shared" si="137"/>
        <v>Q2</v>
      </c>
      <c r="D1041" s="13" t="str">
        <f t="shared" si="138"/>
        <v>2006Q2</v>
      </c>
      <c r="E1041" s="13" t="str">
        <f t="shared" si="139"/>
        <v>Brazil</v>
      </c>
      <c r="F1041" s="13" t="str">
        <f t="shared" si="142"/>
        <v>Biofuels</v>
      </c>
      <c r="G1041" s="13" t="str">
        <f t="shared" si="141"/>
        <v>Asset finance investments</v>
      </c>
      <c r="H1041" s="638">
        <f t="shared" si="140"/>
        <v>16.518893010355686</v>
      </c>
      <c r="I1041" s="24" t="s">
        <v>506</v>
      </c>
      <c r="J1041" s="25" t="s">
        <v>246</v>
      </c>
      <c r="K1041" s="25" t="s">
        <v>2957</v>
      </c>
      <c r="L1041" s="25" t="s">
        <v>2958</v>
      </c>
      <c r="M1041" s="25" t="s">
        <v>31</v>
      </c>
      <c r="N1041" s="25" t="s">
        <v>31</v>
      </c>
      <c r="O1041" s="25" t="s">
        <v>92</v>
      </c>
      <c r="P1041" s="25" t="s">
        <v>83</v>
      </c>
      <c r="Q1041" s="25" t="s">
        <v>82</v>
      </c>
      <c r="R1041" s="25" t="s">
        <v>91</v>
      </c>
      <c r="S1041" s="25" t="s">
        <v>96</v>
      </c>
      <c r="T1041" s="25" t="s">
        <v>96</v>
      </c>
      <c r="U1041" s="25" t="s">
        <v>95</v>
      </c>
      <c r="V1041" s="25" t="s">
        <v>223</v>
      </c>
      <c r="W1041" s="25" t="s">
        <v>553</v>
      </c>
      <c r="X1041" s="25" t="s">
        <v>1752</v>
      </c>
      <c r="Y1041" s="25" t="s">
        <v>1753</v>
      </c>
      <c r="Z1041" s="26">
        <v>38890</v>
      </c>
      <c r="AA1041" s="776">
        <v>0</v>
      </c>
      <c r="AB1041" s="776">
        <v>48</v>
      </c>
      <c r="AC1041" s="776">
        <v>0</v>
      </c>
      <c r="AD1041" s="776">
        <v>0</v>
      </c>
      <c r="AE1041" s="777">
        <v>0</v>
      </c>
      <c r="AF1041" s="777">
        <v>15.84</v>
      </c>
      <c r="AG1041" s="778">
        <v>16.518893010355686</v>
      </c>
    </row>
    <row r="1042" spans="1:33" x14ac:dyDescent="0.2">
      <c r="A1042" s="15">
        <f t="shared" si="135"/>
        <v>2006</v>
      </c>
      <c r="B1042" s="14">
        <f t="shared" si="136"/>
        <v>6</v>
      </c>
      <c r="C1042" s="13" t="str">
        <f t="shared" si="137"/>
        <v>Q2</v>
      </c>
      <c r="D1042" s="13" t="str">
        <f t="shared" si="138"/>
        <v>2006Q2</v>
      </c>
      <c r="E1042" s="13" t="str">
        <f t="shared" si="139"/>
        <v>Brazil</v>
      </c>
      <c r="F1042" s="13" t="str">
        <f t="shared" si="142"/>
        <v>Biofuels</v>
      </c>
      <c r="G1042" s="13" t="str">
        <f t="shared" si="141"/>
        <v>Asset finance investments</v>
      </c>
      <c r="H1042" s="638">
        <f t="shared" si="140"/>
        <v>14.867003709320121</v>
      </c>
      <c r="I1042" s="24" t="s">
        <v>506</v>
      </c>
      <c r="J1042" s="25" t="s">
        <v>246</v>
      </c>
      <c r="K1042" s="25" t="s">
        <v>2959</v>
      </c>
      <c r="L1042" s="25" t="s">
        <v>1019</v>
      </c>
      <c r="M1042" s="25" t="s">
        <v>31</v>
      </c>
      <c r="N1042" s="25" t="s">
        <v>31</v>
      </c>
      <c r="O1042" s="25" t="s">
        <v>92</v>
      </c>
      <c r="P1042" s="25" t="s">
        <v>83</v>
      </c>
      <c r="Q1042" s="25" t="s">
        <v>82</v>
      </c>
      <c r="R1042" s="25" t="s">
        <v>91</v>
      </c>
      <c r="S1042" s="25" t="s">
        <v>96</v>
      </c>
      <c r="T1042" s="25" t="s">
        <v>96</v>
      </c>
      <c r="U1042" s="25" t="s">
        <v>95</v>
      </c>
      <c r="V1042" s="25" t="s">
        <v>223</v>
      </c>
      <c r="W1042" s="25" t="s">
        <v>553</v>
      </c>
      <c r="X1042" s="25" t="s">
        <v>1752</v>
      </c>
      <c r="Y1042" s="25" t="s">
        <v>1753</v>
      </c>
      <c r="Z1042" s="26">
        <v>38889</v>
      </c>
      <c r="AA1042" s="776">
        <v>0</v>
      </c>
      <c r="AB1042" s="776">
        <v>43.2</v>
      </c>
      <c r="AC1042" s="776">
        <v>0</v>
      </c>
      <c r="AD1042" s="776">
        <v>0</v>
      </c>
      <c r="AE1042" s="777">
        <v>0</v>
      </c>
      <c r="AF1042" s="777">
        <v>14.256000000000002</v>
      </c>
      <c r="AG1042" s="778">
        <v>14.867003709320121</v>
      </c>
    </row>
    <row r="1043" spans="1:33" x14ac:dyDescent="0.2">
      <c r="A1043" s="15">
        <f t="shared" si="135"/>
        <v>2006</v>
      </c>
      <c r="B1043" s="14">
        <f t="shared" si="136"/>
        <v>4</v>
      </c>
      <c r="C1043" s="13" t="str">
        <f t="shared" si="137"/>
        <v>Q2</v>
      </c>
      <c r="D1043" s="13" t="str">
        <f t="shared" si="138"/>
        <v>2006Q2</v>
      </c>
      <c r="E1043" s="13" t="str">
        <f t="shared" si="139"/>
        <v>Chile</v>
      </c>
      <c r="F1043" s="13" t="str">
        <f t="shared" si="142"/>
        <v>Biomass &amp; Waste</v>
      </c>
      <c r="G1043" s="13" t="str">
        <f t="shared" si="141"/>
        <v>Asset finance investments</v>
      </c>
      <c r="H1043" s="638">
        <f t="shared" si="140"/>
        <v>12.09307360432671</v>
      </c>
      <c r="I1043" s="24" t="s">
        <v>506</v>
      </c>
      <c r="J1043" s="25" t="s">
        <v>246</v>
      </c>
      <c r="K1043" s="25" t="s">
        <v>2960</v>
      </c>
      <c r="L1043" s="25" t="s">
        <v>2961</v>
      </c>
      <c r="M1043" s="25" t="s">
        <v>8</v>
      </c>
      <c r="N1043" s="25" t="s">
        <v>85</v>
      </c>
      <c r="O1043" s="25" t="s">
        <v>92</v>
      </c>
      <c r="P1043" s="25" t="s">
        <v>83</v>
      </c>
      <c r="Q1043" s="25" t="s">
        <v>129</v>
      </c>
      <c r="R1043" s="25"/>
      <c r="S1043" s="25" t="s">
        <v>114</v>
      </c>
      <c r="T1043" s="25" t="s">
        <v>114</v>
      </c>
      <c r="U1043" s="25" t="s">
        <v>379</v>
      </c>
      <c r="V1043" s="25" t="s">
        <v>347</v>
      </c>
      <c r="W1043" s="25" t="s">
        <v>553</v>
      </c>
      <c r="X1043" s="25" t="s">
        <v>1752</v>
      </c>
      <c r="Y1043" s="25" t="s">
        <v>1753</v>
      </c>
      <c r="Z1043" s="26">
        <v>38837</v>
      </c>
      <c r="AA1043" s="776">
        <v>12</v>
      </c>
      <c r="AB1043" s="776">
        <v>0</v>
      </c>
      <c r="AC1043" s="776">
        <v>0</v>
      </c>
      <c r="AD1043" s="776">
        <v>0</v>
      </c>
      <c r="AE1043" s="777">
        <v>12</v>
      </c>
      <c r="AF1043" s="777">
        <v>12</v>
      </c>
      <c r="AG1043" s="778">
        <v>12.09307360432671</v>
      </c>
    </row>
    <row r="1044" spans="1:33" x14ac:dyDescent="0.2">
      <c r="A1044" s="15">
        <f t="shared" si="135"/>
        <v>2006</v>
      </c>
      <c r="B1044" s="14">
        <f t="shared" si="136"/>
        <v>6</v>
      </c>
      <c r="C1044" s="13" t="str">
        <f t="shared" si="137"/>
        <v>Q2</v>
      </c>
      <c r="D1044" s="13" t="str">
        <f t="shared" si="138"/>
        <v>2006Q2</v>
      </c>
      <c r="E1044" s="13" t="str">
        <f t="shared" si="139"/>
        <v>Brazil</v>
      </c>
      <c r="F1044" s="13" t="str">
        <f t="shared" si="142"/>
        <v>Biofuels</v>
      </c>
      <c r="G1044" s="13" t="str">
        <f t="shared" si="141"/>
        <v>Asset finance investments</v>
      </c>
      <c r="H1044" s="638">
        <f t="shared" si="140"/>
        <v>11.471453479413672</v>
      </c>
      <c r="I1044" s="24" t="s">
        <v>506</v>
      </c>
      <c r="J1044" s="25" t="s">
        <v>246</v>
      </c>
      <c r="K1044" s="25" t="s">
        <v>2962</v>
      </c>
      <c r="L1044" s="25" t="s">
        <v>1179</v>
      </c>
      <c r="M1044" s="25" t="s">
        <v>31</v>
      </c>
      <c r="N1044" s="25" t="s">
        <v>31</v>
      </c>
      <c r="O1044" s="25" t="s">
        <v>92</v>
      </c>
      <c r="P1044" s="25" t="s">
        <v>83</v>
      </c>
      <c r="Q1044" s="25" t="s">
        <v>82</v>
      </c>
      <c r="R1044" s="25" t="s">
        <v>91</v>
      </c>
      <c r="S1044" s="25" t="s">
        <v>96</v>
      </c>
      <c r="T1044" s="25" t="s">
        <v>96</v>
      </c>
      <c r="U1044" s="25" t="s">
        <v>98</v>
      </c>
      <c r="V1044" s="25" t="s">
        <v>230</v>
      </c>
      <c r="W1044" s="25" t="s">
        <v>553</v>
      </c>
      <c r="X1044" s="25" t="s">
        <v>1752</v>
      </c>
      <c r="Y1044" s="25" t="s">
        <v>1753</v>
      </c>
      <c r="Z1044" s="26">
        <v>38887</v>
      </c>
      <c r="AA1044" s="776">
        <v>1.75</v>
      </c>
      <c r="AB1044" s="776">
        <v>75</v>
      </c>
      <c r="AC1044" s="776">
        <v>0</v>
      </c>
      <c r="AD1044" s="776">
        <v>0</v>
      </c>
      <c r="AE1044" s="777">
        <v>11</v>
      </c>
      <c r="AF1044" s="777">
        <v>11</v>
      </c>
      <c r="AG1044" s="778">
        <v>11.471453479413672</v>
      </c>
    </row>
    <row r="1045" spans="1:33" x14ac:dyDescent="0.2">
      <c r="A1045" s="15">
        <f t="shared" si="135"/>
        <v>2006</v>
      </c>
      <c r="B1045" s="14">
        <f t="shared" si="136"/>
        <v>5</v>
      </c>
      <c r="C1045" s="13" t="str">
        <f t="shared" si="137"/>
        <v>Q2</v>
      </c>
      <c r="D1045" s="13" t="str">
        <f t="shared" si="138"/>
        <v>2006Q2</v>
      </c>
      <c r="E1045" s="13" t="str">
        <f t="shared" si="139"/>
        <v>Brazil</v>
      </c>
      <c r="F1045" s="13" t="str">
        <f t="shared" si="142"/>
        <v>Biofuels</v>
      </c>
      <c r="G1045" s="13" t="str">
        <f t="shared" si="141"/>
        <v>Asset finance investments</v>
      </c>
      <c r="H1045" s="638">
        <f t="shared" si="140"/>
        <v>9.9113358062134154</v>
      </c>
      <c r="I1045" s="24" t="s">
        <v>506</v>
      </c>
      <c r="J1045" s="25" t="s">
        <v>246</v>
      </c>
      <c r="K1045" s="25" t="s">
        <v>2963</v>
      </c>
      <c r="L1045" s="25" t="s">
        <v>1029</v>
      </c>
      <c r="M1045" s="25" t="s">
        <v>31</v>
      </c>
      <c r="N1045" s="25" t="s">
        <v>31</v>
      </c>
      <c r="O1045" s="25" t="s">
        <v>92</v>
      </c>
      <c r="P1045" s="25" t="s">
        <v>83</v>
      </c>
      <c r="Q1045" s="25" t="s">
        <v>82</v>
      </c>
      <c r="R1045" s="25" t="s">
        <v>91</v>
      </c>
      <c r="S1045" s="25" t="s">
        <v>96</v>
      </c>
      <c r="T1045" s="25" t="s">
        <v>96</v>
      </c>
      <c r="U1045" s="25" t="s">
        <v>95</v>
      </c>
      <c r="V1045" s="25" t="s">
        <v>223</v>
      </c>
      <c r="W1045" s="25" t="s">
        <v>553</v>
      </c>
      <c r="X1045" s="25" t="s">
        <v>1752</v>
      </c>
      <c r="Y1045" s="25" t="s">
        <v>1753</v>
      </c>
      <c r="Z1045" s="26">
        <v>38851</v>
      </c>
      <c r="AA1045" s="776">
        <v>0</v>
      </c>
      <c r="AB1045" s="776">
        <v>28.8</v>
      </c>
      <c r="AC1045" s="776">
        <v>0</v>
      </c>
      <c r="AD1045" s="776">
        <v>0</v>
      </c>
      <c r="AE1045" s="777">
        <v>0</v>
      </c>
      <c r="AF1045" s="777">
        <v>9.5040000000000013</v>
      </c>
      <c r="AG1045" s="778">
        <v>9.9113358062134154</v>
      </c>
    </row>
    <row r="1046" spans="1:33" x14ac:dyDescent="0.2">
      <c r="A1046" s="15">
        <f t="shared" si="135"/>
        <v>2006</v>
      </c>
      <c r="B1046" s="14">
        <f t="shared" si="136"/>
        <v>5</v>
      </c>
      <c r="C1046" s="13" t="str">
        <f t="shared" si="137"/>
        <v>Q2</v>
      </c>
      <c r="D1046" s="13" t="str">
        <f t="shared" si="138"/>
        <v>2006Q2</v>
      </c>
      <c r="E1046" s="13" t="str">
        <f t="shared" si="139"/>
        <v>Brazil</v>
      </c>
      <c r="F1046" s="13" t="str">
        <f t="shared" si="142"/>
        <v>Biomass &amp; Waste</v>
      </c>
      <c r="G1046" s="13" t="str">
        <f t="shared" si="141"/>
        <v>Asset finance investments</v>
      </c>
      <c r="H1046" s="638">
        <f t="shared" si="140"/>
        <v>8.9304829263055563</v>
      </c>
      <c r="I1046" s="24" t="s">
        <v>506</v>
      </c>
      <c r="J1046" s="25" t="s">
        <v>246</v>
      </c>
      <c r="K1046" s="25" t="s">
        <v>2964</v>
      </c>
      <c r="L1046" s="25" t="s">
        <v>573</v>
      </c>
      <c r="M1046" s="25" t="s">
        <v>31</v>
      </c>
      <c r="N1046" s="25" t="s">
        <v>31</v>
      </c>
      <c r="O1046" s="25" t="s">
        <v>92</v>
      </c>
      <c r="P1046" s="25" t="s">
        <v>83</v>
      </c>
      <c r="Q1046" s="25" t="s">
        <v>82</v>
      </c>
      <c r="R1046" s="25" t="s">
        <v>91</v>
      </c>
      <c r="S1046" s="25" t="s">
        <v>114</v>
      </c>
      <c r="T1046" s="25" t="s">
        <v>114</v>
      </c>
      <c r="U1046" s="25" t="s">
        <v>113</v>
      </c>
      <c r="V1046" s="25">
        <v>0</v>
      </c>
      <c r="W1046" s="25" t="s">
        <v>553</v>
      </c>
      <c r="X1046" s="25" t="s">
        <v>1752</v>
      </c>
      <c r="Y1046" s="25" t="s">
        <v>1753</v>
      </c>
      <c r="Z1046" s="26">
        <v>38842</v>
      </c>
      <c r="AA1046" s="776">
        <v>5</v>
      </c>
      <c r="AB1046" s="776">
        <v>0</v>
      </c>
      <c r="AC1046" s="776">
        <v>0</v>
      </c>
      <c r="AD1046" s="776">
        <v>0</v>
      </c>
      <c r="AE1046" s="777">
        <v>8.9</v>
      </c>
      <c r="AF1046" s="777">
        <v>8.9</v>
      </c>
      <c r="AG1046" s="778">
        <v>8.9304829263055563</v>
      </c>
    </row>
    <row r="1047" spans="1:33" x14ac:dyDescent="0.2">
      <c r="A1047" s="15">
        <f t="shared" si="135"/>
        <v>2006</v>
      </c>
      <c r="B1047" s="14">
        <f t="shared" si="136"/>
        <v>4</v>
      </c>
      <c r="C1047" s="13" t="str">
        <f t="shared" si="137"/>
        <v>Q2</v>
      </c>
      <c r="D1047" s="13" t="str">
        <f t="shared" si="138"/>
        <v>2006Q2</v>
      </c>
      <c r="E1047" s="13" t="str">
        <f t="shared" si="139"/>
        <v>Chile</v>
      </c>
      <c r="F1047" s="13" t="str">
        <f t="shared" si="142"/>
        <v>Small Hydro</v>
      </c>
      <c r="G1047" s="13" t="str">
        <f t="shared" si="141"/>
        <v>Asset finance investments</v>
      </c>
      <c r="H1047" s="638">
        <f t="shared" si="140"/>
        <v>9.0451835913378815</v>
      </c>
      <c r="I1047" s="24" t="s">
        <v>506</v>
      </c>
      <c r="J1047" s="25" t="s">
        <v>246</v>
      </c>
      <c r="K1047" s="25" t="s">
        <v>2965</v>
      </c>
      <c r="L1047" s="25" t="s">
        <v>1063</v>
      </c>
      <c r="M1047" s="25" t="s">
        <v>8</v>
      </c>
      <c r="N1047" s="25" t="s">
        <v>85</v>
      </c>
      <c r="O1047" s="25" t="s">
        <v>92</v>
      </c>
      <c r="P1047" s="25" t="s">
        <v>83</v>
      </c>
      <c r="Q1047" s="25" t="s">
        <v>129</v>
      </c>
      <c r="R1047" s="25"/>
      <c r="S1047" s="25" t="s">
        <v>126</v>
      </c>
      <c r="T1047" s="25" t="s">
        <v>125</v>
      </c>
      <c r="U1047" s="25" t="s">
        <v>247</v>
      </c>
      <c r="V1047" s="25">
        <v>0</v>
      </c>
      <c r="W1047" s="25" t="s">
        <v>553</v>
      </c>
      <c r="X1047" s="25" t="s">
        <v>1752</v>
      </c>
      <c r="Y1047" s="25" t="s">
        <v>1753</v>
      </c>
      <c r="Z1047" s="26">
        <v>38826</v>
      </c>
      <c r="AA1047" s="776">
        <v>6</v>
      </c>
      <c r="AB1047" s="776">
        <v>0</v>
      </c>
      <c r="AC1047" s="776">
        <v>0</v>
      </c>
      <c r="AD1047" s="776">
        <v>0</v>
      </c>
      <c r="AE1047" s="777">
        <v>8.8000000000000007</v>
      </c>
      <c r="AF1047" s="777">
        <v>8.8000000000000007</v>
      </c>
      <c r="AG1047" s="778">
        <v>9.0451835913378815</v>
      </c>
    </row>
    <row r="1048" spans="1:33" x14ac:dyDescent="0.2">
      <c r="A1048" s="15">
        <f t="shared" si="135"/>
        <v>2006</v>
      </c>
      <c r="B1048" s="14">
        <f t="shared" si="136"/>
        <v>6</v>
      </c>
      <c r="C1048" s="13" t="str">
        <f t="shared" si="137"/>
        <v>Q2</v>
      </c>
      <c r="D1048" s="13" t="str">
        <f t="shared" si="138"/>
        <v>2006Q2</v>
      </c>
      <c r="E1048" s="13" t="str">
        <f t="shared" si="139"/>
        <v>Brazil</v>
      </c>
      <c r="F1048" s="13" t="str">
        <f t="shared" si="142"/>
        <v>Small Hydro</v>
      </c>
      <c r="G1048" s="13" t="str">
        <f t="shared" si="141"/>
        <v>Asset finance investments</v>
      </c>
      <c r="H1048" s="638">
        <f t="shared" si="140"/>
        <v>5.8905580049065112</v>
      </c>
      <c r="I1048" s="24" t="s">
        <v>506</v>
      </c>
      <c r="J1048" s="25" t="s">
        <v>246</v>
      </c>
      <c r="K1048" s="25" t="s">
        <v>2966</v>
      </c>
      <c r="L1048" s="25" t="s">
        <v>564</v>
      </c>
      <c r="M1048" s="25" t="s">
        <v>31</v>
      </c>
      <c r="N1048" s="25" t="s">
        <v>31</v>
      </c>
      <c r="O1048" s="25" t="s">
        <v>92</v>
      </c>
      <c r="P1048" s="25" t="s">
        <v>83</v>
      </c>
      <c r="Q1048" s="25" t="s">
        <v>82</v>
      </c>
      <c r="R1048" s="25" t="s">
        <v>91</v>
      </c>
      <c r="S1048" s="25" t="s">
        <v>126</v>
      </c>
      <c r="T1048" s="25" t="s">
        <v>125</v>
      </c>
      <c r="U1048" s="25" t="s">
        <v>247</v>
      </c>
      <c r="V1048" s="25">
        <v>0</v>
      </c>
      <c r="W1048" s="25" t="s">
        <v>553</v>
      </c>
      <c r="X1048" s="25" t="s">
        <v>1752</v>
      </c>
      <c r="Y1048" s="25" t="s">
        <v>1753</v>
      </c>
      <c r="Z1048" s="26">
        <v>38869</v>
      </c>
      <c r="AA1048" s="776">
        <v>3.9</v>
      </c>
      <c r="AB1048" s="776">
        <v>0</v>
      </c>
      <c r="AC1048" s="776">
        <v>0</v>
      </c>
      <c r="AD1048" s="776">
        <v>0</v>
      </c>
      <c r="AE1048" s="777">
        <v>0</v>
      </c>
      <c r="AF1048" s="777">
        <v>5.85</v>
      </c>
      <c r="AG1048" s="778">
        <v>5.8905580049065112</v>
      </c>
    </row>
    <row r="1049" spans="1:33" x14ac:dyDescent="0.2">
      <c r="A1049" s="15">
        <f t="shared" si="135"/>
        <v>2006</v>
      </c>
      <c r="B1049" s="14">
        <f t="shared" si="136"/>
        <v>4</v>
      </c>
      <c r="C1049" s="13" t="str">
        <f t="shared" si="137"/>
        <v>Q2</v>
      </c>
      <c r="D1049" s="13" t="str">
        <f t="shared" si="138"/>
        <v>2006Q2</v>
      </c>
      <c r="E1049" s="13" t="str">
        <f t="shared" si="139"/>
        <v>Brazil</v>
      </c>
      <c r="F1049" s="13" t="str">
        <f t="shared" si="142"/>
        <v>Biofuels</v>
      </c>
      <c r="G1049" s="13" t="str">
        <f t="shared" si="141"/>
        <v>Asset finance investments</v>
      </c>
      <c r="H1049" s="638">
        <f t="shared" si="140"/>
        <v>3.7167509273300303</v>
      </c>
      <c r="I1049" s="24" t="s">
        <v>506</v>
      </c>
      <c r="J1049" s="25" t="s">
        <v>246</v>
      </c>
      <c r="K1049" s="25" t="s">
        <v>2967</v>
      </c>
      <c r="L1049" s="25" t="s">
        <v>1027</v>
      </c>
      <c r="M1049" s="25" t="s">
        <v>31</v>
      </c>
      <c r="N1049" s="25" t="s">
        <v>31</v>
      </c>
      <c r="O1049" s="25" t="s">
        <v>92</v>
      </c>
      <c r="P1049" s="25" t="s">
        <v>83</v>
      </c>
      <c r="Q1049" s="25" t="s">
        <v>82</v>
      </c>
      <c r="R1049" s="25" t="s">
        <v>91</v>
      </c>
      <c r="S1049" s="25" t="s">
        <v>96</v>
      </c>
      <c r="T1049" s="25" t="s">
        <v>96</v>
      </c>
      <c r="U1049" s="25" t="s">
        <v>95</v>
      </c>
      <c r="V1049" s="25" t="s">
        <v>223</v>
      </c>
      <c r="W1049" s="25" t="s">
        <v>553</v>
      </c>
      <c r="X1049" s="25" t="s">
        <v>1752</v>
      </c>
      <c r="Y1049" s="25" t="s">
        <v>1753</v>
      </c>
      <c r="Z1049" s="26">
        <v>38817</v>
      </c>
      <c r="AA1049" s="776">
        <v>0</v>
      </c>
      <c r="AB1049" s="776">
        <v>10.8</v>
      </c>
      <c r="AC1049" s="776">
        <v>0</v>
      </c>
      <c r="AD1049" s="776">
        <v>0</v>
      </c>
      <c r="AE1049" s="777">
        <v>0</v>
      </c>
      <c r="AF1049" s="777">
        <v>3.5640000000000005</v>
      </c>
      <c r="AG1049" s="778">
        <v>3.7167509273300303</v>
      </c>
    </row>
    <row r="1050" spans="1:33" x14ac:dyDescent="0.2">
      <c r="A1050" s="15">
        <f t="shared" si="135"/>
        <v>2006</v>
      </c>
      <c r="B1050" s="14">
        <f t="shared" si="136"/>
        <v>4</v>
      </c>
      <c r="C1050" s="13" t="str">
        <f t="shared" si="137"/>
        <v>Q2</v>
      </c>
      <c r="D1050" s="13" t="str">
        <f t="shared" si="138"/>
        <v>2006Q2</v>
      </c>
      <c r="E1050" s="13" t="str">
        <f t="shared" si="139"/>
        <v>Peru</v>
      </c>
      <c r="F1050" s="13" t="str">
        <f t="shared" si="142"/>
        <v>Biomass &amp; Waste</v>
      </c>
      <c r="G1050" s="13" t="str">
        <f t="shared" si="141"/>
        <v>Asset finance investments</v>
      </c>
      <c r="H1050" s="638">
        <f t="shared" si="140"/>
        <v>1.3100829738020603</v>
      </c>
      <c r="I1050" s="24" t="s">
        <v>506</v>
      </c>
      <c r="J1050" s="25" t="s">
        <v>246</v>
      </c>
      <c r="K1050" s="25" t="s">
        <v>2968</v>
      </c>
      <c r="L1050" s="25" t="s">
        <v>555</v>
      </c>
      <c r="M1050" s="25" t="s">
        <v>20</v>
      </c>
      <c r="N1050" s="25" t="s">
        <v>85</v>
      </c>
      <c r="O1050" s="25" t="s">
        <v>92</v>
      </c>
      <c r="P1050" s="25" t="s">
        <v>83</v>
      </c>
      <c r="Q1050" s="25" t="s">
        <v>82</v>
      </c>
      <c r="R1050" s="25"/>
      <c r="S1050" s="25" t="s">
        <v>114</v>
      </c>
      <c r="T1050" s="25" t="s">
        <v>114</v>
      </c>
      <c r="U1050" s="25" t="s">
        <v>554</v>
      </c>
      <c r="V1050" s="25">
        <v>0</v>
      </c>
      <c r="W1050" s="25" t="s">
        <v>553</v>
      </c>
      <c r="X1050" s="25" t="s">
        <v>1752</v>
      </c>
      <c r="Y1050" s="25" t="s">
        <v>1753</v>
      </c>
      <c r="Z1050" s="26">
        <v>38808</v>
      </c>
      <c r="AA1050" s="776">
        <v>17.8</v>
      </c>
      <c r="AB1050" s="776">
        <v>0</v>
      </c>
      <c r="AC1050" s="776">
        <v>0</v>
      </c>
      <c r="AD1050" s="776">
        <v>0</v>
      </c>
      <c r="AE1050" s="777">
        <v>0</v>
      </c>
      <c r="AF1050" s="777">
        <v>1.3</v>
      </c>
      <c r="AG1050" s="778">
        <v>1.3100829738020603</v>
      </c>
    </row>
    <row r="1051" spans="1:33" x14ac:dyDescent="0.2">
      <c r="A1051" s="15">
        <f t="shared" si="135"/>
        <v>2012</v>
      </c>
      <c r="B1051" s="14">
        <f t="shared" si="136"/>
        <v>2</v>
      </c>
      <c r="C1051" s="13" t="str">
        <f t="shared" si="137"/>
        <v>Q1</v>
      </c>
      <c r="D1051" s="13" t="str">
        <f t="shared" si="138"/>
        <v>2012Q1</v>
      </c>
      <c r="E1051" s="13" t="str">
        <f t="shared" si="139"/>
        <v>Mexico</v>
      </c>
      <c r="F1051" s="13" t="str">
        <f t="shared" si="142"/>
        <v>Wind</v>
      </c>
      <c r="G1051" s="13" t="str">
        <f t="shared" si="141"/>
        <v>Asset finance investments</v>
      </c>
      <c r="H1051" s="638">
        <f t="shared" si="140"/>
        <v>1056.319250554219</v>
      </c>
      <c r="I1051" s="24" t="s">
        <v>506</v>
      </c>
      <c r="J1051" s="25" t="s">
        <v>246</v>
      </c>
      <c r="K1051" s="25" t="s">
        <v>2969</v>
      </c>
      <c r="L1051" s="25" t="s">
        <v>2970</v>
      </c>
      <c r="M1051" s="25" t="s">
        <v>18</v>
      </c>
      <c r="N1051" s="25" t="s">
        <v>85</v>
      </c>
      <c r="O1051" s="25" t="s">
        <v>92</v>
      </c>
      <c r="P1051" s="25" t="s">
        <v>83</v>
      </c>
      <c r="Q1051" s="25" t="s">
        <v>129</v>
      </c>
      <c r="R1051" s="25"/>
      <c r="S1051" s="25" t="s">
        <v>101</v>
      </c>
      <c r="T1051" s="25" t="s">
        <v>101</v>
      </c>
      <c r="U1051" s="25" t="s">
        <v>112</v>
      </c>
      <c r="V1051" s="25">
        <v>0</v>
      </c>
      <c r="W1051" s="25" t="s">
        <v>553</v>
      </c>
      <c r="X1051" s="25" t="s">
        <v>1749</v>
      </c>
      <c r="Y1051" s="25" t="s">
        <v>1750</v>
      </c>
      <c r="Z1051" s="26">
        <v>40962</v>
      </c>
      <c r="AA1051" s="776">
        <v>396</v>
      </c>
      <c r="AB1051" s="776">
        <v>0</v>
      </c>
      <c r="AC1051" s="776">
        <v>0</v>
      </c>
      <c r="AD1051" s="776">
        <v>0</v>
      </c>
      <c r="AE1051" s="777">
        <v>961.4</v>
      </c>
      <c r="AF1051" s="777">
        <v>961.4</v>
      </c>
      <c r="AG1051" s="778">
        <v>1056.319250554219</v>
      </c>
    </row>
    <row r="1052" spans="1:33" x14ac:dyDescent="0.2">
      <c r="A1052" s="15">
        <f t="shared" si="135"/>
        <v>2012</v>
      </c>
      <c r="B1052" s="14">
        <f t="shared" si="136"/>
        <v>3</v>
      </c>
      <c r="C1052" s="13" t="str">
        <f t="shared" si="137"/>
        <v>Q1</v>
      </c>
      <c r="D1052" s="13" t="str">
        <f t="shared" si="138"/>
        <v>2012Q1</v>
      </c>
      <c r="E1052" s="13" t="str">
        <f t="shared" si="139"/>
        <v>Brazil</v>
      </c>
      <c r="F1052" s="13" t="str">
        <f t="shared" si="142"/>
        <v>Wind</v>
      </c>
      <c r="G1052" s="13" t="str">
        <f t="shared" si="141"/>
        <v>Asset finance investments</v>
      </c>
      <c r="H1052" s="638">
        <f t="shared" si="140"/>
        <v>356.86758121490567</v>
      </c>
      <c r="I1052" s="24" t="s">
        <v>506</v>
      </c>
      <c r="J1052" s="25" t="s">
        <v>246</v>
      </c>
      <c r="K1052" s="25" t="s">
        <v>2971</v>
      </c>
      <c r="L1052" s="25" t="s">
        <v>2972</v>
      </c>
      <c r="M1052" s="25" t="s">
        <v>31</v>
      </c>
      <c r="N1052" s="25" t="s">
        <v>31</v>
      </c>
      <c r="O1052" s="25" t="s">
        <v>92</v>
      </c>
      <c r="P1052" s="25" t="s">
        <v>83</v>
      </c>
      <c r="Q1052" s="25" t="s">
        <v>82</v>
      </c>
      <c r="R1052" s="25" t="s">
        <v>91</v>
      </c>
      <c r="S1052" s="25" t="s">
        <v>101</v>
      </c>
      <c r="T1052" s="25" t="s">
        <v>101</v>
      </c>
      <c r="U1052" s="25" t="s">
        <v>112</v>
      </c>
      <c r="V1052" s="25">
        <v>0</v>
      </c>
      <c r="W1052" s="25" t="s">
        <v>553</v>
      </c>
      <c r="X1052" s="25" t="s">
        <v>1749</v>
      </c>
      <c r="Y1052" s="25" t="s">
        <v>1750</v>
      </c>
      <c r="Z1052" s="26">
        <v>40975</v>
      </c>
      <c r="AA1052" s="776">
        <v>138</v>
      </c>
      <c r="AB1052" s="776">
        <v>0</v>
      </c>
      <c r="AC1052" s="776">
        <v>0</v>
      </c>
      <c r="AD1052" s="776">
        <v>0</v>
      </c>
      <c r="AE1052" s="777">
        <v>324.8</v>
      </c>
      <c r="AF1052" s="777">
        <v>324.8</v>
      </c>
      <c r="AG1052" s="778">
        <v>356.86758121490567</v>
      </c>
    </row>
    <row r="1053" spans="1:33" x14ac:dyDescent="0.2">
      <c r="A1053" s="15">
        <f t="shared" si="135"/>
        <v>2012</v>
      </c>
      <c r="B1053" s="14">
        <f t="shared" si="136"/>
        <v>3</v>
      </c>
      <c r="C1053" s="13" t="str">
        <f t="shared" si="137"/>
        <v>Q1</v>
      </c>
      <c r="D1053" s="13" t="str">
        <f t="shared" si="138"/>
        <v>2012Q1</v>
      </c>
      <c r="E1053" s="13" t="str">
        <f t="shared" si="139"/>
        <v>Brazil</v>
      </c>
      <c r="F1053" s="13" t="str">
        <f t="shared" si="142"/>
        <v>Wind</v>
      </c>
      <c r="G1053" s="13" t="str">
        <f t="shared" si="141"/>
        <v>Asset finance investments</v>
      </c>
      <c r="H1053" s="638">
        <f t="shared" si="140"/>
        <v>247.21430348938972</v>
      </c>
      <c r="I1053" s="24" t="s">
        <v>506</v>
      </c>
      <c r="J1053" s="25" t="s">
        <v>246</v>
      </c>
      <c r="K1053" s="25" t="s">
        <v>2973</v>
      </c>
      <c r="L1053" s="25" t="s">
        <v>2974</v>
      </c>
      <c r="M1053" s="25" t="s">
        <v>31</v>
      </c>
      <c r="N1053" s="25" t="s">
        <v>31</v>
      </c>
      <c r="O1053" s="25" t="s">
        <v>92</v>
      </c>
      <c r="P1053" s="25" t="s">
        <v>83</v>
      </c>
      <c r="Q1053" s="25" t="s">
        <v>82</v>
      </c>
      <c r="R1053" s="25" t="s">
        <v>91</v>
      </c>
      <c r="S1053" s="25" t="s">
        <v>101</v>
      </c>
      <c r="T1053" s="25" t="s">
        <v>101</v>
      </c>
      <c r="U1053" s="25" t="s">
        <v>112</v>
      </c>
      <c r="V1053" s="25">
        <v>0</v>
      </c>
      <c r="W1053" s="25" t="s">
        <v>553</v>
      </c>
      <c r="X1053" s="25" t="s">
        <v>1752</v>
      </c>
      <c r="Y1053" s="25" t="s">
        <v>1753</v>
      </c>
      <c r="Z1053" s="26">
        <v>40998</v>
      </c>
      <c r="AA1053" s="776">
        <v>90</v>
      </c>
      <c r="AB1053" s="776">
        <v>0</v>
      </c>
      <c r="AC1053" s="776">
        <v>0</v>
      </c>
      <c r="AD1053" s="776">
        <v>0</v>
      </c>
      <c r="AE1053" s="777">
        <v>0</v>
      </c>
      <c r="AF1053" s="777">
        <v>225</v>
      </c>
      <c r="AG1053" s="778">
        <v>247.21430348938972</v>
      </c>
    </row>
    <row r="1054" spans="1:33" x14ac:dyDescent="0.2">
      <c r="A1054" s="15">
        <f t="shared" si="135"/>
        <v>2012</v>
      </c>
      <c r="B1054" s="14">
        <f t="shared" si="136"/>
        <v>3</v>
      </c>
      <c r="C1054" s="13" t="str">
        <f t="shared" si="137"/>
        <v>Q1</v>
      </c>
      <c r="D1054" s="13" t="str">
        <f t="shared" si="138"/>
        <v>2012Q1</v>
      </c>
      <c r="E1054" s="13" t="str">
        <f t="shared" si="139"/>
        <v>Mexico</v>
      </c>
      <c r="F1054" s="13" t="str">
        <f t="shared" si="142"/>
        <v>Solar</v>
      </c>
      <c r="G1054" s="13" t="str">
        <f t="shared" si="141"/>
        <v>Asset finance investments</v>
      </c>
      <c r="H1054" s="638">
        <f t="shared" si="140"/>
        <v>219.7460475461242</v>
      </c>
      <c r="I1054" s="24" t="s">
        <v>506</v>
      </c>
      <c r="J1054" s="25" t="s">
        <v>246</v>
      </c>
      <c r="K1054" s="25" t="s">
        <v>2975</v>
      </c>
      <c r="L1054" s="25" t="s">
        <v>2976</v>
      </c>
      <c r="M1054" s="25" t="s">
        <v>18</v>
      </c>
      <c r="N1054" s="25" t="s">
        <v>85</v>
      </c>
      <c r="O1054" s="25" t="s">
        <v>92</v>
      </c>
      <c r="P1054" s="25" t="s">
        <v>83</v>
      </c>
      <c r="Q1054" s="25" t="s">
        <v>129</v>
      </c>
      <c r="R1054" s="25"/>
      <c r="S1054" s="25" t="s">
        <v>80</v>
      </c>
      <c r="T1054" s="25" t="s">
        <v>80</v>
      </c>
      <c r="U1054" s="25" t="s">
        <v>181</v>
      </c>
      <c r="V1054" s="25" t="s">
        <v>2977</v>
      </c>
      <c r="W1054" s="25" t="s">
        <v>553</v>
      </c>
      <c r="X1054" s="25" t="s">
        <v>1749</v>
      </c>
      <c r="Y1054" s="25" t="s">
        <v>1750</v>
      </c>
      <c r="Z1054" s="26">
        <v>40997</v>
      </c>
      <c r="AA1054" s="776">
        <v>50</v>
      </c>
      <c r="AB1054" s="776">
        <v>0</v>
      </c>
      <c r="AC1054" s="776">
        <v>0</v>
      </c>
      <c r="AD1054" s="776">
        <v>0</v>
      </c>
      <c r="AE1054" s="777">
        <v>0</v>
      </c>
      <c r="AF1054" s="777">
        <v>200</v>
      </c>
      <c r="AG1054" s="778">
        <v>219.7460475461242</v>
      </c>
    </row>
    <row r="1055" spans="1:33" x14ac:dyDescent="0.2">
      <c r="A1055" s="15">
        <f t="shared" si="135"/>
        <v>2012</v>
      </c>
      <c r="B1055" s="14">
        <f t="shared" si="136"/>
        <v>3</v>
      </c>
      <c r="C1055" s="13" t="str">
        <f t="shared" si="137"/>
        <v>Q1</v>
      </c>
      <c r="D1055" s="13" t="str">
        <f t="shared" si="138"/>
        <v>2012Q1</v>
      </c>
      <c r="E1055" s="13" t="str">
        <f t="shared" si="139"/>
        <v>Panama</v>
      </c>
      <c r="F1055" s="13" t="str">
        <f t="shared" si="142"/>
        <v>Small Hydro</v>
      </c>
      <c r="G1055" s="13" t="str">
        <f t="shared" si="141"/>
        <v>Asset finance investments</v>
      </c>
      <c r="H1055" s="638">
        <f t="shared" si="140"/>
        <v>137.34127971632759</v>
      </c>
      <c r="I1055" s="24" t="s">
        <v>506</v>
      </c>
      <c r="J1055" s="25" t="s">
        <v>246</v>
      </c>
      <c r="K1055" s="25" t="s">
        <v>2978</v>
      </c>
      <c r="L1055" s="25" t="s">
        <v>2979</v>
      </c>
      <c r="M1055" s="25" t="s">
        <v>19</v>
      </c>
      <c r="N1055" s="25" t="s">
        <v>85</v>
      </c>
      <c r="O1055" s="25" t="s">
        <v>92</v>
      </c>
      <c r="P1055" s="25" t="s">
        <v>83</v>
      </c>
      <c r="Q1055" s="25" t="s">
        <v>82</v>
      </c>
      <c r="R1055" s="25"/>
      <c r="S1055" s="25" t="s">
        <v>126</v>
      </c>
      <c r="T1055" s="25" t="s">
        <v>125</v>
      </c>
      <c r="U1055" s="25" t="s">
        <v>247</v>
      </c>
      <c r="V1055" s="25">
        <v>0</v>
      </c>
      <c r="W1055" s="25" t="s">
        <v>553</v>
      </c>
      <c r="X1055" s="25" t="s">
        <v>1752</v>
      </c>
      <c r="Y1055" s="25" t="s">
        <v>1753</v>
      </c>
      <c r="Z1055" s="26">
        <v>40969</v>
      </c>
      <c r="AA1055" s="776">
        <v>50</v>
      </c>
      <c r="AB1055" s="776">
        <v>0</v>
      </c>
      <c r="AC1055" s="776">
        <v>0</v>
      </c>
      <c r="AD1055" s="776">
        <v>0</v>
      </c>
      <c r="AE1055" s="777">
        <v>0</v>
      </c>
      <c r="AF1055" s="777">
        <v>125</v>
      </c>
      <c r="AG1055" s="778">
        <v>137.34127971632759</v>
      </c>
    </row>
    <row r="1056" spans="1:33" x14ac:dyDescent="0.2">
      <c r="A1056" s="15">
        <f t="shared" si="135"/>
        <v>2012</v>
      </c>
      <c r="B1056" s="14">
        <f t="shared" si="136"/>
        <v>1</v>
      </c>
      <c r="C1056" s="13" t="str">
        <f t="shared" si="137"/>
        <v>Q1</v>
      </c>
      <c r="D1056" s="13" t="str">
        <f t="shared" si="138"/>
        <v>2012Q1</v>
      </c>
      <c r="E1056" s="13" t="str">
        <f t="shared" si="139"/>
        <v>Ecuador</v>
      </c>
      <c r="F1056" s="13" t="str">
        <f t="shared" si="142"/>
        <v>Small Hydro</v>
      </c>
      <c r="G1056" s="13" t="str">
        <f t="shared" si="141"/>
        <v>Asset finance investments</v>
      </c>
      <c r="H1056" s="638">
        <f t="shared" si="140"/>
        <v>127.34283455297897</v>
      </c>
      <c r="I1056" s="24" t="s">
        <v>506</v>
      </c>
      <c r="J1056" s="25" t="s">
        <v>246</v>
      </c>
      <c r="K1056" s="25" t="s">
        <v>2980</v>
      </c>
      <c r="L1056" s="25" t="s">
        <v>2981</v>
      </c>
      <c r="M1056" s="25" t="s">
        <v>12</v>
      </c>
      <c r="N1056" s="25" t="s">
        <v>85</v>
      </c>
      <c r="O1056" s="25" t="s">
        <v>92</v>
      </c>
      <c r="P1056" s="25" t="s">
        <v>83</v>
      </c>
      <c r="Q1056" s="25" t="s">
        <v>82</v>
      </c>
      <c r="R1056" s="25"/>
      <c r="S1056" s="25" t="s">
        <v>126</v>
      </c>
      <c r="T1056" s="25" t="s">
        <v>125</v>
      </c>
      <c r="U1056" s="25" t="s">
        <v>342</v>
      </c>
      <c r="V1056" s="25">
        <v>0</v>
      </c>
      <c r="W1056" s="25" t="s">
        <v>553</v>
      </c>
      <c r="X1056" s="25" t="s">
        <v>1752</v>
      </c>
      <c r="Y1056" s="25" t="s">
        <v>1753</v>
      </c>
      <c r="Z1056" s="26">
        <v>40927</v>
      </c>
      <c r="AA1056" s="776">
        <v>50</v>
      </c>
      <c r="AB1056" s="776">
        <v>0</v>
      </c>
      <c r="AC1056" s="776">
        <v>0</v>
      </c>
      <c r="AD1056" s="776">
        <v>0</v>
      </c>
      <c r="AE1056" s="777">
        <v>115.9</v>
      </c>
      <c r="AF1056" s="777">
        <v>115.9</v>
      </c>
      <c r="AG1056" s="778">
        <v>127.34283455297897</v>
      </c>
    </row>
    <row r="1057" spans="1:33" x14ac:dyDescent="0.2">
      <c r="A1057" s="15">
        <f t="shared" si="135"/>
        <v>2012</v>
      </c>
      <c r="B1057" s="14">
        <f t="shared" si="136"/>
        <v>1</v>
      </c>
      <c r="C1057" s="13" t="str">
        <f t="shared" si="137"/>
        <v>Q1</v>
      </c>
      <c r="D1057" s="13" t="str">
        <f t="shared" si="138"/>
        <v>2012Q1</v>
      </c>
      <c r="E1057" s="13" t="str">
        <f t="shared" si="139"/>
        <v>Argentina</v>
      </c>
      <c r="F1057" s="13" t="str">
        <f t="shared" si="142"/>
        <v>Wind</v>
      </c>
      <c r="G1057" s="13" t="str">
        <f t="shared" si="141"/>
        <v>Asset finance investments</v>
      </c>
      <c r="H1057" s="638">
        <f t="shared" si="140"/>
        <v>88.997149256180293</v>
      </c>
      <c r="I1057" s="24" t="s">
        <v>506</v>
      </c>
      <c r="J1057" s="25" t="s">
        <v>246</v>
      </c>
      <c r="K1057" s="25" t="s">
        <v>2982</v>
      </c>
      <c r="L1057" s="25" t="s">
        <v>2983</v>
      </c>
      <c r="M1057" s="25" t="s">
        <v>4</v>
      </c>
      <c r="N1057" s="25" t="s">
        <v>85</v>
      </c>
      <c r="O1057" s="25" t="s">
        <v>92</v>
      </c>
      <c r="P1057" s="25" t="s">
        <v>83</v>
      </c>
      <c r="Q1057" s="25" t="s">
        <v>82</v>
      </c>
      <c r="R1057" s="25"/>
      <c r="S1057" s="25" t="s">
        <v>101</v>
      </c>
      <c r="T1057" s="25" t="s">
        <v>101</v>
      </c>
      <c r="U1057" s="25" t="s">
        <v>112</v>
      </c>
      <c r="V1057" s="25">
        <v>0</v>
      </c>
      <c r="W1057" s="25" t="s">
        <v>553</v>
      </c>
      <c r="X1057" s="25" t="s">
        <v>1749</v>
      </c>
      <c r="Y1057" s="25" t="s">
        <v>1750</v>
      </c>
      <c r="Z1057" s="26">
        <v>40927</v>
      </c>
      <c r="AA1057" s="776">
        <v>25</v>
      </c>
      <c r="AB1057" s="776">
        <v>0</v>
      </c>
      <c r="AC1057" s="776">
        <v>0</v>
      </c>
      <c r="AD1057" s="776">
        <v>0</v>
      </c>
      <c r="AE1057" s="777">
        <v>81</v>
      </c>
      <c r="AF1057" s="777">
        <v>81</v>
      </c>
      <c r="AG1057" s="778">
        <v>88.997149256180293</v>
      </c>
    </row>
    <row r="1058" spans="1:33" x14ac:dyDescent="0.2">
      <c r="A1058" s="15">
        <f t="shared" si="135"/>
        <v>2012</v>
      </c>
      <c r="B1058" s="14">
        <f t="shared" si="136"/>
        <v>1</v>
      </c>
      <c r="C1058" s="13" t="str">
        <f t="shared" si="137"/>
        <v>Q1</v>
      </c>
      <c r="D1058" s="13" t="str">
        <f t="shared" si="138"/>
        <v>2012Q1</v>
      </c>
      <c r="E1058" s="13" t="str">
        <f t="shared" si="139"/>
        <v>Brazil</v>
      </c>
      <c r="F1058" s="13" t="str">
        <f t="shared" si="142"/>
        <v>Small Hydro</v>
      </c>
      <c r="G1058" s="13" t="str">
        <f t="shared" si="141"/>
        <v>Asset finance investments</v>
      </c>
      <c r="H1058" s="638">
        <f t="shared" si="140"/>
        <v>74.384037094363038</v>
      </c>
      <c r="I1058" s="24" t="s">
        <v>506</v>
      </c>
      <c r="J1058" s="25" t="s">
        <v>246</v>
      </c>
      <c r="K1058" s="25" t="s">
        <v>2984</v>
      </c>
      <c r="L1058" s="25" t="s">
        <v>2985</v>
      </c>
      <c r="M1058" s="25" t="s">
        <v>31</v>
      </c>
      <c r="N1058" s="25" t="s">
        <v>31</v>
      </c>
      <c r="O1058" s="25" t="s">
        <v>92</v>
      </c>
      <c r="P1058" s="25" t="s">
        <v>83</v>
      </c>
      <c r="Q1058" s="25" t="s">
        <v>82</v>
      </c>
      <c r="R1058" s="25" t="s">
        <v>91</v>
      </c>
      <c r="S1058" s="25" t="s">
        <v>126</v>
      </c>
      <c r="T1058" s="25" t="s">
        <v>125</v>
      </c>
      <c r="U1058" s="25" t="s">
        <v>247</v>
      </c>
      <c r="V1058" s="25">
        <v>0</v>
      </c>
      <c r="W1058" s="25" t="s">
        <v>553</v>
      </c>
      <c r="X1058" s="25" t="s">
        <v>1749</v>
      </c>
      <c r="Y1058" s="25" t="s">
        <v>1750</v>
      </c>
      <c r="Z1058" s="26">
        <v>40911</v>
      </c>
      <c r="AA1058" s="776">
        <v>20</v>
      </c>
      <c r="AB1058" s="776">
        <v>0</v>
      </c>
      <c r="AC1058" s="776">
        <v>0</v>
      </c>
      <c r="AD1058" s="776">
        <v>0</v>
      </c>
      <c r="AE1058" s="777">
        <v>67.7</v>
      </c>
      <c r="AF1058" s="777">
        <v>67.7</v>
      </c>
      <c r="AG1058" s="778">
        <v>74.384037094363038</v>
      </c>
    </row>
    <row r="1059" spans="1:33" x14ac:dyDescent="0.2">
      <c r="A1059" s="15">
        <f t="shared" si="135"/>
        <v>2012</v>
      </c>
      <c r="B1059" s="14">
        <f t="shared" si="136"/>
        <v>3</v>
      </c>
      <c r="C1059" s="13" t="str">
        <f t="shared" si="137"/>
        <v>Q1</v>
      </c>
      <c r="D1059" s="13" t="str">
        <f t="shared" si="138"/>
        <v>2012Q1</v>
      </c>
      <c r="E1059" s="13" t="str">
        <f t="shared" si="139"/>
        <v>Brazil</v>
      </c>
      <c r="F1059" s="13" t="str">
        <f t="shared" si="142"/>
        <v>Small Hydro</v>
      </c>
      <c r="G1059" s="13" t="str">
        <f t="shared" si="141"/>
        <v>Asset finance investments</v>
      </c>
      <c r="H1059" s="638">
        <f t="shared" si="140"/>
        <v>46.696035103551388</v>
      </c>
      <c r="I1059" s="24" t="s">
        <v>506</v>
      </c>
      <c r="J1059" s="25" t="s">
        <v>246</v>
      </c>
      <c r="K1059" s="25" t="s">
        <v>2986</v>
      </c>
      <c r="L1059" s="25" t="s">
        <v>2987</v>
      </c>
      <c r="M1059" s="25" t="s">
        <v>31</v>
      </c>
      <c r="N1059" s="25" t="s">
        <v>31</v>
      </c>
      <c r="O1059" s="25" t="s">
        <v>92</v>
      </c>
      <c r="P1059" s="25" t="s">
        <v>83</v>
      </c>
      <c r="Q1059" s="25" t="s">
        <v>82</v>
      </c>
      <c r="R1059" s="25" t="s">
        <v>91</v>
      </c>
      <c r="S1059" s="25" t="s">
        <v>126</v>
      </c>
      <c r="T1059" s="25" t="s">
        <v>125</v>
      </c>
      <c r="U1059" s="25" t="s">
        <v>247</v>
      </c>
      <c r="V1059" s="25">
        <v>0</v>
      </c>
      <c r="W1059" s="25" t="s">
        <v>553</v>
      </c>
      <c r="X1059" s="25" t="s">
        <v>1752</v>
      </c>
      <c r="Y1059" s="25" t="s">
        <v>1753</v>
      </c>
      <c r="Z1059" s="26">
        <v>40998</v>
      </c>
      <c r="AA1059" s="776">
        <v>17</v>
      </c>
      <c r="AB1059" s="776">
        <v>0</v>
      </c>
      <c r="AC1059" s="776">
        <v>0</v>
      </c>
      <c r="AD1059" s="776">
        <v>0</v>
      </c>
      <c r="AE1059" s="777">
        <v>0</v>
      </c>
      <c r="AF1059" s="777">
        <v>42.5</v>
      </c>
      <c r="AG1059" s="778">
        <v>46.696035103551388</v>
      </c>
    </row>
    <row r="1060" spans="1:33" x14ac:dyDescent="0.2">
      <c r="A1060" s="15">
        <f t="shared" si="135"/>
        <v>2012</v>
      </c>
      <c r="B1060" s="14">
        <f t="shared" si="136"/>
        <v>1</v>
      </c>
      <c r="C1060" s="13" t="str">
        <f t="shared" si="137"/>
        <v>Q1</v>
      </c>
      <c r="D1060" s="13" t="str">
        <f t="shared" si="138"/>
        <v>2012Q1</v>
      </c>
      <c r="E1060" s="13" t="str">
        <f t="shared" si="139"/>
        <v>Brazil</v>
      </c>
      <c r="F1060" s="13" t="str">
        <f t="shared" si="142"/>
        <v>Small Hydro</v>
      </c>
      <c r="G1060" s="13" t="str">
        <f t="shared" si="141"/>
        <v>Asset finance investments</v>
      </c>
      <c r="H1060" s="638">
        <f t="shared" si="140"/>
        <v>46.036796960913016</v>
      </c>
      <c r="I1060" s="24" t="s">
        <v>506</v>
      </c>
      <c r="J1060" s="25" t="s">
        <v>246</v>
      </c>
      <c r="K1060" s="25" t="s">
        <v>2988</v>
      </c>
      <c r="L1060" s="25" t="s">
        <v>2989</v>
      </c>
      <c r="M1060" s="25" t="s">
        <v>31</v>
      </c>
      <c r="N1060" s="25" t="s">
        <v>31</v>
      </c>
      <c r="O1060" s="25" t="s">
        <v>92</v>
      </c>
      <c r="P1060" s="25" t="s">
        <v>83</v>
      </c>
      <c r="Q1060" s="25" t="s">
        <v>82</v>
      </c>
      <c r="R1060" s="25" t="s">
        <v>91</v>
      </c>
      <c r="S1060" s="25" t="s">
        <v>126</v>
      </c>
      <c r="T1060" s="25" t="s">
        <v>125</v>
      </c>
      <c r="U1060" s="25" t="s">
        <v>247</v>
      </c>
      <c r="V1060" s="25">
        <v>0</v>
      </c>
      <c r="W1060" s="25" t="s">
        <v>553</v>
      </c>
      <c r="X1060" s="25" t="s">
        <v>1752</v>
      </c>
      <c r="Y1060" s="25" t="s">
        <v>1753</v>
      </c>
      <c r="Z1060" s="26">
        <v>40938</v>
      </c>
      <c r="AA1060" s="776">
        <v>8</v>
      </c>
      <c r="AB1060" s="776">
        <v>0</v>
      </c>
      <c r="AC1060" s="776">
        <v>0</v>
      </c>
      <c r="AD1060" s="776">
        <v>0</v>
      </c>
      <c r="AE1060" s="777">
        <v>41.9</v>
      </c>
      <c r="AF1060" s="777">
        <v>41.9</v>
      </c>
      <c r="AG1060" s="778">
        <v>46.036796960913016</v>
      </c>
    </row>
    <row r="1061" spans="1:33" x14ac:dyDescent="0.2">
      <c r="A1061" s="15">
        <f t="shared" si="135"/>
        <v>2012</v>
      </c>
      <c r="B1061" s="14">
        <f t="shared" si="136"/>
        <v>1</v>
      </c>
      <c r="C1061" s="13" t="str">
        <f t="shared" si="137"/>
        <v>Q1</v>
      </c>
      <c r="D1061" s="13" t="str">
        <f t="shared" si="138"/>
        <v>2012Q1</v>
      </c>
      <c r="E1061" s="13" t="str">
        <f t="shared" si="139"/>
        <v>Brazil</v>
      </c>
      <c r="F1061" s="13" t="str">
        <f t="shared" si="142"/>
        <v>Wind</v>
      </c>
      <c r="G1061" s="13" t="str">
        <f t="shared" si="141"/>
        <v>Asset finance investments</v>
      </c>
      <c r="H1061" s="638">
        <f t="shared" si="140"/>
        <v>43.180098342813402</v>
      </c>
      <c r="I1061" s="24" t="s">
        <v>506</v>
      </c>
      <c r="J1061" s="25" t="s">
        <v>246</v>
      </c>
      <c r="K1061" s="25" t="s">
        <v>2990</v>
      </c>
      <c r="L1061" s="25" t="s">
        <v>2991</v>
      </c>
      <c r="M1061" s="25" t="s">
        <v>31</v>
      </c>
      <c r="N1061" s="25" t="s">
        <v>31</v>
      </c>
      <c r="O1061" s="25" t="s">
        <v>92</v>
      </c>
      <c r="P1061" s="25" t="s">
        <v>83</v>
      </c>
      <c r="Q1061" s="25" t="s">
        <v>82</v>
      </c>
      <c r="R1061" s="25" t="s">
        <v>91</v>
      </c>
      <c r="S1061" s="25" t="s">
        <v>101</v>
      </c>
      <c r="T1061" s="25" t="s">
        <v>101</v>
      </c>
      <c r="U1061" s="25" t="s">
        <v>112</v>
      </c>
      <c r="V1061" s="25">
        <v>0</v>
      </c>
      <c r="W1061" s="25" t="s">
        <v>553</v>
      </c>
      <c r="X1061" s="25" t="s">
        <v>1752</v>
      </c>
      <c r="Y1061" s="25" t="s">
        <v>1753</v>
      </c>
      <c r="Z1061" s="26">
        <v>40938</v>
      </c>
      <c r="AA1061" s="776">
        <v>18</v>
      </c>
      <c r="AB1061" s="776">
        <v>0</v>
      </c>
      <c r="AC1061" s="776">
        <v>0</v>
      </c>
      <c r="AD1061" s="776">
        <v>0</v>
      </c>
      <c r="AE1061" s="777">
        <v>39.299999999999997</v>
      </c>
      <c r="AF1061" s="777">
        <v>39.299999999999997</v>
      </c>
      <c r="AG1061" s="778">
        <v>43.180098342813402</v>
      </c>
    </row>
    <row r="1062" spans="1:33" x14ac:dyDescent="0.2">
      <c r="A1062" s="15">
        <f t="shared" si="135"/>
        <v>2012</v>
      </c>
      <c r="B1062" s="14">
        <f t="shared" si="136"/>
        <v>1</v>
      </c>
      <c r="C1062" s="13" t="str">
        <f t="shared" si="137"/>
        <v>Q1</v>
      </c>
      <c r="D1062" s="13" t="str">
        <f t="shared" si="138"/>
        <v>2012Q1</v>
      </c>
      <c r="E1062" s="13" t="str">
        <f t="shared" si="139"/>
        <v>Chile</v>
      </c>
      <c r="F1062" s="13" t="str">
        <f t="shared" si="142"/>
        <v>Small Hydro</v>
      </c>
      <c r="G1062" s="13" t="str">
        <f t="shared" si="141"/>
        <v>Asset finance investments</v>
      </c>
      <c r="H1062" s="638">
        <f t="shared" si="140"/>
        <v>32.961907131918629</v>
      </c>
      <c r="I1062" s="24" t="s">
        <v>506</v>
      </c>
      <c r="J1062" s="25" t="s">
        <v>246</v>
      </c>
      <c r="K1062" s="25" t="s">
        <v>2992</v>
      </c>
      <c r="L1062" s="25" t="s">
        <v>2993</v>
      </c>
      <c r="M1062" s="25" t="s">
        <v>8</v>
      </c>
      <c r="N1062" s="25" t="s">
        <v>85</v>
      </c>
      <c r="O1062" s="25" t="s">
        <v>92</v>
      </c>
      <c r="P1062" s="25" t="s">
        <v>83</v>
      </c>
      <c r="Q1062" s="25" t="s">
        <v>129</v>
      </c>
      <c r="R1062" s="25"/>
      <c r="S1062" s="25" t="s">
        <v>126</v>
      </c>
      <c r="T1062" s="25" t="s">
        <v>125</v>
      </c>
      <c r="U1062" s="25" t="s">
        <v>247</v>
      </c>
      <c r="V1062" s="25">
        <v>0</v>
      </c>
      <c r="W1062" s="25" t="s">
        <v>553</v>
      </c>
      <c r="X1062" s="25" t="s">
        <v>1752</v>
      </c>
      <c r="Y1062" s="25" t="s">
        <v>1753</v>
      </c>
      <c r="Z1062" s="26">
        <v>40914</v>
      </c>
      <c r="AA1062" s="776">
        <v>12</v>
      </c>
      <c r="AB1062" s="776">
        <v>0</v>
      </c>
      <c r="AC1062" s="776">
        <v>0</v>
      </c>
      <c r="AD1062" s="776">
        <v>0</v>
      </c>
      <c r="AE1062" s="777">
        <v>30</v>
      </c>
      <c r="AF1062" s="777">
        <v>30</v>
      </c>
      <c r="AG1062" s="778">
        <v>32.961907131918629</v>
      </c>
    </row>
    <row r="1063" spans="1:33" x14ac:dyDescent="0.2">
      <c r="A1063" s="15">
        <f t="shared" si="135"/>
        <v>2012</v>
      </c>
      <c r="B1063" s="14">
        <f t="shared" si="136"/>
        <v>1</v>
      </c>
      <c r="C1063" s="13" t="str">
        <f t="shared" si="137"/>
        <v>Q1</v>
      </c>
      <c r="D1063" s="13" t="str">
        <f t="shared" si="138"/>
        <v>2012Q1</v>
      </c>
      <c r="E1063" s="13" t="str">
        <f t="shared" si="139"/>
        <v>Brazil</v>
      </c>
      <c r="F1063" s="13" t="str">
        <f t="shared" si="142"/>
        <v>Small Hydro</v>
      </c>
      <c r="G1063" s="13" t="str">
        <f t="shared" si="141"/>
        <v>Asset finance investments</v>
      </c>
      <c r="H1063" s="638">
        <f t="shared" si="140"/>
        <v>32.961907131918629</v>
      </c>
      <c r="I1063" s="24" t="s">
        <v>506</v>
      </c>
      <c r="J1063" s="25" t="s">
        <v>246</v>
      </c>
      <c r="K1063" s="25" t="s">
        <v>2994</v>
      </c>
      <c r="L1063" s="25" t="s">
        <v>2995</v>
      </c>
      <c r="M1063" s="25" t="s">
        <v>31</v>
      </c>
      <c r="N1063" s="25" t="s">
        <v>31</v>
      </c>
      <c r="O1063" s="25" t="s">
        <v>92</v>
      </c>
      <c r="P1063" s="25" t="s">
        <v>83</v>
      </c>
      <c r="Q1063" s="25" t="s">
        <v>82</v>
      </c>
      <c r="R1063" s="25" t="s">
        <v>91</v>
      </c>
      <c r="S1063" s="25" t="s">
        <v>126</v>
      </c>
      <c r="T1063" s="25" t="s">
        <v>125</v>
      </c>
      <c r="U1063" s="25" t="s">
        <v>247</v>
      </c>
      <c r="V1063" s="25">
        <v>0</v>
      </c>
      <c r="W1063" s="25" t="s">
        <v>553</v>
      </c>
      <c r="X1063" s="25" t="s">
        <v>1752</v>
      </c>
      <c r="Y1063" s="25" t="s">
        <v>1753</v>
      </c>
      <c r="Z1063" s="26">
        <v>40938</v>
      </c>
      <c r="AA1063" s="776">
        <v>12</v>
      </c>
      <c r="AB1063" s="776">
        <v>0</v>
      </c>
      <c r="AC1063" s="776">
        <v>0</v>
      </c>
      <c r="AD1063" s="776">
        <v>0</v>
      </c>
      <c r="AE1063" s="777">
        <v>0</v>
      </c>
      <c r="AF1063" s="777">
        <v>30</v>
      </c>
      <c r="AG1063" s="778">
        <v>32.961907131918629</v>
      </c>
    </row>
    <row r="1064" spans="1:33" x14ac:dyDescent="0.2">
      <c r="A1064" s="15">
        <f t="shared" si="135"/>
        <v>2012</v>
      </c>
      <c r="B1064" s="14">
        <f t="shared" si="136"/>
        <v>1</v>
      </c>
      <c r="C1064" s="13" t="str">
        <f t="shared" si="137"/>
        <v>Q1</v>
      </c>
      <c r="D1064" s="13" t="str">
        <f t="shared" si="138"/>
        <v>2012Q1</v>
      </c>
      <c r="E1064" s="13" t="str">
        <f t="shared" si="139"/>
        <v>Brazil</v>
      </c>
      <c r="F1064" s="13" t="str">
        <f t="shared" si="142"/>
        <v>Small Hydro</v>
      </c>
      <c r="G1064" s="13" t="str">
        <f t="shared" si="141"/>
        <v>Asset finance investments</v>
      </c>
      <c r="H1064" s="638">
        <f t="shared" si="140"/>
        <v>27.248509895719401</v>
      </c>
      <c r="I1064" s="24" t="s">
        <v>506</v>
      </c>
      <c r="J1064" s="25" t="s">
        <v>246</v>
      </c>
      <c r="K1064" s="25" t="s">
        <v>2996</v>
      </c>
      <c r="L1064" s="25" t="s">
        <v>2997</v>
      </c>
      <c r="M1064" s="25" t="s">
        <v>31</v>
      </c>
      <c r="N1064" s="25" t="s">
        <v>31</v>
      </c>
      <c r="O1064" s="25" t="s">
        <v>92</v>
      </c>
      <c r="P1064" s="25" t="s">
        <v>83</v>
      </c>
      <c r="Q1064" s="25" t="s">
        <v>82</v>
      </c>
      <c r="R1064" s="25" t="s">
        <v>91</v>
      </c>
      <c r="S1064" s="25" t="s">
        <v>126</v>
      </c>
      <c r="T1064" s="25" t="s">
        <v>125</v>
      </c>
      <c r="U1064" s="25" t="s">
        <v>247</v>
      </c>
      <c r="V1064" s="25">
        <v>0</v>
      </c>
      <c r="W1064" s="25" t="s">
        <v>553</v>
      </c>
      <c r="X1064" s="25" t="s">
        <v>1752</v>
      </c>
      <c r="Y1064" s="25" t="s">
        <v>1753</v>
      </c>
      <c r="Z1064" s="26">
        <v>40938</v>
      </c>
      <c r="AA1064" s="776">
        <v>9.9</v>
      </c>
      <c r="AB1064" s="776">
        <v>0</v>
      </c>
      <c r="AC1064" s="776">
        <v>0</v>
      </c>
      <c r="AD1064" s="776">
        <v>0</v>
      </c>
      <c r="AE1064" s="777">
        <v>0</v>
      </c>
      <c r="AF1064" s="777">
        <v>24.8</v>
      </c>
      <c r="AG1064" s="778">
        <v>27.248509895719401</v>
      </c>
    </row>
    <row r="1065" spans="1:33" x14ac:dyDescent="0.2">
      <c r="A1065" s="15">
        <f t="shared" si="135"/>
        <v>2012</v>
      </c>
      <c r="B1065" s="14">
        <f t="shared" si="136"/>
        <v>1</v>
      </c>
      <c r="C1065" s="13" t="str">
        <f t="shared" si="137"/>
        <v>Q1</v>
      </c>
      <c r="D1065" s="13" t="str">
        <f t="shared" si="138"/>
        <v>2012Q1</v>
      </c>
      <c r="E1065" s="13" t="str">
        <f t="shared" si="139"/>
        <v>Chile</v>
      </c>
      <c r="F1065" s="13" t="str">
        <f t="shared" si="142"/>
        <v>Small Hydro</v>
      </c>
      <c r="G1065" s="13" t="str">
        <f t="shared" si="141"/>
        <v>Asset finance investments</v>
      </c>
      <c r="H1065" s="638">
        <f t="shared" si="140"/>
        <v>26.369525705534905</v>
      </c>
      <c r="I1065" s="24" t="s">
        <v>506</v>
      </c>
      <c r="J1065" s="25" t="s">
        <v>246</v>
      </c>
      <c r="K1065" s="25" t="s">
        <v>2998</v>
      </c>
      <c r="L1065" s="25" t="s">
        <v>2999</v>
      </c>
      <c r="M1065" s="25" t="s">
        <v>8</v>
      </c>
      <c r="N1065" s="25" t="s">
        <v>85</v>
      </c>
      <c r="O1065" s="25" t="s">
        <v>92</v>
      </c>
      <c r="P1065" s="25" t="s">
        <v>83</v>
      </c>
      <c r="Q1065" s="25" t="s">
        <v>129</v>
      </c>
      <c r="R1065" s="25"/>
      <c r="S1065" s="25" t="s">
        <v>126</v>
      </c>
      <c r="T1065" s="25" t="s">
        <v>125</v>
      </c>
      <c r="U1065" s="25" t="s">
        <v>247</v>
      </c>
      <c r="V1065" s="25">
        <v>0</v>
      </c>
      <c r="W1065" s="25" t="s">
        <v>553</v>
      </c>
      <c r="X1065" s="25" t="s">
        <v>1752</v>
      </c>
      <c r="Y1065" s="25" t="s">
        <v>1753</v>
      </c>
      <c r="Z1065" s="26">
        <v>40909</v>
      </c>
      <c r="AA1065" s="776">
        <v>7.5</v>
      </c>
      <c r="AB1065" s="776">
        <v>0</v>
      </c>
      <c r="AC1065" s="776">
        <v>0</v>
      </c>
      <c r="AD1065" s="776">
        <v>0</v>
      </c>
      <c r="AE1065" s="777">
        <v>24</v>
      </c>
      <c r="AF1065" s="777">
        <v>24</v>
      </c>
      <c r="AG1065" s="778">
        <v>26.369525705534905</v>
      </c>
    </row>
    <row r="1066" spans="1:33" x14ac:dyDescent="0.2">
      <c r="A1066" s="15">
        <f t="shared" si="135"/>
        <v>2012</v>
      </c>
      <c r="B1066" s="14">
        <f t="shared" si="136"/>
        <v>2</v>
      </c>
      <c r="C1066" s="13" t="str">
        <f t="shared" si="137"/>
        <v>Q1</v>
      </c>
      <c r="D1066" s="13" t="str">
        <f t="shared" si="138"/>
        <v>2012Q1</v>
      </c>
      <c r="E1066" s="13" t="str">
        <f t="shared" si="139"/>
        <v>Mexico</v>
      </c>
      <c r="F1066" s="13" t="str">
        <f t="shared" si="142"/>
        <v>Solar</v>
      </c>
      <c r="G1066" s="13" t="str">
        <f t="shared" si="141"/>
        <v>Asset finance investments</v>
      </c>
      <c r="H1066" s="638">
        <f t="shared" si="140"/>
        <v>22.194350802158542</v>
      </c>
      <c r="I1066" s="24" t="s">
        <v>506</v>
      </c>
      <c r="J1066" s="25" t="s">
        <v>246</v>
      </c>
      <c r="K1066" s="25" t="s">
        <v>3000</v>
      </c>
      <c r="L1066" s="25" t="s">
        <v>3001</v>
      </c>
      <c r="M1066" s="25" t="s">
        <v>18</v>
      </c>
      <c r="N1066" s="25" t="s">
        <v>85</v>
      </c>
      <c r="O1066" s="25" t="s">
        <v>92</v>
      </c>
      <c r="P1066" s="25" t="s">
        <v>83</v>
      </c>
      <c r="Q1066" s="25" t="s">
        <v>129</v>
      </c>
      <c r="R1066" s="25"/>
      <c r="S1066" s="25" t="s">
        <v>80</v>
      </c>
      <c r="T1066" s="25" t="s">
        <v>80</v>
      </c>
      <c r="U1066" s="25" t="s">
        <v>181</v>
      </c>
      <c r="V1066" s="25" t="s">
        <v>232</v>
      </c>
      <c r="W1066" s="25" t="s">
        <v>553</v>
      </c>
      <c r="X1066" s="25" t="s">
        <v>1752</v>
      </c>
      <c r="Y1066" s="25" t="s">
        <v>1753</v>
      </c>
      <c r="Z1066" s="26">
        <v>40955</v>
      </c>
      <c r="AA1066" s="776">
        <v>5</v>
      </c>
      <c r="AB1066" s="776">
        <v>0</v>
      </c>
      <c r="AC1066" s="776">
        <v>0</v>
      </c>
      <c r="AD1066" s="776">
        <v>0</v>
      </c>
      <c r="AE1066" s="777">
        <v>20.2</v>
      </c>
      <c r="AF1066" s="777">
        <v>20.2</v>
      </c>
      <c r="AG1066" s="778">
        <v>22.194350802158542</v>
      </c>
    </row>
    <row r="1067" spans="1:33" x14ac:dyDescent="0.2">
      <c r="A1067" s="15">
        <f t="shared" si="135"/>
        <v>2012</v>
      </c>
      <c r="B1067" s="14">
        <f t="shared" si="136"/>
        <v>1</v>
      </c>
      <c r="C1067" s="13" t="str">
        <f t="shared" si="137"/>
        <v>Q1</v>
      </c>
      <c r="D1067" s="13" t="str">
        <f t="shared" si="138"/>
        <v>2012Q1</v>
      </c>
      <c r="E1067" s="13" t="str">
        <f t="shared" si="139"/>
        <v>Brazil</v>
      </c>
      <c r="F1067" s="13" t="str">
        <f t="shared" si="142"/>
        <v>Biofuels</v>
      </c>
      <c r="G1067" s="13" t="str">
        <f t="shared" si="141"/>
        <v>Asset finance investments</v>
      </c>
      <c r="H1067" s="638">
        <f t="shared" si="140"/>
        <v>17.579683803689935</v>
      </c>
      <c r="I1067" s="24" t="s">
        <v>506</v>
      </c>
      <c r="J1067" s="25" t="s">
        <v>246</v>
      </c>
      <c r="K1067" s="25" t="s">
        <v>3002</v>
      </c>
      <c r="L1067" s="25" t="s">
        <v>3003</v>
      </c>
      <c r="M1067" s="25" t="s">
        <v>31</v>
      </c>
      <c r="N1067" s="25" t="s">
        <v>31</v>
      </c>
      <c r="O1067" s="25" t="s">
        <v>92</v>
      </c>
      <c r="P1067" s="25" t="s">
        <v>83</v>
      </c>
      <c r="Q1067" s="25" t="s">
        <v>82</v>
      </c>
      <c r="R1067" s="25" t="s">
        <v>91</v>
      </c>
      <c r="S1067" s="25" t="s">
        <v>96</v>
      </c>
      <c r="T1067" s="25" t="s">
        <v>96</v>
      </c>
      <c r="U1067" s="25" t="s">
        <v>95</v>
      </c>
      <c r="V1067" s="25" t="s">
        <v>223</v>
      </c>
      <c r="W1067" s="25" t="s">
        <v>553</v>
      </c>
      <c r="X1067" s="25" t="s">
        <v>1752</v>
      </c>
      <c r="Y1067" s="25" t="s">
        <v>1753</v>
      </c>
      <c r="Z1067" s="26">
        <v>40934</v>
      </c>
      <c r="AA1067" s="776">
        <v>0</v>
      </c>
      <c r="AB1067" s="776">
        <v>43.4</v>
      </c>
      <c r="AC1067" s="776">
        <v>0</v>
      </c>
      <c r="AD1067" s="776">
        <v>0</v>
      </c>
      <c r="AE1067" s="777">
        <v>16</v>
      </c>
      <c r="AF1067" s="777">
        <v>16</v>
      </c>
      <c r="AG1067" s="778">
        <v>17.579683803689935</v>
      </c>
    </row>
    <row r="1068" spans="1:33" x14ac:dyDescent="0.2">
      <c r="A1068" s="15">
        <f t="shared" si="135"/>
        <v>2012</v>
      </c>
      <c r="B1068" s="14">
        <f t="shared" si="136"/>
        <v>1</v>
      </c>
      <c r="C1068" s="13" t="str">
        <f t="shared" si="137"/>
        <v>Q1</v>
      </c>
      <c r="D1068" s="13" t="str">
        <f t="shared" si="138"/>
        <v>2012Q1</v>
      </c>
      <c r="E1068" s="13" t="str">
        <f t="shared" si="139"/>
        <v>Brazil</v>
      </c>
      <c r="F1068" s="13" t="str">
        <f t="shared" si="142"/>
        <v>Small Hydro</v>
      </c>
      <c r="G1068" s="13" t="str">
        <f t="shared" si="141"/>
        <v>Asset finance investments</v>
      </c>
      <c r="H1068" s="638">
        <f t="shared" si="140"/>
        <v>16.480953565959314</v>
      </c>
      <c r="I1068" s="24" t="s">
        <v>506</v>
      </c>
      <c r="J1068" s="25" t="s">
        <v>246</v>
      </c>
      <c r="K1068" s="25" t="s">
        <v>3004</v>
      </c>
      <c r="L1068" s="25" t="s">
        <v>3005</v>
      </c>
      <c r="M1068" s="25" t="s">
        <v>31</v>
      </c>
      <c r="N1068" s="25" t="s">
        <v>31</v>
      </c>
      <c r="O1068" s="25" t="s">
        <v>92</v>
      </c>
      <c r="P1068" s="25" t="s">
        <v>83</v>
      </c>
      <c r="Q1068" s="25" t="s">
        <v>82</v>
      </c>
      <c r="R1068" s="25" t="s">
        <v>91</v>
      </c>
      <c r="S1068" s="25" t="s">
        <v>126</v>
      </c>
      <c r="T1068" s="25" t="s">
        <v>125</v>
      </c>
      <c r="U1068" s="25" t="s">
        <v>247</v>
      </c>
      <c r="V1068" s="25">
        <v>0</v>
      </c>
      <c r="W1068" s="25" t="s">
        <v>553</v>
      </c>
      <c r="X1068" s="25" t="s">
        <v>1752</v>
      </c>
      <c r="Y1068" s="25" t="s">
        <v>1753</v>
      </c>
      <c r="Z1068" s="26">
        <v>40938</v>
      </c>
      <c r="AA1068" s="776">
        <v>6</v>
      </c>
      <c r="AB1068" s="776">
        <v>0</v>
      </c>
      <c r="AC1068" s="776">
        <v>0</v>
      </c>
      <c r="AD1068" s="776">
        <v>0</v>
      </c>
      <c r="AE1068" s="777">
        <v>0</v>
      </c>
      <c r="AF1068" s="777">
        <v>15</v>
      </c>
      <c r="AG1068" s="778">
        <v>16.480953565959314</v>
      </c>
    </row>
    <row r="1069" spans="1:33" x14ac:dyDescent="0.2">
      <c r="A1069" s="15">
        <f t="shared" si="135"/>
        <v>2012</v>
      </c>
      <c r="B1069" s="14">
        <f t="shared" si="136"/>
        <v>1</v>
      </c>
      <c r="C1069" s="13" t="str">
        <f t="shared" si="137"/>
        <v>Q1</v>
      </c>
      <c r="D1069" s="13" t="str">
        <f t="shared" si="138"/>
        <v>2012Q1</v>
      </c>
      <c r="E1069" s="13" t="str">
        <f t="shared" si="139"/>
        <v>Chile</v>
      </c>
      <c r="F1069" s="13" t="str">
        <f t="shared" si="142"/>
        <v>Small Hydro</v>
      </c>
      <c r="G1069" s="13" t="str">
        <f t="shared" si="141"/>
        <v>Asset finance investments</v>
      </c>
      <c r="H1069" s="638">
        <f t="shared" si="140"/>
        <v>15.382223328228694</v>
      </c>
      <c r="I1069" s="24" t="s">
        <v>506</v>
      </c>
      <c r="J1069" s="25" t="s">
        <v>246</v>
      </c>
      <c r="K1069" s="25" t="s">
        <v>3006</v>
      </c>
      <c r="L1069" s="25" t="s">
        <v>3007</v>
      </c>
      <c r="M1069" s="25" t="s">
        <v>8</v>
      </c>
      <c r="N1069" s="25" t="s">
        <v>85</v>
      </c>
      <c r="O1069" s="25" t="s">
        <v>92</v>
      </c>
      <c r="P1069" s="25" t="s">
        <v>83</v>
      </c>
      <c r="Q1069" s="25" t="s">
        <v>129</v>
      </c>
      <c r="R1069" s="25"/>
      <c r="S1069" s="25" t="s">
        <v>126</v>
      </c>
      <c r="T1069" s="25" t="s">
        <v>125</v>
      </c>
      <c r="U1069" s="25" t="s">
        <v>247</v>
      </c>
      <c r="V1069" s="25">
        <v>0</v>
      </c>
      <c r="W1069" s="25" t="s">
        <v>553</v>
      </c>
      <c r="X1069" s="25" t="s">
        <v>1752</v>
      </c>
      <c r="Y1069" s="25" t="s">
        <v>1753</v>
      </c>
      <c r="Z1069" s="26">
        <v>40909</v>
      </c>
      <c r="AA1069" s="776">
        <v>7.1</v>
      </c>
      <c r="AB1069" s="776">
        <v>0</v>
      </c>
      <c r="AC1069" s="776">
        <v>0</v>
      </c>
      <c r="AD1069" s="776">
        <v>0</v>
      </c>
      <c r="AE1069" s="777">
        <v>14</v>
      </c>
      <c r="AF1069" s="777">
        <v>14</v>
      </c>
      <c r="AG1069" s="778">
        <v>15.382223328228694</v>
      </c>
    </row>
    <row r="1070" spans="1:33" x14ac:dyDescent="0.2">
      <c r="A1070" s="15">
        <f t="shared" si="135"/>
        <v>2012</v>
      </c>
      <c r="B1070" s="14">
        <f t="shared" si="136"/>
        <v>2</v>
      </c>
      <c r="C1070" s="13" t="str">
        <f t="shared" si="137"/>
        <v>Q1</v>
      </c>
      <c r="D1070" s="13" t="str">
        <f t="shared" si="138"/>
        <v>2012Q1</v>
      </c>
      <c r="E1070" s="13" t="str">
        <f t="shared" si="139"/>
        <v>Brazil</v>
      </c>
      <c r="F1070" s="13" t="str">
        <f t="shared" si="142"/>
        <v>Small Hydro</v>
      </c>
      <c r="G1070" s="13" t="str">
        <f t="shared" si="141"/>
        <v>Asset finance investments</v>
      </c>
      <c r="H1070" s="638">
        <f t="shared" si="140"/>
        <v>13.184762852767452</v>
      </c>
      <c r="I1070" s="24" t="s">
        <v>506</v>
      </c>
      <c r="J1070" s="25" t="s">
        <v>246</v>
      </c>
      <c r="K1070" s="25" t="s">
        <v>3008</v>
      </c>
      <c r="L1070" s="25" t="s">
        <v>3009</v>
      </c>
      <c r="M1070" s="25" t="s">
        <v>31</v>
      </c>
      <c r="N1070" s="25" t="s">
        <v>31</v>
      </c>
      <c r="O1070" s="25" t="s">
        <v>92</v>
      </c>
      <c r="P1070" s="25" t="s">
        <v>83</v>
      </c>
      <c r="Q1070" s="25" t="s">
        <v>82</v>
      </c>
      <c r="R1070" s="25" t="s">
        <v>91</v>
      </c>
      <c r="S1070" s="25" t="s">
        <v>126</v>
      </c>
      <c r="T1070" s="25" t="s">
        <v>125</v>
      </c>
      <c r="U1070" s="25" t="s">
        <v>247</v>
      </c>
      <c r="V1070" s="25">
        <v>0</v>
      </c>
      <c r="W1070" s="25" t="s">
        <v>553</v>
      </c>
      <c r="X1070" s="25" t="s">
        <v>1752</v>
      </c>
      <c r="Y1070" s="25" t="s">
        <v>1753</v>
      </c>
      <c r="Z1070" s="26">
        <v>40968</v>
      </c>
      <c r="AA1070" s="776">
        <v>4.8</v>
      </c>
      <c r="AB1070" s="776">
        <v>0</v>
      </c>
      <c r="AC1070" s="776">
        <v>0</v>
      </c>
      <c r="AD1070" s="776">
        <v>0</v>
      </c>
      <c r="AE1070" s="777">
        <v>0</v>
      </c>
      <c r="AF1070" s="777">
        <v>12</v>
      </c>
      <c r="AG1070" s="778">
        <v>13.184762852767452</v>
      </c>
    </row>
    <row r="1071" spans="1:33" x14ac:dyDescent="0.2">
      <c r="A1071" s="15">
        <f t="shared" si="135"/>
        <v>2012</v>
      </c>
      <c r="B1071" s="14">
        <f t="shared" si="136"/>
        <v>1</v>
      </c>
      <c r="C1071" s="13" t="str">
        <f t="shared" si="137"/>
        <v>Q1</v>
      </c>
      <c r="D1071" s="13" t="str">
        <f t="shared" si="138"/>
        <v>2012Q1</v>
      </c>
      <c r="E1071" s="13" t="str">
        <f t="shared" si="139"/>
        <v>Brazil</v>
      </c>
      <c r="F1071" s="13" t="str">
        <f t="shared" si="142"/>
        <v>Small Hydro</v>
      </c>
      <c r="G1071" s="13" t="str">
        <f t="shared" si="141"/>
        <v>Asset finance investments</v>
      </c>
      <c r="H1071" s="638">
        <f t="shared" si="140"/>
        <v>9.668826092029466</v>
      </c>
      <c r="I1071" s="24" t="s">
        <v>506</v>
      </c>
      <c r="J1071" s="25" t="s">
        <v>246</v>
      </c>
      <c r="K1071" s="25" t="s">
        <v>3010</v>
      </c>
      <c r="L1071" s="25" t="s">
        <v>3011</v>
      </c>
      <c r="M1071" s="25" t="s">
        <v>31</v>
      </c>
      <c r="N1071" s="25" t="s">
        <v>31</v>
      </c>
      <c r="O1071" s="25" t="s">
        <v>92</v>
      </c>
      <c r="P1071" s="25" t="s">
        <v>83</v>
      </c>
      <c r="Q1071" s="25" t="s">
        <v>82</v>
      </c>
      <c r="R1071" s="25" t="s">
        <v>91</v>
      </c>
      <c r="S1071" s="25" t="s">
        <v>126</v>
      </c>
      <c r="T1071" s="25" t="s">
        <v>125</v>
      </c>
      <c r="U1071" s="25" t="s">
        <v>247</v>
      </c>
      <c r="V1071" s="25">
        <v>0</v>
      </c>
      <c r="W1071" s="25" t="s">
        <v>553</v>
      </c>
      <c r="X1071" s="25" t="s">
        <v>1752</v>
      </c>
      <c r="Y1071" s="25" t="s">
        <v>1753</v>
      </c>
      <c r="Z1071" s="26">
        <v>40938</v>
      </c>
      <c r="AA1071" s="776">
        <v>3.5</v>
      </c>
      <c r="AB1071" s="776">
        <v>0</v>
      </c>
      <c r="AC1071" s="776">
        <v>0</v>
      </c>
      <c r="AD1071" s="776">
        <v>0</v>
      </c>
      <c r="AE1071" s="777">
        <v>0</v>
      </c>
      <c r="AF1071" s="777">
        <v>8.8000000000000007</v>
      </c>
      <c r="AG1071" s="778">
        <v>9.668826092029466</v>
      </c>
    </row>
    <row r="1072" spans="1:33" x14ac:dyDescent="0.2">
      <c r="A1072" s="15">
        <f t="shared" si="135"/>
        <v>2012</v>
      </c>
      <c r="B1072" s="14">
        <f t="shared" si="136"/>
        <v>1</v>
      </c>
      <c r="C1072" s="13" t="str">
        <f t="shared" si="137"/>
        <v>Q1</v>
      </c>
      <c r="D1072" s="13" t="str">
        <f t="shared" si="138"/>
        <v>2012Q1</v>
      </c>
      <c r="E1072" s="13" t="str">
        <f t="shared" si="139"/>
        <v>Chile</v>
      </c>
      <c r="F1072" s="13" t="str">
        <f t="shared" si="142"/>
        <v>Small Hydro</v>
      </c>
      <c r="G1072" s="13" t="str">
        <f t="shared" si="141"/>
        <v>Asset finance investments</v>
      </c>
      <c r="H1072" s="638">
        <f t="shared" si="140"/>
        <v>7.6911116641143469</v>
      </c>
      <c r="I1072" s="24" t="s">
        <v>506</v>
      </c>
      <c r="J1072" s="25" t="s">
        <v>246</v>
      </c>
      <c r="K1072" s="25" t="s">
        <v>3012</v>
      </c>
      <c r="L1072" s="25" t="s">
        <v>3013</v>
      </c>
      <c r="M1072" s="25" t="s">
        <v>8</v>
      </c>
      <c r="N1072" s="25" t="s">
        <v>85</v>
      </c>
      <c r="O1072" s="25" t="s">
        <v>92</v>
      </c>
      <c r="P1072" s="25" t="s">
        <v>83</v>
      </c>
      <c r="Q1072" s="25" t="s">
        <v>129</v>
      </c>
      <c r="R1072" s="25"/>
      <c r="S1072" s="25" t="s">
        <v>126</v>
      </c>
      <c r="T1072" s="25" t="s">
        <v>125</v>
      </c>
      <c r="U1072" s="25" t="s">
        <v>247</v>
      </c>
      <c r="V1072" s="25">
        <v>0</v>
      </c>
      <c r="W1072" s="25" t="s">
        <v>553</v>
      </c>
      <c r="X1072" s="25" t="s">
        <v>1752</v>
      </c>
      <c r="Y1072" s="25" t="s">
        <v>1753</v>
      </c>
      <c r="Z1072" s="26">
        <v>40909</v>
      </c>
      <c r="AA1072" s="776">
        <v>2.4</v>
      </c>
      <c r="AB1072" s="776">
        <v>0</v>
      </c>
      <c r="AC1072" s="776">
        <v>0</v>
      </c>
      <c r="AD1072" s="776">
        <v>0</v>
      </c>
      <c r="AE1072" s="777">
        <v>7</v>
      </c>
      <c r="AF1072" s="777">
        <v>7</v>
      </c>
      <c r="AG1072" s="778">
        <v>7.6911116641143469</v>
      </c>
    </row>
    <row r="1073" spans="1:33" x14ac:dyDescent="0.2">
      <c r="A1073" s="15">
        <f t="shared" si="135"/>
        <v>2012</v>
      </c>
      <c r="B1073" s="14">
        <f t="shared" si="136"/>
        <v>1</v>
      </c>
      <c r="C1073" s="13" t="str">
        <f t="shared" si="137"/>
        <v>Q1</v>
      </c>
      <c r="D1073" s="13" t="str">
        <f t="shared" si="138"/>
        <v>2012Q1</v>
      </c>
      <c r="E1073" s="13" t="str">
        <f t="shared" si="139"/>
        <v>Brazil</v>
      </c>
      <c r="F1073" s="13" t="str">
        <f t="shared" si="142"/>
        <v>Small Hydro</v>
      </c>
      <c r="G1073" s="13" t="str">
        <f t="shared" si="141"/>
        <v>Asset finance investments</v>
      </c>
      <c r="H1073" s="638">
        <f t="shared" si="140"/>
        <v>6.7022544501567873</v>
      </c>
      <c r="I1073" s="24" t="s">
        <v>506</v>
      </c>
      <c r="J1073" s="25" t="s">
        <v>246</v>
      </c>
      <c r="K1073" s="25" t="s">
        <v>3014</v>
      </c>
      <c r="L1073" s="25" t="s">
        <v>3015</v>
      </c>
      <c r="M1073" s="25" t="s">
        <v>31</v>
      </c>
      <c r="N1073" s="25" t="s">
        <v>31</v>
      </c>
      <c r="O1073" s="25" t="s">
        <v>92</v>
      </c>
      <c r="P1073" s="25" t="s">
        <v>83</v>
      </c>
      <c r="Q1073" s="25" t="s">
        <v>82</v>
      </c>
      <c r="R1073" s="25" t="s">
        <v>91</v>
      </c>
      <c r="S1073" s="25" t="s">
        <v>126</v>
      </c>
      <c r="T1073" s="25" t="s">
        <v>125</v>
      </c>
      <c r="U1073" s="25" t="s">
        <v>247</v>
      </c>
      <c r="V1073" s="25">
        <v>0</v>
      </c>
      <c r="W1073" s="25" t="s">
        <v>553</v>
      </c>
      <c r="X1073" s="25" t="s">
        <v>1752</v>
      </c>
      <c r="Y1073" s="25" t="s">
        <v>1753</v>
      </c>
      <c r="Z1073" s="26">
        <v>40938</v>
      </c>
      <c r="AA1073" s="776">
        <v>2.448</v>
      </c>
      <c r="AB1073" s="776">
        <v>0</v>
      </c>
      <c r="AC1073" s="776">
        <v>0</v>
      </c>
      <c r="AD1073" s="776">
        <v>0</v>
      </c>
      <c r="AE1073" s="777">
        <v>0</v>
      </c>
      <c r="AF1073" s="777">
        <v>6.1</v>
      </c>
      <c r="AG1073" s="778">
        <v>6.7022544501567873</v>
      </c>
    </row>
    <row r="1074" spans="1:33" x14ac:dyDescent="0.2">
      <c r="A1074" s="15">
        <f t="shared" si="135"/>
        <v>2012</v>
      </c>
      <c r="B1074" s="14">
        <f t="shared" si="136"/>
        <v>3</v>
      </c>
      <c r="C1074" s="13" t="str">
        <f t="shared" si="137"/>
        <v>Q1</v>
      </c>
      <c r="D1074" s="13" t="str">
        <f t="shared" si="138"/>
        <v>2012Q1</v>
      </c>
      <c r="E1074" s="13" t="str">
        <f t="shared" si="139"/>
        <v>Chile</v>
      </c>
      <c r="F1074" s="13" t="str">
        <f t="shared" si="142"/>
        <v>Solar</v>
      </c>
      <c r="G1074" s="13" t="str">
        <f t="shared" si="141"/>
        <v>Asset finance investments</v>
      </c>
      <c r="H1074" s="638">
        <f t="shared" si="140"/>
        <v>5.2739051411069804</v>
      </c>
      <c r="I1074" s="24" t="s">
        <v>506</v>
      </c>
      <c r="J1074" s="25" t="s">
        <v>246</v>
      </c>
      <c r="K1074" s="25" t="s">
        <v>3016</v>
      </c>
      <c r="L1074" s="25" t="s">
        <v>3017</v>
      </c>
      <c r="M1074" s="25" t="s">
        <v>8</v>
      </c>
      <c r="N1074" s="25" t="s">
        <v>85</v>
      </c>
      <c r="O1074" s="25" t="s">
        <v>92</v>
      </c>
      <c r="P1074" s="25" t="s">
        <v>83</v>
      </c>
      <c r="Q1074" s="25" t="s">
        <v>129</v>
      </c>
      <c r="R1074" s="25"/>
      <c r="S1074" s="25" t="s">
        <v>80</v>
      </c>
      <c r="T1074" s="25" t="s">
        <v>80</v>
      </c>
      <c r="U1074" s="25" t="s">
        <v>181</v>
      </c>
      <c r="V1074" s="25" t="s">
        <v>232</v>
      </c>
      <c r="W1074" s="25" t="s">
        <v>553</v>
      </c>
      <c r="X1074" s="25" t="s">
        <v>1752</v>
      </c>
      <c r="Y1074" s="25" t="s">
        <v>1753</v>
      </c>
      <c r="Z1074" s="26">
        <v>40990</v>
      </c>
      <c r="AA1074" s="776">
        <v>1.2</v>
      </c>
      <c r="AB1074" s="776">
        <v>0</v>
      </c>
      <c r="AC1074" s="776">
        <v>0</v>
      </c>
      <c r="AD1074" s="776">
        <v>0</v>
      </c>
      <c r="AE1074" s="777">
        <v>0</v>
      </c>
      <c r="AF1074" s="777">
        <v>4.8</v>
      </c>
      <c r="AG1074" s="778">
        <v>5.2739051411069804</v>
      </c>
    </row>
    <row r="1075" spans="1:33" x14ac:dyDescent="0.2">
      <c r="A1075" s="15">
        <f t="shared" si="135"/>
        <v>2012</v>
      </c>
      <c r="B1075" s="14">
        <f t="shared" si="136"/>
        <v>3</v>
      </c>
      <c r="C1075" s="13" t="str">
        <f t="shared" si="137"/>
        <v>Q1</v>
      </c>
      <c r="D1075" s="13" t="str">
        <f t="shared" si="138"/>
        <v>2012Q1</v>
      </c>
      <c r="E1075" s="13" t="str">
        <f t="shared" si="139"/>
        <v>Brazil</v>
      </c>
      <c r="F1075" s="13" t="str">
        <f t="shared" si="142"/>
        <v>Biofuels</v>
      </c>
      <c r="G1075" s="13" t="str">
        <f t="shared" si="141"/>
        <v>Asset finance investments</v>
      </c>
      <c r="H1075" s="638">
        <f t="shared" si="140"/>
        <v>4.1532002986217469</v>
      </c>
      <c r="I1075" s="24" t="s">
        <v>506</v>
      </c>
      <c r="J1075" s="25" t="s">
        <v>246</v>
      </c>
      <c r="K1075" s="25" t="s">
        <v>3018</v>
      </c>
      <c r="L1075" s="25" t="s">
        <v>3019</v>
      </c>
      <c r="M1075" s="25" t="s">
        <v>31</v>
      </c>
      <c r="N1075" s="25" t="s">
        <v>31</v>
      </c>
      <c r="O1075" s="25" t="s">
        <v>92</v>
      </c>
      <c r="P1075" s="25" t="s">
        <v>83</v>
      </c>
      <c r="Q1075" s="25" t="s">
        <v>82</v>
      </c>
      <c r="R1075" s="25" t="s">
        <v>91</v>
      </c>
      <c r="S1075" s="25" t="s">
        <v>96</v>
      </c>
      <c r="T1075" s="25" t="s">
        <v>96</v>
      </c>
      <c r="U1075" s="25" t="s">
        <v>95</v>
      </c>
      <c r="V1075" s="25" t="s">
        <v>223</v>
      </c>
      <c r="W1075" s="25" t="s">
        <v>553</v>
      </c>
      <c r="X1075" s="25" t="s">
        <v>1752</v>
      </c>
      <c r="Y1075" s="25" t="s">
        <v>1753</v>
      </c>
      <c r="Z1075" s="26">
        <v>40999</v>
      </c>
      <c r="AA1075" s="776">
        <v>0</v>
      </c>
      <c r="AB1075" s="776">
        <v>10.8</v>
      </c>
      <c r="AC1075" s="776">
        <v>0</v>
      </c>
      <c r="AD1075" s="776">
        <v>0</v>
      </c>
      <c r="AE1075" s="777">
        <v>0</v>
      </c>
      <c r="AF1075" s="777">
        <v>3.78</v>
      </c>
      <c r="AG1075" s="778">
        <v>4.1532002986217469</v>
      </c>
    </row>
    <row r="1076" spans="1:33" x14ac:dyDescent="0.2">
      <c r="A1076" s="15">
        <f t="shared" si="135"/>
        <v>2012</v>
      </c>
      <c r="B1076" s="14">
        <f t="shared" si="136"/>
        <v>2</v>
      </c>
      <c r="C1076" s="13" t="str">
        <f t="shared" si="137"/>
        <v>Q1</v>
      </c>
      <c r="D1076" s="13" t="str">
        <f t="shared" si="138"/>
        <v>2012Q1</v>
      </c>
      <c r="E1076" s="13" t="str">
        <f t="shared" si="139"/>
        <v>Brazil</v>
      </c>
      <c r="F1076" s="13" t="str">
        <f t="shared" si="142"/>
        <v>Small Hydro</v>
      </c>
      <c r="G1076" s="13" t="str">
        <f t="shared" si="141"/>
        <v>Asset finance investments</v>
      </c>
      <c r="H1076" s="638">
        <f t="shared" si="140"/>
        <v>3.8455558320571734</v>
      </c>
      <c r="I1076" s="24" t="s">
        <v>506</v>
      </c>
      <c r="J1076" s="25" t="s">
        <v>246</v>
      </c>
      <c r="K1076" s="25" t="s">
        <v>3020</v>
      </c>
      <c r="L1076" s="25" t="s">
        <v>3021</v>
      </c>
      <c r="M1076" s="25" t="s">
        <v>31</v>
      </c>
      <c r="N1076" s="25" t="s">
        <v>31</v>
      </c>
      <c r="O1076" s="25" t="s">
        <v>92</v>
      </c>
      <c r="P1076" s="25" t="s">
        <v>83</v>
      </c>
      <c r="Q1076" s="25" t="s">
        <v>82</v>
      </c>
      <c r="R1076" s="25" t="s">
        <v>91</v>
      </c>
      <c r="S1076" s="25" t="s">
        <v>126</v>
      </c>
      <c r="T1076" s="25" t="s">
        <v>125</v>
      </c>
      <c r="U1076" s="25" t="s">
        <v>247</v>
      </c>
      <c r="V1076" s="25">
        <v>0</v>
      </c>
      <c r="W1076" s="25" t="s">
        <v>553</v>
      </c>
      <c r="X1076" s="25" t="s">
        <v>1752</v>
      </c>
      <c r="Y1076" s="25" t="s">
        <v>1753</v>
      </c>
      <c r="Z1076" s="26">
        <v>40968</v>
      </c>
      <c r="AA1076" s="776">
        <v>1.4</v>
      </c>
      <c r="AB1076" s="776">
        <v>0</v>
      </c>
      <c r="AC1076" s="776">
        <v>0</v>
      </c>
      <c r="AD1076" s="776">
        <v>0</v>
      </c>
      <c r="AE1076" s="777">
        <v>0</v>
      </c>
      <c r="AF1076" s="777">
        <v>3.5</v>
      </c>
      <c r="AG1076" s="778">
        <v>3.8455558320571734</v>
      </c>
    </row>
    <row r="1077" spans="1:33" x14ac:dyDescent="0.2">
      <c r="A1077" s="15">
        <f t="shared" si="135"/>
        <v>2012</v>
      </c>
      <c r="B1077" s="14">
        <f t="shared" si="136"/>
        <v>3</v>
      </c>
      <c r="C1077" s="13" t="str">
        <f t="shared" si="137"/>
        <v>Q1</v>
      </c>
      <c r="D1077" s="13" t="str">
        <f t="shared" si="138"/>
        <v>2012Q1</v>
      </c>
      <c r="E1077" s="13" t="str">
        <f t="shared" si="139"/>
        <v>Argentina</v>
      </c>
      <c r="F1077" s="13" t="str">
        <f t="shared" si="142"/>
        <v>Biofuels</v>
      </c>
      <c r="G1077" s="13" t="str">
        <f t="shared" si="141"/>
        <v>VC/PE investments</v>
      </c>
      <c r="H1077" s="638">
        <f t="shared" si="140"/>
        <v>0.62847369598191516</v>
      </c>
      <c r="I1077" s="24" t="s">
        <v>506</v>
      </c>
      <c r="J1077" s="25" t="s">
        <v>216</v>
      </c>
      <c r="K1077" s="25" t="s">
        <v>3022</v>
      </c>
      <c r="L1077" s="25" t="s">
        <v>3023</v>
      </c>
      <c r="M1077" s="25" t="s">
        <v>4</v>
      </c>
      <c r="N1077" s="25" t="s">
        <v>85</v>
      </c>
      <c r="O1077" s="25" t="s">
        <v>92</v>
      </c>
      <c r="P1077" s="25" t="s">
        <v>83</v>
      </c>
      <c r="Q1077" s="25" t="s">
        <v>82</v>
      </c>
      <c r="R1077" s="25"/>
      <c r="S1077" s="25" t="s">
        <v>96</v>
      </c>
      <c r="T1077" s="25" t="s">
        <v>96</v>
      </c>
      <c r="U1077" s="25" t="s">
        <v>95</v>
      </c>
      <c r="V1077" s="25" t="s">
        <v>1931</v>
      </c>
      <c r="W1077" s="25" t="s">
        <v>97</v>
      </c>
      <c r="X1077" s="25" t="s">
        <v>546</v>
      </c>
      <c r="Y1077" s="25" t="s">
        <v>504</v>
      </c>
      <c r="Z1077" s="26">
        <v>40987</v>
      </c>
      <c r="AA1077" s="776" t="s">
        <v>1748</v>
      </c>
      <c r="AB1077" s="776" t="s">
        <v>1748</v>
      </c>
      <c r="AC1077" s="776" t="s">
        <v>1748</v>
      </c>
      <c r="AD1077" s="776" t="s">
        <v>1748</v>
      </c>
      <c r="AE1077" s="777">
        <v>0</v>
      </c>
      <c r="AF1077" s="777">
        <v>0.57199999999999995</v>
      </c>
      <c r="AG1077" s="778">
        <v>0.62847369598191516</v>
      </c>
    </row>
    <row r="1078" spans="1:33" x14ac:dyDescent="0.2">
      <c r="A1078" s="15">
        <f t="shared" si="135"/>
        <v>2011</v>
      </c>
      <c r="B1078" s="14">
        <f t="shared" si="136"/>
        <v>3</v>
      </c>
      <c r="C1078" s="13" t="str">
        <f t="shared" si="137"/>
        <v>Q1</v>
      </c>
      <c r="D1078" s="13" t="str">
        <f t="shared" si="138"/>
        <v>2011Q1</v>
      </c>
      <c r="E1078" s="13" t="str">
        <f t="shared" si="139"/>
        <v>Brazil</v>
      </c>
      <c r="F1078" s="13" t="str">
        <f t="shared" si="142"/>
        <v>Wind</v>
      </c>
      <c r="G1078" s="13" t="str">
        <f t="shared" si="141"/>
        <v>Asset finance investments</v>
      </c>
      <c r="H1078" s="638">
        <f t="shared" si="140"/>
        <v>564.7155992507021</v>
      </c>
      <c r="I1078" s="24" t="s">
        <v>506</v>
      </c>
      <c r="J1078" s="25" t="s">
        <v>246</v>
      </c>
      <c r="K1078" s="25" t="s">
        <v>3024</v>
      </c>
      <c r="L1078" s="25" t="s">
        <v>827</v>
      </c>
      <c r="M1078" s="25" t="s">
        <v>31</v>
      </c>
      <c r="N1078" s="25" t="s">
        <v>31</v>
      </c>
      <c r="O1078" s="25" t="s">
        <v>92</v>
      </c>
      <c r="P1078" s="25" t="s">
        <v>83</v>
      </c>
      <c r="Q1078" s="25" t="s">
        <v>82</v>
      </c>
      <c r="R1078" s="25" t="s">
        <v>91</v>
      </c>
      <c r="S1078" s="25" t="s">
        <v>101</v>
      </c>
      <c r="T1078" s="25" t="s">
        <v>101</v>
      </c>
      <c r="U1078" s="25" t="s">
        <v>112</v>
      </c>
      <c r="V1078" s="25">
        <v>0</v>
      </c>
      <c r="W1078" s="25" t="s">
        <v>553</v>
      </c>
      <c r="X1078" s="25" t="s">
        <v>1749</v>
      </c>
      <c r="Y1078" s="25" t="s">
        <v>1750</v>
      </c>
      <c r="Z1078" s="26">
        <v>40604</v>
      </c>
      <c r="AA1078" s="776">
        <v>211</v>
      </c>
      <c r="AB1078" s="776">
        <v>0</v>
      </c>
      <c r="AC1078" s="776">
        <v>0</v>
      </c>
      <c r="AD1078" s="776">
        <v>0</v>
      </c>
      <c r="AE1078" s="777">
        <v>518.9</v>
      </c>
      <c r="AF1078" s="777">
        <v>518.9</v>
      </c>
      <c r="AG1078" s="778">
        <v>564.7155992507021</v>
      </c>
    </row>
    <row r="1079" spans="1:33" x14ac:dyDescent="0.2">
      <c r="A1079" s="15">
        <f t="shared" si="135"/>
        <v>2011</v>
      </c>
      <c r="B1079" s="14">
        <f t="shared" si="136"/>
        <v>1</v>
      </c>
      <c r="C1079" s="13" t="str">
        <f t="shared" si="137"/>
        <v>Q1</v>
      </c>
      <c r="D1079" s="13" t="str">
        <f t="shared" si="138"/>
        <v>2011Q1</v>
      </c>
      <c r="E1079" s="13" t="str">
        <f t="shared" si="139"/>
        <v>Brazil</v>
      </c>
      <c r="F1079" s="13" t="str">
        <f t="shared" si="142"/>
        <v>Wind</v>
      </c>
      <c r="G1079" s="13" t="str">
        <f t="shared" si="141"/>
        <v>Asset finance investments</v>
      </c>
      <c r="H1079" s="638">
        <f t="shared" si="140"/>
        <v>519.11609335630169</v>
      </c>
      <c r="I1079" s="24" t="s">
        <v>506</v>
      </c>
      <c r="J1079" s="25" t="s">
        <v>246</v>
      </c>
      <c r="K1079" s="25" t="s">
        <v>3025</v>
      </c>
      <c r="L1079" s="25" t="s">
        <v>3026</v>
      </c>
      <c r="M1079" s="25" t="s">
        <v>31</v>
      </c>
      <c r="N1079" s="25" t="s">
        <v>31</v>
      </c>
      <c r="O1079" s="25" t="s">
        <v>92</v>
      </c>
      <c r="P1079" s="25" t="s">
        <v>83</v>
      </c>
      <c r="Q1079" s="25" t="s">
        <v>82</v>
      </c>
      <c r="R1079" s="25" t="s">
        <v>91</v>
      </c>
      <c r="S1079" s="25" t="s">
        <v>101</v>
      </c>
      <c r="T1079" s="25" t="s">
        <v>101</v>
      </c>
      <c r="U1079" s="25" t="s">
        <v>112</v>
      </c>
      <c r="V1079" s="25">
        <v>0</v>
      </c>
      <c r="W1079" s="25" t="s">
        <v>553</v>
      </c>
      <c r="X1079" s="25" t="s">
        <v>1749</v>
      </c>
      <c r="Y1079" s="25" t="s">
        <v>1750</v>
      </c>
      <c r="Z1079" s="26">
        <v>40547</v>
      </c>
      <c r="AA1079" s="776">
        <v>195.2</v>
      </c>
      <c r="AB1079" s="776">
        <v>0</v>
      </c>
      <c r="AC1079" s="776">
        <v>0</v>
      </c>
      <c r="AD1079" s="776">
        <v>0</v>
      </c>
      <c r="AE1079" s="777">
        <v>477</v>
      </c>
      <c r="AF1079" s="777">
        <v>477</v>
      </c>
      <c r="AG1079" s="778">
        <v>519.11609335630169</v>
      </c>
    </row>
    <row r="1080" spans="1:33" x14ac:dyDescent="0.2">
      <c r="A1080" s="15">
        <f t="shared" si="135"/>
        <v>2011</v>
      </c>
      <c r="B1080" s="14">
        <f t="shared" si="136"/>
        <v>3</v>
      </c>
      <c r="C1080" s="13" t="str">
        <f t="shared" si="137"/>
        <v>Q1</v>
      </c>
      <c r="D1080" s="13" t="str">
        <f t="shared" si="138"/>
        <v>2011Q1</v>
      </c>
      <c r="E1080" s="13" t="str">
        <f t="shared" si="139"/>
        <v>Brazil</v>
      </c>
      <c r="F1080" s="13" t="str">
        <f t="shared" si="142"/>
        <v>Biofuels</v>
      </c>
      <c r="G1080" s="13" t="str">
        <f t="shared" si="141"/>
        <v>Asset finance investments</v>
      </c>
      <c r="H1080" s="638">
        <f t="shared" si="140"/>
        <v>441.84724088607635</v>
      </c>
      <c r="I1080" s="24" t="s">
        <v>506</v>
      </c>
      <c r="J1080" s="25" t="s">
        <v>246</v>
      </c>
      <c r="K1080" s="25" t="s">
        <v>3027</v>
      </c>
      <c r="L1080" s="25" t="s">
        <v>764</v>
      </c>
      <c r="M1080" s="25" t="s">
        <v>31</v>
      </c>
      <c r="N1080" s="25" t="s">
        <v>31</v>
      </c>
      <c r="O1080" s="25" t="s">
        <v>92</v>
      </c>
      <c r="P1080" s="25" t="s">
        <v>83</v>
      </c>
      <c r="Q1080" s="25" t="s">
        <v>82</v>
      </c>
      <c r="R1080" s="25" t="s">
        <v>91</v>
      </c>
      <c r="S1080" s="25" t="s">
        <v>96</v>
      </c>
      <c r="T1080" s="25" t="s">
        <v>96</v>
      </c>
      <c r="U1080" s="25" t="s">
        <v>98</v>
      </c>
      <c r="V1080" s="25" t="s">
        <v>230</v>
      </c>
      <c r="W1080" s="25" t="s">
        <v>553</v>
      </c>
      <c r="X1080" s="25" t="s">
        <v>1749</v>
      </c>
      <c r="Y1080" s="25" t="s">
        <v>1750</v>
      </c>
      <c r="Z1080" s="26">
        <v>40633</v>
      </c>
      <c r="AA1080" s="776">
        <v>0</v>
      </c>
      <c r="AB1080" s="776">
        <v>0</v>
      </c>
      <c r="AC1080" s="776">
        <v>0</v>
      </c>
      <c r="AD1080" s="776">
        <v>0</v>
      </c>
      <c r="AE1080" s="777">
        <v>406</v>
      </c>
      <c r="AF1080" s="777">
        <v>406</v>
      </c>
      <c r="AG1080" s="778">
        <v>441.84724088607635</v>
      </c>
    </row>
    <row r="1081" spans="1:33" x14ac:dyDescent="0.2">
      <c r="A1081" s="15">
        <f t="shared" si="135"/>
        <v>2011</v>
      </c>
      <c r="B1081" s="14">
        <f t="shared" si="136"/>
        <v>3</v>
      </c>
      <c r="C1081" s="13" t="str">
        <f t="shared" si="137"/>
        <v>Q1</v>
      </c>
      <c r="D1081" s="13" t="str">
        <f t="shared" si="138"/>
        <v>2011Q1</v>
      </c>
      <c r="E1081" s="13" t="str">
        <f t="shared" si="139"/>
        <v>Brazil</v>
      </c>
      <c r="F1081" s="13" t="str">
        <f t="shared" si="142"/>
        <v>Wind</v>
      </c>
      <c r="G1081" s="13" t="str">
        <f t="shared" si="141"/>
        <v>Asset finance investments</v>
      </c>
      <c r="H1081" s="638">
        <f t="shared" si="140"/>
        <v>400.70973914840715</v>
      </c>
      <c r="I1081" s="24" t="s">
        <v>506</v>
      </c>
      <c r="J1081" s="25" t="s">
        <v>246</v>
      </c>
      <c r="K1081" s="25" t="s">
        <v>3028</v>
      </c>
      <c r="L1081" s="25" t="s">
        <v>3029</v>
      </c>
      <c r="M1081" s="25" t="s">
        <v>31</v>
      </c>
      <c r="N1081" s="25" t="s">
        <v>31</v>
      </c>
      <c r="O1081" s="25" t="s">
        <v>92</v>
      </c>
      <c r="P1081" s="25" t="s">
        <v>83</v>
      </c>
      <c r="Q1081" s="25" t="s">
        <v>82</v>
      </c>
      <c r="R1081" s="25" t="s">
        <v>91</v>
      </c>
      <c r="S1081" s="25" t="s">
        <v>101</v>
      </c>
      <c r="T1081" s="25" t="s">
        <v>101</v>
      </c>
      <c r="U1081" s="25" t="s">
        <v>112</v>
      </c>
      <c r="V1081" s="25">
        <v>0</v>
      </c>
      <c r="W1081" s="25" t="s">
        <v>553</v>
      </c>
      <c r="X1081" s="25" t="s">
        <v>1752</v>
      </c>
      <c r="Y1081" s="25" t="s">
        <v>1753</v>
      </c>
      <c r="Z1081" s="26">
        <v>40633</v>
      </c>
      <c r="AA1081" s="776">
        <v>145.4</v>
      </c>
      <c r="AB1081" s="776">
        <v>0</v>
      </c>
      <c r="AC1081" s="776">
        <v>0</v>
      </c>
      <c r="AD1081" s="776">
        <v>0</v>
      </c>
      <c r="AE1081" s="777">
        <v>368.2</v>
      </c>
      <c r="AF1081" s="777">
        <v>368.2</v>
      </c>
      <c r="AG1081" s="778">
        <v>400.70973914840715</v>
      </c>
    </row>
    <row r="1082" spans="1:33" x14ac:dyDescent="0.2">
      <c r="A1082" s="15">
        <f t="shared" si="135"/>
        <v>2011</v>
      </c>
      <c r="B1082" s="14">
        <f t="shared" si="136"/>
        <v>3</v>
      </c>
      <c r="C1082" s="13" t="str">
        <f t="shared" si="137"/>
        <v>Q1</v>
      </c>
      <c r="D1082" s="13" t="str">
        <f t="shared" si="138"/>
        <v>2011Q1</v>
      </c>
      <c r="E1082" s="13" t="str">
        <f t="shared" si="139"/>
        <v>Brazil</v>
      </c>
      <c r="F1082" s="13" t="str">
        <f t="shared" si="142"/>
        <v>Wind</v>
      </c>
      <c r="G1082" s="13" t="str">
        <f t="shared" si="141"/>
        <v>Asset finance investments</v>
      </c>
      <c r="H1082" s="638">
        <f t="shared" si="140"/>
        <v>361.0958485862073</v>
      </c>
      <c r="I1082" s="24" t="s">
        <v>506</v>
      </c>
      <c r="J1082" s="25" t="s">
        <v>246</v>
      </c>
      <c r="K1082" s="25" t="s">
        <v>3030</v>
      </c>
      <c r="L1082" s="25" t="s">
        <v>3031</v>
      </c>
      <c r="M1082" s="25" t="s">
        <v>31</v>
      </c>
      <c r="N1082" s="25" t="s">
        <v>31</v>
      </c>
      <c r="O1082" s="25" t="s">
        <v>92</v>
      </c>
      <c r="P1082" s="25" t="s">
        <v>83</v>
      </c>
      <c r="Q1082" s="25" t="s">
        <v>82</v>
      </c>
      <c r="R1082" s="25" t="s">
        <v>91</v>
      </c>
      <c r="S1082" s="25" t="s">
        <v>101</v>
      </c>
      <c r="T1082" s="25" t="s">
        <v>101</v>
      </c>
      <c r="U1082" s="25" t="s">
        <v>112</v>
      </c>
      <c r="V1082" s="25">
        <v>0</v>
      </c>
      <c r="W1082" s="25" t="s">
        <v>553</v>
      </c>
      <c r="X1082" s="25" t="s">
        <v>1749</v>
      </c>
      <c r="Y1082" s="25" t="s">
        <v>1750</v>
      </c>
      <c r="Z1082" s="26">
        <v>40617</v>
      </c>
      <c r="AA1082" s="776">
        <v>121.8</v>
      </c>
      <c r="AB1082" s="776">
        <v>0</v>
      </c>
      <c r="AC1082" s="776">
        <v>0</v>
      </c>
      <c r="AD1082" s="776">
        <v>0</v>
      </c>
      <c r="AE1082" s="777">
        <v>331.8</v>
      </c>
      <c r="AF1082" s="777">
        <v>331.8</v>
      </c>
      <c r="AG1082" s="778">
        <v>361.0958485862073</v>
      </c>
    </row>
    <row r="1083" spans="1:33" x14ac:dyDescent="0.2">
      <c r="A1083" s="15">
        <f t="shared" si="135"/>
        <v>2011</v>
      </c>
      <c r="B1083" s="14">
        <f t="shared" si="136"/>
        <v>3</v>
      </c>
      <c r="C1083" s="13" t="str">
        <f t="shared" si="137"/>
        <v>Q1</v>
      </c>
      <c r="D1083" s="13" t="str">
        <f t="shared" si="138"/>
        <v>2011Q1</v>
      </c>
      <c r="E1083" s="13" t="str">
        <f t="shared" si="139"/>
        <v>Brazil</v>
      </c>
      <c r="F1083" s="13" t="str">
        <f t="shared" si="142"/>
        <v>Wind</v>
      </c>
      <c r="G1083" s="13" t="str">
        <f t="shared" si="141"/>
        <v>Asset finance investments</v>
      </c>
      <c r="H1083" s="638">
        <f t="shared" si="140"/>
        <v>215.04683448051406</v>
      </c>
      <c r="I1083" s="24" t="s">
        <v>506</v>
      </c>
      <c r="J1083" s="25" t="s">
        <v>246</v>
      </c>
      <c r="K1083" s="25" t="s">
        <v>3032</v>
      </c>
      <c r="L1083" s="25" t="s">
        <v>755</v>
      </c>
      <c r="M1083" s="25" t="s">
        <v>31</v>
      </c>
      <c r="N1083" s="25" t="s">
        <v>31</v>
      </c>
      <c r="O1083" s="25" t="s">
        <v>92</v>
      </c>
      <c r="P1083" s="25" t="s">
        <v>83</v>
      </c>
      <c r="Q1083" s="25" t="s">
        <v>82</v>
      </c>
      <c r="R1083" s="25" t="s">
        <v>91</v>
      </c>
      <c r="S1083" s="25" t="s">
        <v>101</v>
      </c>
      <c r="T1083" s="25" t="s">
        <v>101</v>
      </c>
      <c r="U1083" s="25" t="s">
        <v>112</v>
      </c>
      <c r="V1083" s="25">
        <v>0</v>
      </c>
      <c r="W1083" s="25" t="s">
        <v>553</v>
      </c>
      <c r="X1083" s="25" t="s">
        <v>1749</v>
      </c>
      <c r="Y1083" s="25" t="s">
        <v>1750</v>
      </c>
      <c r="Z1083" s="26">
        <v>40631</v>
      </c>
      <c r="AA1083" s="776">
        <v>69.900000000000006</v>
      </c>
      <c r="AB1083" s="776">
        <v>0</v>
      </c>
      <c r="AC1083" s="776">
        <v>0</v>
      </c>
      <c r="AD1083" s="776">
        <v>0</v>
      </c>
      <c r="AE1083" s="777">
        <v>197.6</v>
      </c>
      <c r="AF1083" s="777">
        <v>197.6</v>
      </c>
      <c r="AG1083" s="778">
        <v>215.04683448051406</v>
      </c>
    </row>
    <row r="1084" spans="1:33" x14ac:dyDescent="0.2">
      <c r="A1084" s="15">
        <f t="shared" si="135"/>
        <v>2011</v>
      </c>
      <c r="B1084" s="14">
        <f t="shared" si="136"/>
        <v>3</v>
      </c>
      <c r="C1084" s="13" t="str">
        <f t="shared" si="137"/>
        <v>Q1</v>
      </c>
      <c r="D1084" s="13" t="str">
        <f t="shared" si="138"/>
        <v>2011Q1</v>
      </c>
      <c r="E1084" s="13" t="str">
        <f t="shared" si="139"/>
        <v>Brazil</v>
      </c>
      <c r="F1084" s="13" t="str">
        <f t="shared" si="142"/>
        <v>Biomass &amp; Waste</v>
      </c>
      <c r="G1084" s="13" t="str">
        <f t="shared" si="141"/>
        <v>Asset finance investments</v>
      </c>
      <c r="H1084" s="638">
        <f t="shared" si="140"/>
        <v>182.18036483824926</v>
      </c>
      <c r="I1084" s="24" t="s">
        <v>506</v>
      </c>
      <c r="J1084" s="25" t="s">
        <v>246</v>
      </c>
      <c r="K1084" s="25" t="s">
        <v>3033</v>
      </c>
      <c r="L1084" s="25" t="s">
        <v>756</v>
      </c>
      <c r="M1084" s="25" t="s">
        <v>31</v>
      </c>
      <c r="N1084" s="25" t="s">
        <v>31</v>
      </c>
      <c r="O1084" s="25" t="s">
        <v>92</v>
      </c>
      <c r="P1084" s="25" t="s">
        <v>83</v>
      </c>
      <c r="Q1084" s="25" t="s">
        <v>82</v>
      </c>
      <c r="R1084" s="25" t="s">
        <v>91</v>
      </c>
      <c r="S1084" s="25" t="s">
        <v>114</v>
      </c>
      <c r="T1084" s="25" t="s">
        <v>114</v>
      </c>
      <c r="U1084" s="25" t="s">
        <v>113</v>
      </c>
      <c r="V1084" s="25" t="s">
        <v>347</v>
      </c>
      <c r="W1084" s="25" t="s">
        <v>553</v>
      </c>
      <c r="X1084" s="25" t="s">
        <v>1749</v>
      </c>
      <c r="Y1084" s="25" t="s">
        <v>1750</v>
      </c>
      <c r="Z1084" s="26">
        <v>40623</v>
      </c>
      <c r="AA1084" s="776">
        <v>60</v>
      </c>
      <c r="AB1084" s="776">
        <v>0</v>
      </c>
      <c r="AC1084" s="776">
        <v>0</v>
      </c>
      <c r="AD1084" s="776">
        <v>0</v>
      </c>
      <c r="AE1084" s="777">
        <v>0</v>
      </c>
      <c r="AF1084" s="777">
        <v>167.4</v>
      </c>
      <c r="AG1084" s="778">
        <v>182.18036483824926</v>
      </c>
    </row>
    <row r="1085" spans="1:33" x14ac:dyDescent="0.2">
      <c r="A1085" s="15">
        <f t="shared" si="135"/>
        <v>2011</v>
      </c>
      <c r="B1085" s="14">
        <f t="shared" si="136"/>
        <v>3</v>
      </c>
      <c r="C1085" s="13" t="str">
        <f t="shared" si="137"/>
        <v>Q1</v>
      </c>
      <c r="D1085" s="13" t="str">
        <f t="shared" si="138"/>
        <v>2011Q1</v>
      </c>
      <c r="E1085" s="13" t="str">
        <f t="shared" si="139"/>
        <v>Costa Rica</v>
      </c>
      <c r="F1085" s="13" t="str">
        <f t="shared" si="142"/>
        <v>Small Hydro</v>
      </c>
      <c r="G1085" s="13" t="str">
        <f t="shared" si="141"/>
        <v>Asset finance investments</v>
      </c>
      <c r="H1085" s="638">
        <f t="shared" si="140"/>
        <v>136.03671209546687</v>
      </c>
      <c r="I1085" s="24" t="s">
        <v>506</v>
      </c>
      <c r="J1085" s="25" t="s">
        <v>246</v>
      </c>
      <c r="K1085" s="25" t="s">
        <v>3034</v>
      </c>
      <c r="L1085" s="25" t="s">
        <v>767</v>
      </c>
      <c r="M1085" s="25" t="s">
        <v>10</v>
      </c>
      <c r="N1085" s="25" t="s">
        <v>85</v>
      </c>
      <c r="O1085" s="25" t="s">
        <v>92</v>
      </c>
      <c r="P1085" s="25" t="s">
        <v>83</v>
      </c>
      <c r="Q1085" s="25" t="s">
        <v>82</v>
      </c>
      <c r="R1085" s="25"/>
      <c r="S1085" s="25" t="s">
        <v>126</v>
      </c>
      <c r="T1085" s="25" t="s">
        <v>125</v>
      </c>
      <c r="U1085" s="25" t="s">
        <v>247</v>
      </c>
      <c r="V1085" s="25">
        <v>0</v>
      </c>
      <c r="W1085" s="25" t="s">
        <v>553</v>
      </c>
      <c r="X1085" s="25" t="s">
        <v>1752</v>
      </c>
      <c r="Y1085" s="25" t="s">
        <v>1753</v>
      </c>
      <c r="Z1085" s="26">
        <v>40630</v>
      </c>
      <c r="AA1085" s="776">
        <v>50</v>
      </c>
      <c r="AB1085" s="776">
        <v>0</v>
      </c>
      <c r="AC1085" s="776">
        <v>0</v>
      </c>
      <c r="AD1085" s="776">
        <v>0</v>
      </c>
      <c r="AE1085" s="777">
        <v>0</v>
      </c>
      <c r="AF1085" s="777">
        <v>125</v>
      </c>
      <c r="AG1085" s="778">
        <v>136.03671209546687</v>
      </c>
    </row>
    <row r="1086" spans="1:33" x14ac:dyDescent="0.2">
      <c r="A1086" s="15">
        <f t="shared" si="135"/>
        <v>2011</v>
      </c>
      <c r="B1086" s="14">
        <f t="shared" si="136"/>
        <v>3</v>
      </c>
      <c r="C1086" s="13" t="str">
        <f t="shared" si="137"/>
        <v>Q1</v>
      </c>
      <c r="D1086" s="13" t="str">
        <f t="shared" si="138"/>
        <v>2011Q1</v>
      </c>
      <c r="E1086" s="13" t="str">
        <f t="shared" si="139"/>
        <v>Nicaragua</v>
      </c>
      <c r="F1086" s="13" t="str">
        <f t="shared" si="142"/>
        <v>Wind</v>
      </c>
      <c r="G1086" s="13" t="str">
        <f t="shared" si="141"/>
        <v>Asset finance investments</v>
      </c>
      <c r="H1086" s="638">
        <f t="shared" si="140"/>
        <v>126.02441008524052</v>
      </c>
      <c r="I1086" s="24" t="s">
        <v>506</v>
      </c>
      <c r="J1086" s="25" t="s">
        <v>246</v>
      </c>
      <c r="K1086" s="25" t="s">
        <v>3035</v>
      </c>
      <c r="L1086" s="25" t="s">
        <v>934</v>
      </c>
      <c r="M1086" s="25" t="s">
        <v>2</v>
      </c>
      <c r="N1086" s="25" t="s">
        <v>85</v>
      </c>
      <c r="O1086" s="25" t="s">
        <v>92</v>
      </c>
      <c r="P1086" s="25" t="s">
        <v>83</v>
      </c>
      <c r="Q1086" s="25" t="s">
        <v>82</v>
      </c>
      <c r="R1086" s="25"/>
      <c r="S1086" s="25" t="s">
        <v>101</v>
      </c>
      <c r="T1086" s="25" t="s">
        <v>101</v>
      </c>
      <c r="U1086" s="25" t="s">
        <v>112</v>
      </c>
      <c r="V1086" s="25">
        <v>0</v>
      </c>
      <c r="W1086" s="25" t="s">
        <v>553</v>
      </c>
      <c r="X1086" s="25" t="s">
        <v>1749</v>
      </c>
      <c r="Y1086" s="25" t="s">
        <v>1750</v>
      </c>
      <c r="Z1086" s="26">
        <v>40610</v>
      </c>
      <c r="AA1086" s="776">
        <v>39.6</v>
      </c>
      <c r="AB1086" s="776">
        <v>0</v>
      </c>
      <c r="AC1086" s="776">
        <v>0</v>
      </c>
      <c r="AD1086" s="776">
        <v>0</v>
      </c>
      <c r="AE1086" s="777">
        <v>115.8</v>
      </c>
      <c r="AF1086" s="777">
        <v>115.8</v>
      </c>
      <c r="AG1086" s="778">
        <v>126.02441008524052</v>
      </c>
    </row>
    <row r="1087" spans="1:33" x14ac:dyDescent="0.2">
      <c r="A1087" s="15">
        <f t="shared" si="135"/>
        <v>2011</v>
      </c>
      <c r="B1087" s="14">
        <f t="shared" si="136"/>
        <v>3</v>
      </c>
      <c r="C1087" s="13" t="str">
        <f t="shared" si="137"/>
        <v>Q1</v>
      </c>
      <c r="D1087" s="13" t="str">
        <f t="shared" si="138"/>
        <v>2011Q1</v>
      </c>
      <c r="E1087" s="13" t="str">
        <f t="shared" si="139"/>
        <v>Brazil</v>
      </c>
      <c r="F1087" s="13" t="str">
        <f t="shared" si="142"/>
        <v>Biomass &amp; Waste</v>
      </c>
      <c r="G1087" s="13" t="str">
        <f t="shared" si="141"/>
        <v>Asset finance investments</v>
      </c>
      <c r="H1087" s="638">
        <f t="shared" si="140"/>
        <v>120.80060034077459</v>
      </c>
      <c r="I1087" s="24" t="s">
        <v>506</v>
      </c>
      <c r="J1087" s="25" t="s">
        <v>246</v>
      </c>
      <c r="K1087" s="25" t="s">
        <v>3036</v>
      </c>
      <c r="L1087" s="25" t="s">
        <v>3037</v>
      </c>
      <c r="M1087" s="25" t="s">
        <v>31</v>
      </c>
      <c r="N1087" s="25" t="s">
        <v>31</v>
      </c>
      <c r="O1087" s="25" t="s">
        <v>92</v>
      </c>
      <c r="P1087" s="25" t="s">
        <v>83</v>
      </c>
      <c r="Q1087" s="25" t="s">
        <v>82</v>
      </c>
      <c r="R1087" s="25" t="s">
        <v>91</v>
      </c>
      <c r="S1087" s="25" t="s">
        <v>114</v>
      </c>
      <c r="T1087" s="25" t="s">
        <v>114</v>
      </c>
      <c r="U1087" s="25" t="s">
        <v>113</v>
      </c>
      <c r="V1087" s="25" t="s">
        <v>347</v>
      </c>
      <c r="W1087" s="25" t="s">
        <v>553</v>
      </c>
      <c r="X1087" s="25" t="s">
        <v>1749</v>
      </c>
      <c r="Y1087" s="25" t="s">
        <v>1750</v>
      </c>
      <c r="Z1087" s="26">
        <v>40633</v>
      </c>
      <c r="AA1087" s="776">
        <v>54</v>
      </c>
      <c r="AB1087" s="776">
        <v>0</v>
      </c>
      <c r="AC1087" s="776">
        <v>0</v>
      </c>
      <c r="AD1087" s="776">
        <v>0</v>
      </c>
      <c r="AE1087" s="777">
        <v>111</v>
      </c>
      <c r="AF1087" s="777">
        <v>111</v>
      </c>
      <c r="AG1087" s="778">
        <v>120.80060034077459</v>
      </c>
    </row>
    <row r="1088" spans="1:33" x14ac:dyDescent="0.2">
      <c r="A1088" s="15">
        <f t="shared" si="135"/>
        <v>2011</v>
      </c>
      <c r="B1088" s="14">
        <f t="shared" si="136"/>
        <v>2</v>
      </c>
      <c r="C1088" s="13" t="str">
        <f t="shared" si="137"/>
        <v>Q1</v>
      </c>
      <c r="D1088" s="13" t="str">
        <f t="shared" si="138"/>
        <v>2011Q1</v>
      </c>
      <c r="E1088" s="13" t="str">
        <f t="shared" si="139"/>
        <v>Costa Rica</v>
      </c>
      <c r="F1088" s="13" t="str">
        <f t="shared" si="142"/>
        <v>Small Hydro</v>
      </c>
      <c r="G1088" s="13" t="str">
        <f t="shared" si="141"/>
        <v>Asset finance investments</v>
      </c>
      <c r="H1088" s="638">
        <f t="shared" si="140"/>
        <v>79.989586712134553</v>
      </c>
      <c r="I1088" s="24" t="s">
        <v>506</v>
      </c>
      <c r="J1088" s="25" t="s">
        <v>246</v>
      </c>
      <c r="K1088" s="25" t="s">
        <v>3038</v>
      </c>
      <c r="L1088" s="25" t="s">
        <v>3039</v>
      </c>
      <c r="M1088" s="25" t="s">
        <v>10</v>
      </c>
      <c r="N1088" s="25" t="s">
        <v>85</v>
      </c>
      <c r="O1088" s="25" t="s">
        <v>92</v>
      </c>
      <c r="P1088" s="25" t="s">
        <v>83</v>
      </c>
      <c r="Q1088" s="25" t="s">
        <v>82</v>
      </c>
      <c r="R1088" s="25"/>
      <c r="S1088" s="25" t="s">
        <v>126</v>
      </c>
      <c r="T1088" s="25" t="s">
        <v>125</v>
      </c>
      <c r="U1088" s="25" t="s">
        <v>342</v>
      </c>
      <c r="V1088" s="25">
        <v>0</v>
      </c>
      <c r="W1088" s="25" t="s">
        <v>553</v>
      </c>
      <c r="X1088" s="25" t="s">
        <v>1749</v>
      </c>
      <c r="Y1088" s="25" t="s">
        <v>1750</v>
      </c>
      <c r="Z1088" s="26">
        <v>40598</v>
      </c>
      <c r="AA1088" s="776">
        <v>21.6</v>
      </c>
      <c r="AB1088" s="776">
        <v>0</v>
      </c>
      <c r="AC1088" s="776">
        <v>0</v>
      </c>
      <c r="AD1088" s="776">
        <v>0</v>
      </c>
      <c r="AE1088" s="777">
        <v>73.5</v>
      </c>
      <c r="AF1088" s="777">
        <v>73.5</v>
      </c>
      <c r="AG1088" s="778">
        <v>79.989586712134553</v>
      </c>
    </row>
    <row r="1089" spans="1:33" x14ac:dyDescent="0.2">
      <c r="A1089" s="15">
        <f t="shared" si="135"/>
        <v>2011</v>
      </c>
      <c r="B1089" s="14">
        <f t="shared" si="136"/>
        <v>2</v>
      </c>
      <c r="C1089" s="13" t="str">
        <f t="shared" si="137"/>
        <v>Q1</v>
      </c>
      <c r="D1089" s="13" t="str">
        <f t="shared" si="138"/>
        <v>2011Q1</v>
      </c>
      <c r="E1089" s="13" t="str">
        <f t="shared" si="139"/>
        <v>Brazil</v>
      </c>
      <c r="F1089" s="13" t="str">
        <f t="shared" si="142"/>
        <v>Biofuels</v>
      </c>
      <c r="G1089" s="13" t="str">
        <f t="shared" si="141"/>
        <v>Asset finance investments</v>
      </c>
      <c r="H1089" s="638">
        <f t="shared" si="140"/>
        <v>57.026589710419721</v>
      </c>
      <c r="I1089" s="24" t="s">
        <v>506</v>
      </c>
      <c r="J1089" s="25" t="s">
        <v>246</v>
      </c>
      <c r="K1089" s="25" t="s">
        <v>3040</v>
      </c>
      <c r="L1089" s="25" t="s">
        <v>766</v>
      </c>
      <c r="M1089" s="25" t="s">
        <v>31</v>
      </c>
      <c r="N1089" s="25" t="s">
        <v>31</v>
      </c>
      <c r="O1089" s="25" t="s">
        <v>92</v>
      </c>
      <c r="P1089" s="25" t="s">
        <v>83</v>
      </c>
      <c r="Q1089" s="25" t="s">
        <v>82</v>
      </c>
      <c r="R1089" s="25" t="s">
        <v>91</v>
      </c>
      <c r="S1089" s="25" t="s">
        <v>96</v>
      </c>
      <c r="T1089" s="25" t="s">
        <v>96</v>
      </c>
      <c r="U1089" s="25" t="s">
        <v>95</v>
      </c>
      <c r="V1089" s="25" t="s">
        <v>223</v>
      </c>
      <c r="W1089" s="25" t="s">
        <v>553</v>
      </c>
      <c r="X1089" s="25" t="s">
        <v>1749</v>
      </c>
      <c r="Y1089" s="25" t="s">
        <v>1750</v>
      </c>
      <c r="Z1089" s="26">
        <v>40589</v>
      </c>
      <c r="AA1089" s="776">
        <v>0</v>
      </c>
      <c r="AB1089" s="776">
        <v>170</v>
      </c>
      <c r="AC1089" s="776">
        <v>0</v>
      </c>
      <c r="AD1089" s="776">
        <v>0</v>
      </c>
      <c r="AE1089" s="777">
        <v>52.4</v>
      </c>
      <c r="AF1089" s="777">
        <v>52.4</v>
      </c>
      <c r="AG1089" s="778">
        <v>57.026589710419721</v>
      </c>
    </row>
    <row r="1090" spans="1:33" x14ac:dyDescent="0.2">
      <c r="A1090" s="15">
        <f t="shared" si="135"/>
        <v>2011</v>
      </c>
      <c r="B1090" s="14">
        <f t="shared" si="136"/>
        <v>1</v>
      </c>
      <c r="C1090" s="13" t="str">
        <f t="shared" si="137"/>
        <v>Q1</v>
      </c>
      <c r="D1090" s="13" t="str">
        <f t="shared" si="138"/>
        <v>2011Q1</v>
      </c>
      <c r="E1090" s="13" t="str">
        <f t="shared" si="139"/>
        <v>Brazil</v>
      </c>
      <c r="F1090" s="13" t="str">
        <f t="shared" si="142"/>
        <v>Biofuels</v>
      </c>
      <c r="G1090" s="13" t="str">
        <f t="shared" si="141"/>
        <v>Asset finance investments</v>
      </c>
      <c r="H1090" s="638">
        <f t="shared" si="140"/>
        <v>54.431009243638215</v>
      </c>
      <c r="I1090" s="24" t="s">
        <v>506</v>
      </c>
      <c r="J1090" s="25" t="s">
        <v>246</v>
      </c>
      <c r="K1090" s="25" t="s">
        <v>3041</v>
      </c>
      <c r="L1090" s="25" t="s">
        <v>687</v>
      </c>
      <c r="M1090" s="25" t="s">
        <v>31</v>
      </c>
      <c r="N1090" s="25" t="s">
        <v>31</v>
      </c>
      <c r="O1090" s="25" t="s">
        <v>92</v>
      </c>
      <c r="P1090" s="25" t="s">
        <v>83</v>
      </c>
      <c r="Q1090" s="25" t="s">
        <v>82</v>
      </c>
      <c r="R1090" s="25" t="s">
        <v>91</v>
      </c>
      <c r="S1090" s="25" t="s">
        <v>96</v>
      </c>
      <c r="T1090" s="25" t="s">
        <v>96</v>
      </c>
      <c r="U1090" s="25" t="s">
        <v>95</v>
      </c>
      <c r="V1090" s="25" t="s">
        <v>223</v>
      </c>
      <c r="W1090" s="25" t="s">
        <v>553</v>
      </c>
      <c r="X1090" s="25" t="s">
        <v>1752</v>
      </c>
      <c r="Y1090" s="25" t="s">
        <v>1753</v>
      </c>
      <c r="Z1090" s="26">
        <v>40555</v>
      </c>
      <c r="AA1090" s="776">
        <v>0</v>
      </c>
      <c r="AB1090" s="776">
        <v>142.9</v>
      </c>
      <c r="AC1090" s="776">
        <v>0</v>
      </c>
      <c r="AD1090" s="776">
        <v>0</v>
      </c>
      <c r="AE1090" s="777">
        <v>0</v>
      </c>
      <c r="AF1090" s="777">
        <v>50.015000000000001</v>
      </c>
      <c r="AG1090" s="778">
        <v>54.431009243638215</v>
      </c>
    </row>
    <row r="1091" spans="1:33" x14ac:dyDescent="0.2">
      <c r="A1091" s="15">
        <f t="shared" si="135"/>
        <v>2011</v>
      </c>
      <c r="B1091" s="14">
        <f t="shared" si="136"/>
        <v>3</v>
      </c>
      <c r="C1091" s="13" t="str">
        <f t="shared" si="137"/>
        <v>Q1</v>
      </c>
      <c r="D1091" s="13" t="str">
        <f t="shared" si="138"/>
        <v>2011Q1</v>
      </c>
      <c r="E1091" s="13" t="str">
        <f t="shared" si="139"/>
        <v>Colombia</v>
      </c>
      <c r="F1091" s="13" t="str">
        <f t="shared" si="142"/>
        <v>Biomass &amp; Waste</v>
      </c>
      <c r="G1091" s="13" t="str">
        <f t="shared" si="141"/>
        <v>Asset finance investments</v>
      </c>
      <c r="H1091" s="638">
        <f t="shared" si="140"/>
        <v>52.238097444659289</v>
      </c>
      <c r="I1091" s="24" t="s">
        <v>506</v>
      </c>
      <c r="J1091" s="25" t="s">
        <v>246</v>
      </c>
      <c r="K1091" s="25" t="s">
        <v>3042</v>
      </c>
      <c r="L1091" s="25" t="s">
        <v>765</v>
      </c>
      <c r="M1091" s="25" t="s">
        <v>9</v>
      </c>
      <c r="N1091" s="25" t="s">
        <v>85</v>
      </c>
      <c r="O1091" s="25" t="s">
        <v>92</v>
      </c>
      <c r="P1091" s="25" t="s">
        <v>83</v>
      </c>
      <c r="Q1091" s="25" t="s">
        <v>82</v>
      </c>
      <c r="R1091" s="25"/>
      <c r="S1091" s="25" t="s">
        <v>114</v>
      </c>
      <c r="T1091" s="25" t="s">
        <v>114</v>
      </c>
      <c r="U1091" s="25" t="s">
        <v>113</v>
      </c>
      <c r="V1091" s="25" t="s">
        <v>347</v>
      </c>
      <c r="W1091" s="25" t="s">
        <v>553</v>
      </c>
      <c r="X1091" s="25" t="s">
        <v>1752</v>
      </c>
      <c r="Y1091" s="25" t="s">
        <v>1753</v>
      </c>
      <c r="Z1091" s="26">
        <v>40612</v>
      </c>
      <c r="AA1091" s="776">
        <v>30</v>
      </c>
      <c r="AB1091" s="776">
        <v>0</v>
      </c>
      <c r="AC1091" s="776">
        <v>0</v>
      </c>
      <c r="AD1091" s="776">
        <v>0</v>
      </c>
      <c r="AE1091" s="777">
        <v>48</v>
      </c>
      <c r="AF1091" s="777">
        <v>48</v>
      </c>
      <c r="AG1091" s="778">
        <v>52.238097444659289</v>
      </c>
    </row>
    <row r="1092" spans="1:33" x14ac:dyDescent="0.2">
      <c r="A1092" s="15">
        <f t="shared" si="135"/>
        <v>2011</v>
      </c>
      <c r="B1092" s="14">
        <f t="shared" si="136"/>
        <v>1</v>
      </c>
      <c r="C1092" s="13" t="str">
        <f t="shared" si="137"/>
        <v>Q1</v>
      </c>
      <c r="D1092" s="13" t="str">
        <f t="shared" si="138"/>
        <v>2011Q1</v>
      </c>
      <c r="E1092" s="13" t="str">
        <f t="shared" si="139"/>
        <v>Brazil</v>
      </c>
      <c r="F1092" s="13" t="str">
        <f t="shared" si="142"/>
        <v>Biofuels</v>
      </c>
      <c r="G1092" s="13" t="str">
        <f t="shared" si="141"/>
        <v>Asset finance investments</v>
      </c>
      <c r="H1092" s="638">
        <f t="shared" si="140"/>
        <v>45.490676524724122</v>
      </c>
      <c r="I1092" s="24" t="s">
        <v>506</v>
      </c>
      <c r="J1092" s="25" t="s">
        <v>246</v>
      </c>
      <c r="K1092" s="25" t="s">
        <v>3043</v>
      </c>
      <c r="L1092" s="25" t="s">
        <v>773</v>
      </c>
      <c r="M1092" s="25" t="s">
        <v>31</v>
      </c>
      <c r="N1092" s="25" t="s">
        <v>31</v>
      </c>
      <c r="O1092" s="25" t="s">
        <v>92</v>
      </c>
      <c r="P1092" s="25" t="s">
        <v>83</v>
      </c>
      <c r="Q1092" s="25" t="s">
        <v>82</v>
      </c>
      <c r="R1092" s="25" t="s">
        <v>91</v>
      </c>
      <c r="S1092" s="25" t="s">
        <v>96</v>
      </c>
      <c r="T1092" s="25" t="s">
        <v>96</v>
      </c>
      <c r="U1092" s="25" t="s">
        <v>95</v>
      </c>
      <c r="V1092" s="25" t="s">
        <v>223</v>
      </c>
      <c r="W1092" s="25" t="s">
        <v>553</v>
      </c>
      <c r="X1092" s="25" t="s">
        <v>1749</v>
      </c>
      <c r="Y1092" s="25" t="s">
        <v>1750</v>
      </c>
      <c r="Z1092" s="26">
        <v>40563</v>
      </c>
      <c r="AA1092" s="776">
        <v>0</v>
      </c>
      <c r="AB1092" s="776">
        <v>324</v>
      </c>
      <c r="AC1092" s="776">
        <v>0</v>
      </c>
      <c r="AD1092" s="776">
        <v>0</v>
      </c>
      <c r="AE1092" s="777">
        <v>41.8</v>
      </c>
      <c r="AF1092" s="777">
        <v>41.8</v>
      </c>
      <c r="AG1092" s="778">
        <v>45.490676524724122</v>
      </c>
    </row>
    <row r="1093" spans="1:33" x14ac:dyDescent="0.2">
      <c r="A1093" s="15">
        <f t="shared" ref="A1093:A1156" si="143">IF(K1093="","",IF(AND(YEAR(Z1093)&lt;2004,YEAR(Z1093)&gt;1910),2004,YEAR(Z1093)))</f>
        <v>2011</v>
      </c>
      <c r="B1093" s="14">
        <f t="shared" ref="B1093:B1156" si="144">IF(K1093="","",IF(ISNUMBER(Z1093),MONTH(Z1093),0))</f>
        <v>3</v>
      </c>
      <c r="C1093" s="13" t="str">
        <f t="shared" ref="C1093:C1156" si="145">IF(K1093="","",IF(AND(B1093&gt;=1,B1093&lt;=3),"Q1",IF(AND(B1093&gt;3,B1093&lt;=6),"Q2",IF(AND(B1093&gt;6,B1093&lt;=9),"Q3",IF(AND(B1093&gt;9,B1093&lt;=12),"Q4",0)))))</f>
        <v>Q1</v>
      </c>
      <c r="D1093" s="13" t="str">
        <f t="shared" ref="D1093:D1156" si="146">IF(A1093&lt;2006, "&lt; 2006", A1093&amp;C1093)</f>
        <v>2011Q1</v>
      </c>
      <c r="E1093" s="13" t="str">
        <f t="shared" ref="E1093:E1156" si="147">IF(K1093="","", M1093)</f>
        <v>Peru</v>
      </c>
      <c r="F1093" s="13" t="str">
        <f t="shared" si="142"/>
        <v>Small Hydro</v>
      </c>
      <c r="G1093" s="13" t="str">
        <f t="shared" si="141"/>
        <v>Asset finance investments</v>
      </c>
      <c r="H1093" s="638">
        <f t="shared" ref="H1093:H1156" si="148">IF(K1093="","",AG1093)</f>
        <v>43.096430391843917</v>
      </c>
      <c r="I1093" s="24" t="s">
        <v>506</v>
      </c>
      <c r="J1093" s="25" t="s">
        <v>246</v>
      </c>
      <c r="K1093" s="25" t="s">
        <v>3044</v>
      </c>
      <c r="L1093" s="25" t="s">
        <v>3045</v>
      </c>
      <c r="M1093" s="25" t="s">
        <v>20</v>
      </c>
      <c r="N1093" s="25" t="s">
        <v>85</v>
      </c>
      <c r="O1093" s="25" t="s">
        <v>92</v>
      </c>
      <c r="P1093" s="25" t="s">
        <v>83</v>
      </c>
      <c r="Q1093" s="25" t="s">
        <v>82</v>
      </c>
      <c r="R1093" s="25"/>
      <c r="S1093" s="25" t="s">
        <v>126</v>
      </c>
      <c r="T1093" s="25" t="s">
        <v>125</v>
      </c>
      <c r="U1093" s="25" t="s">
        <v>247</v>
      </c>
      <c r="V1093" s="25">
        <v>0</v>
      </c>
      <c r="W1093" s="25" t="s">
        <v>553</v>
      </c>
      <c r="X1093" s="25" t="s">
        <v>1752</v>
      </c>
      <c r="Y1093" s="25" t="s">
        <v>1753</v>
      </c>
      <c r="Z1093" s="26">
        <v>40633</v>
      </c>
      <c r="AA1093" s="776">
        <v>18</v>
      </c>
      <c r="AB1093" s="776">
        <v>0</v>
      </c>
      <c r="AC1093" s="776">
        <v>0</v>
      </c>
      <c r="AD1093" s="776">
        <v>0</v>
      </c>
      <c r="AE1093" s="777">
        <v>39.6</v>
      </c>
      <c r="AF1093" s="777">
        <v>39.6</v>
      </c>
      <c r="AG1093" s="778">
        <v>43.096430391843917</v>
      </c>
    </row>
    <row r="1094" spans="1:33" x14ac:dyDescent="0.2">
      <c r="A1094" s="15">
        <f t="shared" si="143"/>
        <v>2011</v>
      </c>
      <c r="B1094" s="14">
        <f t="shared" si="144"/>
        <v>3</v>
      </c>
      <c r="C1094" s="13" t="str">
        <f t="shared" si="145"/>
        <v>Q1</v>
      </c>
      <c r="D1094" s="13" t="str">
        <f t="shared" si="146"/>
        <v>2011Q1</v>
      </c>
      <c r="E1094" s="13" t="str">
        <f t="shared" si="147"/>
        <v>Brazil</v>
      </c>
      <c r="F1094" s="13" t="str">
        <f t="shared" si="142"/>
        <v>Solar</v>
      </c>
      <c r="G1094" s="13" t="str">
        <f t="shared" ref="G1094:G1157" si="149">IF(K1094="","",IF(OR(J1094="PM",J1094="MA"), "Corporate finance investments", IF(J1094="VCPE", "VC/PE investments", IF(J1094="AF", "Asset finance investments"))))</f>
        <v>VC/PE investments</v>
      </c>
      <c r="H1094" s="638">
        <f t="shared" si="148"/>
        <v>24.544287743112513</v>
      </c>
      <c r="I1094" s="24" t="s">
        <v>506</v>
      </c>
      <c r="J1094" s="25" t="s">
        <v>216</v>
      </c>
      <c r="K1094" s="25" t="s">
        <v>3046</v>
      </c>
      <c r="L1094" s="25" t="s">
        <v>3047</v>
      </c>
      <c r="M1094" s="25" t="s">
        <v>31</v>
      </c>
      <c r="N1094" s="25" t="s">
        <v>31</v>
      </c>
      <c r="O1094" s="25" t="s">
        <v>92</v>
      </c>
      <c r="P1094" s="25" t="s">
        <v>83</v>
      </c>
      <c r="Q1094" s="25" t="s">
        <v>82</v>
      </c>
      <c r="R1094" s="25" t="s">
        <v>91</v>
      </c>
      <c r="S1094" s="25" t="s">
        <v>80</v>
      </c>
      <c r="T1094" s="25" t="s">
        <v>80</v>
      </c>
      <c r="U1094" s="25" t="s">
        <v>181</v>
      </c>
      <c r="V1094" s="25">
        <v>0</v>
      </c>
      <c r="W1094" s="25" t="s">
        <v>94</v>
      </c>
      <c r="X1094" s="25" t="s">
        <v>508</v>
      </c>
      <c r="Y1094" s="25" t="s">
        <v>507</v>
      </c>
      <c r="Z1094" s="26">
        <v>40604</v>
      </c>
      <c r="AA1094" s="776" t="s">
        <v>1748</v>
      </c>
      <c r="AB1094" s="776" t="s">
        <v>1748</v>
      </c>
      <c r="AC1094" s="776" t="s">
        <v>1748</v>
      </c>
      <c r="AD1094" s="776" t="s">
        <v>1748</v>
      </c>
      <c r="AE1094" s="777">
        <v>0</v>
      </c>
      <c r="AF1094" s="777">
        <v>22.553000000000001</v>
      </c>
      <c r="AG1094" s="778">
        <v>24.544287743112513</v>
      </c>
    </row>
    <row r="1095" spans="1:33" x14ac:dyDescent="0.2">
      <c r="A1095" s="15">
        <f t="shared" si="143"/>
        <v>2011</v>
      </c>
      <c r="B1095" s="14">
        <f t="shared" si="144"/>
        <v>3</v>
      </c>
      <c r="C1095" s="13" t="str">
        <f t="shared" si="145"/>
        <v>Q1</v>
      </c>
      <c r="D1095" s="13" t="str">
        <f t="shared" si="146"/>
        <v>2011Q1</v>
      </c>
      <c r="E1095" s="13" t="str">
        <f t="shared" si="147"/>
        <v>Peru</v>
      </c>
      <c r="F1095" s="13" t="str">
        <f t="shared" ref="F1095:F1158" si="150">IF(K1095="","",IF(OR(T1095="Wind",T1095="Solar",T1095="Geothermal",T1095="Small Hydro",T1095="Biofuels",T1095="Biomass &amp; Waste"),T1095,"Other Clean Energy"))</f>
        <v>Small Hydro</v>
      </c>
      <c r="G1095" s="13" t="str">
        <f t="shared" si="149"/>
        <v>VC/PE investments</v>
      </c>
      <c r="H1095" s="638">
        <f t="shared" si="148"/>
        <v>20.989920529482152</v>
      </c>
      <c r="I1095" s="24" t="s">
        <v>506</v>
      </c>
      <c r="J1095" s="25" t="s">
        <v>216</v>
      </c>
      <c r="K1095" s="25" t="s">
        <v>3048</v>
      </c>
      <c r="L1095" s="25" t="s">
        <v>3049</v>
      </c>
      <c r="M1095" s="25" t="s">
        <v>20</v>
      </c>
      <c r="N1095" s="25" t="s">
        <v>85</v>
      </c>
      <c r="O1095" s="25" t="s">
        <v>92</v>
      </c>
      <c r="P1095" s="25" t="s">
        <v>83</v>
      </c>
      <c r="Q1095" s="25" t="s">
        <v>82</v>
      </c>
      <c r="R1095" s="25"/>
      <c r="S1095" s="25" t="s">
        <v>126</v>
      </c>
      <c r="T1095" s="25" t="s">
        <v>125</v>
      </c>
      <c r="U1095" s="25" t="s">
        <v>342</v>
      </c>
      <c r="V1095" s="25">
        <v>0</v>
      </c>
      <c r="W1095" s="25" t="s">
        <v>94</v>
      </c>
      <c r="X1095" s="25" t="s">
        <v>508</v>
      </c>
      <c r="Y1095" s="25" t="s">
        <v>507</v>
      </c>
      <c r="Z1095" s="26">
        <v>40633</v>
      </c>
      <c r="AA1095" s="776" t="s">
        <v>1748</v>
      </c>
      <c r="AB1095" s="776" t="s">
        <v>1748</v>
      </c>
      <c r="AC1095" s="776" t="s">
        <v>1748</v>
      </c>
      <c r="AD1095" s="776" t="s">
        <v>1748</v>
      </c>
      <c r="AE1095" s="777">
        <v>0</v>
      </c>
      <c r="AF1095" s="777">
        <v>19.286999999999999</v>
      </c>
      <c r="AG1095" s="778">
        <v>20.989920529482152</v>
      </c>
    </row>
    <row r="1096" spans="1:33" x14ac:dyDescent="0.2">
      <c r="A1096" s="15">
        <f t="shared" si="143"/>
        <v>2011</v>
      </c>
      <c r="B1096" s="14">
        <f t="shared" si="144"/>
        <v>2</v>
      </c>
      <c r="C1096" s="13" t="str">
        <f t="shared" si="145"/>
        <v>Q1</v>
      </c>
      <c r="D1096" s="13" t="str">
        <f t="shared" si="146"/>
        <v>2011Q1</v>
      </c>
      <c r="E1096" s="13" t="str">
        <f t="shared" si="147"/>
        <v>Brazil</v>
      </c>
      <c r="F1096" s="13" t="str">
        <f t="shared" si="150"/>
        <v>Biofuels</v>
      </c>
      <c r="G1096" s="13" t="str">
        <f t="shared" si="149"/>
        <v>Asset finance investments</v>
      </c>
      <c r="H1096" s="638">
        <f t="shared" si="148"/>
        <v>20.568750868834591</v>
      </c>
      <c r="I1096" s="24" t="s">
        <v>506</v>
      </c>
      <c r="J1096" s="25" t="s">
        <v>246</v>
      </c>
      <c r="K1096" s="25" t="s">
        <v>3050</v>
      </c>
      <c r="L1096" s="25" t="s">
        <v>3051</v>
      </c>
      <c r="M1096" s="25" t="s">
        <v>31</v>
      </c>
      <c r="N1096" s="25" t="s">
        <v>31</v>
      </c>
      <c r="O1096" s="25" t="s">
        <v>92</v>
      </c>
      <c r="P1096" s="25" t="s">
        <v>83</v>
      </c>
      <c r="Q1096" s="25" t="s">
        <v>82</v>
      </c>
      <c r="R1096" s="25" t="s">
        <v>91</v>
      </c>
      <c r="S1096" s="25" t="s">
        <v>96</v>
      </c>
      <c r="T1096" s="25" t="s">
        <v>96</v>
      </c>
      <c r="U1096" s="25" t="s">
        <v>95</v>
      </c>
      <c r="V1096" s="25" t="s">
        <v>223</v>
      </c>
      <c r="W1096" s="25" t="s">
        <v>553</v>
      </c>
      <c r="X1096" s="25" t="s">
        <v>1752</v>
      </c>
      <c r="Y1096" s="25" t="s">
        <v>1753</v>
      </c>
      <c r="Z1096" s="26">
        <v>40577</v>
      </c>
      <c r="AA1096" s="776">
        <v>0</v>
      </c>
      <c r="AB1096" s="776">
        <v>54</v>
      </c>
      <c r="AC1096" s="776">
        <v>0</v>
      </c>
      <c r="AD1096" s="776">
        <v>0</v>
      </c>
      <c r="AE1096" s="777">
        <v>0</v>
      </c>
      <c r="AF1096" s="777">
        <v>18.899999999999999</v>
      </c>
      <c r="AG1096" s="778">
        <v>20.568750868834591</v>
      </c>
    </row>
    <row r="1097" spans="1:33" x14ac:dyDescent="0.2">
      <c r="A1097" s="15">
        <f t="shared" si="143"/>
        <v>2011</v>
      </c>
      <c r="B1097" s="14">
        <f t="shared" si="144"/>
        <v>1</v>
      </c>
      <c r="C1097" s="13" t="str">
        <f t="shared" si="145"/>
        <v>Q1</v>
      </c>
      <c r="D1097" s="13" t="str">
        <f t="shared" si="146"/>
        <v>2011Q1</v>
      </c>
      <c r="E1097" s="13" t="str">
        <f t="shared" si="147"/>
        <v>Brazil</v>
      </c>
      <c r="F1097" s="13" t="str">
        <f t="shared" si="150"/>
        <v>Biofuels</v>
      </c>
      <c r="G1097" s="13" t="str">
        <f t="shared" si="149"/>
        <v>Asset finance investments</v>
      </c>
      <c r="H1097" s="638">
        <f t="shared" si="148"/>
        <v>19.197500810912285</v>
      </c>
      <c r="I1097" s="24" t="s">
        <v>506</v>
      </c>
      <c r="J1097" s="25" t="s">
        <v>246</v>
      </c>
      <c r="K1097" s="25" t="s">
        <v>3052</v>
      </c>
      <c r="L1097" s="25" t="s">
        <v>3053</v>
      </c>
      <c r="M1097" s="25" t="s">
        <v>31</v>
      </c>
      <c r="N1097" s="25" t="s">
        <v>31</v>
      </c>
      <c r="O1097" s="25" t="s">
        <v>92</v>
      </c>
      <c r="P1097" s="25" t="s">
        <v>83</v>
      </c>
      <c r="Q1097" s="25" t="s">
        <v>82</v>
      </c>
      <c r="R1097" s="25" t="s">
        <v>91</v>
      </c>
      <c r="S1097" s="25" t="s">
        <v>96</v>
      </c>
      <c r="T1097" s="25" t="s">
        <v>96</v>
      </c>
      <c r="U1097" s="25" t="s">
        <v>95</v>
      </c>
      <c r="V1097" s="25" t="s">
        <v>223</v>
      </c>
      <c r="W1097" s="25" t="s">
        <v>553</v>
      </c>
      <c r="X1097" s="25" t="s">
        <v>1752</v>
      </c>
      <c r="Y1097" s="25" t="s">
        <v>1753</v>
      </c>
      <c r="Z1097" s="26">
        <v>40568</v>
      </c>
      <c r="AA1097" s="776">
        <v>0</v>
      </c>
      <c r="AB1097" s="776">
        <v>50.4</v>
      </c>
      <c r="AC1097" s="776">
        <v>0</v>
      </c>
      <c r="AD1097" s="776">
        <v>0</v>
      </c>
      <c r="AE1097" s="777">
        <v>0</v>
      </c>
      <c r="AF1097" s="777">
        <v>17.639999999999997</v>
      </c>
      <c r="AG1097" s="778">
        <v>19.197500810912285</v>
      </c>
    </row>
    <row r="1098" spans="1:33" x14ac:dyDescent="0.2">
      <c r="A1098" s="15">
        <f t="shared" si="143"/>
        <v>2011</v>
      </c>
      <c r="B1098" s="14">
        <f t="shared" si="144"/>
        <v>2</v>
      </c>
      <c r="C1098" s="13" t="str">
        <f t="shared" si="145"/>
        <v>Q1</v>
      </c>
      <c r="D1098" s="13" t="str">
        <f t="shared" si="146"/>
        <v>2011Q1</v>
      </c>
      <c r="E1098" s="13" t="str">
        <f t="shared" si="147"/>
        <v>Argentina</v>
      </c>
      <c r="F1098" s="13" t="str">
        <f t="shared" si="150"/>
        <v>Biofuels</v>
      </c>
      <c r="G1098" s="13" t="str">
        <f t="shared" si="149"/>
        <v>Asset finance investments</v>
      </c>
      <c r="H1098" s="638">
        <f t="shared" si="148"/>
        <v>17.412699148219762</v>
      </c>
      <c r="I1098" s="24" t="s">
        <v>506</v>
      </c>
      <c r="J1098" s="25" t="s">
        <v>246</v>
      </c>
      <c r="K1098" s="25" t="s">
        <v>3054</v>
      </c>
      <c r="L1098" s="25" t="s">
        <v>3055</v>
      </c>
      <c r="M1098" s="25" t="s">
        <v>4</v>
      </c>
      <c r="N1098" s="25" t="s">
        <v>85</v>
      </c>
      <c r="O1098" s="25" t="s">
        <v>92</v>
      </c>
      <c r="P1098" s="25" t="s">
        <v>83</v>
      </c>
      <c r="Q1098" s="25" t="s">
        <v>82</v>
      </c>
      <c r="R1098" s="25"/>
      <c r="S1098" s="25" t="s">
        <v>96</v>
      </c>
      <c r="T1098" s="25" t="s">
        <v>96</v>
      </c>
      <c r="U1098" s="25" t="s">
        <v>98</v>
      </c>
      <c r="V1098" s="25" t="s">
        <v>230</v>
      </c>
      <c r="W1098" s="25" t="s">
        <v>553</v>
      </c>
      <c r="X1098" s="25" t="s">
        <v>1752</v>
      </c>
      <c r="Y1098" s="25" t="s">
        <v>1753</v>
      </c>
      <c r="Z1098" s="26">
        <v>40590</v>
      </c>
      <c r="AA1098" s="776">
        <v>0</v>
      </c>
      <c r="AB1098" s="776">
        <v>0</v>
      </c>
      <c r="AC1098" s="776">
        <v>0</v>
      </c>
      <c r="AD1098" s="776">
        <v>0</v>
      </c>
      <c r="AE1098" s="777">
        <v>0</v>
      </c>
      <c r="AF1098" s="777">
        <v>16</v>
      </c>
      <c r="AG1098" s="778">
        <v>17.412699148219762</v>
      </c>
    </row>
    <row r="1099" spans="1:33" x14ac:dyDescent="0.2">
      <c r="A1099" s="15">
        <f t="shared" si="143"/>
        <v>2011</v>
      </c>
      <c r="B1099" s="14">
        <f t="shared" si="144"/>
        <v>1</v>
      </c>
      <c r="C1099" s="13" t="str">
        <f t="shared" si="145"/>
        <v>Q1</v>
      </c>
      <c r="D1099" s="13" t="str">
        <f t="shared" si="146"/>
        <v>2011Q1</v>
      </c>
      <c r="E1099" s="13" t="str">
        <f t="shared" si="147"/>
        <v>Brazil</v>
      </c>
      <c r="F1099" s="13" t="str">
        <f t="shared" si="150"/>
        <v>Biofuels</v>
      </c>
      <c r="G1099" s="13" t="str">
        <f t="shared" si="149"/>
        <v>Asset finance investments</v>
      </c>
      <c r="H1099" s="638">
        <f t="shared" si="148"/>
        <v>14.038988688252184</v>
      </c>
      <c r="I1099" s="24" t="s">
        <v>506</v>
      </c>
      <c r="J1099" s="25" t="s">
        <v>246</v>
      </c>
      <c r="K1099" s="25" t="s">
        <v>3056</v>
      </c>
      <c r="L1099" s="25" t="s">
        <v>770</v>
      </c>
      <c r="M1099" s="25" t="s">
        <v>31</v>
      </c>
      <c r="N1099" s="25" t="s">
        <v>31</v>
      </c>
      <c r="O1099" s="25" t="s">
        <v>92</v>
      </c>
      <c r="P1099" s="25" t="s">
        <v>83</v>
      </c>
      <c r="Q1099" s="25" t="s">
        <v>82</v>
      </c>
      <c r="R1099" s="25" t="s">
        <v>91</v>
      </c>
      <c r="S1099" s="25" t="s">
        <v>96</v>
      </c>
      <c r="T1099" s="25" t="s">
        <v>96</v>
      </c>
      <c r="U1099" s="25" t="s">
        <v>95</v>
      </c>
      <c r="V1099" s="25" t="s">
        <v>223</v>
      </c>
      <c r="W1099" s="25" t="s">
        <v>553</v>
      </c>
      <c r="X1099" s="25" t="s">
        <v>1752</v>
      </c>
      <c r="Y1099" s="25" t="s">
        <v>1753</v>
      </c>
      <c r="Z1099" s="26">
        <v>40562</v>
      </c>
      <c r="AA1099" s="776">
        <v>0</v>
      </c>
      <c r="AB1099" s="776">
        <v>108</v>
      </c>
      <c r="AC1099" s="776">
        <v>0</v>
      </c>
      <c r="AD1099" s="776">
        <v>0</v>
      </c>
      <c r="AE1099" s="777">
        <v>12.9</v>
      </c>
      <c r="AF1099" s="777">
        <v>12.9</v>
      </c>
      <c r="AG1099" s="778">
        <v>14.038988688252184</v>
      </c>
    </row>
    <row r="1100" spans="1:33" x14ac:dyDescent="0.2">
      <c r="A1100" s="15">
        <f t="shared" si="143"/>
        <v>2011</v>
      </c>
      <c r="B1100" s="14">
        <f t="shared" si="144"/>
        <v>1</v>
      </c>
      <c r="C1100" s="13" t="str">
        <f t="shared" si="145"/>
        <v>Q1</v>
      </c>
      <c r="D1100" s="13" t="str">
        <f t="shared" si="146"/>
        <v>2011Q1</v>
      </c>
      <c r="E1100" s="13" t="str">
        <f t="shared" si="147"/>
        <v>Chile</v>
      </c>
      <c r="F1100" s="13" t="str">
        <f t="shared" si="150"/>
        <v>Small Hydro</v>
      </c>
      <c r="G1100" s="13" t="str">
        <f t="shared" si="149"/>
        <v>Asset finance investments</v>
      </c>
      <c r="H1100" s="638">
        <f t="shared" si="148"/>
        <v>6.5297621805824111</v>
      </c>
      <c r="I1100" s="24" t="s">
        <v>506</v>
      </c>
      <c r="J1100" s="25" t="s">
        <v>246</v>
      </c>
      <c r="K1100" s="25" t="s">
        <v>3057</v>
      </c>
      <c r="L1100" s="25" t="s">
        <v>3058</v>
      </c>
      <c r="M1100" s="25" t="s">
        <v>8</v>
      </c>
      <c r="N1100" s="25" t="s">
        <v>85</v>
      </c>
      <c r="O1100" s="25" t="s">
        <v>92</v>
      </c>
      <c r="P1100" s="25" t="s">
        <v>83</v>
      </c>
      <c r="Q1100" s="25" t="s">
        <v>129</v>
      </c>
      <c r="R1100" s="25"/>
      <c r="S1100" s="25" t="s">
        <v>126</v>
      </c>
      <c r="T1100" s="25" t="s">
        <v>125</v>
      </c>
      <c r="U1100" s="25" t="s">
        <v>247</v>
      </c>
      <c r="V1100" s="25">
        <v>0</v>
      </c>
      <c r="W1100" s="25" t="s">
        <v>553</v>
      </c>
      <c r="X1100" s="25" t="s">
        <v>1752</v>
      </c>
      <c r="Y1100" s="25" t="s">
        <v>1753</v>
      </c>
      <c r="Z1100" s="26">
        <v>40544</v>
      </c>
      <c r="AA1100" s="776">
        <v>3</v>
      </c>
      <c r="AB1100" s="776">
        <v>0</v>
      </c>
      <c r="AC1100" s="776">
        <v>0</v>
      </c>
      <c r="AD1100" s="776">
        <v>0</v>
      </c>
      <c r="AE1100" s="777">
        <v>6</v>
      </c>
      <c r="AF1100" s="777">
        <v>6</v>
      </c>
      <c r="AG1100" s="778">
        <v>6.5297621805824111</v>
      </c>
    </row>
    <row r="1101" spans="1:33" x14ac:dyDescent="0.2">
      <c r="A1101" s="15">
        <f t="shared" si="143"/>
        <v>2011</v>
      </c>
      <c r="B1101" s="14">
        <f t="shared" si="144"/>
        <v>1</v>
      </c>
      <c r="C1101" s="13" t="str">
        <f t="shared" si="145"/>
        <v>Q1</v>
      </c>
      <c r="D1101" s="13" t="str">
        <f t="shared" si="146"/>
        <v>2011Q1</v>
      </c>
      <c r="E1101" s="13" t="str">
        <f t="shared" si="147"/>
        <v>Argentina</v>
      </c>
      <c r="F1101" s="13" t="str">
        <f t="shared" si="150"/>
        <v>Biofuels</v>
      </c>
      <c r="G1101" s="13" t="str">
        <f t="shared" si="149"/>
        <v>Asset finance investments</v>
      </c>
      <c r="H1101" s="638">
        <f t="shared" si="148"/>
        <v>5.4414684838186753</v>
      </c>
      <c r="I1101" s="24" t="s">
        <v>506</v>
      </c>
      <c r="J1101" s="25" t="s">
        <v>246</v>
      </c>
      <c r="K1101" s="25" t="s">
        <v>3059</v>
      </c>
      <c r="L1101" s="25" t="s">
        <v>713</v>
      </c>
      <c r="M1101" s="25" t="s">
        <v>4</v>
      </c>
      <c r="N1101" s="25" t="s">
        <v>85</v>
      </c>
      <c r="O1101" s="25" t="s">
        <v>92</v>
      </c>
      <c r="P1101" s="25" t="s">
        <v>83</v>
      </c>
      <c r="Q1101" s="25" t="s">
        <v>82</v>
      </c>
      <c r="R1101" s="25"/>
      <c r="S1101" s="25" t="s">
        <v>96</v>
      </c>
      <c r="T1101" s="25" t="s">
        <v>96</v>
      </c>
      <c r="U1101" s="25" t="s">
        <v>95</v>
      </c>
      <c r="V1101" s="25" t="s">
        <v>223</v>
      </c>
      <c r="W1101" s="25" t="s">
        <v>553</v>
      </c>
      <c r="X1101" s="25" t="s">
        <v>1752</v>
      </c>
      <c r="Y1101" s="25" t="s">
        <v>1753</v>
      </c>
      <c r="Z1101" s="26">
        <v>40571</v>
      </c>
      <c r="AA1101" s="776">
        <v>0</v>
      </c>
      <c r="AB1101" s="776">
        <v>59.5</v>
      </c>
      <c r="AC1101" s="776">
        <v>0</v>
      </c>
      <c r="AD1101" s="776">
        <v>0</v>
      </c>
      <c r="AE1101" s="777">
        <v>5</v>
      </c>
      <c r="AF1101" s="777">
        <v>5</v>
      </c>
      <c r="AG1101" s="778">
        <v>5.4414684838186753</v>
      </c>
    </row>
    <row r="1102" spans="1:33" x14ac:dyDescent="0.2">
      <c r="A1102" s="15">
        <f t="shared" si="143"/>
        <v>2011</v>
      </c>
      <c r="B1102" s="14">
        <f t="shared" si="144"/>
        <v>1</v>
      </c>
      <c r="C1102" s="13" t="str">
        <f t="shared" si="145"/>
        <v>Q1</v>
      </c>
      <c r="D1102" s="13" t="str">
        <f t="shared" si="146"/>
        <v>2011Q1</v>
      </c>
      <c r="E1102" s="13" t="str">
        <f t="shared" si="147"/>
        <v>Chile</v>
      </c>
      <c r="F1102" s="13" t="str">
        <f t="shared" si="150"/>
        <v>Small Hydro</v>
      </c>
      <c r="G1102" s="13" t="str">
        <f t="shared" si="149"/>
        <v>Asset finance investments</v>
      </c>
      <c r="H1102" s="638">
        <f t="shared" si="148"/>
        <v>4.6796628960840607</v>
      </c>
      <c r="I1102" s="24" t="s">
        <v>506</v>
      </c>
      <c r="J1102" s="25" t="s">
        <v>246</v>
      </c>
      <c r="K1102" s="25" t="s">
        <v>3060</v>
      </c>
      <c r="L1102" s="25" t="s">
        <v>3061</v>
      </c>
      <c r="M1102" s="25" t="s">
        <v>8</v>
      </c>
      <c r="N1102" s="25" t="s">
        <v>85</v>
      </c>
      <c r="O1102" s="25" t="s">
        <v>92</v>
      </c>
      <c r="P1102" s="25" t="s">
        <v>83</v>
      </c>
      <c r="Q1102" s="25" t="s">
        <v>129</v>
      </c>
      <c r="R1102" s="25"/>
      <c r="S1102" s="25" t="s">
        <v>126</v>
      </c>
      <c r="T1102" s="25" t="s">
        <v>125</v>
      </c>
      <c r="U1102" s="25" t="s">
        <v>247</v>
      </c>
      <c r="V1102" s="25">
        <v>0</v>
      </c>
      <c r="W1102" s="25" t="s">
        <v>553</v>
      </c>
      <c r="X1102" s="25" t="s">
        <v>1752</v>
      </c>
      <c r="Y1102" s="25" t="s">
        <v>1753</v>
      </c>
      <c r="Z1102" s="26">
        <v>40544</v>
      </c>
      <c r="AA1102" s="776">
        <v>4</v>
      </c>
      <c r="AB1102" s="776">
        <v>0</v>
      </c>
      <c r="AC1102" s="776">
        <v>0</v>
      </c>
      <c r="AD1102" s="776">
        <v>0</v>
      </c>
      <c r="AE1102" s="777">
        <v>4.3</v>
      </c>
      <c r="AF1102" s="777">
        <v>4.3</v>
      </c>
      <c r="AG1102" s="778">
        <v>4.6796628960840607</v>
      </c>
    </row>
    <row r="1103" spans="1:33" x14ac:dyDescent="0.2">
      <c r="A1103" s="15">
        <f t="shared" si="143"/>
        <v>2011</v>
      </c>
      <c r="B1103" s="14">
        <f t="shared" si="144"/>
        <v>3</v>
      </c>
      <c r="C1103" s="13" t="str">
        <f t="shared" si="145"/>
        <v>Q1</v>
      </c>
      <c r="D1103" s="13" t="str">
        <f t="shared" si="146"/>
        <v>2011Q1</v>
      </c>
      <c r="E1103" s="13" t="str">
        <f t="shared" si="147"/>
        <v>Brazil</v>
      </c>
      <c r="F1103" s="13" t="str">
        <f t="shared" si="150"/>
        <v>Solar</v>
      </c>
      <c r="G1103" s="13" t="str">
        <f t="shared" si="149"/>
        <v>Asset finance investments</v>
      </c>
      <c r="H1103" s="638">
        <f t="shared" si="148"/>
        <v>4.3531747870549404</v>
      </c>
      <c r="I1103" s="24" t="s">
        <v>506</v>
      </c>
      <c r="J1103" s="25" t="s">
        <v>246</v>
      </c>
      <c r="K1103" s="25" t="s">
        <v>3062</v>
      </c>
      <c r="L1103" s="25" t="s">
        <v>3063</v>
      </c>
      <c r="M1103" s="25" t="s">
        <v>31</v>
      </c>
      <c r="N1103" s="25" t="s">
        <v>31</v>
      </c>
      <c r="O1103" s="25" t="s">
        <v>92</v>
      </c>
      <c r="P1103" s="25" t="s">
        <v>83</v>
      </c>
      <c r="Q1103" s="25" t="s">
        <v>82</v>
      </c>
      <c r="R1103" s="25" t="s">
        <v>91</v>
      </c>
      <c r="S1103" s="25" t="s">
        <v>80</v>
      </c>
      <c r="T1103" s="25" t="s">
        <v>80</v>
      </c>
      <c r="U1103" s="25" t="s">
        <v>181</v>
      </c>
      <c r="V1103" s="25" t="s">
        <v>232</v>
      </c>
      <c r="W1103" s="25" t="s">
        <v>553</v>
      </c>
      <c r="X1103" s="25" t="s">
        <v>1749</v>
      </c>
      <c r="Y1103" s="25" t="s">
        <v>1750</v>
      </c>
      <c r="Z1103" s="26">
        <v>40632</v>
      </c>
      <c r="AA1103" s="776">
        <v>1</v>
      </c>
      <c r="AB1103" s="776">
        <v>0</v>
      </c>
      <c r="AC1103" s="776">
        <v>0</v>
      </c>
      <c r="AD1103" s="776">
        <v>0</v>
      </c>
      <c r="AE1103" s="777">
        <v>4</v>
      </c>
      <c r="AF1103" s="777">
        <v>4</v>
      </c>
      <c r="AG1103" s="778">
        <v>4.3531747870549404</v>
      </c>
    </row>
    <row r="1104" spans="1:33" x14ac:dyDescent="0.2">
      <c r="A1104" s="15">
        <f t="shared" si="143"/>
        <v>2010</v>
      </c>
      <c r="B1104" s="14">
        <f t="shared" si="144"/>
        <v>3</v>
      </c>
      <c r="C1104" s="13" t="str">
        <f t="shared" si="145"/>
        <v>Q1</v>
      </c>
      <c r="D1104" s="13" t="str">
        <f t="shared" si="146"/>
        <v>2010Q1</v>
      </c>
      <c r="E1104" s="13" t="str">
        <f t="shared" si="147"/>
        <v>Brazil</v>
      </c>
      <c r="F1104" s="13" t="str">
        <f t="shared" si="150"/>
        <v>Wind</v>
      </c>
      <c r="G1104" s="13" t="str">
        <f t="shared" si="149"/>
        <v>Asset finance investments</v>
      </c>
      <c r="H1104" s="638">
        <f t="shared" si="148"/>
        <v>495.28246025204288</v>
      </c>
      <c r="I1104" s="24" t="s">
        <v>506</v>
      </c>
      <c r="J1104" s="25" t="s">
        <v>246</v>
      </c>
      <c r="K1104" s="25" t="s">
        <v>3064</v>
      </c>
      <c r="L1104" s="25" t="s">
        <v>3065</v>
      </c>
      <c r="M1104" s="25" t="s">
        <v>31</v>
      </c>
      <c r="N1104" s="25" t="s">
        <v>31</v>
      </c>
      <c r="O1104" s="25" t="s">
        <v>92</v>
      </c>
      <c r="P1104" s="25" t="s">
        <v>83</v>
      </c>
      <c r="Q1104" s="25" t="s">
        <v>82</v>
      </c>
      <c r="R1104" s="25" t="s">
        <v>91</v>
      </c>
      <c r="S1104" s="25" t="s">
        <v>101</v>
      </c>
      <c r="T1104" s="25" t="s">
        <v>101</v>
      </c>
      <c r="U1104" s="25" t="s">
        <v>112</v>
      </c>
      <c r="V1104" s="25">
        <v>0</v>
      </c>
      <c r="W1104" s="25" t="s">
        <v>553</v>
      </c>
      <c r="X1104" s="25" t="s">
        <v>1749</v>
      </c>
      <c r="Y1104" s="25" t="s">
        <v>1750</v>
      </c>
      <c r="Z1104" s="26">
        <v>40239</v>
      </c>
      <c r="AA1104" s="776">
        <v>180</v>
      </c>
      <c r="AB1104" s="776">
        <v>0</v>
      </c>
      <c r="AC1104" s="776">
        <v>0</v>
      </c>
      <c r="AD1104" s="776">
        <v>0</v>
      </c>
      <c r="AE1104" s="777">
        <v>475.3</v>
      </c>
      <c r="AF1104" s="777">
        <v>475.3</v>
      </c>
      <c r="AG1104" s="778">
        <v>495.28246025204288</v>
      </c>
    </row>
    <row r="1105" spans="1:33" x14ac:dyDescent="0.2">
      <c r="A1105" s="15">
        <f t="shared" si="143"/>
        <v>2010</v>
      </c>
      <c r="B1105" s="14">
        <f t="shared" si="144"/>
        <v>3</v>
      </c>
      <c r="C1105" s="13" t="str">
        <f t="shared" si="145"/>
        <v>Q1</v>
      </c>
      <c r="D1105" s="13" t="str">
        <f t="shared" si="146"/>
        <v>2010Q1</v>
      </c>
      <c r="E1105" s="13" t="str">
        <f t="shared" si="147"/>
        <v>Brazil</v>
      </c>
      <c r="F1105" s="13" t="str">
        <f t="shared" si="150"/>
        <v>Biomass &amp; Waste</v>
      </c>
      <c r="G1105" s="13" t="str">
        <f t="shared" si="149"/>
        <v>Asset finance investments</v>
      </c>
      <c r="H1105" s="638">
        <f t="shared" si="148"/>
        <v>351.68910232498308</v>
      </c>
      <c r="I1105" s="24" t="s">
        <v>506</v>
      </c>
      <c r="J1105" s="25" t="s">
        <v>246</v>
      </c>
      <c r="K1105" s="25" t="s">
        <v>3066</v>
      </c>
      <c r="L1105" s="25" t="s">
        <v>1150</v>
      </c>
      <c r="M1105" s="25" t="s">
        <v>31</v>
      </c>
      <c r="N1105" s="25" t="s">
        <v>31</v>
      </c>
      <c r="O1105" s="25" t="s">
        <v>92</v>
      </c>
      <c r="P1105" s="25" t="s">
        <v>83</v>
      </c>
      <c r="Q1105" s="25" t="s">
        <v>82</v>
      </c>
      <c r="R1105" s="25" t="s">
        <v>91</v>
      </c>
      <c r="S1105" s="25" t="s">
        <v>114</v>
      </c>
      <c r="T1105" s="25" t="s">
        <v>114</v>
      </c>
      <c r="U1105" s="25" t="s">
        <v>113</v>
      </c>
      <c r="V1105" s="25" t="s">
        <v>347</v>
      </c>
      <c r="W1105" s="25" t="s">
        <v>553</v>
      </c>
      <c r="X1105" s="25" t="s">
        <v>1749</v>
      </c>
      <c r="Y1105" s="25" t="s">
        <v>1750</v>
      </c>
      <c r="Z1105" s="26">
        <v>40248</v>
      </c>
      <c r="AA1105" s="776">
        <v>70</v>
      </c>
      <c r="AB1105" s="776">
        <v>0</v>
      </c>
      <c r="AC1105" s="776">
        <v>0</v>
      </c>
      <c r="AD1105" s="776">
        <v>0</v>
      </c>
      <c r="AE1105" s="777">
        <v>337.5</v>
      </c>
      <c r="AF1105" s="777">
        <v>337.5</v>
      </c>
      <c r="AG1105" s="778">
        <v>351.68910232498308</v>
      </c>
    </row>
    <row r="1106" spans="1:33" x14ac:dyDescent="0.2">
      <c r="A1106" s="15">
        <f t="shared" si="143"/>
        <v>2010</v>
      </c>
      <c r="B1106" s="14">
        <f t="shared" si="144"/>
        <v>1</v>
      </c>
      <c r="C1106" s="13" t="str">
        <f t="shared" si="145"/>
        <v>Q1</v>
      </c>
      <c r="D1106" s="13" t="str">
        <f t="shared" si="146"/>
        <v>2010Q1</v>
      </c>
      <c r="E1106" s="13" t="str">
        <f t="shared" si="147"/>
        <v>Brazil</v>
      </c>
      <c r="F1106" s="13" t="str">
        <f t="shared" si="150"/>
        <v>Biofuels</v>
      </c>
      <c r="G1106" s="13" t="str">
        <f t="shared" si="149"/>
        <v>Asset finance investments</v>
      </c>
      <c r="H1106" s="638">
        <f t="shared" si="148"/>
        <v>279.26719829065325</v>
      </c>
      <c r="I1106" s="24" t="s">
        <v>506</v>
      </c>
      <c r="J1106" s="25" t="s">
        <v>246</v>
      </c>
      <c r="K1106" s="25" t="s">
        <v>3067</v>
      </c>
      <c r="L1106" s="25" t="s">
        <v>3068</v>
      </c>
      <c r="M1106" s="25" t="s">
        <v>31</v>
      </c>
      <c r="N1106" s="25" t="s">
        <v>31</v>
      </c>
      <c r="O1106" s="25" t="s">
        <v>92</v>
      </c>
      <c r="P1106" s="25" t="s">
        <v>83</v>
      </c>
      <c r="Q1106" s="25" t="s">
        <v>82</v>
      </c>
      <c r="R1106" s="25" t="s">
        <v>91</v>
      </c>
      <c r="S1106" s="25" t="s">
        <v>96</v>
      </c>
      <c r="T1106" s="25" t="s">
        <v>96</v>
      </c>
      <c r="U1106" s="25" t="s">
        <v>98</v>
      </c>
      <c r="V1106" s="25" t="s">
        <v>230</v>
      </c>
      <c r="W1106" s="25" t="s">
        <v>553</v>
      </c>
      <c r="X1106" s="25" t="s">
        <v>1749</v>
      </c>
      <c r="Y1106" s="25" t="s">
        <v>1750</v>
      </c>
      <c r="Z1106" s="26">
        <v>40207</v>
      </c>
      <c r="AA1106" s="776">
        <v>40</v>
      </c>
      <c r="AB1106" s="776">
        <v>0</v>
      </c>
      <c r="AC1106" s="776">
        <v>0</v>
      </c>
      <c r="AD1106" s="776">
        <v>0</v>
      </c>
      <c r="AE1106" s="777">
        <v>268</v>
      </c>
      <c r="AF1106" s="777">
        <v>268</v>
      </c>
      <c r="AG1106" s="778">
        <v>279.26719829065325</v>
      </c>
    </row>
    <row r="1107" spans="1:33" x14ac:dyDescent="0.2">
      <c r="A1107" s="15">
        <f t="shared" si="143"/>
        <v>2010</v>
      </c>
      <c r="B1107" s="14">
        <f t="shared" si="144"/>
        <v>2</v>
      </c>
      <c r="C1107" s="13" t="str">
        <f t="shared" si="145"/>
        <v>Q1</v>
      </c>
      <c r="D1107" s="13" t="str">
        <f t="shared" si="146"/>
        <v>2010Q1</v>
      </c>
      <c r="E1107" s="13" t="str">
        <f t="shared" si="147"/>
        <v>Peru</v>
      </c>
      <c r="F1107" s="13" t="str">
        <f t="shared" si="150"/>
        <v>Biofuels</v>
      </c>
      <c r="G1107" s="13" t="str">
        <f t="shared" si="149"/>
        <v>Asset finance investments</v>
      </c>
      <c r="H1107" s="638">
        <f t="shared" si="148"/>
        <v>264.6786133053206</v>
      </c>
      <c r="I1107" s="24" t="s">
        <v>506</v>
      </c>
      <c r="J1107" s="25" t="s">
        <v>246</v>
      </c>
      <c r="K1107" s="25" t="s">
        <v>3069</v>
      </c>
      <c r="L1107" s="25" t="s">
        <v>960</v>
      </c>
      <c r="M1107" s="25" t="s">
        <v>20</v>
      </c>
      <c r="N1107" s="25" t="s">
        <v>85</v>
      </c>
      <c r="O1107" s="25" t="s">
        <v>92</v>
      </c>
      <c r="P1107" s="25" t="s">
        <v>83</v>
      </c>
      <c r="Q1107" s="25" t="s">
        <v>82</v>
      </c>
      <c r="R1107" s="25"/>
      <c r="S1107" s="25" t="s">
        <v>96</v>
      </c>
      <c r="T1107" s="25" t="s">
        <v>96</v>
      </c>
      <c r="U1107" s="25" t="s">
        <v>98</v>
      </c>
      <c r="V1107" s="25" t="s">
        <v>230</v>
      </c>
      <c r="W1107" s="25" t="s">
        <v>553</v>
      </c>
      <c r="X1107" s="25" t="s">
        <v>1749</v>
      </c>
      <c r="Y1107" s="25" t="s">
        <v>1750</v>
      </c>
      <c r="Z1107" s="26">
        <v>40218</v>
      </c>
      <c r="AA1107" s="776">
        <v>37</v>
      </c>
      <c r="AB1107" s="776">
        <v>132</v>
      </c>
      <c r="AC1107" s="776">
        <v>0</v>
      </c>
      <c r="AD1107" s="776">
        <v>0</v>
      </c>
      <c r="AE1107" s="777">
        <v>254</v>
      </c>
      <c r="AF1107" s="777">
        <v>254</v>
      </c>
      <c r="AG1107" s="778">
        <v>264.6786133053206</v>
      </c>
    </row>
    <row r="1108" spans="1:33" x14ac:dyDescent="0.2">
      <c r="A1108" s="15">
        <f t="shared" si="143"/>
        <v>2010</v>
      </c>
      <c r="B1108" s="14">
        <f t="shared" si="144"/>
        <v>3</v>
      </c>
      <c r="C1108" s="13" t="str">
        <f t="shared" si="145"/>
        <v>Q1</v>
      </c>
      <c r="D1108" s="13" t="str">
        <f t="shared" si="146"/>
        <v>2010Q1</v>
      </c>
      <c r="E1108" s="13" t="str">
        <f t="shared" si="147"/>
        <v>Brazil</v>
      </c>
      <c r="F1108" s="13" t="str">
        <f t="shared" si="150"/>
        <v>Wind</v>
      </c>
      <c r="G1108" s="13" t="str">
        <f t="shared" si="149"/>
        <v>VC/PE investments</v>
      </c>
      <c r="H1108" s="638">
        <f t="shared" si="148"/>
        <v>228.20715084198903</v>
      </c>
      <c r="I1108" s="24" t="s">
        <v>506</v>
      </c>
      <c r="J1108" s="25" t="s">
        <v>216</v>
      </c>
      <c r="K1108" s="25" t="s">
        <v>515</v>
      </c>
      <c r="L1108" s="25" t="s">
        <v>514</v>
      </c>
      <c r="M1108" s="25" t="s">
        <v>31</v>
      </c>
      <c r="N1108" s="25" t="s">
        <v>31</v>
      </c>
      <c r="O1108" s="25" t="s">
        <v>92</v>
      </c>
      <c r="P1108" s="25" t="s">
        <v>83</v>
      </c>
      <c r="Q1108" s="25" t="s">
        <v>82</v>
      </c>
      <c r="R1108" s="25" t="s">
        <v>91</v>
      </c>
      <c r="S1108" s="25" t="s">
        <v>101</v>
      </c>
      <c r="T1108" s="25" t="s">
        <v>101</v>
      </c>
      <c r="U1108" s="25" t="s">
        <v>112</v>
      </c>
      <c r="V1108" s="25">
        <v>0</v>
      </c>
      <c r="W1108" s="25" t="s">
        <v>94</v>
      </c>
      <c r="X1108" s="25" t="s">
        <v>508</v>
      </c>
      <c r="Y1108" s="25" t="s">
        <v>507</v>
      </c>
      <c r="Z1108" s="26">
        <v>40263</v>
      </c>
      <c r="AA1108" s="776" t="s">
        <v>1748</v>
      </c>
      <c r="AB1108" s="776" t="s">
        <v>1748</v>
      </c>
      <c r="AC1108" s="776" t="s">
        <v>1748</v>
      </c>
      <c r="AD1108" s="776" t="s">
        <v>1748</v>
      </c>
      <c r="AE1108" s="777">
        <v>219</v>
      </c>
      <c r="AF1108" s="777">
        <v>219</v>
      </c>
      <c r="AG1108" s="778">
        <v>228.20715084198903</v>
      </c>
    </row>
    <row r="1109" spans="1:33" x14ac:dyDescent="0.2">
      <c r="A1109" s="15">
        <f t="shared" si="143"/>
        <v>2010</v>
      </c>
      <c r="B1109" s="14">
        <f t="shared" si="144"/>
        <v>3</v>
      </c>
      <c r="C1109" s="13" t="str">
        <f t="shared" si="145"/>
        <v>Q1</v>
      </c>
      <c r="D1109" s="13" t="str">
        <f t="shared" si="146"/>
        <v>2010Q1</v>
      </c>
      <c r="E1109" s="13" t="str">
        <f t="shared" si="147"/>
        <v>Brazil</v>
      </c>
      <c r="F1109" s="13" t="str">
        <f t="shared" si="150"/>
        <v>Biomass &amp; Waste</v>
      </c>
      <c r="G1109" s="13" t="str">
        <f t="shared" si="149"/>
        <v>Asset finance investments</v>
      </c>
      <c r="H1109" s="638">
        <f t="shared" si="148"/>
        <v>212.57652407198972</v>
      </c>
      <c r="I1109" s="24" t="s">
        <v>506</v>
      </c>
      <c r="J1109" s="25" t="s">
        <v>246</v>
      </c>
      <c r="K1109" s="25" t="s">
        <v>3070</v>
      </c>
      <c r="L1109" s="25" t="s">
        <v>3071</v>
      </c>
      <c r="M1109" s="25" t="s">
        <v>31</v>
      </c>
      <c r="N1109" s="25" t="s">
        <v>31</v>
      </c>
      <c r="O1109" s="25" t="s">
        <v>92</v>
      </c>
      <c r="P1109" s="25" t="s">
        <v>83</v>
      </c>
      <c r="Q1109" s="25" t="s">
        <v>82</v>
      </c>
      <c r="R1109" s="25" t="s">
        <v>91</v>
      </c>
      <c r="S1109" s="25" t="s">
        <v>114</v>
      </c>
      <c r="T1109" s="25" t="s">
        <v>114</v>
      </c>
      <c r="U1109" s="25" t="s">
        <v>113</v>
      </c>
      <c r="V1109" s="25" t="s">
        <v>347</v>
      </c>
      <c r="W1109" s="25" t="s">
        <v>553</v>
      </c>
      <c r="X1109" s="25" t="s">
        <v>1752</v>
      </c>
      <c r="Y1109" s="25" t="s">
        <v>1753</v>
      </c>
      <c r="Z1109" s="26">
        <v>40261</v>
      </c>
      <c r="AA1109" s="776">
        <v>145</v>
      </c>
      <c r="AB1109" s="776">
        <v>0</v>
      </c>
      <c r="AC1109" s="776">
        <v>0</v>
      </c>
      <c r="AD1109" s="776">
        <v>0</v>
      </c>
      <c r="AE1109" s="777">
        <v>204</v>
      </c>
      <c r="AF1109" s="777">
        <v>204</v>
      </c>
      <c r="AG1109" s="778">
        <v>212.57652407198972</v>
      </c>
    </row>
    <row r="1110" spans="1:33" x14ac:dyDescent="0.2">
      <c r="A1110" s="15">
        <f t="shared" si="143"/>
        <v>2010</v>
      </c>
      <c r="B1110" s="14">
        <f t="shared" si="144"/>
        <v>2</v>
      </c>
      <c r="C1110" s="13" t="str">
        <f t="shared" si="145"/>
        <v>Q1</v>
      </c>
      <c r="D1110" s="13" t="str">
        <f t="shared" si="146"/>
        <v>2010Q1</v>
      </c>
      <c r="E1110" s="13" t="str">
        <f t="shared" si="147"/>
        <v>Chile</v>
      </c>
      <c r="F1110" s="13" t="str">
        <f t="shared" si="150"/>
        <v>Small Hydro</v>
      </c>
      <c r="G1110" s="13" t="str">
        <f t="shared" si="149"/>
        <v>VC/PE investments</v>
      </c>
      <c r="H1110" s="638">
        <f t="shared" si="148"/>
        <v>208.40835693332326</v>
      </c>
      <c r="I1110" s="24" t="s">
        <v>506</v>
      </c>
      <c r="J1110" s="25" t="s">
        <v>216</v>
      </c>
      <c r="K1110" s="25" t="s">
        <v>517</v>
      </c>
      <c r="L1110" s="25" t="s">
        <v>516</v>
      </c>
      <c r="M1110" s="25" t="s">
        <v>8</v>
      </c>
      <c r="N1110" s="25" t="s">
        <v>85</v>
      </c>
      <c r="O1110" s="25" t="s">
        <v>92</v>
      </c>
      <c r="P1110" s="25" t="s">
        <v>83</v>
      </c>
      <c r="Q1110" s="25" t="s">
        <v>129</v>
      </c>
      <c r="R1110" s="25"/>
      <c r="S1110" s="25" t="s">
        <v>126</v>
      </c>
      <c r="T1110" s="25" t="s">
        <v>125</v>
      </c>
      <c r="U1110" s="25" t="s">
        <v>247</v>
      </c>
      <c r="V1110" s="25">
        <v>0</v>
      </c>
      <c r="W1110" s="25" t="s">
        <v>94</v>
      </c>
      <c r="X1110" s="25" t="s">
        <v>508</v>
      </c>
      <c r="Y1110" s="25" t="s">
        <v>507</v>
      </c>
      <c r="Z1110" s="26">
        <v>40215</v>
      </c>
      <c r="AA1110" s="776" t="s">
        <v>1748</v>
      </c>
      <c r="AB1110" s="776" t="s">
        <v>1748</v>
      </c>
      <c r="AC1110" s="776" t="s">
        <v>1748</v>
      </c>
      <c r="AD1110" s="776" t="s">
        <v>1748</v>
      </c>
      <c r="AE1110" s="777">
        <v>200</v>
      </c>
      <c r="AF1110" s="777">
        <v>200</v>
      </c>
      <c r="AG1110" s="778">
        <v>208.40835693332326</v>
      </c>
    </row>
    <row r="1111" spans="1:33" x14ac:dyDescent="0.2">
      <c r="A1111" s="15">
        <f t="shared" si="143"/>
        <v>2010</v>
      </c>
      <c r="B1111" s="14">
        <f t="shared" si="144"/>
        <v>1</v>
      </c>
      <c r="C1111" s="13" t="str">
        <f t="shared" si="145"/>
        <v>Q1</v>
      </c>
      <c r="D1111" s="13" t="str">
        <f t="shared" si="146"/>
        <v>2010Q1</v>
      </c>
      <c r="E1111" s="13" t="str">
        <f t="shared" si="147"/>
        <v>Brazil</v>
      </c>
      <c r="F1111" s="13" t="str">
        <f t="shared" si="150"/>
        <v>Wind</v>
      </c>
      <c r="G1111" s="13" t="str">
        <f t="shared" si="149"/>
        <v>Asset finance investments</v>
      </c>
      <c r="H1111" s="638">
        <f t="shared" si="148"/>
        <v>111.29006260239464</v>
      </c>
      <c r="I1111" s="24" t="s">
        <v>506</v>
      </c>
      <c r="J1111" s="25" t="s">
        <v>246</v>
      </c>
      <c r="K1111" s="25" t="s">
        <v>3072</v>
      </c>
      <c r="L1111" s="25" t="s">
        <v>852</v>
      </c>
      <c r="M1111" s="25" t="s">
        <v>31</v>
      </c>
      <c r="N1111" s="25" t="s">
        <v>31</v>
      </c>
      <c r="O1111" s="25" t="s">
        <v>92</v>
      </c>
      <c r="P1111" s="25" t="s">
        <v>83</v>
      </c>
      <c r="Q1111" s="25" t="s">
        <v>82</v>
      </c>
      <c r="R1111" s="25" t="s">
        <v>91</v>
      </c>
      <c r="S1111" s="25" t="s">
        <v>101</v>
      </c>
      <c r="T1111" s="25" t="s">
        <v>101</v>
      </c>
      <c r="U1111" s="25" t="s">
        <v>112</v>
      </c>
      <c r="V1111" s="25">
        <v>0</v>
      </c>
      <c r="W1111" s="25" t="s">
        <v>553</v>
      </c>
      <c r="X1111" s="25" t="s">
        <v>1771</v>
      </c>
      <c r="Y1111" s="25" t="s">
        <v>1750</v>
      </c>
      <c r="Z1111" s="26">
        <v>40206</v>
      </c>
      <c r="AA1111" s="776">
        <v>69.900000000000006</v>
      </c>
      <c r="AB1111" s="776">
        <v>0</v>
      </c>
      <c r="AC1111" s="776">
        <v>0</v>
      </c>
      <c r="AD1111" s="776">
        <v>0</v>
      </c>
      <c r="AE1111" s="777">
        <v>0</v>
      </c>
      <c r="AF1111" s="777">
        <v>106.8</v>
      </c>
      <c r="AG1111" s="778">
        <v>111.29006260239464</v>
      </c>
    </row>
    <row r="1112" spans="1:33" x14ac:dyDescent="0.2">
      <c r="A1112" s="15">
        <f t="shared" si="143"/>
        <v>2010</v>
      </c>
      <c r="B1112" s="14">
        <f t="shared" si="144"/>
        <v>2</v>
      </c>
      <c r="C1112" s="13" t="str">
        <f t="shared" si="145"/>
        <v>Q1</v>
      </c>
      <c r="D1112" s="13" t="str">
        <f t="shared" si="146"/>
        <v>2010Q1</v>
      </c>
      <c r="E1112" s="13" t="str">
        <f t="shared" si="147"/>
        <v>Brazil</v>
      </c>
      <c r="F1112" s="13" t="str">
        <f t="shared" si="150"/>
        <v>Biomass &amp; Waste</v>
      </c>
      <c r="G1112" s="13" t="str">
        <f t="shared" si="149"/>
        <v>Asset finance investments</v>
      </c>
      <c r="H1112" s="638">
        <f t="shared" si="148"/>
        <v>108.1639372483948</v>
      </c>
      <c r="I1112" s="24" t="s">
        <v>506</v>
      </c>
      <c r="J1112" s="25" t="s">
        <v>246</v>
      </c>
      <c r="K1112" s="25" t="s">
        <v>3073</v>
      </c>
      <c r="L1112" s="25" t="s">
        <v>781</v>
      </c>
      <c r="M1112" s="25" t="s">
        <v>31</v>
      </c>
      <c r="N1112" s="25" t="s">
        <v>31</v>
      </c>
      <c r="O1112" s="25" t="s">
        <v>92</v>
      </c>
      <c r="P1112" s="25" t="s">
        <v>83</v>
      </c>
      <c r="Q1112" s="25" t="s">
        <v>82</v>
      </c>
      <c r="R1112" s="25" t="s">
        <v>91</v>
      </c>
      <c r="S1112" s="25" t="s">
        <v>114</v>
      </c>
      <c r="T1112" s="25" t="s">
        <v>114</v>
      </c>
      <c r="U1112" s="25" t="s">
        <v>379</v>
      </c>
      <c r="V1112" s="25" t="s">
        <v>347</v>
      </c>
      <c r="W1112" s="25" t="s">
        <v>553</v>
      </c>
      <c r="X1112" s="25" t="s">
        <v>1749</v>
      </c>
      <c r="Y1112" s="25" t="s">
        <v>1750</v>
      </c>
      <c r="Z1112" s="26">
        <v>40220</v>
      </c>
      <c r="AA1112" s="776">
        <v>32</v>
      </c>
      <c r="AB1112" s="776">
        <v>0</v>
      </c>
      <c r="AC1112" s="776">
        <v>0</v>
      </c>
      <c r="AD1112" s="776">
        <v>0</v>
      </c>
      <c r="AE1112" s="777">
        <v>103.8</v>
      </c>
      <c r="AF1112" s="777">
        <v>103.8</v>
      </c>
      <c r="AG1112" s="778">
        <v>108.1639372483948</v>
      </c>
    </row>
    <row r="1113" spans="1:33" x14ac:dyDescent="0.2">
      <c r="A1113" s="15">
        <f t="shared" si="143"/>
        <v>2010</v>
      </c>
      <c r="B1113" s="14">
        <f t="shared" si="144"/>
        <v>3</v>
      </c>
      <c r="C1113" s="13" t="str">
        <f t="shared" si="145"/>
        <v>Q1</v>
      </c>
      <c r="D1113" s="13" t="str">
        <f t="shared" si="146"/>
        <v>2010Q1</v>
      </c>
      <c r="E1113" s="13" t="str">
        <f t="shared" si="147"/>
        <v>Dominican Republic</v>
      </c>
      <c r="F1113" s="13" t="str">
        <f t="shared" si="150"/>
        <v>Wind</v>
      </c>
      <c r="G1113" s="13" t="str">
        <f t="shared" si="149"/>
        <v>Asset finance investments</v>
      </c>
      <c r="H1113" s="638">
        <f t="shared" si="148"/>
        <v>104.20417846666163</v>
      </c>
      <c r="I1113" s="24" t="s">
        <v>506</v>
      </c>
      <c r="J1113" s="25" t="s">
        <v>246</v>
      </c>
      <c r="K1113" s="25" t="s">
        <v>3074</v>
      </c>
      <c r="L1113" s="25" t="s">
        <v>869</v>
      </c>
      <c r="M1113" s="25" t="s">
        <v>11</v>
      </c>
      <c r="N1113" s="25" t="s">
        <v>85</v>
      </c>
      <c r="O1113" s="25" t="s">
        <v>84</v>
      </c>
      <c r="P1113" s="25" t="s">
        <v>83</v>
      </c>
      <c r="Q1113" s="25" t="s">
        <v>82</v>
      </c>
      <c r="R1113" s="25"/>
      <c r="S1113" s="25" t="s">
        <v>101</v>
      </c>
      <c r="T1113" s="25" t="s">
        <v>101</v>
      </c>
      <c r="U1113" s="25" t="s">
        <v>112</v>
      </c>
      <c r="V1113" s="25">
        <v>0</v>
      </c>
      <c r="W1113" s="25" t="s">
        <v>553</v>
      </c>
      <c r="X1113" s="25" t="s">
        <v>1752</v>
      </c>
      <c r="Y1113" s="25" t="s">
        <v>1753</v>
      </c>
      <c r="Z1113" s="26">
        <v>40253</v>
      </c>
      <c r="AA1113" s="776">
        <v>33.5</v>
      </c>
      <c r="AB1113" s="776">
        <v>0</v>
      </c>
      <c r="AC1113" s="776">
        <v>0</v>
      </c>
      <c r="AD1113" s="776">
        <v>0</v>
      </c>
      <c r="AE1113" s="777">
        <v>100</v>
      </c>
      <c r="AF1113" s="777">
        <v>100</v>
      </c>
      <c r="AG1113" s="778">
        <v>104.20417846666163</v>
      </c>
    </row>
    <row r="1114" spans="1:33" x14ac:dyDescent="0.2">
      <c r="A1114" s="15">
        <f t="shared" si="143"/>
        <v>2010</v>
      </c>
      <c r="B1114" s="14">
        <f t="shared" si="144"/>
        <v>3</v>
      </c>
      <c r="C1114" s="13" t="str">
        <f t="shared" si="145"/>
        <v>Q1</v>
      </c>
      <c r="D1114" s="13" t="str">
        <f t="shared" si="146"/>
        <v>2010Q1</v>
      </c>
      <c r="E1114" s="13" t="str">
        <f t="shared" si="147"/>
        <v>Brazil</v>
      </c>
      <c r="F1114" s="13" t="str">
        <f t="shared" si="150"/>
        <v>Biofuels</v>
      </c>
      <c r="G1114" s="13" t="str">
        <f t="shared" si="149"/>
        <v>Asset finance investments</v>
      </c>
      <c r="H1114" s="638">
        <f t="shared" si="148"/>
        <v>90.657635265995637</v>
      </c>
      <c r="I1114" s="24" t="s">
        <v>506</v>
      </c>
      <c r="J1114" s="25" t="s">
        <v>246</v>
      </c>
      <c r="K1114" s="25" t="s">
        <v>3075</v>
      </c>
      <c r="L1114" s="25" t="s">
        <v>3076</v>
      </c>
      <c r="M1114" s="25" t="s">
        <v>31</v>
      </c>
      <c r="N1114" s="25" t="s">
        <v>31</v>
      </c>
      <c r="O1114" s="25" t="s">
        <v>92</v>
      </c>
      <c r="P1114" s="25" t="s">
        <v>83</v>
      </c>
      <c r="Q1114" s="25" t="s">
        <v>82</v>
      </c>
      <c r="R1114" s="25" t="s">
        <v>91</v>
      </c>
      <c r="S1114" s="25" t="s">
        <v>96</v>
      </c>
      <c r="T1114" s="25" t="s">
        <v>96</v>
      </c>
      <c r="U1114" s="25" t="s">
        <v>98</v>
      </c>
      <c r="V1114" s="25" t="s">
        <v>230</v>
      </c>
      <c r="W1114" s="25" t="s">
        <v>553</v>
      </c>
      <c r="X1114" s="25" t="s">
        <v>1749</v>
      </c>
      <c r="Y1114" s="25" t="s">
        <v>1750</v>
      </c>
      <c r="Z1114" s="26">
        <v>40246</v>
      </c>
      <c r="AA1114" s="776">
        <v>0</v>
      </c>
      <c r="AB1114" s="776">
        <v>110</v>
      </c>
      <c r="AC1114" s="776">
        <v>0</v>
      </c>
      <c r="AD1114" s="776">
        <v>0</v>
      </c>
      <c r="AE1114" s="777">
        <v>87</v>
      </c>
      <c r="AF1114" s="777">
        <v>87</v>
      </c>
      <c r="AG1114" s="778">
        <v>90.657635265995637</v>
      </c>
    </row>
    <row r="1115" spans="1:33" x14ac:dyDescent="0.2">
      <c r="A1115" s="15">
        <f t="shared" si="143"/>
        <v>2010</v>
      </c>
      <c r="B1115" s="14">
        <f t="shared" si="144"/>
        <v>3</v>
      </c>
      <c r="C1115" s="13" t="str">
        <f t="shared" si="145"/>
        <v>Q1</v>
      </c>
      <c r="D1115" s="13" t="str">
        <f t="shared" si="146"/>
        <v>2010Q1</v>
      </c>
      <c r="E1115" s="13" t="str">
        <f t="shared" si="147"/>
        <v>Brazil</v>
      </c>
      <c r="F1115" s="13" t="str">
        <f t="shared" si="150"/>
        <v>Biofuels</v>
      </c>
      <c r="G1115" s="13" t="str">
        <f t="shared" si="149"/>
        <v>Asset finance investments</v>
      </c>
      <c r="H1115" s="638">
        <f t="shared" si="148"/>
        <v>88.052530804329095</v>
      </c>
      <c r="I1115" s="24" t="s">
        <v>506</v>
      </c>
      <c r="J1115" s="25" t="s">
        <v>246</v>
      </c>
      <c r="K1115" s="25" t="s">
        <v>3077</v>
      </c>
      <c r="L1115" s="25" t="s">
        <v>830</v>
      </c>
      <c r="M1115" s="25" t="s">
        <v>31</v>
      </c>
      <c r="N1115" s="25" t="s">
        <v>31</v>
      </c>
      <c r="O1115" s="25" t="s">
        <v>92</v>
      </c>
      <c r="P1115" s="25" t="s">
        <v>83</v>
      </c>
      <c r="Q1115" s="25" t="s">
        <v>82</v>
      </c>
      <c r="R1115" s="25" t="s">
        <v>91</v>
      </c>
      <c r="S1115" s="25" t="s">
        <v>96</v>
      </c>
      <c r="T1115" s="25" t="s">
        <v>96</v>
      </c>
      <c r="U1115" s="25" t="s">
        <v>98</v>
      </c>
      <c r="V1115" s="25" t="s">
        <v>230</v>
      </c>
      <c r="W1115" s="25" t="s">
        <v>553</v>
      </c>
      <c r="X1115" s="25" t="s">
        <v>1749</v>
      </c>
      <c r="Y1115" s="25" t="s">
        <v>1750</v>
      </c>
      <c r="Z1115" s="26">
        <v>40268</v>
      </c>
      <c r="AA1115" s="776">
        <v>0</v>
      </c>
      <c r="AB1115" s="776">
        <v>0</v>
      </c>
      <c r="AC1115" s="776">
        <v>0</v>
      </c>
      <c r="AD1115" s="776">
        <v>0</v>
      </c>
      <c r="AE1115" s="777">
        <v>84.5</v>
      </c>
      <c r="AF1115" s="777">
        <v>84.5</v>
      </c>
      <c r="AG1115" s="778">
        <v>88.052530804329095</v>
      </c>
    </row>
    <row r="1116" spans="1:33" x14ac:dyDescent="0.2">
      <c r="A1116" s="15">
        <f t="shared" si="143"/>
        <v>2010</v>
      </c>
      <c r="B1116" s="14">
        <f t="shared" si="144"/>
        <v>3</v>
      </c>
      <c r="C1116" s="13" t="str">
        <f t="shared" si="145"/>
        <v>Q1</v>
      </c>
      <c r="D1116" s="13" t="str">
        <f t="shared" si="146"/>
        <v>2010Q1</v>
      </c>
      <c r="E1116" s="13" t="str">
        <f t="shared" si="147"/>
        <v>Peru</v>
      </c>
      <c r="F1116" s="13" t="str">
        <f t="shared" si="150"/>
        <v>Small Hydro</v>
      </c>
      <c r="G1116" s="13" t="str">
        <f t="shared" si="149"/>
        <v>Asset finance investments</v>
      </c>
      <c r="H1116" s="638">
        <f t="shared" si="148"/>
        <v>85.239017985729234</v>
      </c>
      <c r="I1116" s="24" t="s">
        <v>506</v>
      </c>
      <c r="J1116" s="25" t="s">
        <v>246</v>
      </c>
      <c r="K1116" s="25" t="s">
        <v>3078</v>
      </c>
      <c r="L1116" s="25" t="s">
        <v>831</v>
      </c>
      <c r="M1116" s="25" t="s">
        <v>20</v>
      </c>
      <c r="N1116" s="25" t="s">
        <v>85</v>
      </c>
      <c r="O1116" s="25" t="s">
        <v>92</v>
      </c>
      <c r="P1116" s="25" t="s">
        <v>83</v>
      </c>
      <c r="Q1116" s="25" t="s">
        <v>82</v>
      </c>
      <c r="R1116" s="25"/>
      <c r="S1116" s="25" t="s">
        <v>126</v>
      </c>
      <c r="T1116" s="25" t="s">
        <v>125</v>
      </c>
      <c r="U1116" s="25" t="s">
        <v>247</v>
      </c>
      <c r="V1116" s="25">
        <v>0</v>
      </c>
      <c r="W1116" s="25" t="s">
        <v>553</v>
      </c>
      <c r="X1116" s="25" t="s">
        <v>1752</v>
      </c>
      <c r="Y1116" s="25" t="s">
        <v>1753</v>
      </c>
      <c r="Z1116" s="26">
        <v>40245</v>
      </c>
      <c r="AA1116" s="776">
        <v>49</v>
      </c>
      <c r="AB1116" s="776">
        <v>0</v>
      </c>
      <c r="AC1116" s="776">
        <v>0</v>
      </c>
      <c r="AD1116" s="776">
        <v>0</v>
      </c>
      <c r="AE1116" s="777">
        <v>81.8</v>
      </c>
      <c r="AF1116" s="777">
        <v>81.8</v>
      </c>
      <c r="AG1116" s="778">
        <v>85.239017985729234</v>
      </c>
    </row>
    <row r="1117" spans="1:33" x14ac:dyDescent="0.2">
      <c r="A1117" s="15">
        <f t="shared" si="143"/>
        <v>2010</v>
      </c>
      <c r="B1117" s="14">
        <f t="shared" si="144"/>
        <v>2</v>
      </c>
      <c r="C1117" s="13" t="str">
        <f t="shared" si="145"/>
        <v>Q1</v>
      </c>
      <c r="D1117" s="13" t="str">
        <f t="shared" si="146"/>
        <v>2010Q1</v>
      </c>
      <c r="E1117" s="13" t="str">
        <f t="shared" si="147"/>
        <v>Brazil</v>
      </c>
      <c r="F1117" s="13" t="str">
        <f t="shared" si="150"/>
        <v>Biofuels</v>
      </c>
      <c r="G1117" s="13" t="str">
        <f t="shared" si="149"/>
        <v>Asset finance investments</v>
      </c>
      <c r="H1117" s="638">
        <f t="shared" si="148"/>
        <v>73.047129105129812</v>
      </c>
      <c r="I1117" s="24" t="s">
        <v>506</v>
      </c>
      <c r="J1117" s="25" t="s">
        <v>246</v>
      </c>
      <c r="K1117" s="25" t="s">
        <v>3079</v>
      </c>
      <c r="L1117" s="25" t="s">
        <v>780</v>
      </c>
      <c r="M1117" s="25" t="s">
        <v>31</v>
      </c>
      <c r="N1117" s="25" t="s">
        <v>31</v>
      </c>
      <c r="O1117" s="25" t="s">
        <v>92</v>
      </c>
      <c r="P1117" s="25" t="s">
        <v>83</v>
      </c>
      <c r="Q1117" s="25" t="s">
        <v>82</v>
      </c>
      <c r="R1117" s="25" t="s">
        <v>91</v>
      </c>
      <c r="S1117" s="25" t="s">
        <v>96</v>
      </c>
      <c r="T1117" s="25" t="s">
        <v>96</v>
      </c>
      <c r="U1117" s="25" t="s">
        <v>98</v>
      </c>
      <c r="V1117" s="25" t="s">
        <v>230</v>
      </c>
      <c r="W1117" s="25" t="s">
        <v>553</v>
      </c>
      <c r="X1117" s="25" t="s">
        <v>1749</v>
      </c>
      <c r="Y1117" s="25" t="s">
        <v>1750</v>
      </c>
      <c r="Z1117" s="26">
        <v>40222</v>
      </c>
      <c r="AA1117" s="776">
        <v>30</v>
      </c>
      <c r="AB1117" s="776">
        <v>108</v>
      </c>
      <c r="AC1117" s="776">
        <v>0</v>
      </c>
      <c r="AD1117" s="776">
        <v>0</v>
      </c>
      <c r="AE1117" s="777">
        <v>70.099999999999994</v>
      </c>
      <c r="AF1117" s="777">
        <v>70.099999999999994</v>
      </c>
      <c r="AG1117" s="778">
        <v>73.047129105129812</v>
      </c>
    </row>
    <row r="1118" spans="1:33" x14ac:dyDescent="0.2">
      <c r="A1118" s="15">
        <f t="shared" si="143"/>
        <v>2010</v>
      </c>
      <c r="B1118" s="14">
        <f t="shared" si="144"/>
        <v>3</v>
      </c>
      <c r="C1118" s="13" t="str">
        <f t="shared" si="145"/>
        <v>Q1</v>
      </c>
      <c r="D1118" s="13" t="str">
        <f t="shared" si="146"/>
        <v>2010Q1</v>
      </c>
      <c r="E1118" s="13" t="str">
        <f t="shared" si="147"/>
        <v>Brazil</v>
      </c>
      <c r="F1118" s="13" t="str">
        <f t="shared" si="150"/>
        <v>Small Hydro</v>
      </c>
      <c r="G1118" s="13" t="str">
        <f t="shared" si="149"/>
        <v>Asset finance investments</v>
      </c>
      <c r="H1118" s="638">
        <f t="shared" si="148"/>
        <v>69.399982858796648</v>
      </c>
      <c r="I1118" s="24" t="s">
        <v>506</v>
      </c>
      <c r="J1118" s="25" t="s">
        <v>246</v>
      </c>
      <c r="K1118" s="25" t="s">
        <v>3080</v>
      </c>
      <c r="L1118" s="25" t="s">
        <v>829</v>
      </c>
      <c r="M1118" s="25" t="s">
        <v>31</v>
      </c>
      <c r="N1118" s="25" t="s">
        <v>31</v>
      </c>
      <c r="O1118" s="25" t="s">
        <v>92</v>
      </c>
      <c r="P1118" s="25" t="s">
        <v>83</v>
      </c>
      <c r="Q1118" s="25" t="s">
        <v>82</v>
      </c>
      <c r="R1118" s="25" t="s">
        <v>91</v>
      </c>
      <c r="S1118" s="25" t="s">
        <v>126</v>
      </c>
      <c r="T1118" s="25" t="s">
        <v>125</v>
      </c>
      <c r="U1118" s="25" t="s">
        <v>247</v>
      </c>
      <c r="V1118" s="25">
        <v>0</v>
      </c>
      <c r="W1118" s="25" t="s">
        <v>553</v>
      </c>
      <c r="X1118" s="25" t="s">
        <v>1752</v>
      </c>
      <c r="Y1118" s="25" t="s">
        <v>1753</v>
      </c>
      <c r="Z1118" s="26">
        <v>40256</v>
      </c>
      <c r="AA1118" s="776">
        <v>22.2</v>
      </c>
      <c r="AB1118" s="776">
        <v>0</v>
      </c>
      <c r="AC1118" s="776">
        <v>0</v>
      </c>
      <c r="AD1118" s="776">
        <v>0</v>
      </c>
      <c r="AE1118" s="777">
        <v>66.599999999999994</v>
      </c>
      <c r="AF1118" s="777">
        <v>66.599999999999994</v>
      </c>
      <c r="AG1118" s="778">
        <v>69.399982858796648</v>
      </c>
    </row>
    <row r="1119" spans="1:33" x14ac:dyDescent="0.2">
      <c r="A1119" s="15">
        <f t="shared" si="143"/>
        <v>2010</v>
      </c>
      <c r="B1119" s="14">
        <f t="shared" si="144"/>
        <v>2</v>
      </c>
      <c r="C1119" s="13" t="str">
        <f t="shared" si="145"/>
        <v>Q1</v>
      </c>
      <c r="D1119" s="13" t="str">
        <f t="shared" si="146"/>
        <v>2010Q1</v>
      </c>
      <c r="E1119" s="13" t="str">
        <f t="shared" si="147"/>
        <v>Peru</v>
      </c>
      <c r="F1119" s="13" t="str">
        <f t="shared" si="150"/>
        <v>Biomass &amp; Waste</v>
      </c>
      <c r="G1119" s="13" t="str">
        <f t="shared" si="149"/>
        <v>Asset finance investments</v>
      </c>
      <c r="H1119" s="638">
        <f t="shared" si="148"/>
        <v>66.867821322056784</v>
      </c>
      <c r="I1119" s="24" t="s">
        <v>506</v>
      </c>
      <c r="J1119" s="25" t="s">
        <v>246</v>
      </c>
      <c r="K1119" s="25" t="s">
        <v>3081</v>
      </c>
      <c r="L1119" s="25" t="s">
        <v>838</v>
      </c>
      <c r="M1119" s="25" t="s">
        <v>20</v>
      </c>
      <c r="N1119" s="25" t="s">
        <v>85</v>
      </c>
      <c r="O1119" s="25" t="s">
        <v>92</v>
      </c>
      <c r="P1119" s="25" t="s">
        <v>83</v>
      </c>
      <c r="Q1119" s="25" t="s">
        <v>82</v>
      </c>
      <c r="R1119" s="25"/>
      <c r="S1119" s="25" t="s">
        <v>114</v>
      </c>
      <c r="T1119" s="25" t="s">
        <v>114</v>
      </c>
      <c r="U1119" s="25" t="s">
        <v>113</v>
      </c>
      <c r="V1119" s="25" t="s">
        <v>347</v>
      </c>
      <c r="W1119" s="25" t="s">
        <v>553</v>
      </c>
      <c r="X1119" s="25" t="s">
        <v>1752</v>
      </c>
      <c r="Y1119" s="25" t="s">
        <v>1753</v>
      </c>
      <c r="Z1119" s="26">
        <v>40221</v>
      </c>
      <c r="AA1119" s="776">
        <v>23</v>
      </c>
      <c r="AB1119" s="776">
        <v>0</v>
      </c>
      <c r="AC1119" s="776">
        <v>0</v>
      </c>
      <c r="AD1119" s="776">
        <v>0</v>
      </c>
      <c r="AE1119" s="777">
        <v>0</v>
      </c>
      <c r="AF1119" s="777">
        <v>64.17</v>
      </c>
      <c r="AG1119" s="778">
        <v>66.867821322056784</v>
      </c>
    </row>
    <row r="1120" spans="1:33" x14ac:dyDescent="0.2">
      <c r="A1120" s="15">
        <f t="shared" si="143"/>
        <v>2010</v>
      </c>
      <c r="B1120" s="14">
        <f t="shared" si="144"/>
        <v>2</v>
      </c>
      <c r="C1120" s="13" t="str">
        <f t="shared" si="145"/>
        <v>Q1</v>
      </c>
      <c r="D1120" s="13" t="str">
        <f t="shared" si="146"/>
        <v>2010Q1</v>
      </c>
      <c r="E1120" s="13" t="str">
        <f t="shared" si="147"/>
        <v>Colombia</v>
      </c>
      <c r="F1120" s="13" t="str">
        <f t="shared" si="150"/>
        <v>Small Hydro</v>
      </c>
      <c r="G1120" s="13" t="str">
        <f t="shared" si="149"/>
        <v>Asset finance investments</v>
      </c>
      <c r="H1120" s="638">
        <f t="shared" si="148"/>
        <v>52.102089233330815</v>
      </c>
      <c r="I1120" s="24" t="s">
        <v>506</v>
      </c>
      <c r="J1120" s="25" t="s">
        <v>246</v>
      </c>
      <c r="K1120" s="25" t="s">
        <v>3082</v>
      </c>
      <c r="L1120" s="25" t="s">
        <v>847</v>
      </c>
      <c r="M1120" s="25" t="s">
        <v>9</v>
      </c>
      <c r="N1120" s="25" t="s">
        <v>85</v>
      </c>
      <c r="O1120" s="25" t="s">
        <v>92</v>
      </c>
      <c r="P1120" s="25" t="s">
        <v>83</v>
      </c>
      <c r="Q1120" s="25" t="s">
        <v>82</v>
      </c>
      <c r="R1120" s="25"/>
      <c r="S1120" s="25" t="s">
        <v>126</v>
      </c>
      <c r="T1120" s="25" t="s">
        <v>125</v>
      </c>
      <c r="U1120" s="25" t="s">
        <v>247</v>
      </c>
      <c r="V1120" s="25">
        <v>0</v>
      </c>
      <c r="W1120" s="25" t="s">
        <v>553</v>
      </c>
      <c r="X1120" s="25" t="s">
        <v>1752</v>
      </c>
      <c r="Y1120" s="25" t="s">
        <v>1753</v>
      </c>
      <c r="Z1120" s="26">
        <v>40217</v>
      </c>
      <c r="AA1120" s="776">
        <v>20</v>
      </c>
      <c r="AB1120" s="776">
        <v>0</v>
      </c>
      <c r="AC1120" s="776">
        <v>0</v>
      </c>
      <c r="AD1120" s="776">
        <v>0</v>
      </c>
      <c r="AE1120" s="777">
        <v>0</v>
      </c>
      <c r="AF1120" s="777">
        <v>50</v>
      </c>
      <c r="AG1120" s="778">
        <v>52.102089233330815</v>
      </c>
    </row>
    <row r="1121" spans="1:33" x14ac:dyDescent="0.2">
      <c r="A1121" s="15">
        <f t="shared" si="143"/>
        <v>2010</v>
      </c>
      <c r="B1121" s="14">
        <f t="shared" si="144"/>
        <v>2</v>
      </c>
      <c r="C1121" s="13" t="str">
        <f t="shared" si="145"/>
        <v>Q1</v>
      </c>
      <c r="D1121" s="13" t="str">
        <f t="shared" si="146"/>
        <v>2010Q1</v>
      </c>
      <c r="E1121" s="13" t="str">
        <f t="shared" si="147"/>
        <v>Brazil</v>
      </c>
      <c r="F1121" s="13" t="str">
        <f t="shared" si="150"/>
        <v>Biofuels</v>
      </c>
      <c r="G1121" s="13" t="str">
        <f t="shared" si="149"/>
        <v>VC/PE investments</v>
      </c>
      <c r="H1121" s="638">
        <f t="shared" si="148"/>
        <v>50.018005663997599</v>
      </c>
      <c r="I1121" s="24" t="s">
        <v>506</v>
      </c>
      <c r="J1121" s="25" t="s">
        <v>216</v>
      </c>
      <c r="K1121" s="25" t="s">
        <v>3083</v>
      </c>
      <c r="L1121" s="25" t="s">
        <v>3084</v>
      </c>
      <c r="M1121" s="25" t="s">
        <v>31</v>
      </c>
      <c r="N1121" s="25" t="s">
        <v>31</v>
      </c>
      <c r="O1121" s="25" t="s">
        <v>92</v>
      </c>
      <c r="P1121" s="25" t="s">
        <v>83</v>
      </c>
      <c r="Q1121" s="25" t="s">
        <v>82</v>
      </c>
      <c r="R1121" s="25" t="s">
        <v>91</v>
      </c>
      <c r="S1121" s="25" t="s">
        <v>96</v>
      </c>
      <c r="T1121" s="25" t="s">
        <v>96</v>
      </c>
      <c r="U1121" s="25" t="s">
        <v>98</v>
      </c>
      <c r="V1121" s="25" t="s">
        <v>230</v>
      </c>
      <c r="W1121" s="25" t="s">
        <v>97</v>
      </c>
      <c r="X1121" s="25" t="s">
        <v>508</v>
      </c>
      <c r="Y1121" s="25" t="s">
        <v>507</v>
      </c>
      <c r="Z1121" s="26">
        <v>40235</v>
      </c>
      <c r="AA1121" s="776" t="s">
        <v>1748</v>
      </c>
      <c r="AB1121" s="776" t="s">
        <v>1748</v>
      </c>
      <c r="AC1121" s="776" t="s">
        <v>1748</v>
      </c>
      <c r="AD1121" s="776" t="s">
        <v>1748</v>
      </c>
      <c r="AE1121" s="777">
        <v>48</v>
      </c>
      <c r="AF1121" s="777">
        <v>48</v>
      </c>
      <c r="AG1121" s="778">
        <v>50.018005663997599</v>
      </c>
    </row>
    <row r="1122" spans="1:33" x14ac:dyDescent="0.2">
      <c r="A1122" s="15">
        <f t="shared" si="143"/>
        <v>2010</v>
      </c>
      <c r="B1122" s="14">
        <f t="shared" si="144"/>
        <v>1</v>
      </c>
      <c r="C1122" s="13" t="str">
        <f t="shared" si="145"/>
        <v>Q1</v>
      </c>
      <c r="D1122" s="13" t="str">
        <f t="shared" si="146"/>
        <v>2010Q1</v>
      </c>
      <c r="E1122" s="13" t="str">
        <f t="shared" si="147"/>
        <v>Brazil</v>
      </c>
      <c r="F1122" s="13" t="str">
        <f t="shared" si="150"/>
        <v>Biofuels</v>
      </c>
      <c r="G1122" s="13" t="str">
        <f t="shared" si="149"/>
        <v>Asset finance investments</v>
      </c>
      <c r="H1122" s="638">
        <f t="shared" si="148"/>
        <v>50.018005663997599</v>
      </c>
      <c r="I1122" s="24" t="s">
        <v>506</v>
      </c>
      <c r="J1122" s="25" t="s">
        <v>246</v>
      </c>
      <c r="K1122" s="25" t="s">
        <v>3085</v>
      </c>
      <c r="L1122" s="25" t="s">
        <v>3086</v>
      </c>
      <c r="M1122" s="25" t="s">
        <v>31</v>
      </c>
      <c r="N1122" s="25" t="s">
        <v>31</v>
      </c>
      <c r="O1122" s="25" t="s">
        <v>92</v>
      </c>
      <c r="P1122" s="25" t="s">
        <v>83</v>
      </c>
      <c r="Q1122" s="25" t="s">
        <v>82</v>
      </c>
      <c r="R1122" s="25" t="s">
        <v>91</v>
      </c>
      <c r="S1122" s="25" t="s">
        <v>96</v>
      </c>
      <c r="T1122" s="25" t="s">
        <v>96</v>
      </c>
      <c r="U1122" s="25" t="s">
        <v>98</v>
      </c>
      <c r="V1122" s="25" t="s">
        <v>230</v>
      </c>
      <c r="W1122" s="25" t="s">
        <v>553</v>
      </c>
      <c r="X1122" s="25" t="s">
        <v>1749</v>
      </c>
      <c r="Y1122" s="25" t="s">
        <v>1750</v>
      </c>
      <c r="Z1122" s="26">
        <v>40180</v>
      </c>
      <c r="AA1122" s="776">
        <v>0</v>
      </c>
      <c r="AB1122" s="776">
        <v>0</v>
      </c>
      <c r="AC1122" s="776">
        <v>0</v>
      </c>
      <c r="AD1122" s="776">
        <v>0</v>
      </c>
      <c r="AE1122" s="777">
        <v>48</v>
      </c>
      <c r="AF1122" s="777">
        <v>48</v>
      </c>
      <c r="AG1122" s="778">
        <v>50.018005663997599</v>
      </c>
    </row>
    <row r="1123" spans="1:33" x14ac:dyDescent="0.2">
      <c r="A1123" s="15">
        <f t="shared" si="143"/>
        <v>2010</v>
      </c>
      <c r="B1123" s="14">
        <f t="shared" si="144"/>
        <v>3</v>
      </c>
      <c r="C1123" s="13" t="str">
        <f t="shared" si="145"/>
        <v>Q1</v>
      </c>
      <c r="D1123" s="13" t="str">
        <f t="shared" si="146"/>
        <v>2010Q1</v>
      </c>
      <c r="E1123" s="13" t="str">
        <f t="shared" si="147"/>
        <v>Jamaica</v>
      </c>
      <c r="F1123" s="13" t="str">
        <f t="shared" si="150"/>
        <v>Wind</v>
      </c>
      <c r="G1123" s="13" t="str">
        <f t="shared" si="149"/>
        <v>Asset finance investments</v>
      </c>
      <c r="H1123" s="638">
        <f t="shared" si="148"/>
        <v>49.496984771664273</v>
      </c>
      <c r="I1123" s="24" t="s">
        <v>506</v>
      </c>
      <c r="J1123" s="25" t="s">
        <v>246</v>
      </c>
      <c r="K1123" s="25" t="s">
        <v>3087</v>
      </c>
      <c r="L1123" s="25" t="s">
        <v>3088</v>
      </c>
      <c r="M1123" s="25" t="s">
        <v>17</v>
      </c>
      <c r="N1123" s="25" t="s">
        <v>85</v>
      </c>
      <c r="O1123" s="25" t="s">
        <v>84</v>
      </c>
      <c r="P1123" s="25" t="s">
        <v>83</v>
      </c>
      <c r="Q1123" s="25" t="s">
        <v>82</v>
      </c>
      <c r="R1123" s="25"/>
      <c r="S1123" s="25" t="s">
        <v>101</v>
      </c>
      <c r="T1123" s="25" t="s">
        <v>101</v>
      </c>
      <c r="U1123" s="25" t="s">
        <v>112</v>
      </c>
      <c r="V1123" s="25">
        <v>0</v>
      </c>
      <c r="W1123" s="25" t="s">
        <v>553</v>
      </c>
      <c r="X1123" s="25" t="s">
        <v>1752</v>
      </c>
      <c r="Y1123" s="25" t="s">
        <v>1753</v>
      </c>
      <c r="Z1123" s="26">
        <v>40247</v>
      </c>
      <c r="AA1123" s="776">
        <v>18</v>
      </c>
      <c r="AB1123" s="776">
        <v>0</v>
      </c>
      <c r="AC1123" s="776">
        <v>0</v>
      </c>
      <c r="AD1123" s="776">
        <v>0</v>
      </c>
      <c r="AE1123" s="777">
        <v>47.5</v>
      </c>
      <c r="AF1123" s="777">
        <v>47.5</v>
      </c>
      <c r="AG1123" s="778">
        <v>49.496984771664273</v>
      </c>
    </row>
    <row r="1124" spans="1:33" x14ac:dyDescent="0.2">
      <c r="A1124" s="15">
        <f t="shared" si="143"/>
        <v>2010</v>
      </c>
      <c r="B1124" s="14">
        <f t="shared" si="144"/>
        <v>2</v>
      </c>
      <c r="C1124" s="13" t="str">
        <f t="shared" si="145"/>
        <v>Q1</v>
      </c>
      <c r="D1124" s="13" t="str">
        <f t="shared" si="146"/>
        <v>2010Q1</v>
      </c>
      <c r="E1124" s="13" t="str">
        <f t="shared" si="147"/>
        <v>Brazil</v>
      </c>
      <c r="F1124" s="13" t="str">
        <f t="shared" si="150"/>
        <v>Small Hydro</v>
      </c>
      <c r="G1124" s="13" t="str">
        <f t="shared" si="149"/>
        <v>Asset finance investments</v>
      </c>
      <c r="H1124" s="638">
        <f t="shared" si="148"/>
        <v>39.076566924998119</v>
      </c>
      <c r="I1124" s="24" t="s">
        <v>506</v>
      </c>
      <c r="J1124" s="25" t="s">
        <v>246</v>
      </c>
      <c r="K1124" s="25" t="s">
        <v>3089</v>
      </c>
      <c r="L1124" s="25" t="s">
        <v>842</v>
      </c>
      <c r="M1124" s="25" t="s">
        <v>31</v>
      </c>
      <c r="N1124" s="25" t="s">
        <v>31</v>
      </c>
      <c r="O1124" s="25" t="s">
        <v>92</v>
      </c>
      <c r="P1124" s="25" t="s">
        <v>83</v>
      </c>
      <c r="Q1124" s="25" t="s">
        <v>82</v>
      </c>
      <c r="R1124" s="25" t="s">
        <v>91</v>
      </c>
      <c r="S1124" s="25" t="s">
        <v>126</v>
      </c>
      <c r="T1124" s="25" t="s">
        <v>125</v>
      </c>
      <c r="U1124" s="25" t="s">
        <v>247</v>
      </c>
      <c r="V1124" s="25">
        <v>0</v>
      </c>
      <c r="W1124" s="25" t="s">
        <v>553</v>
      </c>
      <c r="X1124" s="25" t="s">
        <v>1752</v>
      </c>
      <c r="Y1124" s="25" t="s">
        <v>1753</v>
      </c>
      <c r="Z1124" s="26">
        <v>40237</v>
      </c>
      <c r="AA1124" s="776">
        <v>15</v>
      </c>
      <c r="AB1124" s="776">
        <v>0</v>
      </c>
      <c r="AC1124" s="776">
        <v>0</v>
      </c>
      <c r="AD1124" s="776">
        <v>0</v>
      </c>
      <c r="AE1124" s="777">
        <v>0</v>
      </c>
      <c r="AF1124" s="777">
        <v>37.5</v>
      </c>
      <c r="AG1124" s="778">
        <v>39.076566924998119</v>
      </c>
    </row>
    <row r="1125" spans="1:33" x14ac:dyDescent="0.2">
      <c r="A1125" s="15">
        <f t="shared" si="143"/>
        <v>2010</v>
      </c>
      <c r="B1125" s="14">
        <f t="shared" si="144"/>
        <v>3</v>
      </c>
      <c r="C1125" s="13" t="str">
        <f t="shared" si="145"/>
        <v>Q1</v>
      </c>
      <c r="D1125" s="13" t="str">
        <f t="shared" si="146"/>
        <v>2010Q1</v>
      </c>
      <c r="E1125" s="13" t="str">
        <f t="shared" si="147"/>
        <v>Brazil</v>
      </c>
      <c r="F1125" s="13" t="str">
        <f t="shared" si="150"/>
        <v>Biofuels</v>
      </c>
      <c r="G1125" s="13" t="str">
        <f t="shared" si="149"/>
        <v>Asset finance investments</v>
      </c>
      <c r="H1125" s="638">
        <f t="shared" si="148"/>
        <v>38.242933497264829</v>
      </c>
      <c r="I1125" s="24" t="s">
        <v>506</v>
      </c>
      <c r="J1125" s="25" t="s">
        <v>246</v>
      </c>
      <c r="K1125" s="25" t="s">
        <v>3090</v>
      </c>
      <c r="L1125" s="25" t="s">
        <v>3091</v>
      </c>
      <c r="M1125" s="25" t="s">
        <v>31</v>
      </c>
      <c r="N1125" s="25" t="s">
        <v>31</v>
      </c>
      <c r="O1125" s="25" t="s">
        <v>92</v>
      </c>
      <c r="P1125" s="25" t="s">
        <v>83</v>
      </c>
      <c r="Q1125" s="25" t="s">
        <v>82</v>
      </c>
      <c r="R1125" s="25" t="s">
        <v>91</v>
      </c>
      <c r="S1125" s="25" t="s">
        <v>96</v>
      </c>
      <c r="T1125" s="25" t="s">
        <v>96</v>
      </c>
      <c r="U1125" s="25" t="s">
        <v>95</v>
      </c>
      <c r="V1125" s="25" t="s">
        <v>223</v>
      </c>
      <c r="W1125" s="25" t="s">
        <v>553</v>
      </c>
      <c r="X1125" s="25" t="s">
        <v>1752</v>
      </c>
      <c r="Y1125" s="25" t="s">
        <v>1753</v>
      </c>
      <c r="Z1125" s="26">
        <v>40268</v>
      </c>
      <c r="AA1125" s="776">
        <v>0</v>
      </c>
      <c r="AB1125" s="776">
        <v>108.6</v>
      </c>
      <c r="AC1125" s="776">
        <v>0</v>
      </c>
      <c r="AD1125" s="776">
        <v>0</v>
      </c>
      <c r="AE1125" s="777">
        <v>36.700000000000003</v>
      </c>
      <c r="AF1125" s="777">
        <v>36.700000000000003</v>
      </c>
      <c r="AG1125" s="778">
        <v>38.242933497264829</v>
      </c>
    </row>
    <row r="1126" spans="1:33" x14ac:dyDescent="0.2">
      <c r="A1126" s="15">
        <f t="shared" si="143"/>
        <v>2010</v>
      </c>
      <c r="B1126" s="14">
        <f t="shared" si="144"/>
        <v>1</v>
      </c>
      <c r="C1126" s="13" t="str">
        <f t="shared" si="145"/>
        <v>Q1</v>
      </c>
      <c r="D1126" s="13" t="str">
        <f t="shared" si="146"/>
        <v>2010Q1</v>
      </c>
      <c r="E1126" s="13" t="str">
        <f t="shared" si="147"/>
        <v>Chile</v>
      </c>
      <c r="F1126" s="13" t="str">
        <f t="shared" si="150"/>
        <v>Small Hydro</v>
      </c>
      <c r="G1126" s="13" t="str">
        <f t="shared" si="149"/>
        <v>Asset finance investments</v>
      </c>
      <c r="H1126" s="638">
        <f t="shared" si="148"/>
        <v>36.471462463331576</v>
      </c>
      <c r="I1126" s="24" t="s">
        <v>506</v>
      </c>
      <c r="J1126" s="25" t="s">
        <v>246</v>
      </c>
      <c r="K1126" s="25" t="s">
        <v>3092</v>
      </c>
      <c r="L1126" s="25" t="s">
        <v>1052</v>
      </c>
      <c r="M1126" s="25" t="s">
        <v>8</v>
      </c>
      <c r="N1126" s="25" t="s">
        <v>85</v>
      </c>
      <c r="O1126" s="25" t="s">
        <v>92</v>
      </c>
      <c r="P1126" s="25" t="s">
        <v>83</v>
      </c>
      <c r="Q1126" s="25" t="s">
        <v>129</v>
      </c>
      <c r="R1126" s="25"/>
      <c r="S1126" s="25" t="s">
        <v>126</v>
      </c>
      <c r="T1126" s="25" t="s">
        <v>125</v>
      </c>
      <c r="U1126" s="25" t="s">
        <v>247</v>
      </c>
      <c r="V1126" s="25">
        <v>0</v>
      </c>
      <c r="W1126" s="25" t="s">
        <v>553</v>
      </c>
      <c r="X1126" s="25" t="s">
        <v>1752</v>
      </c>
      <c r="Y1126" s="25" t="s">
        <v>1753</v>
      </c>
      <c r="Z1126" s="26">
        <v>40209</v>
      </c>
      <c r="AA1126" s="776">
        <v>21.2</v>
      </c>
      <c r="AB1126" s="776">
        <v>0</v>
      </c>
      <c r="AC1126" s="776">
        <v>0</v>
      </c>
      <c r="AD1126" s="776">
        <v>0</v>
      </c>
      <c r="AE1126" s="777">
        <v>35</v>
      </c>
      <c r="AF1126" s="777">
        <v>35</v>
      </c>
      <c r="AG1126" s="778">
        <v>36.471462463331576</v>
      </c>
    </row>
    <row r="1127" spans="1:33" x14ac:dyDescent="0.2">
      <c r="A1127" s="15">
        <f t="shared" si="143"/>
        <v>2010</v>
      </c>
      <c r="B1127" s="14">
        <f t="shared" si="144"/>
        <v>1</v>
      </c>
      <c r="C1127" s="13" t="str">
        <f t="shared" si="145"/>
        <v>Q1</v>
      </c>
      <c r="D1127" s="13" t="str">
        <f t="shared" si="146"/>
        <v>2010Q1</v>
      </c>
      <c r="E1127" s="13" t="str">
        <f t="shared" si="147"/>
        <v>Brazil</v>
      </c>
      <c r="F1127" s="13" t="str">
        <f t="shared" si="150"/>
        <v>Biofuels</v>
      </c>
      <c r="G1127" s="13" t="str">
        <f t="shared" si="149"/>
        <v>Asset finance investments</v>
      </c>
      <c r="H1127" s="638">
        <f t="shared" si="148"/>
        <v>35.429420678664961</v>
      </c>
      <c r="I1127" s="24" t="s">
        <v>506</v>
      </c>
      <c r="J1127" s="25" t="s">
        <v>246</v>
      </c>
      <c r="K1127" s="25" t="s">
        <v>3093</v>
      </c>
      <c r="L1127" s="25" t="s">
        <v>3094</v>
      </c>
      <c r="M1127" s="25" t="s">
        <v>31</v>
      </c>
      <c r="N1127" s="25" t="s">
        <v>31</v>
      </c>
      <c r="O1127" s="25" t="s">
        <v>92</v>
      </c>
      <c r="P1127" s="25" t="s">
        <v>83</v>
      </c>
      <c r="Q1127" s="25" t="s">
        <v>82</v>
      </c>
      <c r="R1127" s="25" t="s">
        <v>91</v>
      </c>
      <c r="S1127" s="25" t="s">
        <v>96</v>
      </c>
      <c r="T1127" s="25" t="s">
        <v>96</v>
      </c>
      <c r="U1127" s="25" t="s">
        <v>95</v>
      </c>
      <c r="V1127" s="25" t="s">
        <v>223</v>
      </c>
      <c r="W1127" s="25" t="s">
        <v>553</v>
      </c>
      <c r="X1127" s="25" t="s">
        <v>1752</v>
      </c>
      <c r="Y1127" s="25" t="s">
        <v>1753</v>
      </c>
      <c r="Z1127" s="26">
        <v>40209</v>
      </c>
      <c r="AA1127" s="776">
        <v>0</v>
      </c>
      <c r="AB1127" s="776">
        <v>140.4</v>
      </c>
      <c r="AC1127" s="776">
        <v>0</v>
      </c>
      <c r="AD1127" s="776">
        <v>0</v>
      </c>
      <c r="AE1127" s="777">
        <v>34</v>
      </c>
      <c r="AF1127" s="777">
        <v>34</v>
      </c>
      <c r="AG1127" s="778">
        <v>35.429420678664961</v>
      </c>
    </row>
    <row r="1128" spans="1:33" x14ac:dyDescent="0.2">
      <c r="A1128" s="15">
        <f t="shared" si="143"/>
        <v>2010</v>
      </c>
      <c r="B1128" s="14">
        <f t="shared" si="144"/>
        <v>1</v>
      </c>
      <c r="C1128" s="13" t="str">
        <f t="shared" si="145"/>
        <v>Q1</v>
      </c>
      <c r="D1128" s="13" t="str">
        <f t="shared" si="146"/>
        <v>2010Q1</v>
      </c>
      <c r="E1128" s="13" t="str">
        <f t="shared" si="147"/>
        <v>Brazil</v>
      </c>
      <c r="F1128" s="13" t="str">
        <f t="shared" si="150"/>
        <v>Biofuels</v>
      </c>
      <c r="G1128" s="13" t="str">
        <f t="shared" si="149"/>
        <v>Asset finance investments</v>
      </c>
      <c r="H1128" s="638">
        <f t="shared" si="148"/>
        <v>26.25945297359873</v>
      </c>
      <c r="I1128" s="24" t="s">
        <v>506</v>
      </c>
      <c r="J1128" s="25" t="s">
        <v>246</v>
      </c>
      <c r="K1128" s="25" t="s">
        <v>3095</v>
      </c>
      <c r="L1128" s="25" t="s">
        <v>3096</v>
      </c>
      <c r="M1128" s="25" t="s">
        <v>31</v>
      </c>
      <c r="N1128" s="25" t="s">
        <v>31</v>
      </c>
      <c r="O1128" s="25" t="s">
        <v>92</v>
      </c>
      <c r="P1128" s="25" t="s">
        <v>83</v>
      </c>
      <c r="Q1128" s="25" t="s">
        <v>82</v>
      </c>
      <c r="R1128" s="25" t="s">
        <v>91</v>
      </c>
      <c r="S1128" s="25" t="s">
        <v>96</v>
      </c>
      <c r="T1128" s="25" t="s">
        <v>96</v>
      </c>
      <c r="U1128" s="25" t="s">
        <v>95</v>
      </c>
      <c r="V1128" s="25" t="s">
        <v>223</v>
      </c>
      <c r="W1128" s="25" t="s">
        <v>553</v>
      </c>
      <c r="X1128" s="25" t="s">
        <v>1752</v>
      </c>
      <c r="Y1128" s="25" t="s">
        <v>1753</v>
      </c>
      <c r="Z1128" s="26">
        <v>40204</v>
      </c>
      <c r="AA1128" s="776">
        <v>0</v>
      </c>
      <c r="AB1128" s="776">
        <v>72</v>
      </c>
      <c r="AC1128" s="776">
        <v>0</v>
      </c>
      <c r="AD1128" s="776">
        <v>0</v>
      </c>
      <c r="AE1128" s="777">
        <v>0</v>
      </c>
      <c r="AF1128" s="777">
        <v>25.2</v>
      </c>
      <c r="AG1128" s="778">
        <v>26.25945297359873</v>
      </c>
    </row>
    <row r="1129" spans="1:33" x14ac:dyDescent="0.2">
      <c r="A1129" s="15">
        <f t="shared" si="143"/>
        <v>2010</v>
      </c>
      <c r="B1129" s="14">
        <f t="shared" si="144"/>
        <v>1</v>
      </c>
      <c r="C1129" s="13" t="str">
        <f t="shared" si="145"/>
        <v>Q1</v>
      </c>
      <c r="D1129" s="13" t="str">
        <f t="shared" si="146"/>
        <v>2010Q1</v>
      </c>
      <c r="E1129" s="13" t="str">
        <f t="shared" si="147"/>
        <v>Brazil</v>
      </c>
      <c r="F1129" s="13" t="str">
        <f t="shared" si="150"/>
        <v>Biomass &amp; Waste</v>
      </c>
      <c r="G1129" s="13" t="str">
        <f t="shared" si="149"/>
        <v>Asset finance investments</v>
      </c>
      <c r="H1129" s="638">
        <f t="shared" si="148"/>
        <v>24.800594475065473</v>
      </c>
      <c r="I1129" s="24" t="s">
        <v>506</v>
      </c>
      <c r="J1129" s="25" t="s">
        <v>246</v>
      </c>
      <c r="K1129" s="25" t="s">
        <v>3097</v>
      </c>
      <c r="L1129" s="25" t="s">
        <v>855</v>
      </c>
      <c r="M1129" s="25" t="s">
        <v>31</v>
      </c>
      <c r="N1129" s="25" t="s">
        <v>31</v>
      </c>
      <c r="O1129" s="25" t="s">
        <v>92</v>
      </c>
      <c r="P1129" s="25" t="s">
        <v>83</v>
      </c>
      <c r="Q1129" s="25" t="s">
        <v>82</v>
      </c>
      <c r="R1129" s="25" t="s">
        <v>91</v>
      </c>
      <c r="S1129" s="25" t="s">
        <v>114</v>
      </c>
      <c r="T1129" s="25" t="s">
        <v>114</v>
      </c>
      <c r="U1129" s="25" t="s">
        <v>113</v>
      </c>
      <c r="V1129" s="25" t="s">
        <v>347</v>
      </c>
      <c r="W1129" s="25" t="s">
        <v>553</v>
      </c>
      <c r="X1129" s="25" t="s">
        <v>1752</v>
      </c>
      <c r="Y1129" s="25" t="s">
        <v>1753</v>
      </c>
      <c r="Z1129" s="26">
        <v>40197</v>
      </c>
      <c r="AA1129" s="776">
        <v>12.3</v>
      </c>
      <c r="AB1129" s="776">
        <v>0</v>
      </c>
      <c r="AC1129" s="776">
        <v>0</v>
      </c>
      <c r="AD1129" s="776">
        <v>0</v>
      </c>
      <c r="AE1129" s="777">
        <v>23.8</v>
      </c>
      <c r="AF1129" s="777">
        <v>23.8</v>
      </c>
      <c r="AG1129" s="778">
        <v>24.800594475065473</v>
      </c>
    </row>
    <row r="1130" spans="1:33" x14ac:dyDescent="0.2">
      <c r="A1130" s="15">
        <f t="shared" si="143"/>
        <v>2010</v>
      </c>
      <c r="B1130" s="14">
        <f t="shared" si="144"/>
        <v>3</v>
      </c>
      <c r="C1130" s="13" t="str">
        <f t="shared" si="145"/>
        <v>Q1</v>
      </c>
      <c r="D1130" s="13" t="str">
        <f t="shared" si="146"/>
        <v>2010Q1</v>
      </c>
      <c r="E1130" s="13" t="str">
        <f t="shared" si="147"/>
        <v>Chile</v>
      </c>
      <c r="F1130" s="13" t="str">
        <f t="shared" si="150"/>
        <v>Wind</v>
      </c>
      <c r="G1130" s="13" t="str">
        <f t="shared" si="149"/>
        <v>Asset finance investments</v>
      </c>
      <c r="H1130" s="638">
        <f t="shared" si="148"/>
        <v>23.96696104733218</v>
      </c>
      <c r="I1130" s="24" t="s">
        <v>506</v>
      </c>
      <c r="J1130" s="25" t="s">
        <v>246</v>
      </c>
      <c r="K1130" s="25" t="s">
        <v>3098</v>
      </c>
      <c r="L1130" s="25" t="s">
        <v>582</v>
      </c>
      <c r="M1130" s="25" t="s">
        <v>8</v>
      </c>
      <c r="N1130" s="25" t="s">
        <v>85</v>
      </c>
      <c r="O1130" s="25" t="s">
        <v>92</v>
      </c>
      <c r="P1130" s="25" t="s">
        <v>83</v>
      </c>
      <c r="Q1130" s="25" t="s">
        <v>129</v>
      </c>
      <c r="R1130" s="25"/>
      <c r="S1130" s="25" t="s">
        <v>101</v>
      </c>
      <c r="T1130" s="25" t="s">
        <v>101</v>
      </c>
      <c r="U1130" s="25" t="s">
        <v>112</v>
      </c>
      <c r="V1130" s="25">
        <v>0</v>
      </c>
      <c r="W1130" s="25" t="s">
        <v>553</v>
      </c>
      <c r="X1130" s="25" t="s">
        <v>1752</v>
      </c>
      <c r="Y1130" s="25" t="s">
        <v>1753</v>
      </c>
      <c r="Z1130" s="26">
        <v>40241</v>
      </c>
      <c r="AA1130" s="776">
        <v>10</v>
      </c>
      <c r="AB1130" s="776">
        <v>0</v>
      </c>
      <c r="AC1130" s="776">
        <v>0</v>
      </c>
      <c r="AD1130" s="776">
        <v>0</v>
      </c>
      <c r="AE1130" s="777">
        <v>23</v>
      </c>
      <c r="AF1130" s="777">
        <v>23</v>
      </c>
      <c r="AG1130" s="778">
        <v>23.96696104733218</v>
      </c>
    </row>
    <row r="1131" spans="1:33" x14ac:dyDescent="0.2">
      <c r="A1131" s="15">
        <f t="shared" si="143"/>
        <v>2010</v>
      </c>
      <c r="B1131" s="14">
        <f t="shared" si="144"/>
        <v>1</v>
      </c>
      <c r="C1131" s="13" t="str">
        <f t="shared" si="145"/>
        <v>Q1</v>
      </c>
      <c r="D1131" s="13" t="str">
        <f t="shared" si="146"/>
        <v>2010Q1</v>
      </c>
      <c r="E1131" s="13" t="str">
        <f t="shared" si="147"/>
        <v>Peru</v>
      </c>
      <c r="F1131" s="13" t="str">
        <f t="shared" si="150"/>
        <v>Small Hydro</v>
      </c>
      <c r="G1131" s="13" t="str">
        <f t="shared" si="149"/>
        <v>Asset finance investments</v>
      </c>
      <c r="H1131" s="638">
        <f t="shared" si="148"/>
        <v>21.049244050265653</v>
      </c>
      <c r="I1131" s="24" t="s">
        <v>506</v>
      </c>
      <c r="J1131" s="25" t="s">
        <v>246</v>
      </c>
      <c r="K1131" s="25" t="s">
        <v>3099</v>
      </c>
      <c r="L1131" s="25" t="s">
        <v>3100</v>
      </c>
      <c r="M1131" s="25" t="s">
        <v>20</v>
      </c>
      <c r="N1131" s="25" t="s">
        <v>85</v>
      </c>
      <c r="O1131" s="25" t="s">
        <v>92</v>
      </c>
      <c r="P1131" s="25" t="s">
        <v>83</v>
      </c>
      <c r="Q1131" s="25" t="s">
        <v>82</v>
      </c>
      <c r="R1131" s="25"/>
      <c r="S1131" s="25" t="s">
        <v>126</v>
      </c>
      <c r="T1131" s="25" t="s">
        <v>125</v>
      </c>
      <c r="U1131" s="25" t="s">
        <v>247</v>
      </c>
      <c r="V1131" s="25">
        <v>0</v>
      </c>
      <c r="W1131" s="25" t="s">
        <v>553</v>
      </c>
      <c r="X1131" s="25" t="s">
        <v>1752</v>
      </c>
      <c r="Y1131" s="25" t="s">
        <v>1753</v>
      </c>
      <c r="Z1131" s="26">
        <v>40207</v>
      </c>
      <c r="AA1131" s="776">
        <v>10</v>
      </c>
      <c r="AB1131" s="776">
        <v>0</v>
      </c>
      <c r="AC1131" s="776">
        <v>0</v>
      </c>
      <c r="AD1131" s="776">
        <v>0</v>
      </c>
      <c r="AE1131" s="777">
        <v>0</v>
      </c>
      <c r="AF1131" s="777">
        <v>20.2</v>
      </c>
      <c r="AG1131" s="778">
        <v>21.049244050265653</v>
      </c>
    </row>
    <row r="1132" spans="1:33" x14ac:dyDescent="0.2">
      <c r="A1132" s="15">
        <f t="shared" si="143"/>
        <v>2010</v>
      </c>
      <c r="B1132" s="14">
        <f t="shared" si="144"/>
        <v>1</v>
      </c>
      <c r="C1132" s="13" t="str">
        <f t="shared" si="145"/>
        <v>Q1</v>
      </c>
      <c r="D1132" s="13" t="str">
        <f t="shared" si="146"/>
        <v>2010Q1</v>
      </c>
      <c r="E1132" s="13" t="str">
        <f t="shared" si="147"/>
        <v>Chile</v>
      </c>
      <c r="F1132" s="13" t="str">
        <f t="shared" si="150"/>
        <v>Small Hydro</v>
      </c>
      <c r="G1132" s="13" t="str">
        <f t="shared" si="149"/>
        <v>Asset finance investments</v>
      </c>
      <c r="H1132" s="638">
        <f t="shared" si="148"/>
        <v>20.84083569333233</v>
      </c>
      <c r="I1132" s="24" t="s">
        <v>506</v>
      </c>
      <c r="J1132" s="25" t="s">
        <v>246</v>
      </c>
      <c r="K1132" s="25" t="s">
        <v>3101</v>
      </c>
      <c r="L1132" s="25" t="s">
        <v>3102</v>
      </c>
      <c r="M1132" s="25" t="s">
        <v>8</v>
      </c>
      <c r="N1132" s="25" t="s">
        <v>85</v>
      </c>
      <c r="O1132" s="25" t="s">
        <v>92</v>
      </c>
      <c r="P1132" s="25" t="s">
        <v>83</v>
      </c>
      <c r="Q1132" s="25" t="s">
        <v>129</v>
      </c>
      <c r="R1132" s="25"/>
      <c r="S1132" s="25" t="s">
        <v>126</v>
      </c>
      <c r="T1132" s="25" t="s">
        <v>125</v>
      </c>
      <c r="U1132" s="25" t="s">
        <v>247</v>
      </c>
      <c r="V1132" s="25">
        <v>0</v>
      </c>
      <c r="W1132" s="25" t="s">
        <v>553</v>
      </c>
      <c r="X1132" s="25" t="s">
        <v>1752</v>
      </c>
      <c r="Y1132" s="25" t="s">
        <v>1753</v>
      </c>
      <c r="Z1132" s="26">
        <v>40179</v>
      </c>
      <c r="AA1132" s="776">
        <v>9</v>
      </c>
      <c r="AB1132" s="776">
        <v>0</v>
      </c>
      <c r="AC1132" s="776">
        <v>0</v>
      </c>
      <c r="AD1132" s="776">
        <v>0</v>
      </c>
      <c r="AE1132" s="777">
        <v>20</v>
      </c>
      <c r="AF1132" s="777">
        <v>20</v>
      </c>
      <c r="AG1132" s="778">
        <v>20.84083569333233</v>
      </c>
    </row>
    <row r="1133" spans="1:33" x14ac:dyDescent="0.2">
      <c r="A1133" s="15">
        <f t="shared" si="143"/>
        <v>2010</v>
      </c>
      <c r="B1133" s="14">
        <f t="shared" si="144"/>
        <v>1</v>
      </c>
      <c r="C1133" s="13" t="str">
        <f t="shared" si="145"/>
        <v>Q1</v>
      </c>
      <c r="D1133" s="13" t="str">
        <f t="shared" si="146"/>
        <v>2010Q1</v>
      </c>
      <c r="E1133" s="13" t="str">
        <f t="shared" si="147"/>
        <v>Chile</v>
      </c>
      <c r="F1133" s="13" t="str">
        <f t="shared" si="150"/>
        <v>Biomass &amp; Waste</v>
      </c>
      <c r="G1133" s="13" t="str">
        <f t="shared" si="149"/>
        <v>Asset finance investments</v>
      </c>
      <c r="H1133" s="638">
        <f t="shared" si="148"/>
        <v>20.84083569333233</v>
      </c>
      <c r="I1133" s="24" t="s">
        <v>506</v>
      </c>
      <c r="J1133" s="25" t="s">
        <v>246</v>
      </c>
      <c r="K1133" s="25" t="s">
        <v>3103</v>
      </c>
      <c r="L1133" s="25" t="s">
        <v>1010</v>
      </c>
      <c r="M1133" s="25" t="s">
        <v>8</v>
      </c>
      <c r="N1133" s="25" t="s">
        <v>85</v>
      </c>
      <c r="O1133" s="25" t="s">
        <v>92</v>
      </c>
      <c r="P1133" s="25" t="s">
        <v>83</v>
      </c>
      <c r="Q1133" s="25" t="s">
        <v>129</v>
      </c>
      <c r="R1133" s="25"/>
      <c r="S1133" s="25" t="s">
        <v>114</v>
      </c>
      <c r="T1133" s="25" t="s">
        <v>114</v>
      </c>
      <c r="U1133" s="25" t="s">
        <v>113</v>
      </c>
      <c r="V1133" s="25" t="s">
        <v>347</v>
      </c>
      <c r="W1133" s="25" t="s">
        <v>553</v>
      </c>
      <c r="X1133" s="25" t="s">
        <v>1752</v>
      </c>
      <c r="Y1133" s="25" t="s">
        <v>1753</v>
      </c>
      <c r="Z1133" s="26">
        <v>40209</v>
      </c>
      <c r="AA1133" s="776">
        <v>9.5</v>
      </c>
      <c r="AB1133" s="776">
        <v>0</v>
      </c>
      <c r="AC1133" s="776">
        <v>0</v>
      </c>
      <c r="AD1133" s="776">
        <v>0</v>
      </c>
      <c r="AE1133" s="777">
        <v>20</v>
      </c>
      <c r="AF1133" s="777">
        <v>20</v>
      </c>
      <c r="AG1133" s="778">
        <v>20.84083569333233</v>
      </c>
    </row>
    <row r="1134" spans="1:33" x14ac:dyDescent="0.2">
      <c r="A1134" s="15">
        <f t="shared" si="143"/>
        <v>2010</v>
      </c>
      <c r="B1134" s="14">
        <f t="shared" si="144"/>
        <v>3</v>
      </c>
      <c r="C1134" s="13" t="str">
        <f t="shared" si="145"/>
        <v>Q1</v>
      </c>
      <c r="D1134" s="13" t="str">
        <f t="shared" si="146"/>
        <v>2010Q1</v>
      </c>
      <c r="E1134" s="13" t="str">
        <f t="shared" si="147"/>
        <v>Brazil</v>
      </c>
      <c r="F1134" s="13" t="str">
        <f t="shared" si="150"/>
        <v>Biofuels</v>
      </c>
      <c r="G1134" s="13" t="str">
        <f t="shared" si="149"/>
        <v>Asset finance investments</v>
      </c>
      <c r="H1134" s="638">
        <f t="shared" si="148"/>
        <v>19.183989255712408</v>
      </c>
      <c r="I1134" s="24" t="s">
        <v>506</v>
      </c>
      <c r="J1134" s="25" t="s">
        <v>246</v>
      </c>
      <c r="K1134" s="25" t="s">
        <v>3104</v>
      </c>
      <c r="L1134" s="25" t="s">
        <v>3105</v>
      </c>
      <c r="M1134" s="25" t="s">
        <v>31</v>
      </c>
      <c r="N1134" s="25" t="s">
        <v>31</v>
      </c>
      <c r="O1134" s="25" t="s">
        <v>92</v>
      </c>
      <c r="P1134" s="25" t="s">
        <v>83</v>
      </c>
      <c r="Q1134" s="25" t="s">
        <v>82</v>
      </c>
      <c r="R1134" s="25" t="s">
        <v>91</v>
      </c>
      <c r="S1134" s="25" t="s">
        <v>96</v>
      </c>
      <c r="T1134" s="25" t="s">
        <v>96</v>
      </c>
      <c r="U1134" s="25" t="s">
        <v>95</v>
      </c>
      <c r="V1134" s="25" t="s">
        <v>223</v>
      </c>
      <c r="W1134" s="25" t="s">
        <v>553</v>
      </c>
      <c r="X1134" s="25" t="s">
        <v>1752</v>
      </c>
      <c r="Y1134" s="25" t="s">
        <v>1753</v>
      </c>
      <c r="Z1134" s="26">
        <v>40240</v>
      </c>
      <c r="AA1134" s="776">
        <v>0</v>
      </c>
      <c r="AB1134" s="776">
        <v>52.6</v>
      </c>
      <c r="AC1134" s="776">
        <v>0</v>
      </c>
      <c r="AD1134" s="776">
        <v>0</v>
      </c>
      <c r="AE1134" s="777">
        <v>0</v>
      </c>
      <c r="AF1134" s="777">
        <v>18.41</v>
      </c>
      <c r="AG1134" s="778">
        <v>19.183989255712408</v>
      </c>
    </row>
    <row r="1135" spans="1:33" x14ac:dyDescent="0.2">
      <c r="A1135" s="15">
        <f t="shared" si="143"/>
        <v>2010</v>
      </c>
      <c r="B1135" s="14">
        <f t="shared" si="144"/>
        <v>3</v>
      </c>
      <c r="C1135" s="13" t="str">
        <f t="shared" si="145"/>
        <v>Q1</v>
      </c>
      <c r="D1135" s="13" t="str">
        <f t="shared" si="146"/>
        <v>2010Q1</v>
      </c>
      <c r="E1135" s="13" t="str">
        <f t="shared" si="147"/>
        <v>Brazil</v>
      </c>
      <c r="F1135" s="13" t="str">
        <f t="shared" si="150"/>
        <v>Biofuels</v>
      </c>
      <c r="G1135" s="13" t="str">
        <f t="shared" si="149"/>
        <v>Asset finance investments</v>
      </c>
      <c r="H1135" s="638">
        <f t="shared" si="148"/>
        <v>14.171768271465984</v>
      </c>
      <c r="I1135" s="24" t="s">
        <v>506</v>
      </c>
      <c r="J1135" s="25" t="s">
        <v>246</v>
      </c>
      <c r="K1135" s="25" t="s">
        <v>3106</v>
      </c>
      <c r="L1135" s="25" t="s">
        <v>856</v>
      </c>
      <c r="M1135" s="25" t="s">
        <v>31</v>
      </c>
      <c r="N1135" s="25" t="s">
        <v>31</v>
      </c>
      <c r="O1135" s="25" t="s">
        <v>92</v>
      </c>
      <c r="P1135" s="25" t="s">
        <v>83</v>
      </c>
      <c r="Q1135" s="25" t="s">
        <v>82</v>
      </c>
      <c r="R1135" s="25" t="s">
        <v>91</v>
      </c>
      <c r="S1135" s="25" t="s">
        <v>96</v>
      </c>
      <c r="T1135" s="25" t="s">
        <v>96</v>
      </c>
      <c r="U1135" s="25" t="s">
        <v>95</v>
      </c>
      <c r="V1135" s="25" t="s">
        <v>223</v>
      </c>
      <c r="W1135" s="25" t="s">
        <v>553</v>
      </c>
      <c r="X1135" s="25" t="s">
        <v>1752</v>
      </c>
      <c r="Y1135" s="25" t="s">
        <v>1753</v>
      </c>
      <c r="Z1135" s="26">
        <v>40268</v>
      </c>
      <c r="AA1135" s="776">
        <v>0</v>
      </c>
      <c r="AB1135" s="776">
        <v>108</v>
      </c>
      <c r="AC1135" s="776">
        <v>0</v>
      </c>
      <c r="AD1135" s="776">
        <v>0</v>
      </c>
      <c r="AE1135" s="777">
        <v>13.6</v>
      </c>
      <c r="AF1135" s="777">
        <v>13.6</v>
      </c>
      <c r="AG1135" s="778">
        <v>14.171768271465984</v>
      </c>
    </row>
    <row r="1136" spans="1:33" x14ac:dyDescent="0.2">
      <c r="A1136" s="15">
        <f t="shared" si="143"/>
        <v>2010</v>
      </c>
      <c r="B1136" s="14">
        <f t="shared" si="144"/>
        <v>3</v>
      </c>
      <c r="C1136" s="13" t="str">
        <f t="shared" si="145"/>
        <v>Q1</v>
      </c>
      <c r="D1136" s="13" t="str">
        <f t="shared" si="146"/>
        <v>2010Q1</v>
      </c>
      <c r="E1136" s="13" t="str">
        <f t="shared" si="147"/>
        <v>Argentina</v>
      </c>
      <c r="F1136" s="13" t="str">
        <f t="shared" si="150"/>
        <v>Solar</v>
      </c>
      <c r="G1136" s="13" t="str">
        <f t="shared" si="149"/>
        <v>Asset finance investments</v>
      </c>
      <c r="H1136" s="638">
        <f t="shared" si="148"/>
        <v>10.941438738999475</v>
      </c>
      <c r="I1136" s="24" t="s">
        <v>506</v>
      </c>
      <c r="J1136" s="25" t="s">
        <v>246</v>
      </c>
      <c r="K1136" s="25" t="s">
        <v>3107</v>
      </c>
      <c r="L1136" s="25" t="s">
        <v>832</v>
      </c>
      <c r="M1136" s="25" t="s">
        <v>4</v>
      </c>
      <c r="N1136" s="25" t="s">
        <v>85</v>
      </c>
      <c r="O1136" s="25" t="s">
        <v>92</v>
      </c>
      <c r="P1136" s="25" t="s">
        <v>83</v>
      </c>
      <c r="Q1136" s="25" t="s">
        <v>82</v>
      </c>
      <c r="R1136" s="25"/>
      <c r="S1136" s="25" t="s">
        <v>80</v>
      </c>
      <c r="T1136" s="25" t="s">
        <v>80</v>
      </c>
      <c r="U1136" s="25" t="s">
        <v>181</v>
      </c>
      <c r="V1136" s="25" t="s">
        <v>232</v>
      </c>
      <c r="W1136" s="25" t="s">
        <v>553</v>
      </c>
      <c r="X1136" s="25" t="s">
        <v>1752</v>
      </c>
      <c r="Y1136" s="25" t="s">
        <v>1753</v>
      </c>
      <c r="Z1136" s="26">
        <v>40242</v>
      </c>
      <c r="AA1136" s="776">
        <v>1.2</v>
      </c>
      <c r="AB1136" s="776">
        <v>0</v>
      </c>
      <c r="AC1136" s="776">
        <v>0</v>
      </c>
      <c r="AD1136" s="776">
        <v>0</v>
      </c>
      <c r="AE1136" s="777">
        <v>10.5</v>
      </c>
      <c r="AF1136" s="777">
        <v>10.5</v>
      </c>
      <c r="AG1136" s="778">
        <v>10.941438738999475</v>
      </c>
    </row>
    <row r="1137" spans="1:33" x14ac:dyDescent="0.2">
      <c r="A1137" s="15">
        <f t="shared" si="143"/>
        <v>2010</v>
      </c>
      <c r="B1137" s="14">
        <f t="shared" si="144"/>
        <v>1</v>
      </c>
      <c r="C1137" s="13" t="str">
        <f t="shared" si="145"/>
        <v>Q1</v>
      </c>
      <c r="D1137" s="13" t="str">
        <f t="shared" si="146"/>
        <v>2010Q1</v>
      </c>
      <c r="E1137" s="13" t="str">
        <f t="shared" si="147"/>
        <v>Panama</v>
      </c>
      <c r="F1137" s="13" t="str">
        <f t="shared" si="150"/>
        <v>Small Hydro</v>
      </c>
      <c r="G1137" s="13" t="str">
        <f t="shared" si="149"/>
        <v>Asset finance investments</v>
      </c>
      <c r="H1137" s="638">
        <f t="shared" si="148"/>
        <v>10.420417846666165</v>
      </c>
      <c r="I1137" s="24" t="s">
        <v>506</v>
      </c>
      <c r="J1137" s="25" t="s">
        <v>246</v>
      </c>
      <c r="K1137" s="25" t="s">
        <v>3108</v>
      </c>
      <c r="L1137" s="25" t="s">
        <v>607</v>
      </c>
      <c r="M1137" s="25" t="s">
        <v>19</v>
      </c>
      <c r="N1137" s="25" t="s">
        <v>85</v>
      </c>
      <c r="O1137" s="25" t="s">
        <v>92</v>
      </c>
      <c r="P1137" s="25" t="s">
        <v>83</v>
      </c>
      <c r="Q1137" s="25" t="s">
        <v>82</v>
      </c>
      <c r="R1137" s="25"/>
      <c r="S1137" s="25" t="s">
        <v>126</v>
      </c>
      <c r="T1137" s="25" t="s">
        <v>125</v>
      </c>
      <c r="U1137" s="25" t="s">
        <v>247</v>
      </c>
      <c r="V1137" s="25">
        <v>0</v>
      </c>
      <c r="W1137" s="25" t="s">
        <v>553</v>
      </c>
      <c r="X1137" s="25" t="s">
        <v>1752</v>
      </c>
      <c r="Y1137" s="25" t="s">
        <v>1753</v>
      </c>
      <c r="Z1137" s="26">
        <v>40196</v>
      </c>
      <c r="AA1137" s="776">
        <v>5</v>
      </c>
      <c r="AB1137" s="776">
        <v>0</v>
      </c>
      <c r="AC1137" s="776">
        <v>0</v>
      </c>
      <c r="AD1137" s="776">
        <v>0</v>
      </c>
      <c r="AE1137" s="777">
        <v>10</v>
      </c>
      <c r="AF1137" s="777">
        <v>10</v>
      </c>
      <c r="AG1137" s="778">
        <v>10.420417846666165</v>
      </c>
    </row>
    <row r="1138" spans="1:33" x14ac:dyDescent="0.2">
      <c r="A1138" s="15">
        <f t="shared" si="143"/>
        <v>2010</v>
      </c>
      <c r="B1138" s="14">
        <f t="shared" si="144"/>
        <v>1</v>
      </c>
      <c r="C1138" s="13" t="str">
        <f t="shared" si="145"/>
        <v>Q1</v>
      </c>
      <c r="D1138" s="13" t="str">
        <f t="shared" si="146"/>
        <v>2010Q1</v>
      </c>
      <c r="E1138" s="13" t="str">
        <f t="shared" si="147"/>
        <v>Uruguay</v>
      </c>
      <c r="F1138" s="13" t="str">
        <f t="shared" si="150"/>
        <v>Biomass &amp; Waste</v>
      </c>
      <c r="G1138" s="13" t="str">
        <f t="shared" si="149"/>
        <v>Asset finance investments</v>
      </c>
      <c r="H1138" s="638">
        <f t="shared" si="148"/>
        <v>10.316213668199504</v>
      </c>
      <c r="I1138" s="24" t="s">
        <v>506</v>
      </c>
      <c r="J1138" s="25" t="s">
        <v>246</v>
      </c>
      <c r="K1138" s="25" t="s">
        <v>3109</v>
      </c>
      <c r="L1138" s="25" t="s">
        <v>3110</v>
      </c>
      <c r="M1138" s="25" t="s">
        <v>22</v>
      </c>
      <c r="N1138" s="25" t="s">
        <v>85</v>
      </c>
      <c r="O1138" s="25" t="s">
        <v>92</v>
      </c>
      <c r="P1138" s="25" t="s">
        <v>83</v>
      </c>
      <c r="Q1138" s="25" t="s">
        <v>82</v>
      </c>
      <c r="R1138" s="25"/>
      <c r="S1138" s="25" t="s">
        <v>114</v>
      </c>
      <c r="T1138" s="25" t="s">
        <v>114</v>
      </c>
      <c r="U1138" s="25" t="s">
        <v>113</v>
      </c>
      <c r="V1138" s="25" t="s">
        <v>347</v>
      </c>
      <c r="W1138" s="25" t="s">
        <v>553</v>
      </c>
      <c r="X1138" s="25" t="s">
        <v>1752</v>
      </c>
      <c r="Y1138" s="25" t="s">
        <v>1753</v>
      </c>
      <c r="Z1138" s="26">
        <v>40190</v>
      </c>
      <c r="AA1138" s="776">
        <v>7.5</v>
      </c>
      <c r="AB1138" s="776">
        <v>0</v>
      </c>
      <c r="AC1138" s="776">
        <v>0</v>
      </c>
      <c r="AD1138" s="776">
        <v>0</v>
      </c>
      <c r="AE1138" s="777">
        <v>9.9</v>
      </c>
      <c r="AF1138" s="777">
        <v>9.9</v>
      </c>
      <c r="AG1138" s="778">
        <v>10.316213668199504</v>
      </c>
    </row>
    <row r="1139" spans="1:33" x14ac:dyDescent="0.2">
      <c r="A1139" s="15">
        <f t="shared" si="143"/>
        <v>2010</v>
      </c>
      <c r="B1139" s="14">
        <f t="shared" si="144"/>
        <v>1</v>
      </c>
      <c r="C1139" s="13" t="str">
        <f t="shared" si="145"/>
        <v>Q1</v>
      </c>
      <c r="D1139" s="13" t="str">
        <f t="shared" si="146"/>
        <v>2010Q1</v>
      </c>
      <c r="E1139" s="13" t="str">
        <f t="shared" si="147"/>
        <v>Brazil</v>
      </c>
      <c r="F1139" s="13" t="str">
        <f t="shared" si="150"/>
        <v>Small Hydro</v>
      </c>
      <c r="G1139" s="13" t="str">
        <f t="shared" si="149"/>
        <v>Asset finance investments</v>
      </c>
      <c r="H1139" s="638">
        <f t="shared" si="148"/>
        <v>10.316213668199504</v>
      </c>
      <c r="I1139" s="24" t="s">
        <v>506</v>
      </c>
      <c r="J1139" s="25" t="s">
        <v>246</v>
      </c>
      <c r="K1139" s="25" t="s">
        <v>3111</v>
      </c>
      <c r="L1139" s="25" t="s">
        <v>853</v>
      </c>
      <c r="M1139" s="25" t="s">
        <v>31</v>
      </c>
      <c r="N1139" s="25" t="s">
        <v>31</v>
      </c>
      <c r="O1139" s="25" t="s">
        <v>92</v>
      </c>
      <c r="P1139" s="25" t="s">
        <v>83</v>
      </c>
      <c r="Q1139" s="25" t="s">
        <v>82</v>
      </c>
      <c r="R1139" s="25" t="s">
        <v>91</v>
      </c>
      <c r="S1139" s="25" t="s">
        <v>126</v>
      </c>
      <c r="T1139" s="25" t="s">
        <v>125</v>
      </c>
      <c r="U1139" s="25" t="s">
        <v>247</v>
      </c>
      <c r="V1139" s="25">
        <v>0</v>
      </c>
      <c r="W1139" s="25" t="s">
        <v>553</v>
      </c>
      <c r="X1139" s="25" t="s">
        <v>1749</v>
      </c>
      <c r="Y1139" s="25" t="s">
        <v>1750</v>
      </c>
      <c r="Z1139" s="26">
        <v>40207</v>
      </c>
      <c r="AA1139" s="776">
        <v>4.3</v>
      </c>
      <c r="AB1139" s="776">
        <v>0</v>
      </c>
      <c r="AC1139" s="776">
        <v>0</v>
      </c>
      <c r="AD1139" s="776">
        <v>0</v>
      </c>
      <c r="AE1139" s="777">
        <v>9.9</v>
      </c>
      <c r="AF1139" s="777">
        <v>9.9</v>
      </c>
      <c r="AG1139" s="778">
        <v>10.316213668199504</v>
      </c>
    </row>
    <row r="1140" spans="1:33" x14ac:dyDescent="0.2">
      <c r="A1140" s="15">
        <f t="shared" si="143"/>
        <v>2010</v>
      </c>
      <c r="B1140" s="14">
        <f t="shared" si="144"/>
        <v>1</v>
      </c>
      <c r="C1140" s="13" t="str">
        <f t="shared" si="145"/>
        <v>Q1</v>
      </c>
      <c r="D1140" s="13" t="str">
        <f t="shared" si="146"/>
        <v>2010Q1</v>
      </c>
      <c r="E1140" s="13" t="str">
        <f t="shared" si="147"/>
        <v>Brazil</v>
      </c>
      <c r="F1140" s="13" t="str">
        <f t="shared" si="150"/>
        <v>Other Clean Energy</v>
      </c>
      <c r="G1140" s="13" t="str">
        <f t="shared" si="149"/>
        <v>Asset finance investments</v>
      </c>
      <c r="H1140" s="638">
        <f t="shared" si="148"/>
        <v>8.4405384557995937</v>
      </c>
      <c r="I1140" s="24" t="s">
        <v>506</v>
      </c>
      <c r="J1140" s="25" t="s">
        <v>246</v>
      </c>
      <c r="K1140" s="25" t="s">
        <v>3112</v>
      </c>
      <c r="L1140" s="25" t="s">
        <v>917</v>
      </c>
      <c r="M1140" s="25" t="s">
        <v>31</v>
      </c>
      <c r="N1140" s="25" t="s">
        <v>31</v>
      </c>
      <c r="O1140" s="25" t="s">
        <v>92</v>
      </c>
      <c r="P1140" s="25" t="s">
        <v>83</v>
      </c>
      <c r="Q1140" s="25" t="s">
        <v>82</v>
      </c>
      <c r="R1140" s="25" t="s">
        <v>91</v>
      </c>
      <c r="S1140" s="25" t="s">
        <v>916</v>
      </c>
      <c r="T1140" s="25" t="s">
        <v>916</v>
      </c>
      <c r="U1140" s="25" t="s">
        <v>915</v>
      </c>
      <c r="V1140" s="25">
        <v>0</v>
      </c>
      <c r="W1140" s="25" t="s">
        <v>553</v>
      </c>
      <c r="X1140" s="25" t="s">
        <v>1752</v>
      </c>
      <c r="Y1140" s="25" t="s">
        <v>1753</v>
      </c>
      <c r="Z1140" s="26">
        <v>40205</v>
      </c>
      <c r="AA1140" s="776">
        <v>0.1</v>
      </c>
      <c r="AB1140" s="776">
        <v>0</v>
      </c>
      <c r="AC1140" s="776">
        <v>0</v>
      </c>
      <c r="AD1140" s="776">
        <v>0</v>
      </c>
      <c r="AE1140" s="777">
        <v>8.1</v>
      </c>
      <c r="AF1140" s="777">
        <v>8.1</v>
      </c>
      <c r="AG1140" s="778">
        <v>8.4405384557995937</v>
      </c>
    </row>
    <row r="1141" spans="1:33" x14ac:dyDescent="0.2">
      <c r="A1141" s="15">
        <f t="shared" si="143"/>
        <v>2010</v>
      </c>
      <c r="B1141" s="14">
        <f t="shared" si="144"/>
        <v>1</v>
      </c>
      <c r="C1141" s="13" t="str">
        <f t="shared" si="145"/>
        <v>Q1</v>
      </c>
      <c r="D1141" s="13" t="str">
        <f t="shared" si="146"/>
        <v>2010Q1</v>
      </c>
      <c r="E1141" s="13" t="str">
        <f t="shared" si="147"/>
        <v>Brazil</v>
      </c>
      <c r="F1141" s="13" t="str">
        <f t="shared" si="150"/>
        <v>Biofuels</v>
      </c>
      <c r="G1141" s="13" t="str">
        <f t="shared" si="149"/>
        <v>Asset finance investments</v>
      </c>
      <c r="H1141" s="638">
        <f t="shared" si="148"/>
        <v>7.2942924926663162</v>
      </c>
      <c r="I1141" s="24" t="s">
        <v>506</v>
      </c>
      <c r="J1141" s="25" t="s">
        <v>246</v>
      </c>
      <c r="K1141" s="25" t="s">
        <v>3113</v>
      </c>
      <c r="L1141" s="25" t="s">
        <v>3114</v>
      </c>
      <c r="M1141" s="25" t="s">
        <v>31</v>
      </c>
      <c r="N1141" s="25" t="s">
        <v>31</v>
      </c>
      <c r="O1141" s="25" t="s">
        <v>92</v>
      </c>
      <c r="P1141" s="25" t="s">
        <v>83</v>
      </c>
      <c r="Q1141" s="25" t="s">
        <v>82</v>
      </c>
      <c r="R1141" s="25" t="s">
        <v>91</v>
      </c>
      <c r="S1141" s="25" t="s">
        <v>96</v>
      </c>
      <c r="T1141" s="25" t="s">
        <v>96</v>
      </c>
      <c r="U1141" s="25" t="s">
        <v>95</v>
      </c>
      <c r="V1141" s="25" t="s">
        <v>223</v>
      </c>
      <c r="W1141" s="25" t="s">
        <v>553</v>
      </c>
      <c r="X1141" s="25" t="s">
        <v>1752</v>
      </c>
      <c r="Y1141" s="25" t="s">
        <v>1753</v>
      </c>
      <c r="Z1141" s="26">
        <v>40190</v>
      </c>
      <c r="AA1141" s="776">
        <v>0</v>
      </c>
      <c r="AB1141" s="776">
        <v>36.9</v>
      </c>
      <c r="AC1141" s="776">
        <v>0</v>
      </c>
      <c r="AD1141" s="776">
        <v>0</v>
      </c>
      <c r="AE1141" s="777">
        <v>7</v>
      </c>
      <c r="AF1141" s="777">
        <v>7</v>
      </c>
      <c r="AG1141" s="778">
        <v>7.2942924926663162</v>
      </c>
    </row>
    <row r="1142" spans="1:33" x14ac:dyDescent="0.2">
      <c r="A1142" s="15">
        <f t="shared" si="143"/>
        <v>2010</v>
      </c>
      <c r="B1142" s="14">
        <f t="shared" si="144"/>
        <v>2</v>
      </c>
      <c r="C1142" s="13" t="str">
        <f t="shared" si="145"/>
        <v>Q1</v>
      </c>
      <c r="D1142" s="13" t="str">
        <f t="shared" si="146"/>
        <v>2010Q1</v>
      </c>
      <c r="E1142" s="13" t="str">
        <f t="shared" si="147"/>
        <v>Brazil</v>
      </c>
      <c r="F1142" s="13" t="str">
        <f t="shared" si="150"/>
        <v>Small Hydro</v>
      </c>
      <c r="G1142" s="13" t="str">
        <f t="shared" si="149"/>
        <v>Asset finance investments</v>
      </c>
      <c r="H1142" s="638">
        <f t="shared" si="148"/>
        <v>7.0337820464996614</v>
      </c>
      <c r="I1142" s="24" t="s">
        <v>506</v>
      </c>
      <c r="J1142" s="25" t="s">
        <v>246</v>
      </c>
      <c r="K1142" s="25" t="s">
        <v>3115</v>
      </c>
      <c r="L1142" s="25" t="s">
        <v>840</v>
      </c>
      <c r="M1142" s="25" t="s">
        <v>31</v>
      </c>
      <c r="N1142" s="25" t="s">
        <v>31</v>
      </c>
      <c r="O1142" s="25" t="s">
        <v>92</v>
      </c>
      <c r="P1142" s="25" t="s">
        <v>83</v>
      </c>
      <c r="Q1142" s="25" t="s">
        <v>82</v>
      </c>
      <c r="R1142" s="25" t="s">
        <v>91</v>
      </c>
      <c r="S1142" s="25" t="s">
        <v>126</v>
      </c>
      <c r="T1142" s="25" t="s">
        <v>125</v>
      </c>
      <c r="U1142" s="25" t="s">
        <v>247</v>
      </c>
      <c r="V1142" s="25">
        <v>0</v>
      </c>
      <c r="W1142" s="25" t="s">
        <v>553</v>
      </c>
      <c r="X1142" s="25" t="s">
        <v>1752</v>
      </c>
      <c r="Y1142" s="25" t="s">
        <v>1753</v>
      </c>
      <c r="Z1142" s="26">
        <v>40237</v>
      </c>
      <c r="AA1142" s="776">
        <v>2.7</v>
      </c>
      <c r="AB1142" s="776">
        <v>0</v>
      </c>
      <c r="AC1142" s="776">
        <v>0</v>
      </c>
      <c r="AD1142" s="776">
        <v>0</v>
      </c>
      <c r="AE1142" s="777">
        <v>0</v>
      </c>
      <c r="AF1142" s="777">
        <v>6.75</v>
      </c>
      <c r="AG1142" s="778">
        <v>7.0337820464996614</v>
      </c>
    </row>
    <row r="1143" spans="1:33" x14ac:dyDescent="0.2">
      <c r="A1143" s="15">
        <f t="shared" si="143"/>
        <v>2010</v>
      </c>
      <c r="B1143" s="14">
        <f t="shared" si="144"/>
        <v>1</v>
      </c>
      <c r="C1143" s="13" t="str">
        <f t="shared" si="145"/>
        <v>Q1</v>
      </c>
      <c r="D1143" s="13" t="str">
        <f t="shared" si="146"/>
        <v>2010Q1</v>
      </c>
      <c r="E1143" s="13" t="str">
        <f t="shared" si="147"/>
        <v>Mexico</v>
      </c>
      <c r="F1143" s="13" t="str">
        <f t="shared" si="150"/>
        <v>Biomass &amp; Waste</v>
      </c>
      <c r="G1143" s="13" t="str">
        <f t="shared" si="149"/>
        <v>Asset finance investments</v>
      </c>
      <c r="H1143" s="638">
        <f t="shared" si="148"/>
        <v>6.6690674218663464</v>
      </c>
      <c r="I1143" s="24" t="s">
        <v>506</v>
      </c>
      <c r="J1143" s="25" t="s">
        <v>246</v>
      </c>
      <c r="K1143" s="25" t="s">
        <v>3116</v>
      </c>
      <c r="L1143" s="25" t="s">
        <v>600</v>
      </c>
      <c r="M1143" s="25" t="s">
        <v>18</v>
      </c>
      <c r="N1143" s="25" t="s">
        <v>85</v>
      </c>
      <c r="O1143" s="25" t="s">
        <v>92</v>
      </c>
      <c r="P1143" s="25" t="s">
        <v>83</v>
      </c>
      <c r="Q1143" s="25" t="s">
        <v>129</v>
      </c>
      <c r="R1143" s="25"/>
      <c r="S1143" s="25" t="s">
        <v>114</v>
      </c>
      <c r="T1143" s="25" t="s">
        <v>114</v>
      </c>
      <c r="U1143" s="25" t="s">
        <v>113</v>
      </c>
      <c r="V1143" s="25">
        <v>0</v>
      </c>
      <c r="W1143" s="25" t="s">
        <v>553</v>
      </c>
      <c r="X1143" s="25" t="s">
        <v>1752</v>
      </c>
      <c r="Y1143" s="25" t="s">
        <v>1753</v>
      </c>
      <c r="Z1143" s="26">
        <v>40179</v>
      </c>
      <c r="AA1143" s="776">
        <v>3.2</v>
      </c>
      <c r="AB1143" s="776">
        <v>0</v>
      </c>
      <c r="AC1143" s="776">
        <v>0</v>
      </c>
      <c r="AD1143" s="776">
        <v>0</v>
      </c>
      <c r="AE1143" s="777">
        <v>0</v>
      </c>
      <c r="AF1143" s="777">
        <v>6.4</v>
      </c>
      <c r="AG1143" s="778">
        <v>6.6690674218663464</v>
      </c>
    </row>
    <row r="1144" spans="1:33" x14ac:dyDescent="0.2">
      <c r="A1144" s="15">
        <f t="shared" si="143"/>
        <v>2010</v>
      </c>
      <c r="B1144" s="14">
        <f t="shared" si="144"/>
        <v>3</v>
      </c>
      <c r="C1144" s="13" t="str">
        <f t="shared" si="145"/>
        <v>Q1</v>
      </c>
      <c r="D1144" s="13" t="str">
        <f t="shared" si="146"/>
        <v>2010Q1</v>
      </c>
      <c r="E1144" s="13" t="str">
        <f t="shared" si="147"/>
        <v>Brazil</v>
      </c>
      <c r="F1144" s="13" t="str">
        <f t="shared" si="150"/>
        <v>Solar</v>
      </c>
      <c r="G1144" s="13" t="str">
        <f t="shared" si="149"/>
        <v>Asset finance investments</v>
      </c>
      <c r="H1144" s="638">
        <f t="shared" si="148"/>
        <v>5.8354339941330524</v>
      </c>
      <c r="I1144" s="24" t="s">
        <v>506</v>
      </c>
      <c r="J1144" s="25" t="s">
        <v>246</v>
      </c>
      <c r="K1144" s="25" t="s">
        <v>3117</v>
      </c>
      <c r="L1144" s="25" t="s">
        <v>3118</v>
      </c>
      <c r="M1144" s="25" t="s">
        <v>31</v>
      </c>
      <c r="N1144" s="25" t="s">
        <v>31</v>
      </c>
      <c r="O1144" s="25" t="s">
        <v>92</v>
      </c>
      <c r="P1144" s="25" t="s">
        <v>83</v>
      </c>
      <c r="Q1144" s="25" t="s">
        <v>82</v>
      </c>
      <c r="R1144" s="25" t="s">
        <v>91</v>
      </c>
      <c r="S1144" s="25" t="s">
        <v>80</v>
      </c>
      <c r="T1144" s="25" t="s">
        <v>80</v>
      </c>
      <c r="U1144" s="25" t="s">
        <v>181</v>
      </c>
      <c r="V1144" s="25" t="s">
        <v>232</v>
      </c>
      <c r="W1144" s="25" t="s">
        <v>553</v>
      </c>
      <c r="X1144" s="25" t="s">
        <v>1752</v>
      </c>
      <c r="Y1144" s="25" t="s">
        <v>1753</v>
      </c>
      <c r="Z1144" s="26">
        <v>40246</v>
      </c>
      <c r="AA1144" s="776">
        <v>1</v>
      </c>
      <c r="AB1144" s="776">
        <v>0</v>
      </c>
      <c r="AC1144" s="776">
        <v>0</v>
      </c>
      <c r="AD1144" s="776">
        <v>0</v>
      </c>
      <c r="AE1144" s="777">
        <v>5.6</v>
      </c>
      <c r="AF1144" s="777">
        <v>5.6</v>
      </c>
      <c r="AG1144" s="778">
        <v>5.8354339941330524</v>
      </c>
    </row>
    <row r="1145" spans="1:33" x14ac:dyDescent="0.2">
      <c r="A1145" s="15">
        <f t="shared" si="143"/>
        <v>2010</v>
      </c>
      <c r="B1145" s="14">
        <f t="shared" si="144"/>
        <v>2</v>
      </c>
      <c r="C1145" s="13" t="str">
        <f t="shared" si="145"/>
        <v>Q1</v>
      </c>
      <c r="D1145" s="13" t="str">
        <f t="shared" si="146"/>
        <v>2010Q1</v>
      </c>
      <c r="E1145" s="13" t="str">
        <f t="shared" si="147"/>
        <v>Brazil</v>
      </c>
      <c r="F1145" s="13" t="str">
        <f t="shared" si="150"/>
        <v>Small Hydro</v>
      </c>
      <c r="G1145" s="13" t="str">
        <f t="shared" si="149"/>
        <v>Asset finance investments</v>
      </c>
      <c r="H1145" s="638">
        <f t="shared" si="148"/>
        <v>5.2102089233330826</v>
      </c>
      <c r="I1145" s="24" t="s">
        <v>506</v>
      </c>
      <c r="J1145" s="25" t="s">
        <v>246</v>
      </c>
      <c r="K1145" s="25" t="s">
        <v>3119</v>
      </c>
      <c r="L1145" s="25" t="s">
        <v>841</v>
      </c>
      <c r="M1145" s="25" t="s">
        <v>31</v>
      </c>
      <c r="N1145" s="25" t="s">
        <v>31</v>
      </c>
      <c r="O1145" s="25" t="s">
        <v>92</v>
      </c>
      <c r="P1145" s="25" t="s">
        <v>83</v>
      </c>
      <c r="Q1145" s="25" t="s">
        <v>82</v>
      </c>
      <c r="R1145" s="25" t="s">
        <v>91</v>
      </c>
      <c r="S1145" s="25" t="s">
        <v>126</v>
      </c>
      <c r="T1145" s="25" t="s">
        <v>125</v>
      </c>
      <c r="U1145" s="25" t="s">
        <v>247</v>
      </c>
      <c r="V1145" s="25">
        <v>0</v>
      </c>
      <c r="W1145" s="25" t="s">
        <v>553</v>
      </c>
      <c r="X1145" s="25" t="s">
        <v>1752</v>
      </c>
      <c r="Y1145" s="25" t="s">
        <v>1753</v>
      </c>
      <c r="Z1145" s="26">
        <v>40237</v>
      </c>
      <c r="AA1145" s="776">
        <v>2</v>
      </c>
      <c r="AB1145" s="776">
        <v>0</v>
      </c>
      <c r="AC1145" s="776">
        <v>0</v>
      </c>
      <c r="AD1145" s="776">
        <v>0</v>
      </c>
      <c r="AE1145" s="777">
        <v>0</v>
      </c>
      <c r="AF1145" s="777">
        <v>5</v>
      </c>
      <c r="AG1145" s="778">
        <v>5.2102089233330826</v>
      </c>
    </row>
    <row r="1146" spans="1:33" x14ac:dyDescent="0.2">
      <c r="A1146" s="15">
        <f t="shared" si="143"/>
        <v>2010</v>
      </c>
      <c r="B1146" s="14">
        <f t="shared" si="144"/>
        <v>1</v>
      </c>
      <c r="C1146" s="13" t="str">
        <f t="shared" si="145"/>
        <v>Q1</v>
      </c>
      <c r="D1146" s="13" t="str">
        <f t="shared" si="146"/>
        <v>2010Q1</v>
      </c>
      <c r="E1146" s="13" t="str">
        <f t="shared" si="147"/>
        <v>Brazil</v>
      </c>
      <c r="F1146" s="13" t="str">
        <f t="shared" si="150"/>
        <v>Biomass &amp; Waste</v>
      </c>
      <c r="G1146" s="13" t="str">
        <f t="shared" si="149"/>
        <v>Asset finance investments</v>
      </c>
      <c r="H1146" s="638">
        <f t="shared" si="148"/>
        <v>3.7513504247998197</v>
      </c>
      <c r="I1146" s="24" t="s">
        <v>506</v>
      </c>
      <c r="J1146" s="25" t="s">
        <v>246</v>
      </c>
      <c r="K1146" s="25" t="s">
        <v>3120</v>
      </c>
      <c r="L1146" s="25" t="s">
        <v>854</v>
      </c>
      <c r="M1146" s="25" t="s">
        <v>31</v>
      </c>
      <c r="N1146" s="25" t="s">
        <v>31</v>
      </c>
      <c r="O1146" s="25" t="s">
        <v>92</v>
      </c>
      <c r="P1146" s="25" t="s">
        <v>83</v>
      </c>
      <c r="Q1146" s="25" t="s">
        <v>82</v>
      </c>
      <c r="R1146" s="25" t="s">
        <v>91</v>
      </c>
      <c r="S1146" s="25" t="s">
        <v>114</v>
      </c>
      <c r="T1146" s="25" t="s">
        <v>114</v>
      </c>
      <c r="U1146" s="25" t="s">
        <v>113</v>
      </c>
      <c r="V1146" s="25" t="s">
        <v>347</v>
      </c>
      <c r="W1146" s="25" t="s">
        <v>553</v>
      </c>
      <c r="X1146" s="25" t="s">
        <v>1752</v>
      </c>
      <c r="Y1146" s="25" t="s">
        <v>1753</v>
      </c>
      <c r="Z1146" s="26">
        <v>40205</v>
      </c>
      <c r="AA1146" s="776">
        <v>3.3</v>
      </c>
      <c r="AB1146" s="776">
        <v>0</v>
      </c>
      <c r="AC1146" s="776">
        <v>0</v>
      </c>
      <c r="AD1146" s="776">
        <v>0</v>
      </c>
      <c r="AE1146" s="777">
        <v>0</v>
      </c>
      <c r="AF1146" s="777">
        <v>3.6</v>
      </c>
      <c r="AG1146" s="778">
        <v>3.7513504247998197</v>
      </c>
    </row>
    <row r="1147" spans="1:33" x14ac:dyDescent="0.2">
      <c r="A1147" s="15">
        <f t="shared" si="143"/>
        <v>2010</v>
      </c>
      <c r="B1147" s="14">
        <f t="shared" si="144"/>
        <v>1</v>
      </c>
      <c r="C1147" s="13" t="str">
        <f t="shared" si="145"/>
        <v>Q1</v>
      </c>
      <c r="D1147" s="13" t="str">
        <f t="shared" si="146"/>
        <v>2010Q1</v>
      </c>
      <c r="E1147" s="13" t="str">
        <f t="shared" si="147"/>
        <v>Mexico</v>
      </c>
      <c r="F1147" s="13" t="str">
        <f t="shared" si="150"/>
        <v>Biomass &amp; Waste</v>
      </c>
      <c r="G1147" s="13" t="str">
        <f t="shared" si="149"/>
        <v>Asset finance investments</v>
      </c>
      <c r="H1147" s="638">
        <f t="shared" si="148"/>
        <v>3.3345337109331732</v>
      </c>
      <c r="I1147" s="24" t="s">
        <v>506</v>
      </c>
      <c r="J1147" s="25" t="s">
        <v>246</v>
      </c>
      <c r="K1147" s="25" t="s">
        <v>3121</v>
      </c>
      <c r="L1147" s="25" t="s">
        <v>599</v>
      </c>
      <c r="M1147" s="25" t="s">
        <v>18</v>
      </c>
      <c r="N1147" s="25" t="s">
        <v>85</v>
      </c>
      <c r="O1147" s="25" t="s">
        <v>92</v>
      </c>
      <c r="P1147" s="25" t="s">
        <v>83</v>
      </c>
      <c r="Q1147" s="25" t="s">
        <v>129</v>
      </c>
      <c r="R1147" s="25"/>
      <c r="S1147" s="25" t="s">
        <v>114</v>
      </c>
      <c r="T1147" s="25" t="s">
        <v>114</v>
      </c>
      <c r="U1147" s="25" t="s">
        <v>113</v>
      </c>
      <c r="V1147" s="25">
        <v>0</v>
      </c>
      <c r="W1147" s="25" t="s">
        <v>553</v>
      </c>
      <c r="X1147" s="25" t="s">
        <v>1752</v>
      </c>
      <c r="Y1147" s="25" t="s">
        <v>1753</v>
      </c>
      <c r="Z1147" s="26">
        <v>40179</v>
      </c>
      <c r="AA1147" s="776">
        <v>1.6</v>
      </c>
      <c r="AB1147" s="776">
        <v>0</v>
      </c>
      <c r="AC1147" s="776">
        <v>0</v>
      </c>
      <c r="AD1147" s="776">
        <v>0</v>
      </c>
      <c r="AE1147" s="777">
        <v>0</v>
      </c>
      <c r="AF1147" s="777">
        <v>3.2</v>
      </c>
      <c r="AG1147" s="778">
        <v>3.3345337109331732</v>
      </c>
    </row>
    <row r="1148" spans="1:33" x14ac:dyDescent="0.2">
      <c r="A1148" s="15">
        <f t="shared" si="143"/>
        <v>2010</v>
      </c>
      <c r="B1148" s="14">
        <f t="shared" si="144"/>
        <v>3</v>
      </c>
      <c r="C1148" s="13" t="str">
        <f t="shared" si="145"/>
        <v>Q1</v>
      </c>
      <c r="D1148" s="13" t="str">
        <f t="shared" si="146"/>
        <v>2010Q1</v>
      </c>
      <c r="E1148" s="13" t="str">
        <f t="shared" si="147"/>
        <v>Peru</v>
      </c>
      <c r="F1148" s="13" t="str">
        <f t="shared" si="150"/>
        <v>Small Hydro</v>
      </c>
      <c r="G1148" s="13" t="str">
        <f t="shared" si="149"/>
        <v>Asset finance investments</v>
      </c>
      <c r="H1148" s="638">
        <f t="shared" si="148"/>
        <v>1.4057143675152657</v>
      </c>
      <c r="I1148" s="24" t="s">
        <v>506</v>
      </c>
      <c r="J1148" s="25" t="s">
        <v>246</v>
      </c>
      <c r="K1148" s="25" t="s">
        <v>3122</v>
      </c>
      <c r="L1148" s="25" t="s">
        <v>721</v>
      </c>
      <c r="M1148" s="25" t="s">
        <v>20</v>
      </c>
      <c r="N1148" s="25" t="s">
        <v>85</v>
      </c>
      <c r="O1148" s="25" t="s">
        <v>92</v>
      </c>
      <c r="P1148" s="25" t="s">
        <v>83</v>
      </c>
      <c r="Q1148" s="25" t="s">
        <v>82</v>
      </c>
      <c r="R1148" s="25"/>
      <c r="S1148" s="25" t="s">
        <v>126</v>
      </c>
      <c r="T1148" s="25" t="s">
        <v>125</v>
      </c>
      <c r="U1148" s="25" t="s">
        <v>247</v>
      </c>
      <c r="V1148" s="25">
        <v>0</v>
      </c>
      <c r="W1148" s="25" t="s">
        <v>553</v>
      </c>
      <c r="X1148" s="25" t="s">
        <v>1752</v>
      </c>
      <c r="Y1148" s="25" t="s">
        <v>1753</v>
      </c>
      <c r="Z1148" s="26">
        <v>40268</v>
      </c>
      <c r="AA1148" s="776">
        <v>1.8</v>
      </c>
      <c r="AB1148" s="776">
        <v>0</v>
      </c>
      <c r="AC1148" s="776">
        <v>0</v>
      </c>
      <c r="AD1148" s="776">
        <v>0</v>
      </c>
      <c r="AE1148" s="777">
        <v>1.349</v>
      </c>
      <c r="AF1148" s="777">
        <v>1.349</v>
      </c>
      <c r="AG1148" s="778">
        <v>1.4057143675152657</v>
      </c>
    </row>
    <row r="1149" spans="1:33" x14ac:dyDescent="0.2">
      <c r="A1149" s="15">
        <f t="shared" si="143"/>
        <v>2010</v>
      </c>
      <c r="B1149" s="14">
        <f t="shared" si="144"/>
        <v>3</v>
      </c>
      <c r="C1149" s="13" t="str">
        <f t="shared" si="145"/>
        <v>Q1</v>
      </c>
      <c r="D1149" s="13" t="str">
        <f t="shared" si="146"/>
        <v>2010Q1</v>
      </c>
      <c r="E1149" s="13" t="str">
        <f t="shared" si="147"/>
        <v>Brazil</v>
      </c>
      <c r="F1149" s="13" t="str">
        <f t="shared" si="150"/>
        <v>Biomass &amp; Waste</v>
      </c>
      <c r="G1149" s="13" t="str">
        <f t="shared" si="149"/>
        <v>Asset finance investments</v>
      </c>
      <c r="H1149" s="638">
        <f t="shared" si="148"/>
        <v>1.1462459631332784</v>
      </c>
      <c r="I1149" s="24" t="s">
        <v>506</v>
      </c>
      <c r="J1149" s="25" t="s">
        <v>246</v>
      </c>
      <c r="K1149" s="25" t="s">
        <v>3123</v>
      </c>
      <c r="L1149" s="25" t="s">
        <v>918</v>
      </c>
      <c r="M1149" s="25" t="s">
        <v>31</v>
      </c>
      <c r="N1149" s="25" t="s">
        <v>31</v>
      </c>
      <c r="O1149" s="25" t="s">
        <v>92</v>
      </c>
      <c r="P1149" s="25" t="s">
        <v>83</v>
      </c>
      <c r="Q1149" s="25" t="s">
        <v>82</v>
      </c>
      <c r="R1149" s="25" t="s">
        <v>91</v>
      </c>
      <c r="S1149" s="25" t="s">
        <v>114</v>
      </c>
      <c r="T1149" s="25" t="s">
        <v>114</v>
      </c>
      <c r="U1149" s="25" t="s">
        <v>113</v>
      </c>
      <c r="V1149" s="25" t="s">
        <v>685</v>
      </c>
      <c r="W1149" s="25" t="s">
        <v>553</v>
      </c>
      <c r="X1149" s="25" t="s">
        <v>1752</v>
      </c>
      <c r="Y1149" s="25" t="s">
        <v>1753</v>
      </c>
      <c r="Z1149" s="26">
        <v>40248</v>
      </c>
      <c r="AA1149" s="776">
        <v>1.48</v>
      </c>
      <c r="AB1149" s="776">
        <v>0</v>
      </c>
      <c r="AC1149" s="776">
        <v>0</v>
      </c>
      <c r="AD1149" s="776">
        <v>0</v>
      </c>
      <c r="AE1149" s="777">
        <v>1.1000000000000001</v>
      </c>
      <c r="AF1149" s="777">
        <v>1.1000000000000001</v>
      </c>
      <c r="AG1149" s="778">
        <v>1.1462459631332784</v>
      </c>
    </row>
    <row r="1150" spans="1:33" x14ac:dyDescent="0.2">
      <c r="A1150" s="15">
        <f t="shared" si="143"/>
        <v>2009</v>
      </c>
      <c r="B1150" s="14">
        <f t="shared" si="144"/>
        <v>1</v>
      </c>
      <c r="C1150" s="13" t="str">
        <f t="shared" si="145"/>
        <v>Q1</v>
      </c>
      <c r="D1150" s="13" t="str">
        <f t="shared" si="146"/>
        <v>2009Q1</v>
      </c>
      <c r="E1150" s="13" t="str">
        <f t="shared" si="147"/>
        <v>Brazil</v>
      </c>
      <c r="F1150" s="13" t="str">
        <f t="shared" si="150"/>
        <v>Biofuels</v>
      </c>
      <c r="G1150" s="13" t="str">
        <f t="shared" si="149"/>
        <v>Asset finance investments</v>
      </c>
      <c r="H1150" s="638">
        <f t="shared" si="148"/>
        <v>295.36</v>
      </c>
      <c r="I1150" s="24" t="s">
        <v>506</v>
      </c>
      <c r="J1150" s="25" t="s">
        <v>246</v>
      </c>
      <c r="K1150" s="25" t="s">
        <v>3124</v>
      </c>
      <c r="L1150" s="25" t="s">
        <v>3125</v>
      </c>
      <c r="M1150" s="25" t="s">
        <v>31</v>
      </c>
      <c r="N1150" s="25" t="s">
        <v>31</v>
      </c>
      <c r="O1150" s="25" t="s">
        <v>92</v>
      </c>
      <c r="P1150" s="25" t="s">
        <v>83</v>
      </c>
      <c r="Q1150" s="25" t="s">
        <v>82</v>
      </c>
      <c r="R1150" s="25" t="s">
        <v>91</v>
      </c>
      <c r="S1150" s="25" t="s">
        <v>96</v>
      </c>
      <c r="T1150" s="25" t="s">
        <v>96</v>
      </c>
      <c r="U1150" s="25" t="s">
        <v>98</v>
      </c>
      <c r="V1150" s="25" t="s">
        <v>230</v>
      </c>
      <c r="W1150" s="25" t="s">
        <v>553</v>
      </c>
      <c r="X1150" s="25" t="s">
        <v>1749</v>
      </c>
      <c r="Y1150" s="25" t="s">
        <v>1750</v>
      </c>
      <c r="Z1150" s="26">
        <v>39839</v>
      </c>
      <c r="AA1150" s="776">
        <v>90</v>
      </c>
      <c r="AB1150" s="776">
        <v>259</v>
      </c>
      <c r="AC1150" s="776">
        <v>0</v>
      </c>
      <c r="AD1150" s="776">
        <v>0</v>
      </c>
      <c r="AE1150" s="777">
        <v>284</v>
      </c>
      <c r="AF1150" s="777">
        <v>284</v>
      </c>
      <c r="AG1150" s="778">
        <v>295.36</v>
      </c>
    </row>
    <row r="1151" spans="1:33" x14ac:dyDescent="0.2">
      <c r="A1151" s="15">
        <f t="shared" si="143"/>
        <v>2009</v>
      </c>
      <c r="B1151" s="14">
        <f t="shared" si="144"/>
        <v>2</v>
      </c>
      <c r="C1151" s="13" t="str">
        <f t="shared" si="145"/>
        <v>Q1</v>
      </c>
      <c r="D1151" s="13" t="str">
        <f t="shared" si="146"/>
        <v>2009Q1</v>
      </c>
      <c r="E1151" s="13" t="str">
        <f t="shared" si="147"/>
        <v>Peru</v>
      </c>
      <c r="F1151" s="13" t="str">
        <f t="shared" si="150"/>
        <v>Biofuels</v>
      </c>
      <c r="G1151" s="13" t="str">
        <f t="shared" si="149"/>
        <v>Asset finance investments</v>
      </c>
      <c r="H1151" s="638">
        <f t="shared" si="148"/>
        <v>192.4</v>
      </c>
      <c r="I1151" s="24" t="s">
        <v>506</v>
      </c>
      <c r="J1151" s="25" t="s">
        <v>246</v>
      </c>
      <c r="K1151" s="25" t="s">
        <v>3126</v>
      </c>
      <c r="L1151" s="25" t="s">
        <v>979</v>
      </c>
      <c r="M1151" s="25" t="s">
        <v>20</v>
      </c>
      <c r="N1151" s="25" t="s">
        <v>85</v>
      </c>
      <c r="O1151" s="25" t="s">
        <v>92</v>
      </c>
      <c r="P1151" s="25" t="s">
        <v>83</v>
      </c>
      <c r="Q1151" s="25" t="s">
        <v>82</v>
      </c>
      <c r="R1151" s="25"/>
      <c r="S1151" s="25" t="s">
        <v>96</v>
      </c>
      <c r="T1151" s="25" t="s">
        <v>96</v>
      </c>
      <c r="U1151" s="25" t="s">
        <v>98</v>
      </c>
      <c r="V1151" s="25" t="s">
        <v>230</v>
      </c>
      <c r="W1151" s="25" t="s">
        <v>553</v>
      </c>
      <c r="X1151" s="25" t="s">
        <v>1752</v>
      </c>
      <c r="Y1151" s="25" t="s">
        <v>1753</v>
      </c>
      <c r="Z1151" s="26">
        <v>39852</v>
      </c>
      <c r="AA1151" s="776">
        <v>0</v>
      </c>
      <c r="AB1151" s="776">
        <v>10</v>
      </c>
      <c r="AC1151" s="776">
        <v>0</v>
      </c>
      <c r="AD1151" s="776">
        <v>0</v>
      </c>
      <c r="AE1151" s="777">
        <v>185</v>
      </c>
      <c r="AF1151" s="777">
        <v>185</v>
      </c>
      <c r="AG1151" s="778">
        <v>192.4</v>
      </c>
    </row>
    <row r="1152" spans="1:33" x14ac:dyDescent="0.2">
      <c r="A1152" s="15">
        <f t="shared" si="143"/>
        <v>2009</v>
      </c>
      <c r="B1152" s="14">
        <f t="shared" si="144"/>
        <v>3</v>
      </c>
      <c r="C1152" s="13" t="str">
        <f t="shared" si="145"/>
        <v>Q1</v>
      </c>
      <c r="D1152" s="13" t="str">
        <f t="shared" si="146"/>
        <v>2009Q1</v>
      </c>
      <c r="E1152" s="13" t="str">
        <f t="shared" si="147"/>
        <v>Brazil</v>
      </c>
      <c r="F1152" s="13" t="str">
        <f t="shared" si="150"/>
        <v>Biofuels</v>
      </c>
      <c r="G1152" s="13" t="str">
        <f t="shared" si="149"/>
        <v>Asset finance investments</v>
      </c>
      <c r="H1152" s="638">
        <f t="shared" si="148"/>
        <v>175.76000000000002</v>
      </c>
      <c r="I1152" s="24" t="s">
        <v>506</v>
      </c>
      <c r="J1152" s="25" t="s">
        <v>246</v>
      </c>
      <c r="K1152" s="25" t="s">
        <v>3127</v>
      </c>
      <c r="L1152" s="25" t="s">
        <v>3128</v>
      </c>
      <c r="M1152" s="25" t="s">
        <v>31</v>
      </c>
      <c r="N1152" s="25" t="s">
        <v>31</v>
      </c>
      <c r="O1152" s="25" t="s">
        <v>92</v>
      </c>
      <c r="P1152" s="25" t="s">
        <v>83</v>
      </c>
      <c r="Q1152" s="25" t="s">
        <v>82</v>
      </c>
      <c r="R1152" s="25" t="s">
        <v>91</v>
      </c>
      <c r="S1152" s="25" t="s">
        <v>96</v>
      </c>
      <c r="T1152" s="25" t="s">
        <v>96</v>
      </c>
      <c r="U1152" s="25" t="s">
        <v>98</v>
      </c>
      <c r="V1152" s="25" t="s">
        <v>230</v>
      </c>
      <c r="W1152" s="25" t="s">
        <v>553</v>
      </c>
      <c r="X1152" s="25" t="s">
        <v>1752</v>
      </c>
      <c r="Y1152" s="25" t="s">
        <v>1753</v>
      </c>
      <c r="Z1152" s="26">
        <v>39903</v>
      </c>
      <c r="AA1152" s="776">
        <v>45</v>
      </c>
      <c r="AB1152" s="776">
        <v>160</v>
      </c>
      <c r="AC1152" s="776">
        <v>0</v>
      </c>
      <c r="AD1152" s="776">
        <v>0</v>
      </c>
      <c r="AE1152" s="777">
        <v>169</v>
      </c>
      <c r="AF1152" s="777">
        <v>169</v>
      </c>
      <c r="AG1152" s="778">
        <v>175.76000000000002</v>
      </c>
    </row>
    <row r="1153" spans="1:33" x14ac:dyDescent="0.2">
      <c r="A1153" s="15">
        <f t="shared" si="143"/>
        <v>2009</v>
      </c>
      <c r="B1153" s="14">
        <f t="shared" si="144"/>
        <v>1</v>
      </c>
      <c r="C1153" s="13" t="str">
        <f t="shared" si="145"/>
        <v>Q1</v>
      </c>
      <c r="D1153" s="13" t="str">
        <f t="shared" si="146"/>
        <v>2009Q1</v>
      </c>
      <c r="E1153" s="13" t="str">
        <f t="shared" si="147"/>
        <v>Costa Rica</v>
      </c>
      <c r="F1153" s="13" t="str">
        <f t="shared" si="150"/>
        <v>Geothermal</v>
      </c>
      <c r="G1153" s="13" t="str">
        <f t="shared" si="149"/>
        <v>Asset finance investments</v>
      </c>
      <c r="H1153" s="638">
        <f t="shared" si="148"/>
        <v>166.4</v>
      </c>
      <c r="I1153" s="24" t="s">
        <v>506</v>
      </c>
      <c r="J1153" s="25" t="s">
        <v>246</v>
      </c>
      <c r="K1153" s="25" t="s">
        <v>3129</v>
      </c>
      <c r="L1153" s="25" t="s">
        <v>1144</v>
      </c>
      <c r="M1153" s="25" t="s">
        <v>10</v>
      </c>
      <c r="N1153" s="25" t="s">
        <v>85</v>
      </c>
      <c r="O1153" s="25" t="s">
        <v>92</v>
      </c>
      <c r="P1153" s="25" t="s">
        <v>83</v>
      </c>
      <c r="Q1153" s="25" t="s">
        <v>82</v>
      </c>
      <c r="R1153" s="25"/>
      <c r="S1153" s="25" t="s">
        <v>157</v>
      </c>
      <c r="T1153" s="25" t="s">
        <v>157</v>
      </c>
      <c r="U1153" s="25" t="s">
        <v>156</v>
      </c>
      <c r="V1153" s="25" t="s">
        <v>252</v>
      </c>
      <c r="W1153" s="25" t="s">
        <v>553</v>
      </c>
      <c r="X1153" s="25" t="s">
        <v>1752</v>
      </c>
      <c r="Y1153" s="25" t="s">
        <v>1753</v>
      </c>
      <c r="Z1153" s="26">
        <v>39834</v>
      </c>
      <c r="AA1153" s="776">
        <v>42</v>
      </c>
      <c r="AB1153" s="776">
        <v>0</v>
      </c>
      <c r="AC1153" s="776">
        <v>0</v>
      </c>
      <c r="AD1153" s="776">
        <v>0</v>
      </c>
      <c r="AE1153" s="777">
        <v>0</v>
      </c>
      <c r="AF1153" s="777">
        <v>160</v>
      </c>
      <c r="AG1153" s="778">
        <v>166.4</v>
      </c>
    </row>
    <row r="1154" spans="1:33" x14ac:dyDescent="0.2">
      <c r="A1154" s="15">
        <f t="shared" si="143"/>
        <v>2009</v>
      </c>
      <c r="B1154" s="14">
        <f t="shared" si="144"/>
        <v>3</v>
      </c>
      <c r="C1154" s="13" t="str">
        <f t="shared" si="145"/>
        <v>Q1</v>
      </c>
      <c r="D1154" s="13" t="str">
        <f t="shared" si="146"/>
        <v>2009Q1</v>
      </c>
      <c r="E1154" s="13" t="str">
        <f t="shared" si="147"/>
        <v>Brazil</v>
      </c>
      <c r="F1154" s="13" t="str">
        <f t="shared" si="150"/>
        <v>Small Hydro</v>
      </c>
      <c r="G1154" s="13" t="str">
        <f t="shared" si="149"/>
        <v>Asset finance investments</v>
      </c>
      <c r="H1154" s="638">
        <f t="shared" si="148"/>
        <v>102.96000000000001</v>
      </c>
      <c r="I1154" s="24" t="s">
        <v>506</v>
      </c>
      <c r="J1154" s="25" t="s">
        <v>246</v>
      </c>
      <c r="K1154" s="25" t="s">
        <v>3130</v>
      </c>
      <c r="L1154" s="25" t="s">
        <v>992</v>
      </c>
      <c r="M1154" s="25" t="s">
        <v>31</v>
      </c>
      <c r="N1154" s="25" t="s">
        <v>31</v>
      </c>
      <c r="O1154" s="25" t="s">
        <v>92</v>
      </c>
      <c r="P1154" s="25" t="s">
        <v>83</v>
      </c>
      <c r="Q1154" s="25" t="s">
        <v>82</v>
      </c>
      <c r="R1154" s="25" t="s">
        <v>91</v>
      </c>
      <c r="S1154" s="25" t="s">
        <v>126</v>
      </c>
      <c r="T1154" s="25" t="s">
        <v>125</v>
      </c>
      <c r="U1154" s="25" t="s">
        <v>247</v>
      </c>
      <c r="V1154" s="25">
        <v>0</v>
      </c>
      <c r="W1154" s="25" t="s">
        <v>553</v>
      </c>
      <c r="X1154" s="25" t="s">
        <v>1749</v>
      </c>
      <c r="Y1154" s="25" t="s">
        <v>1750</v>
      </c>
      <c r="Z1154" s="26">
        <v>39875</v>
      </c>
      <c r="AA1154" s="776">
        <v>48.2</v>
      </c>
      <c r="AB1154" s="776">
        <v>0</v>
      </c>
      <c r="AC1154" s="776">
        <v>0</v>
      </c>
      <c r="AD1154" s="776">
        <v>0</v>
      </c>
      <c r="AE1154" s="777">
        <v>99</v>
      </c>
      <c r="AF1154" s="777">
        <v>99</v>
      </c>
      <c r="AG1154" s="778">
        <v>102.96000000000001</v>
      </c>
    </row>
    <row r="1155" spans="1:33" x14ac:dyDescent="0.2">
      <c r="A1155" s="15">
        <f t="shared" si="143"/>
        <v>2009</v>
      </c>
      <c r="B1155" s="14">
        <f t="shared" si="144"/>
        <v>1</v>
      </c>
      <c r="C1155" s="13" t="str">
        <f t="shared" si="145"/>
        <v>Q1</v>
      </c>
      <c r="D1155" s="13" t="str">
        <f t="shared" si="146"/>
        <v>2009Q1</v>
      </c>
      <c r="E1155" s="13" t="str">
        <f t="shared" si="147"/>
        <v>Chile</v>
      </c>
      <c r="F1155" s="13" t="str">
        <f t="shared" si="150"/>
        <v>Wind</v>
      </c>
      <c r="G1155" s="13" t="str">
        <f t="shared" si="149"/>
        <v>Asset finance investments</v>
      </c>
      <c r="H1155" s="638">
        <f t="shared" si="148"/>
        <v>72.8</v>
      </c>
      <c r="I1155" s="24" t="s">
        <v>506</v>
      </c>
      <c r="J1155" s="25" t="s">
        <v>246</v>
      </c>
      <c r="K1155" s="25" t="s">
        <v>3131</v>
      </c>
      <c r="L1155" s="25" t="s">
        <v>1142</v>
      </c>
      <c r="M1155" s="25" t="s">
        <v>8</v>
      </c>
      <c r="N1155" s="25" t="s">
        <v>85</v>
      </c>
      <c r="O1155" s="25" t="s">
        <v>92</v>
      </c>
      <c r="P1155" s="25" t="s">
        <v>83</v>
      </c>
      <c r="Q1155" s="25" t="s">
        <v>129</v>
      </c>
      <c r="R1155" s="25"/>
      <c r="S1155" s="25" t="s">
        <v>101</v>
      </c>
      <c r="T1155" s="25" t="s">
        <v>101</v>
      </c>
      <c r="U1155" s="25" t="s">
        <v>112</v>
      </c>
      <c r="V1155" s="25">
        <v>0</v>
      </c>
      <c r="W1155" s="25" t="s">
        <v>553</v>
      </c>
      <c r="X1155" s="25" t="s">
        <v>1752</v>
      </c>
      <c r="Y1155" s="25" t="s">
        <v>1753</v>
      </c>
      <c r="Z1155" s="26">
        <v>39826</v>
      </c>
      <c r="AA1155" s="776">
        <v>36</v>
      </c>
      <c r="AB1155" s="776">
        <v>0</v>
      </c>
      <c r="AC1155" s="776">
        <v>0</v>
      </c>
      <c r="AD1155" s="776">
        <v>0</v>
      </c>
      <c r="AE1155" s="777">
        <v>70</v>
      </c>
      <c r="AF1155" s="777">
        <v>70</v>
      </c>
      <c r="AG1155" s="778">
        <v>72.8</v>
      </c>
    </row>
    <row r="1156" spans="1:33" x14ac:dyDescent="0.2">
      <c r="A1156" s="15">
        <f t="shared" si="143"/>
        <v>2009</v>
      </c>
      <c r="B1156" s="14">
        <f t="shared" si="144"/>
        <v>3</v>
      </c>
      <c r="C1156" s="13" t="str">
        <f t="shared" si="145"/>
        <v>Q1</v>
      </c>
      <c r="D1156" s="13" t="str">
        <f t="shared" si="146"/>
        <v>2009Q1</v>
      </c>
      <c r="E1156" s="13" t="str">
        <f t="shared" si="147"/>
        <v>Brazil</v>
      </c>
      <c r="F1156" s="13" t="str">
        <f t="shared" si="150"/>
        <v>Biofuels</v>
      </c>
      <c r="G1156" s="13" t="str">
        <f t="shared" si="149"/>
        <v>VC/PE investments</v>
      </c>
      <c r="H1156" s="638">
        <f t="shared" si="148"/>
        <v>63.96</v>
      </c>
      <c r="I1156" s="24" t="s">
        <v>506</v>
      </c>
      <c r="J1156" s="25" t="s">
        <v>216</v>
      </c>
      <c r="K1156" s="25" t="s">
        <v>523</v>
      </c>
      <c r="L1156" s="25" t="s">
        <v>123</v>
      </c>
      <c r="M1156" s="25" t="s">
        <v>31</v>
      </c>
      <c r="N1156" s="25" t="s">
        <v>31</v>
      </c>
      <c r="O1156" s="25" t="s">
        <v>92</v>
      </c>
      <c r="P1156" s="25" t="s">
        <v>83</v>
      </c>
      <c r="Q1156" s="25" t="s">
        <v>82</v>
      </c>
      <c r="R1156" s="25" t="s">
        <v>91</v>
      </c>
      <c r="S1156" s="25" t="s">
        <v>96</v>
      </c>
      <c r="T1156" s="25" t="s">
        <v>96</v>
      </c>
      <c r="U1156" s="25" t="s">
        <v>98</v>
      </c>
      <c r="V1156" s="25" t="s">
        <v>230</v>
      </c>
      <c r="W1156" s="25" t="s">
        <v>94</v>
      </c>
      <c r="X1156" s="25" t="s">
        <v>508</v>
      </c>
      <c r="Y1156" s="25" t="s">
        <v>507</v>
      </c>
      <c r="Z1156" s="26">
        <v>39875</v>
      </c>
      <c r="AA1156" s="776" t="s">
        <v>1748</v>
      </c>
      <c r="AB1156" s="776" t="s">
        <v>1748</v>
      </c>
      <c r="AC1156" s="776" t="s">
        <v>1748</v>
      </c>
      <c r="AD1156" s="776" t="s">
        <v>1748</v>
      </c>
      <c r="AE1156" s="777">
        <v>61.5</v>
      </c>
      <c r="AF1156" s="777">
        <v>61.5</v>
      </c>
      <c r="AG1156" s="778">
        <v>63.96</v>
      </c>
    </row>
    <row r="1157" spans="1:33" x14ac:dyDescent="0.2">
      <c r="A1157" s="15">
        <f t="shared" ref="A1157:A1220" si="151">IF(K1157="","",IF(AND(YEAR(Z1157)&lt;2004,YEAR(Z1157)&gt;1910),2004,YEAR(Z1157)))</f>
        <v>2009</v>
      </c>
      <c r="B1157" s="14">
        <f t="shared" ref="B1157:B1220" si="152">IF(K1157="","",IF(ISNUMBER(Z1157),MONTH(Z1157),0))</f>
        <v>3</v>
      </c>
      <c r="C1157" s="13" t="str">
        <f t="shared" ref="C1157:C1220" si="153">IF(K1157="","",IF(AND(B1157&gt;=1,B1157&lt;=3),"Q1",IF(AND(B1157&gt;3,B1157&lt;=6),"Q2",IF(AND(B1157&gt;6,B1157&lt;=9),"Q3",IF(AND(B1157&gt;9,B1157&lt;=12),"Q4",0)))))</f>
        <v>Q1</v>
      </c>
      <c r="D1157" s="13" t="str">
        <f t="shared" ref="D1157:D1220" si="154">IF(A1157&lt;2006, "&lt; 2006", A1157&amp;C1157)</f>
        <v>2009Q1</v>
      </c>
      <c r="E1157" s="13" t="str">
        <f t="shared" ref="E1157:E1220" si="155">IF(K1157="","", M1157)</f>
        <v>Brazil</v>
      </c>
      <c r="F1157" s="13" t="str">
        <f t="shared" si="150"/>
        <v>Biomass &amp; Waste</v>
      </c>
      <c r="G1157" s="13" t="str">
        <f t="shared" si="149"/>
        <v>Asset finance investments</v>
      </c>
      <c r="H1157" s="638">
        <f t="shared" ref="H1157:H1220" si="156">IF(K1157="","",AG1157)</f>
        <v>63.648000000000003</v>
      </c>
      <c r="I1157" s="24" t="s">
        <v>506</v>
      </c>
      <c r="J1157" s="25" t="s">
        <v>246</v>
      </c>
      <c r="K1157" s="25" t="s">
        <v>3132</v>
      </c>
      <c r="L1157" s="25" t="s">
        <v>1013</v>
      </c>
      <c r="M1157" s="25" t="s">
        <v>31</v>
      </c>
      <c r="N1157" s="25" t="s">
        <v>31</v>
      </c>
      <c r="O1157" s="25" t="s">
        <v>92</v>
      </c>
      <c r="P1157" s="25" t="s">
        <v>83</v>
      </c>
      <c r="Q1157" s="25" t="s">
        <v>82</v>
      </c>
      <c r="R1157" s="25" t="s">
        <v>91</v>
      </c>
      <c r="S1157" s="25" t="s">
        <v>114</v>
      </c>
      <c r="T1157" s="25" t="s">
        <v>114</v>
      </c>
      <c r="U1157" s="25" t="s">
        <v>113</v>
      </c>
      <c r="V1157" s="25" t="s">
        <v>347</v>
      </c>
      <c r="W1157" s="25" t="s">
        <v>553</v>
      </c>
      <c r="X1157" s="25" t="s">
        <v>1749</v>
      </c>
      <c r="Y1157" s="25" t="s">
        <v>1750</v>
      </c>
      <c r="Z1157" s="26">
        <v>39890</v>
      </c>
      <c r="AA1157" s="776">
        <v>30</v>
      </c>
      <c r="AB1157" s="776">
        <v>0</v>
      </c>
      <c r="AC1157" s="776">
        <v>0</v>
      </c>
      <c r="AD1157" s="776">
        <v>0</v>
      </c>
      <c r="AE1157" s="777">
        <v>61.2</v>
      </c>
      <c r="AF1157" s="777">
        <v>61.2</v>
      </c>
      <c r="AG1157" s="778">
        <v>63.648000000000003</v>
      </c>
    </row>
    <row r="1158" spans="1:33" x14ac:dyDescent="0.2">
      <c r="A1158" s="15">
        <f t="shared" si="151"/>
        <v>2009</v>
      </c>
      <c r="B1158" s="14">
        <f t="shared" si="152"/>
        <v>3</v>
      </c>
      <c r="C1158" s="13" t="str">
        <f t="shared" si="153"/>
        <v>Q1</v>
      </c>
      <c r="D1158" s="13" t="str">
        <f t="shared" si="154"/>
        <v>2009Q1</v>
      </c>
      <c r="E1158" s="13" t="str">
        <f t="shared" si="155"/>
        <v>Ecuador</v>
      </c>
      <c r="F1158" s="13" t="str">
        <f t="shared" si="150"/>
        <v>Small Hydro</v>
      </c>
      <c r="G1158" s="13" t="str">
        <f t="shared" ref="G1158:G1221" si="157">IF(K1158="","",IF(OR(J1158="PM",J1158="MA"), "Corporate finance investments", IF(J1158="VCPE", "VC/PE investments", IF(J1158="AF", "Asset finance investments"))))</f>
        <v>Asset finance investments</v>
      </c>
      <c r="H1158" s="638">
        <f t="shared" si="156"/>
        <v>55.951999999999998</v>
      </c>
      <c r="I1158" s="24" t="s">
        <v>506</v>
      </c>
      <c r="J1158" s="25" t="s">
        <v>246</v>
      </c>
      <c r="K1158" s="25" t="s">
        <v>3133</v>
      </c>
      <c r="L1158" s="25" t="s">
        <v>937</v>
      </c>
      <c r="M1158" s="25" t="s">
        <v>12</v>
      </c>
      <c r="N1158" s="25" t="s">
        <v>85</v>
      </c>
      <c r="O1158" s="25" t="s">
        <v>92</v>
      </c>
      <c r="P1158" s="25" t="s">
        <v>83</v>
      </c>
      <c r="Q1158" s="25" t="s">
        <v>82</v>
      </c>
      <c r="R1158" s="25"/>
      <c r="S1158" s="25" t="s">
        <v>126</v>
      </c>
      <c r="T1158" s="25" t="s">
        <v>125</v>
      </c>
      <c r="U1158" s="25" t="s">
        <v>247</v>
      </c>
      <c r="V1158" s="25">
        <v>0</v>
      </c>
      <c r="W1158" s="25" t="s">
        <v>553</v>
      </c>
      <c r="X1158" s="25" t="s">
        <v>1752</v>
      </c>
      <c r="Y1158" s="25" t="s">
        <v>1753</v>
      </c>
      <c r="Z1158" s="26">
        <v>39883</v>
      </c>
      <c r="AA1158" s="776">
        <v>26.8</v>
      </c>
      <c r="AB1158" s="776">
        <v>0</v>
      </c>
      <c r="AC1158" s="776">
        <v>0</v>
      </c>
      <c r="AD1158" s="776">
        <v>0</v>
      </c>
      <c r="AE1158" s="777">
        <v>53.8</v>
      </c>
      <c r="AF1158" s="777">
        <v>53.8</v>
      </c>
      <c r="AG1158" s="778">
        <v>55.951999999999998</v>
      </c>
    </row>
    <row r="1159" spans="1:33" x14ac:dyDescent="0.2">
      <c r="A1159" s="15">
        <f t="shared" si="151"/>
        <v>2009</v>
      </c>
      <c r="B1159" s="14">
        <f t="shared" si="152"/>
        <v>3</v>
      </c>
      <c r="C1159" s="13" t="str">
        <f t="shared" si="153"/>
        <v>Q1</v>
      </c>
      <c r="D1159" s="13" t="str">
        <f t="shared" si="154"/>
        <v>2009Q1</v>
      </c>
      <c r="E1159" s="13" t="str">
        <f t="shared" si="155"/>
        <v>Brazil</v>
      </c>
      <c r="F1159" s="13" t="str">
        <f t="shared" ref="F1159:F1222" si="158">IF(K1159="","",IF(OR(T1159="Wind",T1159="Solar",T1159="Geothermal",T1159="Small Hydro",T1159="Biofuels",T1159="Biomass &amp; Waste"),T1159,"Other Clean Energy"))</f>
        <v>Small Hydro</v>
      </c>
      <c r="G1159" s="13" t="str">
        <f t="shared" si="157"/>
        <v>Asset finance investments</v>
      </c>
      <c r="H1159" s="638">
        <f t="shared" si="156"/>
        <v>44.0336</v>
      </c>
      <c r="I1159" s="24" t="s">
        <v>506</v>
      </c>
      <c r="J1159" s="25" t="s">
        <v>246</v>
      </c>
      <c r="K1159" s="25" t="s">
        <v>3134</v>
      </c>
      <c r="L1159" s="25" t="s">
        <v>955</v>
      </c>
      <c r="M1159" s="25" t="s">
        <v>31</v>
      </c>
      <c r="N1159" s="25" t="s">
        <v>31</v>
      </c>
      <c r="O1159" s="25" t="s">
        <v>92</v>
      </c>
      <c r="P1159" s="25" t="s">
        <v>83</v>
      </c>
      <c r="Q1159" s="25" t="s">
        <v>82</v>
      </c>
      <c r="R1159" s="25" t="s">
        <v>91</v>
      </c>
      <c r="S1159" s="25" t="s">
        <v>126</v>
      </c>
      <c r="T1159" s="25" t="s">
        <v>125</v>
      </c>
      <c r="U1159" s="25" t="s">
        <v>247</v>
      </c>
      <c r="V1159" s="25">
        <v>0</v>
      </c>
      <c r="W1159" s="25" t="s">
        <v>553</v>
      </c>
      <c r="X1159" s="25" t="s">
        <v>1749</v>
      </c>
      <c r="Y1159" s="25" t="s">
        <v>1750</v>
      </c>
      <c r="Z1159" s="26">
        <v>39896</v>
      </c>
      <c r="AA1159" s="776">
        <v>29</v>
      </c>
      <c r="AB1159" s="776">
        <v>0</v>
      </c>
      <c r="AC1159" s="776">
        <v>0</v>
      </c>
      <c r="AD1159" s="776">
        <v>0</v>
      </c>
      <c r="AE1159" s="777">
        <v>0</v>
      </c>
      <c r="AF1159" s="777">
        <v>42.339999999999996</v>
      </c>
      <c r="AG1159" s="778">
        <v>44.0336</v>
      </c>
    </row>
    <row r="1160" spans="1:33" x14ac:dyDescent="0.2">
      <c r="A1160" s="15">
        <f t="shared" si="151"/>
        <v>2009</v>
      </c>
      <c r="B1160" s="14">
        <f t="shared" si="152"/>
        <v>2</v>
      </c>
      <c r="C1160" s="13" t="str">
        <f t="shared" si="153"/>
        <v>Q1</v>
      </c>
      <c r="D1160" s="13" t="str">
        <f t="shared" si="154"/>
        <v>2009Q1</v>
      </c>
      <c r="E1160" s="13" t="str">
        <f t="shared" si="155"/>
        <v>Mexico</v>
      </c>
      <c r="F1160" s="13" t="str">
        <f t="shared" si="158"/>
        <v>Wind</v>
      </c>
      <c r="G1160" s="13" t="str">
        <f t="shared" si="157"/>
        <v>Asset finance investments</v>
      </c>
      <c r="H1160" s="638">
        <f t="shared" si="156"/>
        <v>43.929600000000001</v>
      </c>
      <c r="I1160" s="24" t="s">
        <v>506</v>
      </c>
      <c r="J1160" s="25" t="s">
        <v>246</v>
      </c>
      <c r="K1160" s="25" t="s">
        <v>3135</v>
      </c>
      <c r="L1160" s="25" t="s">
        <v>3136</v>
      </c>
      <c r="M1160" s="25" t="s">
        <v>18</v>
      </c>
      <c r="N1160" s="25" t="s">
        <v>85</v>
      </c>
      <c r="O1160" s="25" t="s">
        <v>92</v>
      </c>
      <c r="P1160" s="25" t="s">
        <v>83</v>
      </c>
      <c r="Q1160" s="25" t="s">
        <v>129</v>
      </c>
      <c r="R1160" s="25"/>
      <c r="S1160" s="25" t="s">
        <v>101</v>
      </c>
      <c r="T1160" s="25" t="s">
        <v>101</v>
      </c>
      <c r="U1160" s="25" t="s">
        <v>112</v>
      </c>
      <c r="V1160" s="25">
        <v>0</v>
      </c>
      <c r="W1160" s="25" t="s">
        <v>553</v>
      </c>
      <c r="X1160" s="25" t="s">
        <v>1752</v>
      </c>
      <c r="Y1160" s="25" t="s">
        <v>1753</v>
      </c>
      <c r="Z1160" s="26">
        <v>39851</v>
      </c>
      <c r="AA1160" s="776">
        <v>26.4</v>
      </c>
      <c r="AB1160" s="776">
        <v>0</v>
      </c>
      <c r="AC1160" s="776">
        <v>0</v>
      </c>
      <c r="AD1160" s="776">
        <v>0</v>
      </c>
      <c r="AE1160" s="777">
        <v>0</v>
      </c>
      <c r="AF1160" s="777">
        <v>42.24</v>
      </c>
      <c r="AG1160" s="778">
        <v>43.929600000000001</v>
      </c>
    </row>
    <row r="1161" spans="1:33" x14ac:dyDescent="0.2">
      <c r="A1161" s="15">
        <f t="shared" si="151"/>
        <v>2009</v>
      </c>
      <c r="B1161" s="14">
        <f t="shared" si="152"/>
        <v>2</v>
      </c>
      <c r="C1161" s="13" t="str">
        <f t="shared" si="153"/>
        <v>Q1</v>
      </c>
      <c r="D1161" s="13" t="str">
        <f t="shared" si="154"/>
        <v>2009Q1</v>
      </c>
      <c r="E1161" s="13" t="str">
        <f t="shared" si="155"/>
        <v>Brazil</v>
      </c>
      <c r="F1161" s="13" t="str">
        <f t="shared" si="158"/>
        <v>Small Hydro</v>
      </c>
      <c r="G1161" s="13" t="str">
        <f t="shared" si="157"/>
        <v>Asset finance investments</v>
      </c>
      <c r="H1161" s="638">
        <f t="shared" si="156"/>
        <v>43.888000000000005</v>
      </c>
      <c r="I1161" s="24" t="s">
        <v>506</v>
      </c>
      <c r="J1161" s="25" t="s">
        <v>246</v>
      </c>
      <c r="K1161" s="25" t="s">
        <v>3137</v>
      </c>
      <c r="L1161" s="25" t="s">
        <v>651</v>
      </c>
      <c r="M1161" s="25" t="s">
        <v>31</v>
      </c>
      <c r="N1161" s="25" t="s">
        <v>31</v>
      </c>
      <c r="O1161" s="25" t="s">
        <v>92</v>
      </c>
      <c r="P1161" s="25" t="s">
        <v>83</v>
      </c>
      <c r="Q1161" s="25" t="s">
        <v>82</v>
      </c>
      <c r="R1161" s="25" t="s">
        <v>91</v>
      </c>
      <c r="S1161" s="25" t="s">
        <v>126</v>
      </c>
      <c r="T1161" s="25" t="s">
        <v>125</v>
      </c>
      <c r="U1161" s="25" t="s">
        <v>342</v>
      </c>
      <c r="V1161" s="25">
        <v>0</v>
      </c>
      <c r="W1161" s="25" t="s">
        <v>553</v>
      </c>
      <c r="X1161" s="25" t="s">
        <v>1752</v>
      </c>
      <c r="Y1161" s="25" t="s">
        <v>1753</v>
      </c>
      <c r="Z1161" s="26">
        <v>39872</v>
      </c>
      <c r="AA1161" s="776">
        <v>21.1</v>
      </c>
      <c r="AB1161" s="776">
        <v>0</v>
      </c>
      <c r="AC1161" s="776">
        <v>0</v>
      </c>
      <c r="AD1161" s="776">
        <v>0</v>
      </c>
      <c r="AE1161" s="777">
        <v>42.2</v>
      </c>
      <c r="AF1161" s="777">
        <v>42.2</v>
      </c>
      <c r="AG1161" s="778">
        <v>43.888000000000005</v>
      </c>
    </row>
    <row r="1162" spans="1:33" x14ac:dyDescent="0.2">
      <c r="A1162" s="15">
        <f t="shared" si="151"/>
        <v>2009</v>
      </c>
      <c r="B1162" s="14">
        <f t="shared" si="152"/>
        <v>1</v>
      </c>
      <c r="C1162" s="13" t="str">
        <f t="shared" si="153"/>
        <v>Q1</v>
      </c>
      <c r="D1162" s="13" t="str">
        <f t="shared" si="154"/>
        <v>2009Q1</v>
      </c>
      <c r="E1162" s="13" t="str">
        <f t="shared" si="155"/>
        <v>Venezuela</v>
      </c>
      <c r="F1162" s="13" t="str">
        <f t="shared" si="158"/>
        <v>Small Hydro</v>
      </c>
      <c r="G1162" s="13" t="str">
        <f t="shared" si="157"/>
        <v>Asset finance investments</v>
      </c>
      <c r="H1162" s="638">
        <f t="shared" si="156"/>
        <v>41.6</v>
      </c>
      <c r="I1162" s="24" t="s">
        <v>506</v>
      </c>
      <c r="J1162" s="25" t="s">
        <v>246</v>
      </c>
      <c r="K1162" s="25" t="s">
        <v>3138</v>
      </c>
      <c r="L1162" s="25" t="s">
        <v>949</v>
      </c>
      <c r="M1162" s="25" t="s">
        <v>23</v>
      </c>
      <c r="N1162" s="25" t="s">
        <v>85</v>
      </c>
      <c r="O1162" s="25" t="s">
        <v>92</v>
      </c>
      <c r="P1162" s="25" t="s">
        <v>83</v>
      </c>
      <c r="Q1162" s="25" t="s">
        <v>82</v>
      </c>
      <c r="R1162" s="25"/>
      <c r="S1162" s="25" t="s">
        <v>126</v>
      </c>
      <c r="T1162" s="25" t="s">
        <v>125</v>
      </c>
      <c r="U1162" s="25" t="s">
        <v>247</v>
      </c>
      <c r="V1162" s="25">
        <v>0</v>
      </c>
      <c r="W1162" s="25" t="s">
        <v>553</v>
      </c>
      <c r="X1162" s="25" t="s">
        <v>1752</v>
      </c>
      <c r="Y1162" s="25" t="s">
        <v>1753</v>
      </c>
      <c r="Z1162" s="26">
        <v>39814</v>
      </c>
      <c r="AA1162" s="776">
        <v>25</v>
      </c>
      <c r="AB1162" s="776">
        <v>0</v>
      </c>
      <c r="AC1162" s="776">
        <v>0</v>
      </c>
      <c r="AD1162" s="776">
        <v>0</v>
      </c>
      <c r="AE1162" s="777">
        <v>40</v>
      </c>
      <c r="AF1162" s="777">
        <v>40</v>
      </c>
      <c r="AG1162" s="778">
        <v>41.6</v>
      </c>
    </row>
    <row r="1163" spans="1:33" x14ac:dyDescent="0.2">
      <c r="A1163" s="15">
        <f t="shared" si="151"/>
        <v>2009</v>
      </c>
      <c r="B1163" s="14">
        <f t="shared" si="152"/>
        <v>3</v>
      </c>
      <c r="C1163" s="13" t="str">
        <f t="shared" si="153"/>
        <v>Q1</v>
      </c>
      <c r="D1163" s="13" t="str">
        <f t="shared" si="154"/>
        <v>2009Q1</v>
      </c>
      <c r="E1163" s="13" t="str">
        <f t="shared" si="155"/>
        <v>Costa Rica</v>
      </c>
      <c r="F1163" s="13" t="str">
        <f t="shared" si="158"/>
        <v>Wind</v>
      </c>
      <c r="G1163" s="13" t="str">
        <f t="shared" si="157"/>
        <v>Asset finance investments</v>
      </c>
      <c r="H1163" s="638">
        <f t="shared" si="156"/>
        <v>39.832000000000001</v>
      </c>
      <c r="I1163" s="24" t="s">
        <v>506</v>
      </c>
      <c r="J1163" s="25" t="s">
        <v>246</v>
      </c>
      <c r="K1163" s="25" t="s">
        <v>3139</v>
      </c>
      <c r="L1163" s="25" t="s">
        <v>963</v>
      </c>
      <c r="M1163" s="25" t="s">
        <v>10</v>
      </c>
      <c r="N1163" s="25" t="s">
        <v>85</v>
      </c>
      <c r="O1163" s="25" t="s">
        <v>92</v>
      </c>
      <c r="P1163" s="25" t="s">
        <v>83</v>
      </c>
      <c r="Q1163" s="25" t="s">
        <v>82</v>
      </c>
      <c r="R1163" s="25"/>
      <c r="S1163" s="25" t="s">
        <v>101</v>
      </c>
      <c r="T1163" s="25" t="s">
        <v>101</v>
      </c>
      <c r="U1163" s="25" t="s">
        <v>112</v>
      </c>
      <c r="V1163" s="25">
        <v>0</v>
      </c>
      <c r="W1163" s="25" t="s">
        <v>553</v>
      </c>
      <c r="X1163" s="25" t="s">
        <v>1749</v>
      </c>
      <c r="Y1163" s="25" t="s">
        <v>1750</v>
      </c>
      <c r="Z1163" s="26">
        <v>39876</v>
      </c>
      <c r="AA1163" s="776">
        <v>15.3</v>
      </c>
      <c r="AB1163" s="776">
        <v>0</v>
      </c>
      <c r="AC1163" s="776">
        <v>0</v>
      </c>
      <c r="AD1163" s="776">
        <v>0</v>
      </c>
      <c r="AE1163" s="777">
        <v>38.299999999999997</v>
      </c>
      <c r="AF1163" s="777">
        <v>38.299999999999997</v>
      </c>
      <c r="AG1163" s="778">
        <v>39.832000000000001</v>
      </c>
    </row>
    <row r="1164" spans="1:33" x14ac:dyDescent="0.2">
      <c r="A1164" s="15">
        <f t="shared" si="151"/>
        <v>2009</v>
      </c>
      <c r="B1164" s="14">
        <f t="shared" si="152"/>
        <v>1</v>
      </c>
      <c r="C1164" s="13" t="str">
        <f t="shared" si="153"/>
        <v>Q1</v>
      </c>
      <c r="D1164" s="13" t="str">
        <f t="shared" si="154"/>
        <v>2009Q1</v>
      </c>
      <c r="E1164" s="13" t="str">
        <f t="shared" si="155"/>
        <v>Brazil</v>
      </c>
      <c r="F1164" s="13" t="str">
        <f t="shared" si="158"/>
        <v>Biofuels</v>
      </c>
      <c r="G1164" s="13" t="str">
        <f t="shared" si="157"/>
        <v>Asset finance investments</v>
      </c>
      <c r="H1164" s="638">
        <f t="shared" si="156"/>
        <v>35.568000000000005</v>
      </c>
      <c r="I1164" s="24" t="s">
        <v>506</v>
      </c>
      <c r="J1164" s="25" t="s">
        <v>246</v>
      </c>
      <c r="K1164" s="25" t="s">
        <v>3140</v>
      </c>
      <c r="L1164" s="25" t="s">
        <v>821</v>
      </c>
      <c r="M1164" s="25" t="s">
        <v>31</v>
      </c>
      <c r="N1164" s="25" t="s">
        <v>31</v>
      </c>
      <c r="O1164" s="25" t="s">
        <v>92</v>
      </c>
      <c r="P1164" s="25" t="s">
        <v>83</v>
      </c>
      <c r="Q1164" s="25" t="s">
        <v>82</v>
      </c>
      <c r="R1164" s="25" t="s">
        <v>91</v>
      </c>
      <c r="S1164" s="25" t="s">
        <v>96</v>
      </c>
      <c r="T1164" s="25" t="s">
        <v>96</v>
      </c>
      <c r="U1164" s="25" t="s">
        <v>95</v>
      </c>
      <c r="V1164" s="25" t="s">
        <v>223</v>
      </c>
      <c r="W1164" s="25" t="s">
        <v>553</v>
      </c>
      <c r="X1164" s="25" t="s">
        <v>1752</v>
      </c>
      <c r="Y1164" s="25" t="s">
        <v>1753</v>
      </c>
      <c r="Z1164" s="26">
        <v>39844</v>
      </c>
      <c r="AA1164" s="776">
        <v>0</v>
      </c>
      <c r="AB1164" s="776">
        <v>90</v>
      </c>
      <c r="AC1164" s="776">
        <v>0</v>
      </c>
      <c r="AD1164" s="776">
        <v>0</v>
      </c>
      <c r="AE1164" s="777">
        <v>0</v>
      </c>
      <c r="AF1164" s="777">
        <v>34.200000000000003</v>
      </c>
      <c r="AG1164" s="778">
        <v>35.568000000000005</v>
      </c>
    </row>
    <row r="1165" spans="1:33" x14ac:dyDescent="0.2">
      <c r="A1165" s="15">
        <f t="shared" si="151"/>
        <v>2009</v>
      </c>
      <c r="B1165" s="14">
        <f t="shared" si="152"/>
        <v>1</v>
      </c>
      <c r="C1165" s="13" t="str">
        <f t="shared" si="153"/>
        <v>Q1</v>
      </c>
      <c r="D1165" s="13" t="str">
        <f t="shared" si="154"/>
        <v>2009Q1</v>
      </c>
      <c r="E1165" s="13" t="str">
        <f t="shared" si="155"/>
        <v>Chile</v>
      </c>
      <c r="F1165" s="13" t="str">
        <f t="shared" si="158"/>
        <v>Small Hydro</v>
      </c>
      <c r="G1165" s="13" t="str">
        <f t="shared" si="157"/>
        <v>Asset finance investments</v>
      </c>
      <c r="H1165" s="638">
        <f t="shared" si="156"/>
        <v>34.008000000000003</v>
      </c>
      <c r="I1165" s="24" t="s">
        <v>506</v>
      </c>
      <c r="J1165" s="25" t="s">
        <v>246</v>
      </c>
      <c r="K1165" s="25" t="s">
        <v>3141</v>
      </c>
      <c r="L1165" s="25" t="s">
        <v>1061</v>
      </c>
      <c r="M1165" s="25" t="s">
        <v>8</v>
      </c>
      <c r="N1165" s="25" t="s">
        <v>85</v>
      </c>
      <c r="O1165" s="25" t="s">
        <v>92</v>
      </c>
      <c r="P1165" s="25" t="s">
        <v>83</v>
      </c>
      <c r="Q1165" s="25" t="s">
        <v>129</v>
      </c>
      <c r="R1165" s="25"/>
      <c r="S1165" s="25" t="s">
        <v>126</v>
      </c>
      <c r="T1165" s="25" t="s">
        <v>125</v>
      </c>
      <c r="U1165" s="25" t="s">
        <v>247</v>
      </c>
      <c r="V1165" s="25">
        <v>0</v>
      </c>
      <c r="W1165" s="25" t="s">
        <v>553</v>
      </c>
      <c r="X1165" s="25" t="s">
        <v>1752</v>
      </c>
      <c r="Y1165" s="25" t="s">
        <v>1753</v>
      </c>
      <c r="Z1165" s="26">
        <v>39814</v>
      </c>
      <c r="AA1165" s="776">
        <v>17</v>
      </c>
      <c r="AB1165" s="776">
        <v>0</v>
      </c>
      <c r="AC1165" s="776">
        <v>0</v>
      </c>
      <c r="AD1165" s="776">
        <v>0</v>
      </c>
      <c r="AE1165" s="777">
        <v>32.700000000000003</v>
      </c>
      <c r="AF1165" s="777">
        <v>32.700000000000003</v>
      </c>
      <c r="AG1165" s="778">
        <v>34.008000000000003</v>
      </c>
    </row>
    <row r="1166" spans="1:33" x14ac:dyDescent="0.2">
      <c r="A1166" s="15">
        <f t="shared" si="151"/>
        <v>2009</v>
      </c>
      <c r="B1166" s="14">
        <f t="shared" si="152"/>
        <v>1</v>
      </c>
      <c r="C1166" s="13" t="str">
        <f t="shared" si="153"/>
        <v>Q1</v>
      </c>
      <c r="D1166" s="13" t="str">
        <f t="shared" si="154"/>
        <v>2009Q1</v>
      </c>
      <c r="E1166" s="13" t="str">
        <f t="shared" si="155"/>
        <v>Brazil</v>
      </c>
      <c r="F1166" s="13" t="str">
        <f t="shared" si="158"/>
        <v>Biofuels</v>
      </c>
      <c r="G1166" s="13" t="str">
        <f t="shared" si="157"/>
        <v>Asset finance investments</v>
      </c>
      <c r="H1166" s="638">
        <f t="shared" si="156"/>
        <v>29.224000000000004</v>
      </c>
      <c r="I1166" s="27" t="s">
        <v>506</v>
      </c>
      <c r="J1166" s="28" t="s">
        <v>246</v>
      </c>
      <c r="K1166" s="28" t="s">
        <v>3142</v>
      </c>
      <c r="L1166" s="28" t="s">
        <v>846</v>
      </c>
      <c r="M1166" s="28" t="s">
        <v>31</v>
      </c>
      <c r="N1166" s="28" t="s">
        <v>31</v>
      </c>
      <c r="O1166" s="28" t="s">
        <v>92</v>
      </c>
      <c r="P1166" s="28" t="s">
        <v>83</v>
      </c>
      <c r="Q1166" s="28" t="s">
        <v>82</v>
      </c>
      <c r="R1166" s="28" t="s">
        <v>91</v>
      </c>
      <c r="S1166" s="28" t="s">
        <v>96</v>
      </c>
      <c r="T1166" s="28" t="s">
        <v>96</v>
      </c>
      <c r="U1166" s="28" t="s">
        <v>98</v>
      </c>
      <c r="V1166" s="28" t="s">
        <v>230</v>
      </c>
      <c r="W1166" s="28" t="s">
        <v>553</v>
      </c>
      <c r="X1166" s="28" t="s">
        <v>1752</v>
      </c>
      <c r="Y1166" s="28" t="s">
        <v>1753</v>
      </c>
      <c r="Z1166" s="28">
        <v>39844</v>
      </c>
      <c r="AA1166" s="643">
        <v>0</v>
      </c>
      <c r="AB1166" s="643">
        <v>0</v>
      </c>
      <c r="AC1166" s="643">
        <v>0</v>
      </c>
      <c r="AD1166" s="643">
        <v>0</v>
      </c>
      <c r="AE1166" s="779">
        <v>28.1</v>
      </c>
      <c r="AF1166" s="779">
        <v>28.1</v>
      </c>
      <c r="AG1166" s="780">
        <v>29.224000000000004</v>
      </c>
    </row>
    <row r="1167" spans="1:33" x14ac:dyDescent="0.2">
      <c r="A1167" s="15">
        <f t="shared" si="151"/>
        <v>2009</v>
      </c>
      <c r="B1167" s="14">
        <f t="shared" si="152"/>
        <v>2</v>
      </c>
      <c r="C1167" s="13" t="str">
        <f t="shared" si="153"/>
        <v>Q1</v>
      </c>
      <c r="D1167" s="13" t="str">
        <f t="shared" si="154"/>
        <v>2009Q1</v>
      </c>
      <c r="E1167" s="13" t="str">
        <f t="shared" si="155"/>
        <v>Brazil</v>
      </c>
      <c r="F1167" s="13" t="str">
        <f t="shared" si="158"/>
        <v>Biofuels</v>
      </c>
      <c r="G1167" s="13" t="str">
        <f t="shared" si="157"/>
        <v>Asset finance investments</v>
      </c>
      <c r="H1167" s="638">
        <f t="shared" si="156"/>
        <v>28.808</v>
      </c>
      <c r="I1167" s="27" t="s">
        <v>506</v>
      </c>
      <c r="J1167" s="28" t="s">
        <v>246</v>
      </c>
      <c r="K1167" s="28" t="s">
        <v>3143</v>
      </c>
      <c r="L1167" s="28" t="s">
        <v>3144</v>
      </c>
      <c r="M1167" s="28" t="s">
        <v>31</v>
      </c>
      <c r="N1167" s="28" t="s">
        <v>31</v>
      </c>
      <c r="O1167" s="28" t="s">
        <v>92</v>
      </c>
      <c r="P1167" s="28" t="s">
        <v>83</v>
      </c>
      <c r="Q1167" s="28" t="s">
        <v>82</v>
      </c>
      <c r="R1167" s="28" t="s">
        <v>91</v>
      </c>
      <c r="S1167" s="28" t="s">
        <v>96</v>
      </c>
      <c r="T1167" s="28" t="s">
        <v>96</v>
      </c>
      <c r="U1167" s="28" t="s">
        <v>98</v>
      </c>
      <c r="V1167" s="28" t="s">
        <v>230</v>
      </c>
      <c r="W1167" s="28" t="s">
        <v>553</v>
      </c>
      <c r="X1167" s="28" t="s">
        <v>1749</v>
      </c>
      <c r="Y1167" s="28" t="s">
        <v>1750</v>
      </c>
      <c r="Z1167" s="28">
        <v>39857</v>
      </c>
      <c r="AA1167" s="643">
        <v>0</v>
      </c>
      <c r="AB1167" s="643">
        <v>0</v>
      </c>
      <c r="AC1167" s="643">
        <v>0</v>
      </c>
      <c r="AD1167" s="643">
        <v>0</v>
      </c>
      <c r="AE1167" s="779">
        <v>27.7</v>
      </c>
      <c r="AF1167" s="779">
        <v>27.7</v>
      </c>
      <c r="AG1167" s="780">
        <v>28.808</v>
      </c>
    </row>
    <row r="1168" spans="1:33" x14ac:dyDescent="0.2">
      <c r="A1168" s="15">
        <f t="shared" si="151"/>
        <v>2009</v>
      </c>
      <c r="B1168" s="14">
        <f t="shared" si="152"/>
        <v>3</v>
      </c>
      <c r="C1168" s="13" t="str">
        <f t="shared" si="153"/>
        <v>Q1</v>
      </c>
      <c r="D1168" s="13" t="str">
        <f t="shared" si="154"/>
        <v>2009Q1</v>
      </c>
      <c r="E1168" s="13" t="str">
        <f t="shared" si="155"/>
        <v>Uruguay</v>
      </c>
      <c r="F1168" s="13" t="str">
        <f t="shared" si="158"/>
        <v>Biomass &amp; Waste</v>
      </c>
      <c r="G1168" s="13" t="str">
        <f t="shared" si="157"/>
        <v>Asset finance investments</v>
      </c>
      <c r="H1168" s="638">
        <f t="shared" si="156"/>
        <v>24.96</v>
      </c>
      <c r="I1168" s="27" t="s">
        <v>506</v>
      </c>
      <c r="J1168" s="28" t="s">
        <v>246</v>
      </c>
      <c r="K1168" s="28" t="s">
        <v>3145</v>
      </c>
      <c r="L1168" s="28" t="s">
        <v>3146</v>
      </c>
      <c r="M1168" s="28" t="s">
        <v>22</v>
      </c>
      <c r="N1168" s="28" t="s">
        <v>85</v>
      </c>
      <c r="O1168" s="28" t="s">
        <v>92</v>
      </c>
      <c r="P1168" s="28" t="s">
        <v>83</v>
      </c>
      <c r="Q1168" s="28" t="s">
        <v>82</v>
      </c>
      <c r="R1168" s="28"/>
      <c r="S1168" s="28" t="s">
        <v>114</v>
      </c>
      <c r="T1168" s="28" t="s">
        <v>114</v>
      </c>
      <c r="U1168" s="28" t="s">
        <v>113</v>
      </c>
      <c r="V1168" s="28" t="s">
        <v>347</v>
      </c>
      <c r="W1168" s="28" t="s">
        <v>553</v>
      </c>
      <c r="X1168" s="28" t="s">
        <v>1752</v>
      </c>
      <c r="Y1168" s="28" t="s">
        <v>1753</v>
      </c>
      <c r="Z1168" s="28">
        <v>39903</v>
      </c>
      <c r="AA1168" s="643">
        <v>12</v>
      </c>
      <c r="AB1168" s="643">
        <v>0</v>
      </c>
      <c r="AC1168" s="643">
        <v>0</v>
      </c>
      <c r="AD1168" s="643">
        <v>0</v>
      </c>
      <c r="AE1168" s="779">
        <v>0</v>
      </c>
      <c r="AF1168" s="779">
        <v>24</v>
      </c>
      <c r="AG1168" s="780">
        <v>24.96</v>
      </c>
    </row>
    <row r="1169" spans="1:33" x14ac:dyDescent="0.2">
      <c r="A1169" s="15">
        <f t="shared" si="151"/>
        <v>2009</v>
      </c>
      <c r="B1169" s="14">
        <f t="shared" si="152"/>
        <v>3</v>
      </c>
      <c r="C1169" s="13" t="str">
        <f t="shared" si="153"/>
        <v>Q1</v>
      </c>
      <c r="D1169" s="13" t="str">
        <f t="shared" si="154"/>
        <v>2009Q1</v>
      </c>
      <c r="E1169" s="13" t="str">
        <f t="shared" si="155"/>
        <v>Brazil</v>
      </c>
      <c r="F1169" s="13" t="str">
        <f t="shared" si="158"/>
        <v>Biomass &amp; Waste</v>
      </c>
      <c r="G1169" s="13" t="str">
        <f t="shared" si="157"/>
        <v>Asset finance investments</v>
      </c>
      <c r="H1169" s="638">
        <f t="shared" si="156"/>
        <v>24.96</v>
      </c>
      <c r="I1169" s="27" t="s">
        <v>506</v>
      </c>
      <c r="J1169" s="28" t="s">
        <v>246</v>
      </c>
      <c r="K1169" s="28" t="s">
        <v>3147</v>
      </c>
      <c r="L1169" s="28" t="s">
        <v>636</v>
      </c>
      <c r="M1169" s="28" t="s">
        <v>31</v>
      </c>
      <c r="N1169" s="28" t="s">
        <v>31</v>
      </c>
      <c r="O1169" s="28" t="s">
        <v>92</v>
      </c>
      <c r="P1169" s="28" t="s">
        <v>83</v>
      </c>
      <c r="Q1169" s="28" t="s">
        <v>82</v>
      </c>
      <c r="R1169" s="28" t="s">
        <v>91</v>
      </c>
      <c r="S1169" s="28" t="s">
        <v>114</v>
      </c>
      <c r="T1169" s="28" t="s">
        <v>114</v>
      </c>
      <c r="U1169" s="28" t="s">
        <v>113</v>
      </c>
      <c r="V1169" s="28">
        <v>0</v>
      </c>
      <c r="W1169" s="28" t="s">
        <v>553</v>
      </c>
      <c r="X1169" s="28" t="s">
        <v>1752</v>
      </c>
      <c r="Y1169" s="28" t="s">
        <v>1753</v>
      </c>
      <c r="Z1169" s="28">
        <v>39889</v>
      </c>
      <c r="AA1169" s="643">
        <v>12</v>
      </c>
      <c r="AB1169" s="643">
        <v>0</v>
      </c>
      <c r="AC1169" s="643">
        <v>0</v>
      </c>
      <c r="AD1169" s="643">
        <v>0</v>
      </c>
      <c r="AE1169" s="779">
        <v>0</v>
      </c>
      <c r="AF1169" s="779">
        <v>24</v>
      </c>
      <c r="AG1169" s="780">
        <v>24.96</v>
      </c>
    </row>
    <row r="1170" spans="1:33" x14ac:dyDescent="0.2">
      <c r="A1170" s="15">
        <f t="shared" si="151"/>
        <v>2009</v>
      </c>
      <c r="B1170" s="14">
        <f t="shared" si="152"/>
        <v>3</v>
      </c>
      <c r="C1170" s="13" t="str">
        <f t="shared" si="153"/>
        <v>Q1</v>
      </c>
      <c r="D1170" s="13" t="str">
        <f t="shared" si="154"/>
        <v>2009Q1</v>
      </c>
      <c r="E1170" s="13" t="str">
        <f t="shared" si="155"/>
        <v>Argentina</v>
      </c>
      <c r="F1170" s="13" t="str">
        <f t="shared" si="158"/>
        <v>Biofuels</v>
      </c>
      <c r="G1170" s="13" t="str">
        <f t="shared" si="157"/>
        <v>Asset finance investments</v>
      </c>
      <c r="H1170" s="638">
        <f t="shared" si="156"/>
        <v>19.760000000000002</v>
      </c>
      <c r="I1170" s="27" t="s">
        <v>506</v>
      </c>
      <c r="J1170" s="28" t="s">
        <v>246</v>
      </c>
      <c r="K1170" s="28" t="s">
        <v>3148</v>
      </c>
      <c r="L1170" s="28" t="s">
        <v>981</v>
      </c>
      <c r="M1170" s="28" t="s">
        <v>4</v>
      </c>
      <c r="N1170" s="28" t="s">
        <v>85</v>
      </c>
      <c r="O1170" s="28" t="s">
        <v>92</v>
      </c>
      <c r="P1170" s="28" t="s">
        <v>83</v>
      </c>
      <c r="Q1170" s="28" t="s">
        <v>82</v>
      </c>
      <c r="R1170" s="28"/>
      <c r="S1170" s="28" t="s">
        <v>96</v>
      </c>
      <c r="T1170" s="28" t="s">
        <v>96</v>
      </c>
      <c r="U1170" s="28" t="s">
        <v>98</v>
      </c>
      <c r="V1170" s="28" t="s">
        <v>230</v>
      </c>
      <c r="W1170" s="28" t="s">
        <v>553</v>
      </c>
      <c r="X1170" s="28" t="s">
        <v>1752</v>
      </c>
      <c r="Y1170" s="28" t="s">
        <v>1753</v>
      </c>
      <c r="Z1170" s="28">
        <v>39874</v>
      </c>
      <c r="AA1170" s="643">
        <v>0</v>
      </c>
      <c r="AB1170" s="643">
        <v>49</v>
      </c>
      <c r="AC1170" s="643">
        <v>0</v>
      </c>
      <c r="AD1170" s="643">
        <v>0</v>
      </c>
      <c r="AE1170" s="779">
        <v>19</v>
      </c>
      <c r="AF1170" s="779">
        <v>19</v>
      </c>
      <c r="AG1170" s="780">
        <v>19.760000000000002</v>
      </c>
    </row>
    <row r="1171" spans="1:33" x14ac:dyDescent="0.2">
      <c r="A1171" s="15">
        <f t="shared" si="151"/>
        <v>2009</v>
      </c>
      <c r="B1171" s="14">
        <f t="shared" si="152"/>
        <v>1</v>
      </c>
      <c r="C1171" s="13" t="str">
        <f t="shared" si="153"/>
        <v>Q1</v>
      </c>
      <c r="D1171" s="13" t="str">
        <f t="shared" si="154"/>
        <v>2009Q1</v>
      </c>
      <c r="E1171" s="13" t="str">
        <f t="shared" si="155"/>
        <v>Brazil</v>
      </c>
      <c r="F1171" s="13" t="str">
        <f t="shared" si="158"/>
        <v>Biofuels</v>
      </c>
      <c r="G1171" s="13" t="str">
        <f t="shared" si="157"/>
        <v>Asset finance investments</v>
      </c>
      <c r="H1171" s="638">
        <f t="shared" si="156"/>
        <v>19.760000000000002</v>
      </c>
      <c r="I1171" s="27" t="s">
        <v>506</v>
      </c>
      <c r="J1171" s="28" t="s">
        <v>246</v>
      </c>
      <c r="K1171" s="28" t="s">
        <v>3149</v>
      </c>
      <c r="L1171" s="28" t="s">
        <v>3150</v>
      </c>
      <c r="M1171" s="28" t="s">
        <v>31</v>
      </c>
      <c r="N1171" s="28" t="s">
        <v>31</v>
      </c>
      <c r="O1171" s="28" t="s">
        <v>92</v>
      </c>
      <c r="P1171" s="28" t="s">
        <v>83</v>
      </c>
      <c r="Q1171" s="28" t="s">
        <v>82</v>
      </c>
      <c r="R1171" s="28" t="s">
        <v>91</v>
      </c>
      <c r="S1171" s="28" t="s">
        <v>96</v>
      </c>
      <c r="T1171" s="28" t="s">
        <v>96</v>
      </c>
      <c r="U1171" s="28" t="s">
        <v>95</v>
      </c>
      <c r="V1171" s="28" t="s">
        <v>223</v>
      </c>
      <c r="W1171" s="28" t="s">
        <v>553</v>
      </c>
      <c r="X1171" s="28" t="s">
        <v>1749</v>
      </c>
      <c r="Y1171" s="28" t="s">
        <v>1750</v>
      </c>
      <c r="Z1171" s="28">
        <v>39834</v>
      </c>
      <c r="AA1171" s="643">
        <v>0</v>
      </c>
      <c r="AB1171" s="643">
        <v>168</v>
      </c>
      <c r="AC1171" s="643">
        <v>0</v>
      </c>
      <c r="AD1171" s="643">
        <v>0</v>
      </c>
      <c r="AE1171" s="779">
        <v>19</v>
      </c>
      <c r="AF1171" s="779">
        <v>19</v>
      </c>
      <c r="AG1171" s="780">
        <v>19.760000000000002</v>
      </c>
    </row>
    <row r="1172" spans="1:33" x14ac:dyDescent="0.2">
      <c r="A1172" s="15">
        <f t="shared" si="151"/>
        <v>2009</v>
      </c>
      <c r="B1172" s="14">
        <f t="shared" si="152"/>
        <v>2</v>
      </c>
      <c r="C1172" s="13" t="str">
        <f t="shared" si="153"/>
        <v>Q1</v>
      </c>
      <c r="D1172" s="13" t="str">
        <f t="shared" si="154"/>
        <v>2009Q1</v>
      </c>
      <c r="E1172" s="13" t="str">
        <f t="shared" si="155"/>
        <v>Panama</v>
      </c>
      <c r="F1172" s="13" t="str">
        <f t="shared" si="158"/>
        <v>Small Hydro</v>
      </c>
      <c r="G1172" s="13" t="str">
        <f t="shared" si="157"/>
        <v>Asset finance investments</v>
      </c>
      <c r="H1172" s="638">
        <f t="shared" si="156"/>
        <v>15.08</v>
      </c>
      <c r="I1172" s="27" t="s">
        <v>506</v>
      </c>
      <c r="J1172" s="28" t="s">
        <v>246</v>
      </c>
      <c r="K1172" s="28" t="s">
        <v>3151</v>
      </c>
      <c r="L1172" s="28" t="s">
        <v>881</v>
      </c>
      <c r="M1172" s="28" t="s">
        <v>19</v>
      </c>
      <c r="N1172" s="28" t="s">
        <v>85</v>
      </c>
      <c r="O1172" s="28" t="s">
        <v>92</v>
      </c>
      <c r="P1172" s="28" t="s">
        <v>83</v>
      </c>
      <c r="Q1172" s="28" t="s">
        <v>82</v>
      </c>
      <c r="R1172" s="28"/>
      <c r="S1172" s="28" t="s">
        <v>126</v>
      </c>
      <c r="T1172" s="28" t="s">
        <v>125</v>
      </c>
      <c r="U1172" s="28" t="s">
        <v>247</v>
      </c>
      <c r="V1172" s="28">
        <v>0</v>
      </c>
      <c r="W1172" s="28" t="s">
        <v>553</v>
      </c>
      <c r="X1172" s="28" t="s">
        <v>1752</v>
      </c>
      <c r="Y1172" s="28" t="s">
        <v>1753</v>
      </c>
      <c r="Z1172" s="28">
        <v>39862</v>
      </c>
      <c r="AA1172" s="643">
        <v>5.8</v>
      </c>
      <c r="AB1172" s="781">
        <v>0</v>
      </c>
      <c r="AC1172" s="781">
        <v>0</v>
      </c>
      <c r="AD1172" s="781">
        <v>0</v>
      </c>
      <c r="AE1172" s="782">
        <v>0</v>
      </c>
      <c r="AF1172" s="779">
        <v>14.5</v>
      </c>
      <c r="AG1172" s="780">
        <v>15.08</v>
      </c>
    </row>
    <row r="1173" spans="1:33" x14ac:dyDescent="0.2">
      <c r="A1173" s="15">
        <f t="shared" si="151"/>
        <v>2009</v>
      </c>
      <c r="B1173" s="14">
        <f t="shared" si="152"/>
        <v>2</v>
      </c>
      <c r="C1173" s="13" t="str">
        <f t="shared" si="153"/>
        <v>Q1</v>
      </c>
      <c r="D1173" s="13" t="str">
        <f t="shared" si="154"/>
        <v>2009Q1</v>
      </c>
      <c r="E1173" s="13" t="str">
        <f t="shared" si="155"/>
        <v>Brazil</v>
      </c>
      <c r="F1173" s="13" t="str">
        <f t="shared" si="158"/>
        <v>Biofuels</v>
      </c>
      <c r="G1173" s="13" t="str">
        <f t="shared" si="157"/>
        <v>Asset finance investments</v>
      </c>
      <c r="H1173" s="638">
        <f t="shared" si="156"/>
        <v>12.896000000000001</v>
      </c>
      <c r="I1173" s="27" t="s">
        <v>506</v>
      </c>
      <c r="J1173" s="28" t="s">
        <v>246</v>
      </c>
      <c r="K1173" s="28" t="s">
        <v>3152</v>
      </c>
      <c r="L1173" s="28" t="s">
        <v>943</v>
      </c>
      <c r="M1173" s="28" t="s">
        <v>31</v>
      </c>
      <c r="N1173" s="28" t="s">
        <v>31</v>
      </c>
      <c r="O1173" s="28" t="s">
        <v>92</v>
      </c>
      <c r="P1173" s="28" t="s">
        <v>83</v>
      </c>
      <c r="Q1173" s="28" t="s">
        <v>82</v>
      </c>
      <c r="R1173" s="28" t="s">
        <v>91</v>
      </c>
      <c r="S1173" s="28" t="s">
        <v>96</v>
      </c>
      <c r="T1173" s="28" t="s">
        <v>96</v>
      </c>
      <c r="U1173" s="28" t="s">
        <v>98</v>
      </c>
      <c r="V1173" s="28" t="s">
        <v>230</v>
      </c>
      <c r="W1173" s="28" t="s">
        <v>553</v>
      </c>
      <c r="X1173" s="28" t="s">
        <v>1749</v>
      </c>
      <c r="Y1173" s="28" t="s">
        <v>1750</v>
      </c>
      <c r="Z1173" s="28">
        <v>39856</v>
      </c>
      <c r="AA1173" s="643">
        <v>0</v>
      </c>
      <c r="AB1173" s="776">
        <v>129</v>
      </c>
      <c r="AC1173" s="776">
        <v>0</v>
      </c>
      <c r="AD1173" s="776">
        <v>0</v>
      </c>
      <c r="AE1173" s="777">
        <v>12.4</v>
      </c>
      <c r="AF1173" s="779">
        <v>12.4</v>
      </c>
      <c r="AG1173" s="780">
        <v>12.896000000000001</v>
      </c>
    </row>
    <row r="1174" spans="1:33" x14ac:dyDescent="0.2">
      <c r="A1174" s="15">
        <f t="shared" si="151"/>
        <v>2009</v>
      </c>
      <c r="B1174" s="14">
        <f t="shared" si="152"/>
        <v>3</v>
      </c>
      <c r="C1174" s="13" t="str">
        <f t="shared" si="153"/>
        <v>Q1</v>
      </c>
      <c r="D1174" s="13" t="str">
        <f t="shared" si="154"/>
        <v>2009Q1</v>
      </c>
      <c r="E1174" s="13" t="str">
        <f t="shared" si="155"/>
        <v>Chile</v>
      </c>
      <c r="F1174" s="13" t="str">
        <f t="shared" si="158"/>
        <v>Small Hydro</v>
      </c>
      <c r="G1174" s="13" t="str">
        <f t="shared" si="157"/>
        <v>Asset finance investments</v>
      </c>
      <c r="H1174" s="638">
        <f t="shared" si="156"/>
        <v>12.48</v>
      </c>
      <c r="I1174" s="27" t="s">
        <v>506</v>
      </c>
      <c r="J1174" s="28" t="s">
        <v>246</v>
      </c>
      <c r="K1174" s="28" t="s">
        <v>3153</v>
      </c>
      <c r="L1174" s="28" t="s">
        <v>1045</v>
      </c>
      <c r="M1174" s="28" t="s">
        <v>8</v>
      </c>
      <c r="N1174" s="28" t="s">
        <v>85</v>
      </c>
      <c r="O1174" s="28" t="s">
        <v>92</v>
      </c>
      <c r="P1174" s="28" t="s">
        <v>83</v>
      </c>
      <c r="Q1174" s="28" t="s">
        <v>129</v>
      </c>
      <c r="R1174" s="28"/>
      <c r="S1174" s="28" t="s">
        <v>126</v>
      </c>
      <c r="T1174" s="28" t="s">
        <v>125</v>
      </c>
      <c r="U1174" s="28" t="s">
        <v>247</v>
      </c>
      <c r="V1174" s="28">
        <v>0</v>
      </c>
      <c r="W1174" s="28" t="s">
        <v>553</v>
      </c>
      <c r="X1174" s="28" t="s">
        <v>1752</v>
      </c>
      <c r="Y1174" s="28" t="s">
        <v>1753</v>
      </c>
      <c r="Z1174" s="28">
        <v>39903</v>
      </c>
      <c r="AA1174" s="643">
        <v>12</v>
      </c>
      <c r="AB1174" s="776">
        <v>0</v>
      </c>
      <c r="AC1174" s="776">
        <v>0</v>
      </c>
      <c r="AD1174" s="776">
        <v>0</v>
      </c>
      <c r="AE1174" s="777">
        <v>12</v>
      </c>
      <c r="AF1174" s="779">
        <v>12</v>
      </c>
      <c r="AG1174" s="780">
        <v>12.48</v>
      </c>
    </row>
    <row r="1175" spans="1:33" x14ac:dyDescent="0.2">
      <c r="A1175" s="15">
        <f t="shared" si="151"/>
        <v>2009</v>
      </c>
      <c r="B1175" s="14">
        <f t="shared" si="152"/>
        <v>3</v>
      </c>
      <c r="C1175" s="13" t="str">
        <f t="shared" si="153"/>
        <v>Q1</v>
      </c>
      <c r="D1175" s="13" t="str">
        <f t="shared" si="154"/>
        <v>2009Q1</v>
      </c>
      <c r="E1175" s="13" t="str">
        <f t="shared" si="155"/>
        <v>Brazil</v>
      </c>
      <c r="F1175" s="13" t="str">
        <f t="shared" si="158"/>
        <v>Biomass &amp; Waste</v>
      </c>
      <c r="G1175" s="13" t="str">
        <f t="shared" si="157"/>
        <v>Asset finance investments</v>
      </c>
      <c r="H1175" s="638">
        <f t="shared" si="156"/>
        <v>9.6720000000000006</v>
      </c>
      <c r="I1175" s="27" t="s">
        <v>506</v>
      </c>
      <c r="J1175" s="28" t="s">
        <v>246</v>
      </c>
      <c r="K1175" s="28" t="s">
        <v>3154</v>
      </c>
      <c r="L1175" s="28" t="s">
        <v>1065</v>
      </c>
      <c r="M1175" s="28" t="s">
        <v>31</v>
      </c>
      <c r="N1175" s="28" t="s">
        <v>31</v>
      </c>
      <c r="O1175" s="28" t="s">
        <v>92</v>
      </c>
      <c r="P1175" s="28" t="s">
        <v>83</v>
      </c>
      <c r="Q1175" s="28" t="s">
        <v>82</v>
      </c>
      <c r="R1175" s="28" t="s">
        <v>91</v>
      </c>
      <c r="S1175" s="28" t="s">
        <v>114</v>
      </c>
      <c r="T1175" s="28" t="s">
        <v>114</v>
      </c>
      <c r="U1175" s="28" t="s">
        <v>113</v>
      </c>
      <c r="V1175" s="28" t="s">
        <v>347</v>
      </c>
      <c r="W1175" s="28" t="s">
        <v>553</v>
      </c>
      <c r="X1175" s="28" t="s">
        <v>1749</v>
      </c>
      <c r="Y1175" s="28" t="s">
        <v>1750</v>
      </c>
      <c r="Z1175" s="28">
        <v>39903</v>
      </c>
      <c r="AA1175" s="643">
        <v>4.5</v>
      </c>
      <c r="AB1175" s="776">
        <v>0</v>
      </c>
      <c r="AC1175" s="776">
        <v>0</v>
      </c>
      <c r="AD1175" s="776">
        <v>0</v>
      </c>
      <c r="AE1175" s="777">
        <v>9.3000000000000007</v>
      </c>
      <c r="AF1175" s="779">
        <v>9.3000000000000007</v>
      </c>
      <c r="AG1175" s="780">
        <v>9.6720000000000006</v>
      </c>
    </row>
    <row r="1176" spans="1:33" x14ac:dyDescent="0.2">
      <c r="A1176" s="15">
        <f t="shared" si="151"/>
        <v>2009</v>
      </c>
      <c r="B1176" s="14">
        <f t="shared" si="152"/>
        <v>3</v>
      </c>
      <c r="C1176" s="13" t="str">
        <f t="shared" si="153"/>
        <v>Q1</v>
      </c>
      <c r="D1176" s="13" t="str">
        <f t="shared" si="154"/>
        <v>2009Q1</v>
      </c>
      <c r="E1176" s="13" t="str">
        <f t="shared" si="155"/>
        <v>Brazil</v>
      </c>
      <c r="F1176" s="13" t="str">
        <f t="shared" si="158"/>
        <v>Small Hydro</v>
      </c>
      <c r="G1176" s="13" t="str">
        <f t="shared" si="157"/>
        <v>Asset finance investments</v>
      </c>
      <c r="H1176" s="638">
        <f t="shared" si="156"/>
        <v>8.1120000000000001</v>
      </c>
      <c r="I1176" s="27" t="s">
        <v>506</v>
      </c>
      <c r="J1176" s="28" t="s">
        <v>246</v>
      </c>
      <c r="K1176" s="28" t="s">
        <v>3155</v>
      </c>
      <c r="L1176" s="28" t="s">
        <v>921</v>
      </c>
      <c r="M1176" s="28" t="s">
        <v>31</v>
      </c>
      <c r="N1176" s="28" t="s">
        <v>31</v>
      </c>
      <c r="O1176" s="28" t="s">
        <v>92</v>
      </c>
      <c r="P1176" s="28" t="s">
        <v>83</v>
      </c>
      <c r="Q1176" s="28" t="s">
        <v>82</v>
      </c>
      <c r="R1176" s="28" t="s">
        <v>91</v>
      </c>
      <c r="S1176" s="28" t="s">
        <v>126</v>
      </c>
      <c r="T1176" s="28" t="s">
        <v>125</v>
      </c>
      <c r="U1176" s="28" t="s">
        <v>247</v>
      </c>
      <c r="V1176" s="28">
        <v>0</v>
      </c>
      <c r="W1176" s="28" t="s">
        <v>553</v>
      </c>
      <c r="X1176" s="28" t="s">
        <v>1749</v>
      </c>
      <c r="Y1176" s="28" t="s">
        <v>1750</v>
      </c>
      <c r="Z1176" s="28">
        <v>39903</v>
      </c>
      <c r="AA1176" s="643">
        <v>3.5</v>
      </c>
      <c r="AB1176" s="776">
        <v>0</v>
      </c>
      <c r="AC1176" s="776">
        <v>0</v>
      </c>
      <c r="AD1176" s="776">
        <v>0</v>
      </c>
      <c r="AE1176" s="777">
        <v>7.8</v>
      </c>
      <c r="AF1176" s="779">
        <v>7.8</v>
      </c>
      <c r="AG1176" s="780">
        <v>8.1120000000000001</v>
      </c>
    </row>
    <row r="1177" spans="1:33" x14ac:dyDescent="0.2">
      <c r="A1177" s="15">
        <f t="shared" si="151"/>
        <v>2009</v>
      </c>
      <c r="B1177" s="14">
        <f t="shared" si="152"/>
        <v>1</v>
      </c>
      <c r="C1177" s="13" t="str">
        <f t="shared" si="153"/>
        <v>Q1</v>
      </c>
      <c r="D1177" s="13" t="str">
        <f t="shared" si="154"/>
        <v>2009Q1</v>
      </c>
      <c r="E1177" s="13" t="str">
        <f t="shared" si="155"/>
        <v>Argentina</v>
      </c>
      <c r="F1177" s="13" t="str">
        <f t="shared" si="158"/>
        <v>Wind</v>
      </c>
      <c r="G1177" s="13" t="str">
        <f t="shared" si="157"/>
        <v>Asset finance investments</v>
      </c>
      <c r="H1177" s="638">
        <f t="shared" si="156"/>
        <v>6.24</v>
      </c>
      <c r="I1177" s="27" t="s">
        <v>506</v>
      </c>
      <c r="J1177" s="28" t="s">
        <v>246</v>
      </c>
      <c r="K1177" s="28" t="s">
        <v>3156</v>
      </c>
      <c r="L1177" s="28" t="s">
        <v>980</v>
      </c>
      <c r="M1177" s="28" t="s">
        <v>4</v>
      </c>
      <c r="N1177" s="28" t="s">
        <v>85</v>
      </c>
      <c r="O1177" s="28" t="s">
        <v>92</v>
      </c>
      <c r="P1177" s="28" t="s">
        <v>83</v>
      </c>
      <c r="Q1177" s="28" t="s">
        <v>82</v>
      </c>
      <c r="R1177" s="28"/>
      <c r="S1177" s="28" t="s">
        <v>101</v>
      </c>
      <c r="T1177" s="28" t="s">
        <v>101</v>
      </c>
      <c r="U1177" s="28" t="s">
        <v>112</v>
      </c>
      <c r="V1177" s="28">
        <v>0</v>
      </c>
      <c r="W1177" s="28" t="s">
        <v>553</v>
      </c>
      <c r="X1177" s="28" t="s">
        <v>1752</v>
      </c>
      <c r="Y1177" s="28" t="s">
        <v>1753</v>
      </c>
      <c r="Z1177" s="28">
        <v>39844</v>
      </c>
      <c r="AA1177" s="643">
        <v>2.1</v>
      </c>
      <c r="AB1177" s="776">
        <v>0</v>
      </c>
      <c r="AC1177" s="776">
        <v>0</v>
      </c>
      <c r="AD1177" s="776">
        <v>0</v>
      </c>
      <c r="AE1177" s="777">
        <v>6</v>
      </c>
      <c r="AF1177" s="779">
        <v>6</v>
      </c>
      <c r="AG1177" s="780">
        <v>6.24</v>
      </c>
    </row>
    <row r="1178" spans="1:33" x14ac:dyDescent="0.2">
      <c r="A1178" s="15">
        <f t="shared" si="151"/>
        <v>2009</v>
      </c>
      <c r="B1178" s="14">
        <f t="shared" si="152"/>
        <v>3</v>
      </c>
      <c r="C1178" s="13" t="str">
        <f t="shared" si="153"/>
        <v>Q1</v>
      </c>
      <c r="D1178" s="13" t="str">
        <f t="shared" si="154"/>
        <v>2009Q1</v>
      </c>
      <c r="E1178" s="13" t="str">
        <f t="shared" si="155"/>
        <v>Peru</v>
      </c>
      <c r="F1178" s="13" t="str">
        <f t="shared" si="158"/>
        <v>Small Hydro</v>
      </c>
      <c r="G1178" s="13" t="str">
        <f t="shared" si="157"/>
        <v>Asset finance investments</v>
      </c>
      <c r="H1178" s="638">
        <f t="shared" si="156"/>
        <v>5.9217599999999999</v>
      </c>
      <c r="I1178" s="27" t="s">
        <v>506</v>
      </c>
      <c r="J1178" s="28" t="s">
        <v>246</v>
      </c>
      <c r="K1178" s="28" t="s">
        <v>3157</v>
      </c>
      <c r="L1178" s="28" t="s">
        <v>724</v>
      </c>
      <c r="M1178" s="28" t="s">
        <v>20</v>
      </c>
      <c r="N1178" s="28" t="s">
        <v>85</v>
      </c>
      <c r="O1178" s="28" t="s">
        <v>92</v>
      </c>
      <c r="P1178" s="28" t="s">
        <v>83</v>
      </c>
      <c r="Q1178" s="28" t="s">
        <v>82</v>
      </c>
      <c r="R1178" s="28"/>
      <c r="S1178" s="28" t="s">
        <v>126</v>
      </c>
      <c r="T1178" s="28" t="s">
        <v>125</v>
      </c>
      <c r="U1178" s="28" t="s">
        <v>247</v>
      </c>
      <c r="V1178" s="28">
        <v>0</v>
      </c>
      <c r="W1178" s="28" t="s">
        <v>553</v>
      </c>
      <c r="X1178" s="28" t="s">
        <v>1752</v>
      </c>
      <c r="Y1178" s="28" t="s">
        <v>1753</v>
      </c>
      <c r="Z1178" s="28">
        <v>39903</v>
      </c>
      <c r="AA1178" s="643">
        <v>3.9</v>
      </c>
      <c r="AB1178" s="776">
        <v>0</v>
      </c>
      <c r="AC1178" s="776">
        <v>0</v>
      </c>
      <c r="AD1178" s="776">
        <v>0</v>
      </c>
      <c r="AE1178" s="777">
        <v>0</v>
      </c>
      <c r="AF1178" s="779">
        <v>5.694</v>
      </c>
      <c r="AG1178" s="780">
        <v>5.9217599999999999</v>
      </c>
    </row>
    <row r="1179" spans="1:33" x14ac:dyDescent="0.2">
      <c r="A1179" s="15">
        <f t="shared" si="151"/>
        <v>2009</v>
      </c>
      <c r="B1179" s="14">
        <f t="shared" si="152"/>
        <v>3</v>
      </c>
      <c r="C1179" s="13" t="str">
        <f t="shared" si="153"/>
        <v>Q1</v>
      </c>
      <c r="D1179" s="13" t="str">
        <f t="shared" si="154"/>
        <v>2009Q1</v>
      </c>
      <c r="E1179" s="13" t="str">
        <f t="shared" si="155"/>
        <v>Mexico</v>
      </c>
      <c r="F1179" s="13" t="str">
        <f t="shared" si="158"/>
        <v>Biomass &amp; Waste</v>
      </c>
      <c r="G1179" s="13" t="str">
        <f t="shared" si="157"/>
        <v>Asset finance investments</v>
      </c>
      <c r="H1179" s="638">
        <f t="shared" si="156"/>
        <v>3.12</v>
      </c>
      <c r="I1179" s="27" t="s">
        <v>506</v>
      </c>
      <c r="J1179" s="28" t="s">
        <v>246</v>
      </c>
      <c r="K1179" s="28" t="s">
        <v>3158</v>
      </c>
      <c r="L1179" s="28" t="s">
        <v>850</v>
      </c>
      <c r="M1179" s="28" t="s">
        <v>18</v>
      </c>
      <c r="N1179" s="28" t="s">
        <v>85</v>
      </c>
      <c r="O1179" s="28" t="s">
        <v>92</v>
      </c>
      <c r="P1179" s="28" t="s">
        <v>83</v>
      </c>
      <c r="Q1179" s="28" t="s">
        <v>129</v>
      </c>
      <c r="R1179" s="28"/>
      <c r="S1179" s="28" t="s">
        <v>114</v>
      </c>
      <c r="T1179" s="28" t="s">
        <v>114</v>
      </c>
      <c r="U1179" s="28" t="s">
        <v>113</v>
      </c>
      <c r="V1179" s="28" t="s">
        <v>722</v>
      </c>
      <c r="W1179" s="28" t="s">
        <v>553</v>
      </c>
      <c r="X1179" s="28" t="s">
        <v>1752</v>
      </c>
      <c r="Y1179" s="28" t="s">
        <v>1753</v>
      </c>
      <c r="Z1179" s="28">
        <v>39893</v>
      </c>
      <c r="AA1179" s="643">
        <v>1.95</v>
      </c>
      <c r="AB1179" s="776">
        <v>0</v>
      </c>
      <c r="AC1179" s="776">
        <v>0</v>
      </c>
      <c r="AD1179" s="776">
        <v>0</v>
      </c>
      <c r="AE1179" s="777">
        <v>3</v>
      </c>
      <c r="AF1179" s="779">
        <v>3</v>
      </c>
      <c r="AG1179" s="780">
        <v>3.12</v>
      </c>
    </row>
    <row r="1180" spans="1:33" x14ac:dyDescent="0.2">
      <c r="A1180" s="15">
        <f t="shared" si="151"/>
        <v>2008</v>
      </c>
      <c r="B1180" s="14">
        <f t="shared" si="152"/>
        <v>2</v>
      </c>
      <c r="C1180" s="13" t="str">
        <f t="shared" si="153"/>
        <v>Q1</v>
      </c>
      <c r="D1180" s="13" t="str">
        <f t="shared" si="154"/>
        <v>2008Q1</v>
      </c>
      <c r="E1180" s="13" t="str">
        <f t="shared" si="155"/>
        <v>Brazil</v>
      </c>
      <c r="F1180" s="13" t="str">
        <f t="shared" si="158"/>
        <v>Small Hydro</v>
      </c>
      <c r="G1180" s="13" t="str">
        <f t="shared" si="157"/>
        <v>Asset finance investments</v>
      </c>
      <c r="H1180" s="638">
        <f t="shared" si="156"/>
        <v>164.8</v>
      </c>
      <c r="I1180" s="27" t="s">
        <v>506</v>
      </c>
      <c r="J1180" s="28" t="s">
        <v>246</v>
      </c>
      <c r="K1180" s="28" t="s">
        <v>3159</v>
      </c>
      <c r="L1180" s="28" t="s">
        <v>3160</v>
      </c>
      <c r="M1180" s="28" t="s">
        <v>31</v>
      </c>
      <c r="N1180" s="28" t="s">
        <v>31</v>
      </c>
      <c r="O1180" s="28" t="s">
        <v>92</v>
      </c>
      <c r="P1180" s="28" t="s">
        <v>83</v>
      </c>
      <c r="Q1180" s="28" t="s">
        <v>82</v>
      </c>
      <c r="R1180" s="28" t="s">
        <v>91</v>
      </c>
      <c r="S1180" s="28" t="s">
        <v>126</v>
      </c>
      <c r="T1180" s="28" t="s">
        <v>125</v>
      </c>
      <c r="U1180" s="28" t="s">
        <v>247</v>
      </c>
      <c r="V1180" s="28">
        <v>0</v>
      </c>
      <c r="W1180" s="28" t="s">
        <v>553</v>
      </c>
      <c r="X1180" s="28" t="s">
        <v>1749</v>
      </c>
      <c r="Y1180" s="28" t="s">
        <v>1750</v>
      </c>
      <c r="Z1180" s="28">
        <v>39479</v>
      </c>
      <c r="AA1180" s="643">
        <v>29</v>
      </c>
      <c r="AB1180" s="776">
        <v>0</v>
      </c>
      <c r="AC1180" s="776">
        <v>0</v>
      </c>
      <c r="AD1180" s="776">
        <v>0</v>
      </c>
      <c r="AE1180" s="777">
        <v>160</v>
      </c>
      <c r="AF1180" s="779">
        <v>160</v>
      </c>
      <c r="AG1180" s="780">
        <v>164.8</v>
      </c>
    </row>
    <row r="1181" spans="1:33" x14ac:dyDescent="0.2">
      <c r="A1181" s="15">
        <f t="shared" si="151"/>
        <v>2008</v>
      </c>
      <c r="B1181" s="14">
        <f t="shared" si="152"/>
        <v>1</v>
      </c>
      <c r="C1181" s="13" t="str">
        <f t="shared" si="153"/>
        <v>Q1</v>
      </c>
      <c r="D1181" s="13" t="str">
        <f t="shared" si="154"/>
        <v>2008Q1</v>
      </c>
      <c r="E1181" s="13" t="str">
        <f t="shared" si="155"/>
        <v>Brazil</v>
      </c>
      <c r="F1181" s="13" t="str">
        <f t="shared" si="158"/>
        <v>Biomass &amp; Waste</v>
      </c>
      <c r="G1181" s="13" t="str">
        <f t="shared" si="157"/>
        <v>Asset finance investments</v>
      </c>
      <c r="H1181" s="638">
        <f t="shared" si="156"/>
        <v>114.536</v>
      </c>
      <c r="I1181" s="27" t="s">
        <v>506</v>
      </c>
      <c r="J1181" s="28" t="s">
        <v>246</v>
      </c>
      <c r="K1181" s="28" t="s">
        <v>3161</v>
      </c>
      <c r="L1181" s="28" t="s">
        <v>646</v>
      </c>
      <c r="M1181" s="28" t="s">
        <v>31</v>
      </c>
      <c r="N1181" s="28" t="s">
        <v>31</v>
      </c>
      <c r="O1181" s="28" t="s">
        <v>92</v>
      </c>
      <c r="P1181" s="28" t="s">
        <v>83</v>
      </c>
      <c r="Q1181" s="28" t="s">
        <v>82</v>
      </c>
      <c r="R1181" s="28" t="s">
        <v>91</v>
      </c>
      <c r="S1181" s="28" t="s">
        <v>114</v>
      </c>
      <c r="T1181" s="28" t="s">
        <v>114</v>
      </c>
      <c r="U1181" s="28" t="s">
        <v>113</v>
      </c>
      <c r="V1181" s="28">
        <v>0</v>
      </c>
      <c r="W1181" s="28" t="s">
        <v>553</v>
      </c>
      <c r="X1181" s="28" t="s">
        <v>1752</v>
      </c>
      <c r="Y1181" s="28" t="s">
        <v>1753</v>
      </c>
      <c r="Z1181" s="28">
        <v>39449</v>
      </c>
      <c r="AA1181" s="643">
        <v>55.6</v>
      </c>
      <c r="AB1181" s="776">
        <v>0</v>
      </c>
      <c r="AC1181" s="776">
        <v>0</v>
      </c>
      <c r="AD1181" s="776">
        <v>0</v>
      </c>
      <c r="AE1181" s="777">
        <v>0</v>
      </c>
      <c r="AF1181" s="779">
        <v>111.2</v>
      </c>
      <c r="AG1181" s="780">
        <v>114.536</v>
      </c>
    </row>
    <row r="1182" spans="1:33" x14ac:dyDescent="0.2">
      <c r="A1182" s="15">
        <f t="shared" si="151"/>
        <v>2008</v>
      </c>
      <c r="B1182" s="14">
        <f t="shared" si="152"/>
        <v>1</v>
      </c>
      <c r="C1182" s="13" t="str">
        <f t="shared" si="153"/>
        <v>Q1</v>
      </c>
      <c r="D1182" s="13" t="str">
        <f t="shared" si="154"/>
        <v>2008Q1</v>
      </c>
      <c r="E1182" s="13" t="str">
        <f t="shared" si="155"/>
        <v>Brazil</v>
      </c>
      <c r="F1182" s="13" t="str">
        <f t="shared" si="158"/>
        <v>Biofuels</v>
      </c>
      <c r="G1182" s="13" t="str">
        <f t="shared" si="157"/>
        <v>Asset finance investments</v>
      </c>
      <c r="H1182" s="638">
        <f t="shared" si="156"/>
        <v>114.021</v>
      </c>
      <c r="I1182" s="27" t="s">
        <v>506</v>
      </c>
      <c r="J1182" s="28" t="s">
        <v>246</v>
      </c>
      <c r="K1182" s="28" t="s">
        <v>3162</v>
      </c>
      <c r="L1182" s="28" t="s">
        <v>618</v>
      </c>
      <c r="M1182" s="28" t="s">
        <v>31</v>
      </c>
      <c r="N1182" s="28" t="s">
        <v>31</v>
      </c>
      <c r="O1182" s="28" t="s">
        <v>92</v>
      </c>
      <c r="P1182" s="28" t="s">
        <v>83</v>
      </c>
      <c r="Q1182" s="28" t="s">
        <v>82</v>
      </c>
      <c r="R1182" s="28" t="s">
        <v>91</v>
      </c>
      <c r="S1182" s="28" t="s">
        <v>96</v>
      </c>
      <c r="T1182" s="28" t="s">
        <v>96</v>
      </c>
      <c r="U1182" s="28" t="s">
        <v>98</v>
      </c>
      <c r="V1182" s="28">
        <v>0</v>
      </c>
      <c r="W1182" s="28" t="s">
        <v>553</v>
      </c>
      <c r="X1182" s="28" t="s">
        <v>1752</v>
      </c>
      <c r="Y1182" s="28" t="s">
        <v>1753</v>
      </c>
      <c r="Z1182" s="28">
        <v>39448</v>
      </c>
      <c r="AA1182" s="643">
        <v>0</v>
      </c>
      <c r="AB1182" s="776">
        <v>90</v>
      </c>
      <c r="AC1182" s="776">
        <v>0</v>
      </c>
      <c r="AD1182" s="776">
        <v>0</v>
      </c>
      <c r="AE1182" s="777">
        <v>0</v>
      </c>
      <c r="AF1182" s="779">
        <v>110.7</v>
      </c>
      <c r="AG1182" s="780">
        <v>114.021</v>
      </c>
    </row>
    <row r="1183" spans="1:33" x14ac:dyDescent="0.2">
      <c r="A1183" s="15">
        <f t="shared" si="151"/>
        <v>2008</v>
      </c>
      <c r="B1183" s="14">
        <f t="shared" si="152"/>
        <v>1</v>
      </c>
      <c r="C1183" s="13" t="str">
        <f t="shared" si="153"/>
        <v>Q1</v>
      </c>
      <c r="D1183" s="13" t="str">
        <f t="shared" si="154"/>
        <v>2008Q1</v>
      </c>
      <c r="E1183" s="13" t="str">
        <f t="shared" si="155"/>
        <v>Brazil</v>
      </c>
      <c r="F1183" s="13" t="str">
        <f t="shared" si="158"/>
        <v>Small Hydro</v>
      </c>
      <c r="G1183" s="13" t="str">
        <f t="shared" si="157"/>
        <v>Asset finance investments</v>
      </c>
      <c r="H1183" s="638">
        <f t="shared" si="156"/>
        <v>108.253</v>
      </c>
      <c r="I1183" s="27" t="s">
        <v>506</v>
      </c>
      <c r="J1183" s="28" t="s">
        <v>246</v>
      </c>
      <c r="K1183" s="28" t="s">
        <v>3163</v>
      </c>
      <c r="L1183" s="28" t="s">
        <v>1084</v>
      </c>
      <c r="M1183" s="28" t="s">
        <v>31</v>
      </c>
      <c r="N1183" s="28" t="s">
        <v>31</v>
      </c>
      <c r="O1183" s="28" t="s">
        <v>92</v>
      </c>
      <c r="P1183" s="28" t="s">
        <v>83</v>
      </c>
      <c r="Q1183" s="28" t="s">
        <v>82</v>
      </c>
      <c r="R1183" s="28" t="s">
        <v>91</v>
      </c>
      <c r="S1183" s="28" t="s">
        <v>126</v>
      </c>
      <c r="T1183" s="28" t="s">
        <v>125</v>
      </c>
      <c r="U1183" s="28" t="s">
        <v>247</v>
      </c>
      <c r="V1183" s="28">
        <v>0</v>
      </c>
      <c r="W1183" s="28" t="s">
        <v>553</v>
      </c>
      <c r="X1183" s="28" t="s">
        <v>1749</v>
      </c>
      <c r="Y1183" s="28" t="s">
        <v>1750</v>
      </c>
      <c r="Z1183" s="28">
        <v>39449</v>
      </c>
      <c r="AA1183" s="643">
        <v>61.5</v>
      </c>
      <c r="AB1183" s="776">
        <v>0</v>
      </c>
      <c r="AC1183" s="776">
        <v>0</v>
      </c>
      <c r="AD1183" s="776">
        <v>0</v>
      </c>
      <c r="AE1183" s="777">
        <v>105.1</v>
      </c>
      <c r="AF1183" s="779">
        <v>105.1</v>
      </c>
      <c r="AG1183" s="780">
        <v>108.253</v>
      </c>
    </row>
    <row r="1184" spans="1:33" x14ac:dyDescent="0.2">
      <c r="A1184" s="15">
        <f t="shared" si="151"/>
        <v>2008</v>
      </c>
      <c r="B1184" s="14">
        <f t="shared" si="152"/>
        <v>1</v>
      </c>
      <c r="C1184" s="13" t="str">
        <f t="shared" si="153"/>
        <v>Q1</v>
      </c>
      <c r="D1184" s="13" t="str">
        <f t="shared" si="154"/>
        <v>2008Q1</v>
      </c>
      <c r="E1184" s="13" t="str">
        <f t="shared" si="155"/>
        <v>Brazil</v>
      </c>
      <c r="F1184" s="13" t="str">
        <f t="shared" si="158"/>
        <v>Biofuels</v>
      </c>
      <c r="G1184" s="13" t="str">
        <f t="shared" si="157"/>
        <v>Asset finance investments</v>
      </c>
      <c r="H1184" s="638">
        <f t="shared" si="156"/>
        <v>105.06</v>
      </c>
      <c r="I1184" s="27" t="s">
        <v>506</v>
      </c>
      <c r="J1184" s="28" t="s">
        <v>246</v>
      </c>
      <c r="K1184" s="28" t="s">
        <v>3164</v>
      </c>
      <c r="L1184" s="28" t="s">
        <v>1043</v>
      </c>
      <c r="M1184" s="28" t="s">
        <v>31</v>
      </c>
      <c r="N1184" s="28" t="s">
        <v>31</v>
      </c>
      <c r="O1184" s="28" t="s">
        <v>92</v>
      </c>
      <c r="P1184" s="28" t="s">
        <v>83</v>
      </c>
      <c r="Q1184" s="28" t="s">
        <v>82</v>
      </c>
      <c r="R1184" s="28" t="s">
        <v>91</v>
      </c>
      <c r="S1184" s="28" t="s">
        <v>96</v>
      </c>
      <c r="T1184" s="28" t="s">
        <v>96</v>
      </c>
      <c r="U1184" s="28" t="s">
        <v>98</v>
      </c>
      <c r="V1184" s="28">
        <v>0</v>
      </c>
      <c r="W1184" s="28" t="s">
        <v>553</v>
      </c>
      <c r="X1184" s="28" t="s">
        <v>1752</v>
      </c>
      <c r="Y1184" s="28" t="s">
        <v>1753</v>
      </c>
      <c r="Z1184" s="28">
        <v>39450</v>
      </c>
      <c r="AA1184" s="643">
        <v>20</v>
      </c>
      <c r="AB1184" s="776">
        <v>90</v>
      </c>
      <c r="AC1184" s="776">
        <v>0</v>
      </c>
      <c r="AD1184" s="776">
        <v>0</v>
      </c>
      <c r="AE1184" s="777">
        <v>102</v>
      </c>
      <c r="AF1184" s="779">
        <v>102</v>
      </c>
      <c r="AG1184" s="780">
        <v>105.06</v>
      </c>
    </row>
    <row r="1185" spans="1:33" x14ac:dyDescent="0.2">
      <c r="A1185" s="15">
        <f t="shared" si="151"/>
        <v>2008</v>
      </c>
      <c r="B1185" s="14">
        <f t="shared" si="152"/>
        <v>1</v>
      </c>
      <c r="C1185" s="13" t="str">
        <f t="shared" si="153"/>
        <v>Q1</v>
      </c>
      <c r="D1185" s="13" t="str">
        <f t="shared" si="154"/>
        <v>2008Q1</v>
      </c>
      <c r="E1185" s="13" t="str">
        <f t="shared" si="155"/>
        <v>Panama</v>
      </c>
      <c r="F1185" s="13" t="str">
        <f t="shared" si="158"/>
        <v>Small Hydro</v>
      </c>
      <c r="G1185" s="13" t="str">
        <f t="shared" si="157"/>
        <v>Asset finance investments</v>
      </c>
      <c r="H1185" s="638">
        <f t="shared" si="156"/>
        <v>94.76</v>
      </c>
      <c r="I1185" s="27" t="s">
        <v>506</v>
      </c>
      <c r="J1185" s="28" t="s">
        <v>246</v>
      </c>
      <c r="K1185" s="28" t="s">
        <v>3165</v>
      </c>
      <c r="L1185" s="28" t="s">
        <v>883</v>
      </c>
      <c r="M1185" s="28" t="s">
        <v>19</v>
      </c>
      <c r="N1185" s="28" t="s">
        <v>85</v>
      </c>
      <c r="O1185" s="28" t="s">
        <v>92</v>
      </c>
      <c r="P1185" s="28" t="s">
        <v>83</v>
      </c>
      <c r="Q1185" s="28" t="s">
        <v>82</v>
      </c>
      <c r="R1185" s="28"/>
      <c r="S1185" s="28" t="s">
        <v>126</v>
      </c>
      <c r="T1185" s="28" t="s">
        <v>125</v>
      </c>
      <c r="U1185" s="28" t="s">
        <v>247</v>
      </c>
      <c r="V1185" s="28">
        <v>0</v>
      </c>
      <c r="W1185" s="28" t="s">
        <v>553</v>
      </c>
      <c r="X1185" s="28" t="s">
        <v>1752</v>
      </c>
      <c r="Y1185" s="28" t="s">
        <v>1753</v>
      </c>
      <c r="Z1185" s="28">
        <v>39457</v>
      </c>
      <c r="AA1185" s="643">
        <v>36.799999999999997</v>
      </c>
      <c r="AB1185" s="776">
        <v>0</v>
      </c>
      <c r="AC1185" s="776">
        <v>0</v>
      </c>
      <c r="AD1185" s="776">
        <v>0</v>
      </c>
      <c r="AE1185" s="777">
        <v>0</v>
      </c>
      <c r="AF1185" s="779">
        <v>92</v>
      </c>
      <c r="AG1185" s="780">
        <v>94.76</v>
      </c>
    </row>
    <row r="1186" spans="1:33" x14ac:dyDescent="0.2">
      <c r="A1186" s="15">
        <f t="shared" si="151"/>
        <v>2008</v>
      </c>
      <c r="B1186" s="14">
        <f t="shared" si="152"/>
        <v>3</v>
      </c>
      <c r="C1186" s="13" t="str">
        <f t="shared" si="153"/>
        <v>Q1</v>
      </c>
      <c r="D1186" s="13" t="str">
        <f t="shared" si="154"/>
        <v>2008Q1</v>
      </c>
      <c r="E1186" s="13" t="str">
        <f t="shared" si="155"/>
        <v>Brazil</v>
      </c>
      <c r="F1186" s="13" t="str">
        <f t="shared" si="158"/>
        <v>Biofuels</v>
      </c>
      <c r="G1186" s="13" t="str">
        <f t="shared" si="157"/>
        <v>Asset finance investments</v>
      </c>
      <c r="H1186" s="638">
        <f t="shared" si="156"/>
        <v>93.62700000000001</v>
      </c>
      <c r="I1186" s="27" t="s">
        <v>506</v>
      </c>
      <c r="J1186" s="28" t="s">
        <v>246</v>
      </c>
      <c r="K1186" s="28" t="s">
        <v>3166</v>
      </c>
      <c r="L1186" s="28" t="s">
        <v>976</v>
      </c>
      <c r="M1186" s="28" t="s">
        <v>31</v>
      </c>
      <c r="N1186" s="28" t="s">
        <v>31</v>
      </c>
      <c r="O1186" s="28" t="s">
        <v>92</v>
      </c>
      <c r="P1186" s="28" t="s">
        <v>83</v>
      </c>
      <c r="Q1186" s="28" t="s">
        <v>82</v>
      </c>
      <c r="R1186" s="28" t="s">
        <v>91</v>
      </c>
      <c r="S1186" s="28" t="s">
        <v>96</v>
      </c>
      <c r="T1186" s="28" t="s">
        <v>96</v>
      </c>
      <c r="U1186" s="28" t="s">
        <v>98</v>
      </c>
      <c r="V1186" s="28" t="s">
        <v>230</v>
      </c>
      <c r="W1186" s="28" t="s">
        <v>553</v>
      </c>
      <c r="X1186" s="28" t="s">
        <v>1749</v>
      </c>
      <c r="Y1186" s="28" t="s">
        <v>1750</v>
      </c>
      <c r="Z1186" s="28">
        <v>39510</v>
      </c>
      <c r="AA1186" s="643">
        <v>65</v>
      </c>
      <c r="AB1186" s="776">
        <v>0</v>
      </c>
      <c r="AC1186" s="776">
        <v>0</v>
      </c>
      <c r="AD1186" s="776">
        <v>0</v>
      </c>
      <c r="AE1186" s="777">
        <v>90.9</v>
      </c>
      <c r="AF1186" s="779">
        <v>90.9</v>
      </c>
      <c r="AG1186" s="780">
        <v>93.62700000000001</v>
      </c>
    </row>
    <row r="1187" spans="1:33" x14ac:dyDescent="0.2">
      <c r="A1187" s="15">
        <f t="shared" si="151"/>
        <v>2008</v>
      </c>
      <c r="B1187" s="14">
        <f t="shared" si="152"/>
        <v>1</v>
      </c>
      <c r="C1187" s="13" t="str">
        <f t="shared" si="153"/>
        <v>Q1</v>
      </c>
      <c r="D1187" s="13" t="str">
        <f t="shared" si="154"/>
        <v>2008Q1</v>
      </c>
      <c r="E1187" s="13" t="str">
        <f t="shared" si="155"/>
        <v>Brazil</v>
      </c>
      <c r="F1187" s="13" t="str">
        <f t="shared" si="158"/>
        <v>Biofuels</v>
      </c>
      <c r="G1187" s="13" t="str">
        <f t="shared" si="157"/>
        <v>VC/PE investments</v>
      </c>
      <c r="H1187" s="638">
        <f t="shared" si="156"/>
        <v>88.064999999999998</v>
      </c>
      <c r="I1187" s="27" t="s">
        <v>506</v>
      </c>
      <c r="J1187" s="28" t="s">
        <v>216</v>
      </c>
      <c r="K1187" s="28" t="s">
        <v>542</v>
      </c>
      <c r="L1187" s="28" t="s">
        <v>152</v>
      </c>
      <c r="M1187" s="28" t="s">
        <v>31</v>
      </c>
      <c r="N1187" s="28" t="s">
        <v>31</v>
      </c>
      <c r="O1187" s="28" t="s">
        <v>92</v>
      </c>
      <c r="P1187" s="28" t="s">
        <v>83</v>
      </c>
      <c r="Q1187" s="28" t="s">
        <v>82</v>
      </c>
      <c r="R1187" s="28" t="s">
        <v>91</v>
      </c>
      <c r="S1187" s="28" t="s">
        <v>96</v>
      </c>
      <c r="T1187" s="28" t="s">
        <v>96</v>
      </c>
      <c r="U1187" s="28" t="s">
        <v>98</v>
      </c>
      <c r="V1187" s="28" t="s">
        <v>230</v>
      </c>
      <c r="W1187" s="28" t="s">
        <v>97</v>
      </c>
      <c r="X1187" s="28" t="s">
        <v>508</v>
      </c>
      <c r="Y1187" s="28" t="s">
        <v>507</v>
      </c>
      <c r="Z1187" s="28">
        <v>39455.636111111096</v>
      </c>
      <c r="AA1187" s="643" t="s">
        <v>1748</v>
      </c>
      <c r="AB1187" s="776" t="s">
        <v>1748</v>
      </c>
      <c r="AC1187" s="776" t="s">
        <v>1748</v>
      </c>
      <c r="AD1187" s="776" t="s">
        <v>1748</v>
      </c>
      <c r="AE1187" s="777">
        <v>85.5</v>
      </c>
      <c r="AF1187" s="779">
        <v>85.5</v>
      </c>
      <c r="AG1187" s="780">
        <v>88.064999999999998</v>
      </c>
    </row>
    <row r="1188" spans="1:33" x14ac:dyDescent="0.2">
      <c r="A1188" s="15">
        <f t="shared" si="151"/>
        <v>2008</v>
      </c>
      <c r="B1188" s="14">
        <f t="shared" si="152"/>
        <v>3</v>
      </c>
      <c r="C1188" s="13" t="str">
        <f t="shared" si="153"/>
        <v>Q1</v>
      </c>
      <c r="D1188" s="13" t="str">
        <f t="shared" si="154"/>
        <v>2008Q1</v>
      </c>
      <c r="E1188" s="13" t="str">
        <f t="shared" si="155"/>
        <v>Brazil</v>
      </c>
      <c r="F1188" s="13" t="str">
        <f t="shared" si="158"/>
        <v>Biofuels</v>
      </c>
      <c r="G1188" s="13" t="str">
        <f t="shared" si="157"/>
        <v>Asset finance investments</v>
      </c>
      <c r="H1188" s="638">
        <f t="shared" si="156"/>
        <v>85.078000000000003</v>
      </c>
      <c r="I1188" s="27" t="s">
        <v>506</v>
      </c>
      <c r="J1188" s="28" t="s">
        <v>246</v>
      </c>
      <c r="K1188" s="28" t="s">
        <v>3167</v>
      </c>
      <c r="L1188" s="28" t="s">
        <v>1114</v>
      </c>
      <c r="M1188" s="28" t="s">
        <v>31</v>
      </c>
      <c r="N1188" s="28" t="s">
        <v>31</v>
      </c>
      <c r="O1188" s="28" t="s">
        <v>92</v>
      </c>
      <c r="P1188" s="28" t="s">
        <v>83</v>
      </c>
      <c r="Q1188" s="28" t="s">
        <v>82</v>
      </c>
      <c r="R1188" s="28" t="s">
        <v>91</v>
      </c>
      <c r="S1188" s="28" t="s">
        <v>96</v>
      </c>
      <c r="T1188" s="28" t="s">
        <v>96</v>
      </c>
      <c r="U1188" s="28" t="s">
        <v>98</v>
      </c>
      <c r="V1188" s="28" t="s">
        <v>230</v>
      </c>
      <c r="W1188" s="28" t="s">
        <v>553</v>
      </c>
      <c r="X1188" s="28" t="s">
        <v>1749</v>
      </c>
      <c r="Y1188" s="28" t="s">
        <v>1750</v>
      </c>
      <c r="Z1188" s="28">
        <v>39511</v>
      </c>
      <c r="AA1188" s="643">
        <v>41</v>
      </c>
      <c r="AB1188" s="776">
        <v>50.5</v>
      </c>
      <c r="AC1188" s="776">
        <v>0</v>
      </c>
      <c r="AD1188" s="776">
        <v>0</v>
      </c>
      <c r="AE1188" s="777">
        <v>82.6</v>
      </c>
      <c r="AF1188" s="779">
        <v>82.6</v>
      </c>
      <c r="AG1188" s="780">
        <v>85.078000000000003</v>
      </c>
    </row>
    <row r="1189" spans="1:33" x14ac:dyDescent="0.2">
      <c r="A1189" s="15">
        <f t="shared" si="151"/>
        <v>2008</v>
      </c>
      <c r="B1189" s="14">
        <f t="shared" si="152"/>
        <v>3</v>
      </c>
      <c r="C1189" s="13" t="str">
        <f t="shared" si="153"/>
        <v>Q1</v>
      </c>
      <c r="D1189" s="13" t="str">
        <f t="shared" si="154"/>
        <v>2008Q1</v>
      </c>
      <c r="E1189" s="13" t="str">
        <f t="shared" si="155"/>
        <v>Brazil</v>
      </c>
      <c r="F1189" s="13" t="str">
        <f t="shared" si="158"/>
        <v>Small Hydro</v>
      </c>
      <c r="G1189" s="13" t="str">
        <f t="shared" si="157"/>
        <v>Asset finance investments</v>
      </c>
      <c r="H1189" s="638">
        <f t="shared" si="156"/>
        <v>78.382999999999996</v>
      </c>
      <c r="I1189" s="27" t="s">
        <v>506</v>
      </c>
      <c r="J1189" s="28" t="s">
        <v>246</v>
      </c>
      <c r="K1189" s="28" t="s">
        <v>3168</v>
      </c>
      <c r="L1189" s="28" t="s">
        <v>958</v>
      </c>
      <c r="M1189" s="28" t="s">
        <v>31</v>
      </c>
      <c r="N1189" s="28" t="s">
        <v>31</v>
      </c>
      <c r="O1189" s="28" t="s">
        <v>92</v>
      </c>
      <c r="P1189" s="28" t="s">
        <v>83</v>
      </c>
      <c r="Q1189" s="28" t="s">
        <v>82</v>
      </c>
      <c r="R1189" s="28" t="s">
        <v>91</v>
      </c>
      <c r="S1189" s="28" t="s">
        <v>126</v>
      </c>
      <c r="T1189" s="28" t="s">
        <v>125</v>
      </c>
      <c r="U1189" s="28" t="s">
        <v>342</v>
      </c>
      <c r="V1189" s="28">
        <v>0</v>
      </c>
      <c r="W1189" s="28" t="s">
        <v>553</v>
      </c>
      <c r="X1189" s="28" t="s">
        <v>1749</v>
      </c>
      <c r="Y1189" s="28" t="s">
        <v>1750</v>
      </c>
      <c r="Z1189" s="28">
        <v>39521</v>
      </c>
      <c r="AA1189" s="643">
        <v>30</v>
      </c>
      <c r="AB1189" s="776">
        <v>0</v>
      </c>
      <c r="AC1189" s="776">
        <v>0</v>
      </c>
      <c r="AD1189" s="776">
        <v>0</v>
      </c>
      <c r="AE1189" s="777">
        <v>76.099999999999994</v>
      </c>
      <c r="AF1189" s="779">
        <v>76.099999999999994</v>
      </c>
      <c r="AG1189" s="780">
        <v>78.382999999999996</v>
      </c>
    </row>
    <row r="1190" spans="1:33" x14ac:dyDescent="0.2">
      <c r="A1190" s="15">
        <f t="shared" si="151"/>
        <v>2008</v>
      </c>
      <c r="B1190" s="14">
        <f t="shared" si="152"/>
        <v>1</v>
      </c>
      <c r="C1190" s="13" t="str">
        <f t="shared" si="153"/>
        <v>Q1</v>
      </c>
      <c r="D1190" s="13" t="str">
        <f t="shared" si="154"/>
        <v>2008Q1</v>
      </c>
      <c r="E1190" s="13" t="str">
        <f t="shared" si="155"/>
        <v>Brazil</v>
      </c>
      <c r="F1190" s="13" t="str">
        <f t="shared" si="158"/>
        <v>Biomass &amp; Waste</v>
      </c>
      <c r="G1190" s="13" t="str">
        <f t="shared" si="157"/>
        <v>Asset finance investments</v>
      </c>
      <c r="H1190" s="638">
        <f t="shared" si="156"/>
        <v>77.867999999999995</v>
      </c>
      <c r="I1190" s="27" t="s">
        <v>506</v>
      </c>
      <c r="J1190" s="28" t="s">
        <v>246</v>
      </c>
      <c r="K1190" s="28" t="s">
        <v>3169</v>
      </c>
      <c r="L1190" s="28" t="s">
        <v>629</v>
      </c>
      <c r="M1190" s="28" t="s">
        <v>31</v>
      </c>
      <c r="N1190" s="28" t="s">
        <v>31</v>
      </c>
      <c r="O1190" s="28" t="s">
        <v>92</v>
      </c>
      <c r="P1190" s="28" t="s">
        <v>83</v>
      </c>
      <c r="Q1190" s="28" t="s">
        <v>82</v>
      </c>
      <c r="R1190" s="28" t="s">
        <v>91</v>
      </c>
      <c r="S1190" s="28" t="s">
        <v>114</v>
      </c>
      <c r="T1190" s="28" t="s">
        <v>114</v>
      </c>
      <c r="U1190" s="28" t="s">
        <v>113</v>
      </c>
      <c r="V1190" s="28">
        <v>0</v>
      </c>
      <c r="W1190" s="28" t="s">
        <v>553</v>
      </c>
      <c r="X1190" s="28" t="s">
        <v>1752</v>
      </c>
      <c r="Y1190" s="28" t="s">
        <v>1753</v>
      </c>
      <c r="Z1190" s="28">
        <v>39474</v>
      </c>
      <c r="AA1190" s="643">
        <v>37.799999999999997</v>
      </c>
      <c r="AB1190" s="776">
        <v>0</v>
      </c>
      <c r="AC1190" s="643">
        <v>0</v>
      </c>
      <c r="AD1190" s="776">
        <v>0</v>
      </c>
      <c r="AE1190" s="777">
        <v>0</v>
      </c>
      <c r="AF1190" s="779">
        <v>75.599999999999994</v>
      </c>
      <c r="AG1190" s="780">
        <v>77.867999999999995</v>
      </c>
    </row>
    <row r="1191" spans="1:33" x14ac:dyDescent="0.2">
      <c r="A1191" s="15">
        <f t="shared" si="151"/>
        <v>2008</v>
      </c>
      <c r="B1191" s="14">
        <f t="shared" si="152"/>
        <v>2</v>
      </c>
      <c r="C1191" s="13" t="str">
        <f t="shared" si="153"/>
        <v>Q1</v>
      </c>
      <c r="D1191" s="13" t="str">
        <f t="shared" si="154"/>
        <v>2008Q1</v>
      </c>
      <c r="E1191" s="13" t="str">
        <f t="shared" si="155"/>
        <v>Brazil</v>
      </c>
      <c r="F1191" s="13" t="str">
        <f t="shared" si="158"/>
        <v>Biofuels</v>
      </c>
      <c r="G1191" s="13" t="str">
        <f t="shared" si="157"/>
        <v>Asset finance investments</v>
      </c>
      <c r="H1191" s="638">
        <f t="shared" si="156"/>
        <v>71.482000000000014</v>
      </c>
      <c r="I1191" s="27" t="s">
        <v>506</v>
      </c>
      <c r="J1191" s="28" t="s">
        <v>246</v>
      </c>
      <c r="K1191" s="28" t="s">
        <v>3170</v>
      </c>
      <c r="L1191" s="28" t="s">
        <v>1042</v>
      </c>
      <c r="M1191" s="28" t="s">
        <v>31</v>
      </c>
      <c r="N1191" s="28" t="s">
        <v>31</v>
      </c>
      <c r="O1191" s="28" t="s">
        <v>92</v>
      </c>
      <c r="P1191" s="28" t="s">
        <v>83</v>
      </c>
      <c r="Q1191" s="28" t="s">
        <v>82</v>
      </c>
      <c r="R1191" s="28" t="s">
        <v>91</v>
      </c>
      <c r="S1191" s="28" t="s">
        <v>96</v>
      </c>
      <c r="T1191" s="28" t="s">
        <v>96</v>
      </c>
      <c r="U1191" s="28" t="s">
        <v>98</v>
      </c>
      <c r="V1191" s="28" t="s">
        <v>230</v>
      </c>
      <c r="W1191" s="28" t="s">
        <v>553</v>
      </c>
      <c r="X1191" s="28" t="s">
        <v>1749</v>
      </c>
      <c r="Y1191" s="28" t="s">
        <v>1750</v>
      </c>
      <c r="Z1191" s="28">
        <v>39486</v>
      </c>
      <c r="AA1191" s="643">
        <v>0</v>
      </c>
      <c r="AB1191" s="776">
        <v>120</v>
      </c>
      <c r="AC1191" s="643">
        <v>0</v>
      </c>
      <c r="AD1191" s="776">
        <v>0</v>
      </c>
      <c r="AE1191" s="777">
        <v>69.400000000000006</v>
      </c>
      <c r="AF1191" s="779">
        <v>69.400000000000006</v>
      </c>
      <c r="AG1191" s="780">
        <v>71.482000000000014</v>
      </c>
    </row>
    <row r="1192" spans="1:33" x14ac:dyDescent="0.2">
      <c r="A1192" s="15">
        <f t="shared" si="151"/>
        <v>2008</v>
      </c>
      <c r="B1192" s="14">
        <f t="shared" si="152"/>
        <v>2</v>
      </c>
      <c r="C1192" s="13" t="str">
        <f t="shared" si="153"/>
        <v>Q1</v>
      </c>
      <c r="D1192" s="13" t="str">
        <f t="shared" si="154"/>
        <v>2008Q1</v>
      </c>
      <c r="E1192" s="13" t="str">
        <f t="shared" si="155"/>
        <v>Brazil</v>
      </c>
      <c r="F1192" s="13" t="str">
        <f t="shared" si="158"/>
        <v>Biomass &amp; Waste</v>
      </c>
      <c r="G1192" s="13" t="str">
        <f t="shared" si="157"/>
        <v>Asset finance investments</v>
      </c>
      <c r="H1192" s="638">
        <f t="shared" si="156"/>
        <v>65.92</v>
      </c>
      <c r="I1192" s="27" t="s">
        <v>506</v>
      </c>
      <c r="J1192" s="28" t="s">
        <v>246</v>
      </c>
      <c r="K1192" s="28" t="s">
        <v>3171</v>
      </c>
      <c r="L1192" s="28" t="s">
        <v>567</v>
      </c>
      <c r="M1192" s="28" t="s">
        <v>31</v>
      </c>
      <c r="N1192" s="28" t="s">
        <v>31</v>
      </c>
      <c r="O1192" s="28" t="s">
        <v>92</v>
      </c>
      <c r="P1192" s="28" t="s">
        <v>83</v>
      </c>
      <c r="Q1192" s="28" t="s">
        <v>82</v>
      </c>
      <c r="R1192" s="28" t="s">
        <v>91</v>
      </c>
      <c r="S1192" s="28" t="s">
        <v>114</v>
      </c>
      <c r="T1192" s="28" t="s">
        <v>114</v>
      </c>
      <c r="U1192" s="28" t="s">
        <v>554</v>
      </c>
      <c r="V1192" s="28">
        <v>0</v>
      </c>
      <c r="W1192" s="28" t="s">
        <v>553</v>
      </c>
      <c r="X1192" s="28" t="s">
        <v>1752</v>
      </c>
      <c r="Y1192" s="28" t="s">
        <v>1753</v>
      </c>
      <c r="Z1192" s="28">
        <v>39479</v>
      </c>
      <c r="AA1192" s="643">
        <v>32</v>
      </c>
      <c r="AB1192" s="776">
        <v>0</v>
      </c>
      <c r="AC1192" s="643">
        <v>0</v>
      </c>
      <c r="AD1192" s="776">
        <v>0</v>
      </c>
      <c r="AE1192" s="777">
        <v>0</v>
      </c>
      <c r="AF1192" s="779">
        <v>64</v>
      </c>
      <c r="AG1192" s="780">
        <v>65.92</v>
      </c>
    </row>
    <row r="1193" spans="1:33" x14ac:dyDescent="0.2">
      <c r="A1193" s="15">
        <f t="shared" si="151"/>
        <v>2008</v>
      </c>
      <c r="B1193" s="14">
        <f t="shared" si="152"/>
        <v>3</v>
      </c>
      <c r="C1193" s="13" t="str">
        <f t="shared" si="153"/>
        <v>Q1</v>
      </c>
      <c r="D1193" s="13" t="str">
        <f t="shared" si="154"/>
        <v>2008Q1</v>
      </c>
      <c r="E1193" s="13" t="str">
        <f t="shared" si="155"/>
        <v>Brazil</v>
      </c>
      <c r="F1193" s="13" t="str">
        <f t="shared" si="158"/>
        <v>Wind</v>
      </c>
      <c r="G1193" s="13" t="str">
        <f t="shared" si="157"/>
        <v>Asset finance investments</v>
      </c>
      <c r="H1193" s="638">
        <f t="shared" si="156"/>
        <v>61.800000000000004</v>
      </c>
      <c r="I1193" s="27" t="s">
        <v>506</v>
      </c>
      <c r="J1193" s="28" t="s">
        <v>246</v>
      </c>
      <c r="K1193" s="28" t="s">
        <v>3172</v>
      </c>
      <c r="L1193" s="28" t="s">
        <v>1102</v>
      </c>
      <c r="M1193" s="28" t="s">
        <v>31</v>
      </c>
      <c r="N1193" s="28" t="s">
        <v>31</v>
      </c>
      <c r="O1193" s="28" t="s">
        <v>92</v>
      </c>
      <c r="P1193" s="28" t="s">
        <v>83</v>
      </c>
      <c r="Q1193" s="28" t="s">
        <v>82</v>
      </c>
      <c r="R1193" s="28" t="s">
        <v>91</v>
      </c>
      <c r="S1193" s="28" t="s">
        <v>101</v>
      </c>
      <c r="T1193" s="28" t="s">
        <v>101</v>
      </c>
      <c r="U1193" s="28" t="s">
        <v>112</v>
      </c>
      <c r="V1193" s="28">
        <v>0</v>
      </c>
      <c r="W1193" s="28" t="s">
        <v>553</v>
      </c>
      <c r="X1193" s="28" t="s">
        <v>1771</v>
      </c>
      <c r="Y1193" s="28" t="s">
        <v>1750</v>
      </c>
      <c r="Z1193" s="28">
        <v>39538</v>
      </c>
      <c r="AA1193" s="643">
        <v>18</v>
      </c>
      <c r="AB1193" s="776">
        <v>0</v>
      </c>
      <c r="AC1193" s="643">
        <v>0</v>
      </c>
      <c r="AD1193" s="776">
        <v>0</v>
      </c>
      <c r="AE1193" s="777">
        <v>60</v>
      </c>
      <c r="AF1193" s="779">
        <v>60</v>
      </c>
      <c r="AG1193" s="780">
        <v>61.800000000000004</v>
      </c>
    </row>
    <row r="1194" spans="1:33" x14ac:dyDescent="0.2">
      <c r="A1194" s="15">
        <f t="shared" si="151"/>
        <v>2008</v>
      </c>
      <c r="B1194" s="14">
        <f t="shared" si="152"/>
        <v>2</v>
      </c>
      <c r="C1194" s="13" t="str">
        <f t="shared" si="153"/>
        <v>Q1</v>
      </c>
      <c r="D1194" s="13" t="str">
        <f t="shared" si="154"/>
        <v>2008Q1</v>
      </c>
      <c r="E1194" s="13" t="str">
        <f t="shared" si="155"/>
        <v>Brazil</v>
      </c>
      <c r="F1194" s="13" t="str">
        <f t="shared" si="158"/>
        <v>Biofuels</v>
      </c>
      <c r="G1194" s="13" t="str">
        <f t="shared" si="157"/>
        <v>Asset finance investments</v>
      </c>
      <c r="H1194" s="638">
        <f t="shared" si="156"/>
        <v>58.606999999999999</v>
      </c>
      <c r="I1194" s="27" t="s">
        <v>506</v>
      </c>
      <c r="J1194" s="28" t="s">
        <v>246</v>
      </c>
      <c r="K1194" s="28" t="s">
        <v>3173</v>
      </c>
      <c r="L1194" s="28" t="s">
        <v>970</v>
      </c>
      <c r="M1194" s="28" t="s">
        <v>31</v>
      </c>
      <c r="N1194" s="28" t="s">
        <v>31</v>
      </c>
      <c r="O1194" s="28" t="s">
        <v>92</v>
      </c>
      <c r="P1194" s="28" t="s">
        <v>83</v>
      </c>
      <c r="Q1194" s="28" t="s">
        <v>82</v>
      </c>
      <c r="R1194" s="28" t="s">
        <v>91</v>
      </c>
      <c r="S1194" s="28" t="s">
        <v>96</v>
      </c>
      <c r="T1194" s="28" t="s">
        <v>96</v>
      </c>
      <c r="U1194" s="28" t="s">
        <v>98</v>
      </c>
      <c r="V1194" s="28" t="s">
        <v>230</v>
      </c>
      <c r="W1194" s="28" t="s">
        <v>553</v>
      </c>
      <c r="X1194" s="28" t="s">
        <v>1749</v>
      </c>
      <c r="Y1194" s="28" t="s">
        <v>1750</v>
      </c>
      <c r="Z1194" s="28">
        <v>39490</v>
      </c>
      <c r="AA1194" s="643">
        <v>12</v>
      </c>
      <c r="AB1194" s="776">
        <v>0</v>
      </c>
      <c r="AC1194" s="643">
        <v>0</v>
      </c>
      <c r="AD1194" s="643">
        <v>0</v>
      </c>
      <c r="AE1194" s="777">
        <v>56.9</v>
      </c>
      <c r="AF1194" s="779">
        <v>56.9</v>
      </c>
      <c r="AG1194" s="780">
        <v>58.606999999999999</v>
      </c>
    </row>
    <row r="1195" spans="1:33" x14ac:dyDescent="0.2">
      <c r="A1195" s="15">
        <f t="shared" si="151"/>
        <v>2008</v>
      </c>
      <c r="B1195" s="14">
        <f t="shared" si="152"/>
        <v>1</v>
      </c>
      <c r="C1195" s="13" t="str">
        <f t="shared" si="153"/>
        <v>Q1</v>
      </c>
      <c r="D1195" s="13" t="str">
        <f t="shared" si="154"/>
        <v>2008Q1</v>
      </c>
      <c r="E1195" s="13" t="str">
        <f t="shared" si="155"/>
        <v>Brazil</v>
      </c>
      <c r="F1195" s="13" t="str">
        <f t="shared" si="158"/>
        <v>Small Hydro</v>
      </c>
      <c r="G1195" s="13" t="str">
        <f t="shared" si="157"/>
        <v>Asset finance investments</v>
      </c>
      <c r="H1195" s="638">
        <f t="shared" si="156"/>
        <v>54.796000000000006</v>
      </c>
      <c r="I1195" s="27" t="s">
        <v>506</v>
      </c>
      <c r="J1195" s="28" t="s">
        <v>246</v>
      </c>
      <c r="K1195" s="28" t="s">
        <v>3174</v>
      </c>
      <c r="L1195" s="28" t="s">
        <v>604</v>
      </c>
      <c r="M1195" s="28" t="s">
        <v>31</v>
      </c>
      <c r="N1195" s="28" t="s">
        <v>31</v>
      </c>
      <c r="O1195" s="28" t="s">
        <v>92</v>
      </c>
      <c r="P1195" s="28" t="s">
        <v>83</v>
      </c>
      <c r="Q1195" s="28" t="s">
        <v>82</v>
      </c>
      <c r="R1195" s="28" t="s">
        <v>91</v>
      </c>
      <c r="S1195" s="28" t="s">
        <v>126</v>
      </c>
      <c r="T1195" s="28" t="s">
        <v>125</v>
      </c>
      <c r="U1195" s="28" t="s">
        <v>247</v>
      </c>
      <c r="V1195" s="28">
        <v>0</v>
      </c>
      <c r="W1195" s="28" t="s">
        <v>553</v>
      </c>
      <c r="X1195" s="28" t="s">
        <v>1752</v>
      </c>
      <c r="Y1195" s="28" t="s">
        <v>1753</v>
      </c>
      <c r="Z1195" s="28">
        <v>39461</v>
      </c>
      <c r="AA1195" s="643">
        <v>20</v>
      </c>
      <c r="AB1195" s="643">
        <v>0</v>
      </c>
      <c r="AC1195" s="643">
        <v>0</v>
      </c>
      <c r="AD1195" s="643">
        <v>0</v>
      </c>
      <c r="AE1195" s="777">
        <v>53.2</v>
      </c>
      <c r="AF1195" s="779">
        <v>53.2</v>
      </c>
      <c r="AG1195" s="780">
        <v>54.796000000000006</v>
      </c>
    </row>
    <row r="1196" spans="1:33" x14ac:dyDescent="0.2">
      <c r="A1196" s="15">
        <f t="shared" si="151"/>
        <v>2008</v>
      </c>
      <c r="B1196" s="14">
        <f t="shared" si="152"/>
        <v>3</v>
      </c>
      <c r="C1196" s="13" t="str">
        <f t="shared" si="153"/>
        <v>Q1</v>
      </c>
      <c r="D1196" s="13" t="str">
        <f t="shared" si="154"/>
        <v>2008Q1</v>
      </c>
      <c r="E1196" s="13" t="str">
        <f t="shared" si="155"/>
        <v>Brazil</v>
      </c>
      <c r="F1196" s="13" t="str">
        <f t="shared" si="158"/>
        <v>Biofuels</v>
      </c>
      <c r="G1196" s="13" t="str">
        <f t="shared" si="157"/>
        <v>Asset finance investments</v>
      </c>
      <c r="H1196" s="638">
        <f t="shared" si="156"/>
        <v>51.868739999999995</v>
      </c>
      <c r="I1196" s="27" t="s">
        <v>506</v>
      </c>
      <c r="J1196" s="28" t="s">
        <v>246</v>
      </c>
      <c r="K1196" s="28" t="s">
        <v>3175</v>
      </c>
      <c r="L1196" s="28" t="s">
        <v>3176</v>
      </c>
      <c r="M1196" s="28" t="s">
        <v>31</v>
      </c>
      <c r="N1196" s="28" t="s">
        <v>31</v>
      </c>
      <c r="O1196" s="28" t="s">
        <v>92</v>
      </c>
      <c r="P1196" s="28" t="s">
        <v>83</v>
      </c>
      <c r="Q1196" s="28" t="s">
        <v>82</v>
      </c>
      <c r="R1196" s="28" t="s">
        <v>91</v>
      </c>
      <c r="S1196" s="28" t="s">
        <v>96</v>
      </c>
      <c r="T1196" s="28" t="s">
        <v>96</v>
      </c>
      <c r="U1196" s="28" t="s">
        <v>95</v>
      </c>
      <c r="V1196" s="28" t="s">
        <v>223</v>
      </c>
      <c r="W1196" s="28" t="s">
        <v>553</v>
      </c>
      <c r="X1196" s="28" t="s">
        <v>1752</v>
      </c>
      <c r="Y1196" s="28" t="s">
        <v>1753</v>
      </c>
      <c r="Z1196" s="28">
        <v>39532</v>
      </c>
      <c r="AA1196" s="643">
        <v>0</v>
      </c>
      <c r="AB1196" s="643">
        <v>119.9</v>
      </c>
      <c r="AC1196" s="643">
        <v>0</v>
      </c>
      <c r="AD1196" s="643">
        <v>0</v>
      </c>
      <c r="AE1196" s="777">
        <v>0</v>
      </c>
      <c r="AF1196" s="779">
        <v>50.357999999999997</v>
      </c>
      <c r="AG1196" s="780">
        <v>51.868739999999995</v>
      </c>
    </row>
    <row r="1197" spans="1:33" x14ac:dyDescent="0.2">
      <c r="A1197" s="15">
        <f t="shared" si="151"/>
        <v>2008</v>
      </c>
      <c r="B1197" s="14">
        <f t="shared" si="152"/>
        <v>3</v>
      </c>
      <c r="C1197" s="13" t="str">
        <f t="shared" si="153"/>
        <v>Q1</v>
      </c>
      <c r="D1197" s="13" t="str">
        <f t="shared" si="154"/>
        <v>2008Q1</v>
      </c>
      <c r="E1197" s="13" t="str">
        <f t="shared" si="155"/>
        <v>Brazil</v>
      </c>
      <c r="F1197" s="13" t="str">
        <f t="shared" si="158"/>
        <v>Biofuels</v>
      </c>
      <c r="G1197" s="13" t="str">
        <f t="shared" si="157"/>
        <v>Asset finance investments</v>
      </c>
      <c r="H1197" s="638">
        <f t="shared" si="156"/>
        <v>44.805</v>
      </c>
      <c r="I1197" s="27" t="s">
        <v>506</v>
      </c>
      <c r="J1197" s="28" t="s">
        <v>246</v>
      </c>
      <c r="K1197" s="28" t="s">
        <v>3177</v>
      </c>
      <c r="L1197" s="28" t="s">
        <v>968</v>
      </c>
      <c r="M1197" s="28" t="s">
        <v>31</v>
      </c>
      <c r="N1197" s="28" t="s">
        <v>31</v>
      </c>
      <c r="O1197" s="28" t="s">
        <v>92</v>
      </c>
      <c r="P1197" s="28" t="s">
        <v>83</v>
      </c>
      <c r="Q1197" s="28" t="s">
        <v>82</v>
      </c>
      <c r="R1197" s="28" t="s">
        <v>91</v>
      </c>
      <c r="S1197" s="28" t="s">
        <v>96</v>
      </c>
      <c r="T1197" s="28" t="s">
        <v>96</v>
      </c>
      <c r="U1197" s="28" t="s">
        <v>98</v>
      </c>
      <c r="V1197" s="28" t="s">
        <v>230</v>
      </c>
      <c r="W1197" s="28" t="s">
        <v>553</v>
      </c>
      <c r="X1197" s="28" t="s">
        <v>1749</v>
      </c>
      <c r="Y1197" s="28" t="s">
        <v>1750</v>
      </c>
      <c r="Z1197" s="28">
        <v>39513</v>
      </c>
      <c r="AA1197" s="643">
        <v>27</v>
      </c>
      <c r="AB1197" s="643">
        <v>0</v>
      </c>
      <c r="AC1197" s="643">
        <v>0</v>
      </c>
      <c r="AD1197" s="643">
        <v>0</v>
      </c>
      <c r="AE1197" s="777">
        <v>43.5</v>
      </c>
      <c r="AF1197" s="779">
        <v>43.5</v>
      </c>
      <c r="AG1197" s="780">
        <v>44.805</v>
      </c>
    </row>
    <row r="1198" spans="1:33" x14ac:dyDescent="0.2">
      <c r="A1198" s="15">
        <f t="shared" si="151"/>
        <v>2008</v>
      </c>
      <c r="B1198" s="14">
        <f t="shared" si="152"/>
        <v>2</v>
      </c>
      <c r="C1198" s="13" t="str">
        <f t="shared" si="153"/>
        <v>Q1</v>
      </c>
      <c r="D1198" s="13" t="str">
        <f t="shared" si="154"/>
        <v>2008Q1</v>
      </c>
      <c r="E1198" s="13" t="str">
        <f t="shared" si="155"/>
        <v>Brazil</v>
      </c>
      <c r="F1198" s="13" t="str">
        <f t="shared" si="158"/>
        <v>Small Hydro</v>
      </c>
      <c r="G1198" s="13" t="str">
        <f t="shared" si="157"/>
        <v>Asset finance investments</v>
      </c>
      <c r="H1198" s="638">
        <f t="shared" si="156"/>
        <v>41.612000000000002</v>
      </c>
      <c r="I1198" s="27" t="s">
        <v>506</v>
      </c>
      <c r="J1198" s="28" t="s">
        <v>246</v>
      </c>
      <c r="K1198" s="28" t="s">
        <v>3178</v>
      </c>
      <c r="L1198" s="28" t="s">
        <v>1095</v>
      </c>
      <c r="M1198" s="28" t="s">
        <v>31</v>
      </c>
      <c r="N1198" s="28" t="s">
        <v>31</v>
      </c>
      <c r="O1198" s="28" t="s">
        <v>92</v>
      </c>
      <c r="P1198" s="28" t="s">
        <v>83</v>
      </c>
      <c r="Q1198" s="28" t="s">
        <v>82</v>
      </c>
      <c r="R1198" s="28" t="s">
        <v>91</v>
      </c>
      <c r="S1198" s="28" t="s">
        <v>126</v>
      </c>
      <c r="T1198" s="28" t="s">
        <v>125</v>
      </c>
      <c r="U1198" s="28" t="s">
        <v>247</v>
      </c>
      <c r="V1198" s="28">
        <v>0</v>
      </c>
      <c r="W1198" s="28" t="s">
        <v>553</v>
      </c>
      <c r="X1198" s="28" t="s">
        <v>1749</v>
      </c>
      <c r="Y1198" s="28" t="s">
        <v>1750</v>
      </c>
      <c r="Z1198" s="28">
        <v>39496</v>
      </c>
      <c r="AA1198" s="643">
        <v>19</v>
      </c>
      <c r="AB1198" s="643">
        <v>0</v>
      </c>
      <c r="AC1198" s="643">
        <v>0</v>
      </c>
      <c r="AD1198" s="643">
        <v>0</v>
      </c>
      <c r="AE1198" s="777">
        <v>40.4</v>
      </c>
      <c r="AF1198" s="779">
        <v>40.4</v>
      </c>
      <c r="AG1198" s="780">
        <v>41.612000000000002</v>
      </c>
    </row>
    <row r="1199" spans="1:33" x14ac:dyDescent="0.2">
      <c r="A1199" s="15">
        <f t="shared" si="151"/>
        <v>2008</v>
      </c>
      <c r="B1199" s="14">
        <f t="shared" si="152"/>
        <v>2</v>
      </c>
      <c r="C1199" s="13" t="str">
        <f t="shared" si="153"/>
        <v>Q1</v>
      </c>
      <c r="D1199" s="13" t="str">
        <f t="shared" si="154"/>
        <v>2008Q1</v>
      </c>
      <c r="E1199" s="13" t="str">
        <f t="shared" si="155"/>
        <v>Colombia</v>
      </c>
      <c r="F1199" s="13" t="str">
        <f t="shared" si="158"/>
        <v>Biofuels</v>
      </c>
      <c r="G1199" s="13" t="str">
        <f t="shared" si="157"/>
        <v>Asset finance investments</v>
      </c>
      <c r="H1199" s="638">
        <f t="shared" si="156"/>
        <v>41.2</v>
      </c>
      <c r="I1199" s="27" t="s">
        <v>506</v>
      </c>
      <c r="J1199" s="28" t="s">
        <v>246</v>
      </c>
      <c r="K1199" s="28" t="s">
        <v>3179</v>
      </c>
      <c r="L1199" s="28" t="s">
        <v>1162</v>
      </c>
      <c r="M1199" s="28" t="s">
        <v>9</v>
      </c>
      <c r="N1199" s="28" t="s">
        <v>85</v>
      </c>
      <c r="O1199" s="28" t="s">
        <v>92</v>
      </c>
      <c r="P1199" s="28" t="s">
        <v>83</v>
      </c>
      <c r="Q1199" s="28" t="s">
        <v>82</v>
      </c>
      <c r="R1199" s="28"/>
      <c r="S1199" s="28" t="s">
        <v>96</v>
      </c>
      <c r="T1199" s="28" t="s">
        <v>96</v>
      </c>
      <c r="U1199" s="28" t="s">
        <v>95</v>
      </c>
      <c r="V1199" s="28" t="s">
        <v>223</v>
      </c>
      <c r="W1199" s="28" t="s">
        <v>553</v>
      </c>
      <c r="X1199" s="28" t="s">
        <v>1752</v>
      </c>
      <c r="Y1199" s="28" t="s">
        <v>1753</v>
      </c>
      <c r="Z1199" s="28">
        <v>39504</v>
      </c>
      <c r="AA1199" s="643">
        <v>0</v>
      </c>
      <c r="AB1199" s="643">
        <v>119</v>
      </c>
      <c r="AC1199" s="643">
        <v>0</v>
      </c>
      <c r="AD1199" s="643">
        <v>0</v>
      </c>
      <c r="AE1199" s="779">
        <v>40</v>
      </c>
      <c r="AF1199" s="779">
        <v>40</v>
      </c>
      <c r="AG1199" s="780">
        <v>41.2</v>
      </c>
    </row>
    <row r="1200" spans="1:33" x14ac:dyDescent="0.2">
      <c r="A1200" s="15">
        <f t="shared" si="151"/>
        <v>2008</v>
      </c>
      <c r="B1200" s="14">
        <f t="shared" si="152"/>
        <v>1</v>
      </c>
      <c r="C1200" s="13" t="str">
        <f t="shared" si="153"/>
        <v>Q1</v>
      </c>
      <c r="D1200" s="13" t="str">
        <f t="shared" si="154"/>
        <v>2008Q1</v>
      </c>
      <c r="E1200" s="13" t="str">
        <f t="shared" si="155"/>
        <v>Peru</v>
      </c>
      <c r="F1200" s="13" t="str">
        <f t="shared" si="158"/>
        <v>Biofuels</v>
      </c>
      <c r="G1200" s="13" t="str">
        <f t="shared" si="157"/>
        <v>Asset finance investments</v>
      </c>
      <c r="H1200" s="638">
        <f t="shared" si="156"/>
        <v>25.75</v>
      </c>
      <c r="I1200" s="27" t="s">
        <v>506</v>
      </c>
      <c r="J1200" s="28" t="s">
        <v>246</v>
      </c>
      <c r="K1200" s="28" t="s">
        <v>3180</v>
      </c>
      <c r="L1200" s="28" t="s">
        <v>1108</v>
      </c>
      <c r="M1200" s="28" t="s">
        <v>20</v>
      </c>
      <c r="N1200" s="28" t="s">
        <v>85</v>
      </c>
      <c r="O1200" s="28" t="s">
        <v>92</v>
      </c>
      <c r="P1200" s="28" t="s">
        <v>83</v>
      </c>
      <c r="Q1200" s="28" t="s">
        <v>82</v>
      </c>
      <c r="R1200" s="28"/>
      <c r="S1200" s="28" t="s">
        <v>96</v>
      </c>
      <c r="T1200" s="28" t="s">
        <v>96</v>
      </c>
      <c r="U1200" s="28" t="s">
        <v>95</v>
      </c>
      <c r="V1200" s="28">
        <v>0</v>
      </c>
      <c r="W1200" s="28" t="s">
        <v>553</v>
      </c>
      <c r="X1200" s="28" t="s">
        <v>1752</v>
      </c>
      <c r="Y1200" s="28" t="s">
        <v>1753</v>
      </c>
      <c r="Z1200" s="28">
        <v>39449</v>
      </c>
      <c r="AA1200" s="643">
        <v>0</v>
      </c>
      <c r="AB1200" s="643">
        <v>133</v>
      </c>
      <c r="AC1200" s="643">
        <v>0</v>
      </c>
      <c r="AD1200" s="643">
        <v>0</v>
      </c>
      <c r="AE1200" s="779">
        <v>25</v>
      </c>
      <c r="AF1200" s="779">
        <v>25</v>
      </c>
      <c r="AG1200" s="780">
        <v>25.75</v>
      </c>
    </row>
    <row r="1201" spans="1:33" x14ac:dyDescent="0.2">
      <c r="A1201" s="15">
        <f t="shared" si="151"/>
        <v>2008</v>
      </c>
      <c r="B1201" s="14">
        <f t="shared" si="152"/>
        <v>2</v>
      </c>
      <c r="C1201" s="13" t="str">
        <f t="shared" si="153"/>
        <v>Q1</v>
      </c>
      <c r="D1201" s="13" t="str">
        <f t="shared" si="154"/>
        <v>2008Q1</v>
      </c>
      <c r="E1201" s="13" t="str">
        <f t="shared" si="155"/>
        <v>Brazil</v>
      </c>
      <c r="F1201" s="13" t="str">
        <f t="shared" si="158"/>
        <v>Biomass &amp; Waste</v>
      </c>
      <c r="G1201" s="13" t="str">
        <f t="shared" si="157"/>
        <v>Asset finance investments</v>
      </c>
      <c r="H1201" s="638">
        <f t="shared" si="156"/>
        <v>25.338000000000001</v>
      </c>
      <c r="I1201" s="27" t="s">
        <v>506</v>
      </c>
      <c r="J1201" s="28" t="s">
        <v>246</v>
      </c>
      <c r="K1201" s="28" t="s">
        <v>3181</v>
      </c>
      <c r="L1201" s="28" t="s">
        <v>566</v>
      </c>
      <c r="M1201" s="28" t="s">
        <v>31</v>
      </c>
      <c r="N1201" s="28" t="s">
        <v>31</v>
      </c>
      <c r="O1201" s="28" t="s">
        <v>92</v>
      </c>
      <c r="P1201" s="28" t="s">
        <v>83</v>
      </c>
      <c r="Q1201" s="28" t="s">
        <v>82</v>
      </c>
      <c r="R1201" s="28" t="s">
        <v>91</v>
      </c>
      <c r="S1201" s="28" t="s">
        <v>114</v>
      </c>
      <c r="T1201" s="28" t="s">
        <v>114</v>
      </c>
      <c r="U1201" s="28" t="s">
        <v>113</v>
      </c>
      <c r="V1201" s="28">
        <v>0</v>
      </c>
      <c r="W1201" s="28" t="s">
        <v>553</v>
      </c>
      <c r="X1201" s="28" t="s">
        <v>1752</v>
      </c>
      <c r="Y1201" s="28" t="s">
        <v>1753</v>
      </c>
      <c r="Z1201" s="28">
        <v>39479</v>
      </c>
      <c r="AA1201" s="643">
        <v>12.3</v>
      </c>
      <c r="AB1201" s="643">
        <v>0</v>
      </c>
      <c r="AC1201" s="643">
        <v>0</v>
      </c>
      <c r="AD1201" s="643">
        <v>0</v>
      </c>
      <c r="AE1201" s="779">
        <v>0</v>
      </c>
      <c r="AF1201" s="779">
        <v>24.6</v>
      </c>
      <c r="AG1201" s="780">
        <v>25.338000000000001</v>
      </c>
    </row>
    <row r="1202" spans="1:33" x14ac:dyDescent="0.2">
      <c r="A1202" s="15">
        <f t="shared" si="151"/>
        <v>2008</v>
      </c>
      <c r="B1202" s="14">
        <f t="shared" si="152"/>
        <v>1</v>
      </c>
      <c r="C1202" s="13" t="str">
        <f t="shared" si="153"/>
        <v>Q1</v>
      </c>
      <c r="D1202" s="13" t="str">
        <f t="shared" si="154"/>
        <v>2008Q1</v>
      </c>
      <c r="E1202" s="13" t="str">
        <f t="shared" si="155"/>
        <v>Chile</v>
      </c>
      <c r="F1202" s="13" t="str">
        <f t="shared" si="158"/>
        <v>Small Hydro</v>
      </c>
      <c r="G1202" s="13" t="str">
        <f t="shared" si="157"/>
        <v>Asset finance investments</v>
      </c>
      <c r="H1202" s="638">
        <f t="shared" si="156"/>
        <v>18.128000000000004</v>
      </c>
      <c r="I1202" s="27" t="s">
        <v>506</v>
      </c>
      <c r="J1202" s="28" t="s">
        <v>246</v>
      </c>
      <c r="K1202" s="28" t="s">
        <v>3182</v>
      </c>
      <c r="L1202" s="28" t="s">
        <v>1059</v>
      </c>
      <c r="M1202" s="28" t="s">
        <v>8</v>
      </c>
      <c r="N1202" s="28" t="s">
        <v>85</v>
      </c>
      <c r="O1202" s="28" t="s">
        <v>92</v>
      </c>
      <c r="P1202" s="28" t="s">
        <v>83</v>
      </c>
      <c r="Q1202" s="28" t="s">
        <v>129</v>
      </c>
      <c r="R1202" s="28"/>
      <c r="S1202" s="28" t="s">
        <v>126</v>
      </c>
      <c r="T1202" s="28" t="s">
        <v>125</v>
      </c>
      <c r="U1202" s="28" t="s">
        <v>247</v>
      </c>
      <c r="V1202" s="28">
        <v>0</v>
      </c>
      <c r="W1202" s="28" t="s">
        <v>553</v>
      </c>
      <c r="X1202" s="28" t="s">
        <v>1752</v>
      </c>
      <c r="Y1202" s="28" t="s">
        <v>1753</v>
      </c>
      <c r="Z1202" s="28">
        <v>39448</v>
      </c>
      <c r="AA1202" s="643">
        <v>19.399999999999999</v>
      </c>
      <c r="AB1202" s="643">
        <v>0</v>
      </c>
      <c r="AC1202" s="643">
        <v>0</v>
      </c>
      <c r="AD1202" s="643">
        <v>0</v>
      </c>
      <c r="AE1202" s="779">
        <v>17.600000000000001</v>
      </c>
      <c r="AF1202" s="779">
        <v>17.600000000000001</v>
      </c>
      <c r="AG1202" s="780">
        <v>18.128000000000004</v>
      </c>
    </row>
    <row r="1203" spans="1:33" x14ac:dyDescent="0.2">
      <c r="A1203" s="15">
        <f t="shared" si="151"/>
        <v>2008</v>
      </c>
      <c r="B1203" s="14">
        <f t="shared" si="152"/>
        <v>2</v>
      </c>
      <c r="C1203" s="13" t="str">
        <f t="shared" si="153"/>
        <v>Q1</v>
      </c>
      <c r="D1203" s="13" t="str">
        <f t="shared" si="154"/>
        <v>2008Q1</v>
      </c>
      <c r="E1203" s="13" t="str">
        <f t="shared" si="155"/>
        <v>Brazil</v>
      </c>
      <c r="F1203" s="13" t="str">
        <f t="shared" si="158"/>
        <v>Biofuels</v>
      </c>
      <c r="G1203" s="13" t="str">
        <f t="shared" si="157"/>
        <v>Asset finance investments</v>
      </c>
      <c r="H1203" s="638">
        <f t="shared" si="156"/>
        <v>16.48</v>
      </c>
      <c r="I1203" s="27" t="s">
        <v>506</v>
      </c>
      <c r="J1203" s="28" t="s">
        <v>246</v>
      </c>
      <c r="K1203" s="28" t="s">
        <v>3183</v>
      </c>
      <c r="L1203" s="28" t="s">
        <v>914</v>
      </c>
      <c r="M1203" s="28" t="s">
        <v>31</v>
      </c>
      <c r="N1203" s="28" t="s">
        <v>31</v>
      </c>
      <c r="O1203" s="28" t="s">
        <v>92</v>
      </c>
      <c r="P1203" s="28" t="s">
        <v>83</v>
      </c>
      <c r="Q1203" s="28" t="s">
        <v>82</v>
      </c>
      <c r="R1203" s="28" t="s">
        <v>91</v>
      </c>
      <c r="S1203" s="28" t="s">
        <v>96</v>
      </c>
      <c r="T1203" s="28" t="s">
        <v>96</v>
      </c>
      <c r="U1203" s="28" t="s">
        <v>95</v>
      </c>
      <c r="V1203" s="28" t="s">
        <v>223</v>
      </c>
      <c r="W1203" s="28" t="s">
        <v>553</v>
      </c>
      <c r="X1203" s="28" t="s">
        <v>1752</v>
      </c>
      <c r="Y1203" s="28" t="s">
        <v>1753</v>
      </c>
      <c r="Z1203" s="28">
        <v>39507</v>
      </c>
      <c r="AA1203" s="643">
        <v>0</v>
      </c>
      <c r="AB1203" s="643">
        <v>90</v>
      </c>
      <c r="AC1203" s="643">
        <v>0</v>
      </c>
      <c r="AD1203" s="643">
        <v>0</v>
      </c>
      <c r="AE1203" s="779">
        <v>16</v>
      </c>
      <c r="AF1203" s="779">
        <v>16</v>
      </c>
      <c r="AG1203" s="780">
        <v>16.48</v>
      </c>
    </row>
    <row r="1204" spans="1:33" x14ac:dyDescent="0.2">
      <c r="A1204" s="15">
        <f t="shared" si="151"/>
        <v>2008</v>
      </c>
      <c r="B1204" s="14">
        <f t="shared" si="152"/>
        <v>2</v>
      </c>
      <c r="C1204" s="13" t="str">
        <f t="shared" si="153"/>
        <v>Q1</v>
      </c>
      <c r="D1204" s="13" t="str">
        <f t="shared" si="154"/>
        <v>2008Q1</v>
      </c>
      <c r="E1204" s="13" t="str">
        <f t="shared" si="155"/>
        <v>Brazil</v>
      </c>
      <c r="F1204" s="13" t="str">
        <f t="shared" si="158"/>
        <v>Biofuels</v>
      </c>
      <c r="G1204" s="13" t="str">
        <f t="shared" si="157"/>
        <v>Asset finance investments</v>
      </c>
      <c r="H1204" s="638">
        <f t="shared" si="156"/>
        <v>14.42</v>
      </c>
      <c r="I1204" s="27" t="s">
        <v>506</v>
      </c>
      <c r="J1204" s="28" t="s">
        <v>246</v>
      </c>
      <c r="K1204" s="28" t="s">
        <v>3184</v>
      </c>
      <c r="L1204" s="28" t="s">
        <v>3185</v>
      </c>
      <c r="M1204" s="28" t="s">
        <v>31</v>
      </c>
      <c r="N1204" s="28" t="s">
        <v>31</v>
      </c>
      <c r="O1204" s="28" t="s">
        <v>92</v>
      </c>
      <c r="P1204" s="28" t="s">
        <v>83</v>
      </c>
      <c r="Q1204" s="28" t="s">
        <v>82</v>
      </c>
      <c r="R1204" s="28" t="s">
        <v>91</v>
      </c>
      <c r="S1204" s="28" t="s">
        <v>96</v>
      </c>
      <c r="T1204" s="28" t="s">
        <v>96</v>
      </c>
      <c r="U1204" s="28" t="s">
        <v>95</v>
      </c>
      <c r="V1204" s="28" t="s">
        <v>223</v>
      </c>
      <c r="W1204" s="28" t="s">
        <v>553</v>
      </c>
      <c r="X1204" s="28" t="s">
        <v>1752</v>
      </c>
      <c r="Y1204" s="28" t="s">
        <v>1753</v>
      </c>
      <c r="Z1204" s="28">
        <v>39490</v>
      </c>
      <c r="AA1204" s="643">
        <v>0</v>
      </c>
      <c r="AB1204" s="643">
        <v>97.2</v>
      </c>
      <c r="AC1204" s="643">
        <v>0</v>
      </c>
      <c r="AD1204" s="643">
        <v>0</v>
      </c>
      <c r="AE1204" s="779">
        <v>14</v>
      </c>
      <c r="AF1204" s="779">
        <v>14</v>
      </c>
      <c r="AG1204" s="780">
        <v>14.42</v>
      </c>
    </row>
    <row r="1205" spans="1:33" x14ac:dyDescent="0.2">
      <c r="A1205" s="15">
        <f t="shared" si="151"/>
        <v>2008</v>
      </c>
      <c r="B1205" s="14">
        <f t="shared" si="152"/>
        <v>3</v>
      </c>
      <c r="C1205" s="13" t="str">
        <f t="shared" si="153"/>
        <v>Q1</v>
      </c>
      <c r="D1205" s="13" t="str">
        <f t="shared" si="154"/>
        <v>2008Q1</v>
      </c>
      <c r="E1205" s="13" t="str">
        <f t="shared" si="155"/>
        <v>Brazil</v>
      </c>
      <c r="F1205" s="13" t="str">
        <f t="shared" si="158"/>
        <v>Small Hydro</v>
      </c>
      <c r="G1205" s="13" t="str">
        <f t="shared" si="157"/>
        <v>Asset finance investments</v>
      </c>
      <c r="H1205" s="638">
        <f t="shared" si="156"/>
        <v>14.42</v>
      </c>
      <c r="I1205" s="27" t="s">
        <v>506</v>
      </c>
      <c r="J1205" s="28" t="s">
        <v>246</v>
      </c>
      <c r="K1205" s="28" t="s">
        <v>3186</v>
      </c>
      <c r="L1205" s="28" t="s">
        <v>665</v>
      </c>
      <c r="M1205" s="28" t="s">
        <v>31</v>
      </c>
      <c r="N1205" s="28" t="s">
        <v>31</v>
      </c>
      <c r="O1205" s="28" t="s">
        <v>92</v>
      </c>
      <c r="P1205" s="28" t="s">
        <v>83</v>
      </c>
      <c r="Q1205" s="28" t="s">
        <v>82</v>
      </c>
      <c r="R1205" s="28" t="s">
        <v>91</v>
      </c>
      <c r="S1205" s="28" t="s">
        <v>126</v>
      </c>
      <c r="T1205" s="28" t="s">
        <v>125</v>
      </c>
      <c r="U1205" s="28" t="s">
        <v>247</v>
      </c>
      <c r="V1205" s="28">
        <v>0</v>
      </c>
      <c r="W1205" s="28" t="s">
        <v>553</v>
      </c>
      <c r="X1205" s="28" t="s">
        <v>1752</v>
      </c>
      <c r="Y1205" s="28" t="s">
        <v>1753</v>
      </c>
      <c r="Z1205" s="28">
        <v>39508</v>
      </c>
      <c r="AA1205" s="643">
        <v>7</v>
      </c>
      <c r="AB1205" s="643">
        <v>0</v>
      </c>
      <c r="AC1205" s="643">
        <v>0</v>
      </c>
      <c r="AD1205" s="643">
        <v>0</v>
      </c>
      <c r="AE1205" s="779">
        <v>0</v>
      </c>
      <c r="AF1205" s="779">
        <v>14</v>
      </c>
      <c r="AG1205" s="780">
        <v>14.42</v>
      </c>
    </row>
    <row r="1206" spans="1:33" x14ac:dyDescent="0.2">
      <c r="A1206" s="15">
        <f t="shared" si="151"/>
        <v>2008</v>
      </c>
      <c r="B1206" s="14">
        <f t="shared" si="152"/>
        <v>1</v>
      </c>
      <c r="C1206" s="13" t="str">
        <f t="shared" si="153"/>
        <v>Q1</v>
      </c>
      <c r="D1206" s="13" t="str">
        <f t="shared" si="154"/>
        <v>2008Q1</v>
      </c>
      <c r="E1206" s="13" t="str">
        <f t="shared" si="155"/>
        <v>Panama</v>
      </c>
      <c r="F1206" s="13" t="str">
        <f t="shared" si="158"/>
        <v>Small Hydro</v>
      </c>
      <c r="G1206" s="13" t="str">
        <f t="shared" si="157"/>
        <v>Asset finance investments</v>
      </c>
      <c r="H1206" s="638">
        <f t="shared" si="156"/>
        <v>10.815</v>
      </c>
      <c r="I1206" s="27" t="s">
        <v>506</v>
      </c>
      <c r="J1206" s="28" t="s">
        <v>246</v>
      </c>
      <c r="K1206" s="28" t="s">
        <v>3187</v>
      </c>
      <c r="L1206" s="28" t="s">
        <v>876</v>
      </c>
      <c r="M1206" s="28" t="s">
        <v>19</v>
      </c>
      <c r="N1206" s="28" t="s">
        <v>85</v>
      </c>
      <c r="O1206" s="28" t="s">
        <v>92</v>
      </c>
      <c r="P1206" s="28" t="s">
        <v>83</v>
      </c>
      <c r="Q1206" s="28" t="s">
        <v>82</v>
      </c>
      <c r="R1206" s="28"/>
      <c r="S1206" s="28" t="s">
        <v>126</v>
      </c>
      <c r="T1206" s="28" t="s">
        <v>125</v>
      </c>
      <c r="U1206" s="28" t="s">
        <v>247</v>
      </c>
      <c r="V1206" s="28">
        <v>0</v>
      </c>
      <c r="W1206" s="28" t="s">
        <v>553</v>
      </c>
      <c r="X1206" s="28" t="s">
        <v>1752</v>
      </c>
      <c r="Y1206" s="28" t="s">
        <v>1753</v>
      </c>
      <c r="Z1206" s="28">
        <v>39455</v>
      </c>
      <c r="AA1206" s="643">
        <v>4.2</v>
      </c>
      <c r="AB1206" s="643">
        <v>0</v>
      </c>
      <c r="AC1206" s="643">
        <v>0</v>
      </c>
      <c r="AD1206" s="643">
        <v>0</v>
      </c>
      <c r="AE1206" s="779">
        <v>0</v>
      </c>
      <c r="AF1206" s="779">
        <v>10.5</v>
      </c>
      <c r="AG1206" s="780">
        <v>10.815</v>
      </c>
    </row>
    <row r="1207" spans="1:33" x14ac:dyDescent="0.2">
      <c r="A1207" s="15">
        <f t="shared" si="151"/>
        <v>2008</v>
      </c>
      <c r="B1207" s="14">
        <f t="shared" si="152"/>
        <v>3</v>
      </c>
      <c r="C1207" s="13" t="str">
        <f t="shared" si="153"/>
        <v>Q1</v>
      </c>
      <c r="D1207" s="13" t="str">
        <f t="shared" si="154"/>
        <v>2008Q1</v>
      </c>
      <c r="E1207" s="13" t="str">
        <f t="shared" si="155"/>
        <v>Brazil</v>
      </c>
      <c r="F1207" s="13" t="str">
        <f t="shared" si="158"/>
        <v>Wind</v>
      </c>
      <c r="G1207" s="13" t="str">
        <f t="shared" si="157"/>
        <v>Asset finance investments</v>
      </c>
      <c r="H1207" s="638">
        <f t="shared" si="156"/>
        <v>8.4047999999999998</v>
      </c>
      <c r="I1207" s="27" t="s">
        <v>506</v>
      </c>
      <c r="J1207" s="28" t="s">
        <v>246</v>
      </c>
      <c r="K1207" s="28" t="s">
        <v>3188</v>
      </c>
      <c r="L1207" s="28" t="s">
        <v>583</v>
      </c>
      <c r="M1207" s="28" t="s">
        <v>31</v>
      </c>
      <c r="N1207" s="28" t="s">
        <v>31</v>
      </c>
      <c r="O1207" s="28" t="s">
        <v>92</v>
      </c>
      <c r="P1207" s="28" t="s">
        <v>83</v>
      </c>
      <c r="Q1207" s="28" t="s">
        <v>82</v>
      </c>
      <c r="R1207" s="28" t="s">
        <v>91</v>
      </c>
      <c r="S1207" s="28" t="s">
        <v>101</v>
      </c>
      <c r="T1207" s="28" t="s">
        <v>101</v>
      </c>
      <c r="U1207" s="28" t="s">
        <v>112</v>
      </c>
      <c r="V1207" s="28">
        <v>0</v>
      </c>
      <c r="W1207" s="28" t="s">
        <v>553</v>
      </c>
      <c r="X1207" s="28" t="s">
        <v>1752</v>
      </c>
      <c r="Y1207" s="28" t="s">
        <v>1753</v>
      </c>
      <c r="Z1207" s="28">
        <v>39538</v>
      </c>
      <c r="AA1207" s="643">
        <v>4.8</v>
      </c>
      <c r="AB1207" s="643">
        <v>0</v>
      </c>
      <c r="AC1207" s="643">
        <v>0</v>
      </c>
      <c r="AD1207" s="643">
        <v>0</v>
      </c>
      <c r="AE1207" s="779">
        <v>0</v>
      </c>
      <c r="AF1207" s="779">
        <v>8.16</v>
      </c>
      <c r="AG1207" s="780">
        <v>8.4047999999999998</v>
      </c>
    </row>
    <row r="1208" spans="1:33" x14ac:dyDescent="0.2">
      <c r="A1208" s="15">
        <f t="shared" si="151"/>
        <v>2008</v>
      </c>
      <c r="B1208" s="14">
        <f t="shared" si="152"/>
        <v>3</v>
      </c>
      <c r="C1208" s="13" t="str">
        <f t="shared" si="153"/>
        <v>Q1</v>
      </c>
      <c r="D1208" s="13" t="str">
        <f t="shared" si="154"/>
        <v>2008Q1</v>
      </c>
      <c r="E1208" s="13" t="str">
        <f t="shared" si="155"/>
        <v>Brazil</v>
      </c>
      <c r="F1208" s="13" t="str">
        <f t="shared" si="158"/>
        <v>Wind</v>
      </c>
      <c r="G1208" s="13" t="str">
        <f t="shared" si="157"/>
        <v>Asset finance investments</v>
      </c>
      <c r="H1208" s="638">
        <f t="shared" si="156"/>
        <v>8.4047999999999998</v>
      </c>
      <c r="I1208" s="27" t="s">
        <v>506</v>
      </c>
      <c r="J1208" s="28" t="s">
        <v>246</v>
      </c>
      <c r="K1208" s="28" t="s">
        <v>3189</v>
      </c>
      <c r="L1208" s="28" t="s">
        <v>590</v>
      </c>
      <c r="M1208" s="28" t="s">
        <v>31</v>
      </c>
      <c r="N1208" s="28" t="s">
        <v>31</v>
      </c>
      <c r="O1208" s="28" t="s">
        <v>92</v>
      </c>
      <c r="P1208" s="28" t="s">
        <v>83</v>
      </c>
      <c r="Q1208" s="28" t="s">
        <v>82</v>
      </c>
      <c r="R1208" s="28" t="s">
        <v>91</v>
      </c>
      <c r="S1208" s="28" t="s">
        <v>101</v>
      </c>
      <c r="T1208" s="28" t="s">
        <v>101</v>
      </c>
      <c r="U1208" s="28" t="s">
        <v>112</v>
      </c>
      <c r="V1208" s="28">
        <v>0</v>
      </c>
      <c r="W1208" s="28" t="s">
        <v>553</v>
      </c>
      <c r="X1208" s="28" t="s">
        <v>1752</v>
      </c>
      <c r="Y1208" s="28" t="s">
        <v>1753</v>
      </c>
      <c r="Z1208" s="28">
        <v>39538</v>
      </c>
      <c r="AA1208" s="643">
        <v>4.8</v>
      </c>
      <c r="AB1208" s="643">
        <v>0</v>
      </c>
      <c r="AC1208" s="643">
        <v>0</v>
      </c>
      <c r="AD1208" s="643">
        <v>0</v>
      </c>
      <c r="AE1208" s="779">
        <v>0</v>
      </c>
      <c r="AF1208" s="779">
        <v>8.16</v>
      </c>
      <c r="AG1208" s="780">
        <v>8.4047999999999998</v>
      </c>
    </row>
    <row r="1209" spans="1:33" x14ac:dyDescent="0.2">
      <c r="A1209" s="15">
        <f t="shared" si="151"/>
        <v>2008</v>
      </c>
      <c r="B1209" s="14">
        <f t="shared" si="152"/>
        <v>3</v>
      </c>
      <c r="C1209" s="13" t="str">
        <f t="shared" si="153"/>
        <v>Q1</v>
      </c>
      <c r="D1209" s="13" t="str">
        <f t="shared" si="154"/>
        <v>2008Q1</v>
      </c>
      <c r="E1209" s="13" t="str">
        <f t="shared" si="155"/>
        <v>Brazil</v>
      </c>
      <c r="F1209" s="13" t="str">
        <f t="shared" si="158"/>
        <v>Wind</v>
      </c>
      <c r="G1209" s="13" t="str">
        <f t="shared" si="157"/>
        <v>Asset finance investments</v>
      </c>
      <c r="H1209" s="638">
        <f t="shared" si="156"/>
        <v>8.4047999999999998</v>
      </c>
      <c r="I1209" s="27" t="s">
        <v>506</v>
      </c>
      <c r="J1209" s="28" t="s">
        <v>246</v>
      </c>
      <c r="K1209" s="28" t="s">
        <v>3190</v>
      </c>
      <c r="L1209" s="28" t="s">
        <v>584</v>
      </c>
      <c r="M1209" s="28" t="s">
        <v>31</v>
      </c>
      <c r="N1209" s="28" t="s">
        <v>31</v>
      </c>
      <c r="O1209" s="28" t="s">
        <v>92</v>
      </c>
      <c r="P1209" s="28" t="s">
        <v>83</v>
      </c>
      <c r="Q1209" s="28" t="s">
        <v>82</v>
      </c>
      <c r="R1209" s="28" t="s">
        <v>91</v>
      </c>
      <c r="S1209" s="28" t="s">
        <v>101</v>
      </c>
      <c r="T1209" s="28" t="s">
        <v>101</v>
      </c>
      <c r="U1209" s="28" t="s">
        <v>112</v>
      </c>
      <c r="V1209" s="28">
        <v>0</v>
      </c>
      <c r="W1209" s="28" t="s">
        <v>553</v>
      </c>
      <c r="X1209" s="28" t="s">
        <v>1752</v>
      </c>
      <c r="Y1209" s="28" t="s">
        <v>1753</v>
      </c>
      <c r="Z1209" s="28">
        <v>39538</v>
      </c>
      <c r="AA1209" s="643">
        <v>4.8</v>
      </c>
      <c r="AB1209" s="643">
        <v>0</v>
      </c>
      <c r="AC1209" s="643">
        <v>0</v>
      </c>
      <c r="AD1209" s="643">
        <v>0</v>
      </c>
      <c r="AE1209" s="779">
        <v>0</v>
      </c>
      <c r="AF1209" s="779">
        <v>8.16</v>
      </c>
      <c r="AG1209" s="780">
        <v>8.4047999999999998</v>
      </c>
    </row>
    <row r="1210" spans="1:33" x14ac:dyDescent="0.2">
      <c r="A1210" s="15">
        <f t="shared" si="151"/>
        <v>2008</v>
      </c>
      <c r="B1210" s="14">
        <f t="shared" si="152"/>
        <v>3</v>
      </c>
      <c r="C1210" s="13" t="str">
        <f t="shared" si="153"/>
        <v>Q1</v>
      </c>
      <c r="D1210" s="13" t="str">
        <f t="shared" si="154"/>
        <v>2008Q1</v>
      </c>
      <c r="E1210" s="13" t="str">
        <f t="shared" si="155"/>
        <v>Brazil</v>
      </c>
      <c r="F1210" s="13" t="str">
        <f t="shared" si="158"/>
        <v>Wind</v>
      </c>
      <c r="G1210" s="13" t="str">
        <f t="shared" si="157"/>
        <v>Asset finance investments</v>
      </c>
      <c r="H1210" s="638">
        <f t="shared" si="156"/>
        <v>8.4047999999999998</v>
      </c>
      <c r="I1210" s="27" t="s">
        <v>506</v>
      </c>
      <c r="J1210" s="28" t="s">
        <v>246</v>
      </c>
      <c r="K1210" s="28" t="s">
        <v>3191</v>
      </c>
      <c r="L1210" s="28" t="s">
        <v>585</v>
      </c>
      <c r="M1210" s="28" t="s">
        <v>31</v>
      </c>
      <c r="N1210" s="28" t="s">
        <v>31</v>
      </c>
      <c r="O1210" s="28" t="s">
        <v>92</v>
      </c>
      <c r="P1210" s="28" t="s">
        <v>83</v>
      </c>
      <c r="Q1210" s="28" t="s">
        <v>82</v>
      </c>
      <c r="R1210" s="28" t="s">
        <v>91</v>
      </c>
      <c r="S1210" s="28" t="s">
        <v>101</v>
      </c>
      <c r="T1210" s="28" t="s">
        <v>101</v>
      </c>
      <c r="U1210" s="28" t="s">
        <v>112</v>
      </c>
      <c r="V1210" s="28">
        <v>0</v>
      </c>
      <c r="W1210" s="28" t="s">
        <v>553</v>
      </c>
      <c r="X1210" s="28" t="s">
        <v>1752</v>
      </c>
      <c r="Y1210" s="28" t="s">
        <v>1753</v>
      </c>
      <c r="Z1210" s="28">
        <v>39538</v>
      </c>
      <c r="AA1210" s="643">
        <v>4.8</v>
      </c>
      <c r="AB1210" s="643">
        <v>0</v>
      </c>
      <c r="AC1210" s="643">
        <v>0</v>
      </c>
      <c r="AD1210" s="643">
        <v>0</v>
      </c>
      <c r="AE1210" s="779">
        <v>0</v>
      </c>
      <c r="AF1210" s="779">
        <v>8.16</v>
      </c>
      <c r="AG1210" s="780">
        <v>8.4047999999999998</v>
      </c>
    </row>
    <row r="1211" spans="1:33" x14ac:dyDescent="0.2">
      <c r="A1211" s="15">
        <f t="shared" si="151"/>
        <v>2008</v>
      </c>
      <c r="B1211" s="14">
        <f t="shared" si="152"/>
        <v>3</v>
      </c>
      <c r="C1211" s="13" t="str">
        <f t="shared" si="153"/>
        <v>Q1</v>
      </c>
      <c r="D1211" s="13" t="str">
        <f t="shared" si="154"/>
        <v>2008Q1</v>
      </c>
      <c r="E1211" s="13" t="str">
        <f t="shared" si="155"/>
        <v>Brazil</v>
      </c>
      <c r="F1211" s="13" t="str">
        <f t="shared" si="158"/>
        <v>Wind</v>
      </c>
      <c r="G1211" s="13" t="str">
        <f t="shared" si="157"/>
        <v>Asset finance investments</v>
      </c>
      <c r="H1211" s="638">
        <f t="shared" si="156"/>
        <v>8.4047999999999998</v>
      </c>
      <c r="I1211" s="27" t="s">
        <v>506</v>
      </c>
      <c r="J1211" s="28" t="s">
        <v>246</v>
      </c>
      <c r="K1211" s="28" t="s">
        <v>3192</v>
      </c>
      <c r="L1211" s="28" t="s">
        <v>589</v>
      </c>
      <c r="M1211" s="28" t="s">
        <v>31</v>
      </c>
      <c r="N1211" s="28" t="s">
        <v>31</v>
      </c>
      <c r="O1211" s="28" t="s">
        <v>92</v>
      </c>
      <c r="P1211" s="28" t="s">
        <v>83</v>
      </c>
      <c r="Q1211" s="28" t="s">
        <v>82</v>
      </c>
      <c r="R1211" s="28" t="s">
        <v>91</v>
      </c>
      <c r="S1211" s="28" t="s">
        <v>101</v>
      </c>
      <c r="T1211" s="28" t="s">
        <v>101</v>
      </c>
      <c r="U1211" s="28" t="s">
        <v>112</v>
      </c>
      <c r="V1211" s="28">
        <v>0</v>
      </c>
      <c r="W1211" s="28" t="s">
        <v>553</v>
      </c>
      <c r="X1211" s="28" t="s">
        <v>1752</v>
      </c>
      <c r="Y1211" s="28" t="s">
        <v>1753</v>
      </c>
      <c r="Z1211" s="28">
        <v>39538</v>
      </c>
      <c r="AA1211" s="643">
        <v>4.8</v>
      </c>
      <c r="AB1211" s="643">
        <v>0</v>
      </c>
      <c r="AC1211" s="643">
        <v>0</v>
      </c>
      <c r="AD1211" s="643">
        <v>0</v>
      </c>
      <c r="AE1211" s="779">
        <v>0</v>
      </c>
      <c r="AF1211" s="779">
        <v>8.16</v>
      </c>
      <c r="AG1211" s="780">
        <v>8.4047999999999998</v>
      </c>
    </row>
    <row r="1212" spans="1:33" x14ac:dyDescent="0.2">
      <c r="A1212" s="15">
        <f t="shared" si="151"/>
        <v>2008</v>
      </c>
      <c r="B1212" s="14">
        <f t="shared" si="152"/>
        <v>3</v>
      </c>
      <c r="C1212" s="13" t="str">
        <f t="shared" si="153"/>
        <v>Q1</v>
      </c>
      <c r="D1212" s="13" t="str">
        <f t="shared" si="154"/>
        <v>2008Q1</v>
      </c>
      <c r="E1212" s="13" t="str">
        <f t="shared" si="155"/>
        <v>Brazil</v>
      </c>
      <c r="F1212" s="13" t="str">
        <f t="shared" si="158"/>
        <v>Wind</v>
      </c>
      <c r="G1212" s="13" t="str">
        <f t="shared" si="157"/>
        <v>Asset finance investments</v>
      </c>
      <c r="H1212" s="638">
        <f t="shared" si="156"/>
        <v>8.4047999999999998</v>
      </c>
      <c r="I1212" s="27" t="s">
        <v>506</v>
      </c>
      <c r="J1212" s="28" t="s">
        <v>246</v>
      </c>
      <c r="K1212" s="28" t="s">
        <v>3193</v>
      </c>
      <c r="L1212" s="28" t="s">
        <v>586</v>
      </c>
      <c r="M1212" s="28" t="s">
        <v>31</v>
      </c>
      <c r="N1212" s="28" t="s">
        <v>31</v>
      </c>
      <c r="O1212" s="28" t="s">
        <v>92</v>
      </c>
      <c r="P1212" s="28" t="s">
        <v>83</v>
      </c>
      <c r="Q1212" s="28" t="s">
        <v>82</v>
      </c>
      <c r="R1212" s="28" t="s">
        <v>91</v>
      </c>
      <c r="S1212" s="28" t="s">
        <v>101</v>
      </c>
      <c r="T1212" s="28" t="s">
        <v>101</v>
      </c>
      <c r="U1212" s="28" t="s">
        <v>112</v>
      </c>
      <c r="V1212" s="28">
        <v>0</v>
      </c>
      <c r="W1212" s="28" t="s">
        <v>553</v>
      </c>
      <c r="X1212" s="28" t="s">
        <v>1752</v>
      </c>
      <c r="Y1212" s="28" t="s">
        <v>1753</v>
      </c>
      <c r="Z1212" s="28">
        <v>39538</v>
      </c>
      <c r="AA1212" s="643">
        <v>4.8</v>
      </c>
      <c r="AB1212" s="643">
        <v>0</v>
      </c>
      <c r="AC1212" s="643">
        <v>0</v>
      </c>
      <c r="AD1212" s="643">
        <v>0</v>
      </c>
      <c r="AE1212" s="779">
        <v>0</v>
      </c>
      <c r="AF1212" s="779">
        <v>8.16</v>
      </c>
      <c r="AG1212" s="780">
        <v>8.4047999999999998</v>
      </c>
    </row>
    <row r="1213" spans="1:33" x14ac:dyDescent="0.2">
      <c r="A1213" s="15">
        <f t="shared" si="151"/>
        <v>2008</v>
      </c>
      <c r="B1213" s="14">
        <f t="shared" si="152"/>
        <v>3</v>
      </c>
      <c r="C1213" s="13" t="str">
        <f t="shared" si="153"/>
        <v>Q1</v>
      </c>
      <c r="D1213" s="13" t="str">
        <f t="shared" si="154"/>
        <v>2008Q1</v>
      </c>
      <c r="E1213" s="13" t="str">
        <f t="shared" si="155"/>
        <v>Brazil</v>
      </c>
      <c r="F1213" s="13" t="str">
        <f t="shared" si="158"/>
        <v>Wind</v>
      </c>
      <c r="G1213" s="13" t="str">
        <f t="shared" si="157"/>
        <v>Asset finance investments</v>
      </c>
      <c r="H1213" s="638">
        <f t="shared" si="156"/>
        <v>8.4047999999999998</v>
      </c>
      <c r="I1213" s="27" t="s">
        <v>506</v>
      </c>
      <c r="J1213" s="28" t="s">
        <v>246</v>
      </c>
      <c r="K1213" s="28" t="s">
        <v>3194</v>
      </c>
      <c r="L1213" s="28" t="s">
        <v>587</v>
      </c>
      <c r="M1213" s="28" t="s">
        <v>31</v>
      </c>
      <c r="N1213" s="28" t="s">
        <v>31</v>
      </c>
      <c r="O1213" s="28" t="s">
        <v>92</v>
      </c>
      <c r="P1213" s="28" t="s">
        <v>83</v>
      </c>
      <c r="Q1213" s="28" t="s">
        <v>82</v>
      </c>
      <c r="R1213" s="28" t="s">
        <v>91</v>
      </c>
      <c r="S1213" s="28" t="s">
        <v>101</v>
      </c>
      <c r="T1213" s="28" t="s">
        <v>101</v>
      </c>
      <c r="U1213" s="28" t="s">
        <v>112</v>
      </c>
      <c r="V1213" s="28">
        <v>0</v>
      </c>
      <c r="W1213" s="28" t="s">
        <v>553</v>
      </c>
      <c r="X1213" s="28" t="s">
        <v>1752</v>
      </c>
      <c r="Y1213" s="28" t="s">
        <v>1753</v>
      </c>
      <c r="Z1213" s="28">
        <v>39538</v>
      </c>
      <c r="AA1213" s="643">
        <v>4.8</v>
      </c>
      <c r="AB1213" s="643">
        <v>0</v>
      </c>
      <c r="AC1213" s="643">
        <v>0</v>
      </c>
      <c r="AD1213" s="643">
        <v>0</v>
      </c>
      <c r="AE1213" s="779">
        <v>0</v>
      </c>
      <c r="AF1213" s="779">
        <v>8.16</v>
      </c>
      <c r="AG1213" s="780">
        <v>8.4047999999999998</v>
      </c>
    </row>
    <row r="1214" spans="1:33" x14ac:dyDescent="0.2">
      <c r="A1214" s="15">
        <f t="shared" si="151"/>
        <v>2008</v>
      </c>
      <c r="B1214" s="14">
        <f t="shared" si="152"/>
        <v>3</v>
      </c>
      <c r="C1214" s="13" t="str">
        <f t="shared" si="153"/>
        <v>Q1</v>
      </c>
      <c r="D1214" s="13" t="str">
        <f t="shared" si="154"/>
        <v>2008Q1</v>
      </c>
      <c r="E1214" s="13" t="str">
        <f t="shared" si="155"/>
        <v>Brazil</v>
      </c>
      <c r="F1214" s="13" t="str">
        <f t="shared" si="158"/>
        <v>Wind</v>
      </c>
      <c r="G1214" s="13" t="str">
        <f t="shared" si="157"/>
        <v>Asset finance investments</v>
      </c>
      <c r="H1214" s="638">
        <f t="shared" si="156"/>
        <v>8.4047999999999998</v>
      </c>
      <c r="I1214" s="27" t="s">
        <v>506</v>
      </c>
      <c r="J1214" s="28" t="s">
        <v>246</v>
      </c>
      <c r="K1214" s="28" t="s">
        <v>3195</v>
      </c>
      <c r="L1214" s="28" t="s">
        <v>588</v>
      </c>
      <c r="M1214" s="28" t="s">
        <v>31</v>
      </c>
      <c r="N1214" s="28" t="s">
        <v>31</v>
      </c>
      <c r="O1214" s="28" t="s">
        <v>92</v>
      </c>
      <c r="P1214" s="28" t="s">
        <v>83</v>
      </c>
      <c r="Q1214" s="28" t="s">
        <v>82</v>
      </c>
      <c r="R1214" s="28" t="s">
        <v>91</v>
      </c>
      <c r="S1214" s="28" t="s">
        <v>101</v>
      </c>
      <c r="T1214" s="28" t="s">
        <v>101</v>
      </c>
      <c r="U1214" s="28" t="s">
        <v>112</v>
      </c>
      <c r="V1214" s="28">
        <v>0</v>
      </c>
      <c r="W1214" s="28" t="s">
        <v>553</v>
      </c>
      <c r="X1214" s="28" t="s">
        <v>1752</v>
      </c>
      <c r="Y1214" s="28" t="s">
        <v>1753</v>
      </c>
      <c r="Z1214" s="28">
        <v>39538</v>
      </c>
      <c r="AA1214" s="643">
        <v>4.8</v>
      </c>
      <c r="AB1214" s="643">
        <v>0</v>
      </c>
      <c r="AC1214" s="643">
        <v>0</v>
      </c>
      <c r="AD1214" s="643">
        <v>0</v>
      </c>
      <c r="AE1214" s="779">
        <v>0</v>
      </c>
      <c r="AF1214" s="779">
        <v>8.16</v>
      </c>
      <c r="AG1214" s="780">
        <v>8.4047999999999998</v>
      </c>
    </row>
    <row r="1215" spans="1:33" x14ac:dyDescent="0.2">
      <c r="A1215" s="15">
        <f t="shared" si="151"/>
        <v>2008</v>
      </c>
      <c r="B1215" s="14">
        <f t="shared" si="152"/>
        <v>3</v>
      </c>
      <c r="C1215" s="13" t="str">
        <f t="shared" si="153"/>
        <v>Q1</v>
      </c>
      <c r="D1215" s="13" t="str">
        <f t="shared" si="154"/>
        <v>2008Q1</v>
      </c>
      <c r="E1215" s="13" t="str">
        <f t="shared" si="155"/>
        <v>Brazil</v>
      </c>
      <c r="F1215" s="13" t="str">
        <f t="shared" si="158"/>
        <v>Wind</v>
      </c>
      <c r="G1215" s="13" t="str">
        <f t="shared" si="157"/>
        <v>Asset finance investments</v>
      </c>
      <c r="H1215" s="638">
        <f t="shared" si="156"/>
        <v>8.4047999999999998</v>
      </c>
      <c r="I1215" s="27" t="s">
        <v>506</v>
      </c>
      <c r="J1215" s="28" t="s">
        <v>246</v>
      </c>
      <c r="K1215" s="28" t="s">
        <v>3196</v>
      </c>
      <c r="L1215" s="28" t="s">
        <v>591</v>
      </c>
      <c r="M1215" s="28" t="s">
        <v>31</v>
      </c>
      <c r="N1215" s="28" t="s">
        <v>31</v>
      </c>
      <c r="O1215" s="28" t="s">
        <v>92</v>
      </c>
      <c r="P1215" s="28" t="s">
        <v>83</v>
      </c>
      <c r="Q1215" s="28" t="s">
        <v>82</v>
      </c>
      <c r="R1215" s="28" t="s">
        <v>91</v>
      </c>
      <c r="S1215" s="28" t="s">
        <v>101</v>
      </c>
      <c r="T1215" s="28" t="s">
        <v>101</v>
      </c>
      <c r="U1215" s="28" t="s">
        <v>112</v>
      </c>
      <c r="V1215" s="28">
        <v>0</v>
      </c>
      <c r="W1215" s="28" t="s">
        <v>553</v>
      </c>
      <c r="X1215" s="28" t="s">
        <v>1752</v>
      </c>
      <c r="Y1215" s="28" t="s">
        <v>1753</v>
      </c>
      <c r="Z1215" s="28">
        <v>39538</v>
      </c>
      <c r="AA1215" s="643">
        <v>4.8</v>
      </c>
      <c r="AB1215" s="643">
        <v>0</v>
      </c>
      <c r="AC1215" s="643">
        <v>0</v>
      </c>
      <c r="AD1215" s="643">
        <v>0</v>
      </c>
      <c r="AE1215" s="779">
        <v>0</v>
      </c>
      <c r="AF1215" s="779">
        <v>8.16</v>
      </c>
      <c r="AG1215" s="780">
        <v>8.4047999999999998</v>
      </c>
    </row>
    <row r="1216" spans="1:33" x14ac:dyDescent="0.2">
      <c r="A1216" s="15">
        <f t="shared" si="151"/>
        <v>2008</v>
      </c>
      <c r="B1216" s="14">
        <f t="shared" si="152"/>
        <v>1</v>
      </c>
      <c r="C1216" s="13" t="str">
        <f t="shared" si="153"/>
        <v>Q1</v>
      </c>
      <c r="D1216" s="13" t="str">
        <f t="shared" si="154"/>
        <v>2008Q1</v>
      </c>
      <c r="E1216" s="13" t="str">
        <f t="shared" si="155"/>
        <v>Brazil</v>
      </c>
      <c r="F1216" s="13" t="str">
        <f t="shared" si="158"/>
        <v>Biofuels</v>
      </c>
      <c r="G1216" s="13" t="str">
        <f t="shared" si="157"/>
        <v>Asset finance investments</v>
      </c>
      <c r="H1216" s="638">
        <f t="shared" si="156"/>
        <v>5.665</v>
      </c>
      <c r="I1216" s="27" t="s">
        <v>506</v>
      </c>
      <c r="J1216" s="28" t="s">
        <v>246</v>
      </c>
      <c r="K1216" s="28" t="s">
        <v>3197</v>
      </c>
      <c r="L1216" s="28" t="s">
        <v>820</v>
      </c>
      <c r="M1216" s="28" t="s">
        <v>31</v>
      </c>
      <c r="N1216" s="28" t="s">
        <v>31</v>
      </c>
      <c r="O1216" s="28" t="s">
        <v>92</v>
      </c>
      <c r="P1216" s="28" t="s">
        <v>83</v>
      </c>
      <c r="Q1216" s="28" t="s">
        <v>82</v>
      </c>
      <c r="R1216" s="28" t="s">
        <v>91</v>
      </c>
      <c r="S1216" s="28" t="s">
        <v>96</v>
      </c>
      <c r="T1216" s="28" t="s">
        <v>96</v>
      </c>
      <c r="U1216" s="28" t="s">
        <v>95</v>
      </c>
      <c r="V1216" s="28" t="s">
        <v>223</v>
      </c>
      <c r="W1216" s="28" t="s">
        <v>553</v>
      </c>
      <c r="X1216" s="28" t="s">
        <v>1752</v>
      </c>
      <c r="Y1216" s="28" t="s">
        <v>1753</v>
      </c>
      <c r="Z1216" s="28">
        <v>39478</v>
      </c>
      <c r="AA1216" s="643">
        <v>0</v>
      </c>
      <c r="AB1216" s="643">
        <v>70</v>
      </c>
      <c r="AC1216" s="643">
        <v>0</v>
      </c>
      <c r="AD1216" s="643">
        <v>0</v>
      </c>
      <c r="AE1216" s="779">
        <v>5.5</v>
      </c>
      <c r="AF1216" s="779">
        <v>5.5</v>
      </c>
      <c r="AG1216" s="780">
        <v>5.665</v>
      </c>
    </row>
    <row r="1217" spans="1:33" x14ac:dyDescent="0.2">
      <c r="A1217" s="15">
        <f t="shared" si="151"/>
        <v>2008</v>
      </c>
      <c r="B1217" s="14">
        <f t="shared" si="152"/>
        <v>2</v>
      </c>
      <c r="C1217" s="13" t="str">
        <f t="shared" si="153"/>
        <v>Q1</v>
      </c>
      <c r="D1217" s="13" t="str">
        <f t="shared" si="154"/>
        <v>2008Q1</v>
      </c>
      <c r="E1217" s="13" t="str">
        <f t="shared" si="155"/>
        <v>Brazil</v>
      </c>
      <c r="F1217" s="13" t="str">
        <f t="shared" si="158"/>
        <v>Biofuels</v>
      </c>
      <c r="G1217" s="13" t="str">
        <f t="shared" si="157"/>
        <v>Asset finance investments</v>
      </c>
      <c r="H1217" s="638">
        <f t="shared" si="156"/>
        <v>5.4507599999999998</v>
      </c>
      <c r="I1217" s="27" t="s">
        <v>506</v>
      </c>
      <c r="J1217" s="28" t="s">
        <v>246</v>
      </c>
      <c r="K1217" s="28" t="s">
        <v>3198</v>
      </c>
      <c r="L1217" s="28" t="s">
        <v>1020</v>
      </c>
      <c r="M1217" s="28" t="s">
        <v>31</v>
      </c>
      <c r="N1217" s="28" t="s">
        <v>31</v>
      </c>
      <c r="O1217" s="28" t="s">
        <v>92</v>
      </c>
      <c r="P1217" s="28" t="s">
        <v>83</v>
      </c>
      <c r="Q1217" s="28" t="s">
        <v>82</v>
      </c>
      <c r="R1217" s="28" t="s">
        <v>91</v>
      </c>
      <c r="S1217" s="28" t="s">
        <v>96</v>
      </c>
      <c r="T1217" s="28" t="s">
        <v>96</v>
      </c>
      <c r="U1217" s="28" t="s">
        <v>95</v>
      </c>
      <c r="V1217" s="28">
        <v>0</v>
      </c>
      <c r="W1217" s="28" t="s">
        <v>553</v>
      </c>
      <c r="X1217" s="28" t="s">
        <v>1752</v>
      </c>
      <c r="Y1217" s="28" t="s">
        <v>1753</v>
      </c>
      <c r="Z1217" s="28">
        <v>39500</v>
      </c>
      <c r="AA1217" s="643">
        <v>0</v>
      </c>
      <c r="AB1217" s="643">
        <v>12.6</v>
      </c>
      <c r="AC1217" s="643">
        <v>0</v>
      </c>
      <c r="AD1217" s="643">
        <v>0</v>
      </c>
      <c r="AE1217" s="779">
        <v>0</v>
      </c>
      <c r="AF1217" s="779">
        <v>5.2919999999999998</v>
      </c>
      <c r="AG1217" s="780">
        <v>5.4507599999999998</v>
      </c>
    </row>
    <row r="1218" spans="1:33" x14ac:dyDescent="0.2">
      <c r="A1218" s="15">
        <f t="shared" si="151"/>
        <v>2008</v>
      </c>
      <c r="B1218" s="14">
        <f t="shared" si="152"/>
        <v>2</v>
      </c>
      <c r="C1218" s="13" t="str">
        <f t="shared" si="153"/>
        <v>Q1</v>
      </c>
      <c r="D1218" s="13" t="str">
        <f t="shared" si="154"/>
        <v>2008Q1</v>
      </c>
      <c r="E1218" s="13" t="str">
        <f t="shared" si="155"/>
        <v>Brazil</v>
      </c>
      <c r="F1218" s="13" t="str">
        <f t="shared" si="158"/>
        <v>Biofuels</v>
      </c>
      <c r="G1218" s="13" t="str">
        <f t="shared" si="157"/>
        <v>Asset finance investments</v>
      </c>
      <c r="H1218" s="638">
        <f t="shared" si="156"/>
        <v>5.2344600000000003</v>
      </c>
      <c r="I1218" s="27" t="s">
        <v>506</v>
      </c>
      <c r="J1218" s="28" t="s">
        <v>246</v>
      </c>
      <c r="K1218" s="28" t="s">
        <v>3199</v>
      </c>
      <c r="L1218" s="28" t="s">
        <v>3200</v>
      </c>
      <c r="M1218" s="28" t="s">
        <v>31</v>
      </c>
      <c r="N1218" s="28" t="s">
        <v>31</v>
      </c>
      <c r="O1218" s="28" t="s">
        <v>92</v>
      </c>
      <c r="P1218" s="28" t="s">
        <v>83</v>
      </c>
      <c r="Q1218" s="28" t="s">
        <v>82</v>
      </c>
      <c r="R1218" s="28" t="s">
        <v>91</v>
      </c>
      <c r="S1218" s="28" t="s">
        <v>96</v>
      </c>
      <c r="T1218" s="28" t="s">
        <v>96</v>
      </c>
      <c r="U1218" s="28" t="s">
        <v>95</v>
      </c>
      <c r="V1218" s="28" t="s">
        <v>223</v>
      </c>
      <c r="W1218" s="28" t="s">
        <v>553</v>
      </c>
      <c r="X1218" s="28" t="s">
        <v>1752</v>
      </c>
      <c r="Y1218" s="28" t="s">
        <v>1753</v>
      </c>
      <c r="Z1218" s="28">
        <v>39482</v>
      </c>
      <c r="AA1218" s="643">
        <v>0</v>
      </c>
      <c r="AB1218" s="643">
        <v>12.1</v>
      </c>
      <c r="AC1218" s="643">
        <v>0</v>
      </c>
      <c r="AD1218" s="643">
        <v>0</v>
      </c>
      <c r="AE1218" s="779">
        <v>0</v>
      </c>
      <c r="AF1218" s="779">
        <v>5.0819999999999999</v>
      </c>
      <c r="AG1218" s="780">
        <v>5.2344600000000003</v>
      </c>
    </row>
    <row r="1219" spans="1:33" x14ac:dyDescent="0.2">
      <c r="A1219" s="15">
        <f t="shared" si="151"/>
        <v>2008</v>
      </c>
      <c r="B1219" s="14">
        <f t="shared" si="152"/>
        <v>1</v>
      </c>
      <c r="C1219" s="13" t="str">
        <f t="shared" si="153"/>
        <v>Q1</v>
      </c>
      <c r="D1219" s="13" t="str">
        <f t="shared" si="154"/>
        <v>2008Q1</v>
      </c>
      <c r="E1219" s="13" t="str">
        <f t="shared" si="155"/>
        <v>Honduras</v>
      </c>
      <c r="F1219" s="13" t="str">
        <f t="shared" si="158"/>
        <v>Biomass &amp; Waste</v>
      </c>
      <c r="G1219" s="13" t="str">
        <f t="shared" si="157"/>
        <v>Asset finance investments</v>
      </c>
      <c r="H1219" s="638">
        <f t="shared" si="156"/>
        <v>3.7080000000000002</v>
      </c>
      <c r="I1219" s="27" t="s">
        <v>506</v>
      </c>
      <c r="J1219" s="28" t="s">
        <v>246</v>
      </c>
      <c r="K1219" s="28" t="s">
        <v>3201</v>
      </c>
      <c r="L1219" s="28" t="s">
        <v>664</v>
      </c>
      <c r="M1219" s="28" t="s">
        <v>16</v>
      </c>
      <c r="N1219" s="28" t="s">
        <v>85</v>
      </c>
      <c r="O1219" s="28" t="s">
        <v>92</v>
      </c>
      <c r="P1219" s="28" t="s">
        <v>83</v>
      </c>
      <c r="Q1219" s="28" t="s">
        <v>82</v>
      </c>
      <c r="R1219" s="28"/>
      <c r="S1219" s="28" t="s">
        <v>114</v>
      </c>
      <c r="T1219" s="28" t="s">
        <v>114</v>
      </c>
      <c r="U1219" s="28" t="s">
        <v>113</v>
      </c>
      <c r="V1219" s="28">
        <v>0</v>
      </c>
      <c r="W1219" s="28" t="s">
        <v>553</v>
      </c>
      <c r="X1219" s="28" t="s">
        <v>1752</v>
      </c>
      <c r="Y1219" s="28" t="s">
        <v>1753</v>
      </c>
      <c r="Z1219" s="28">
        <v>39449</v>
      </c>
      <c r="AA1219" s="643">
        <v>1.5</v>
      </c>
      <c r="AB1219" s="643">
        <v>0</v>
      </c>
      <c r="AC1219" s="643">
        <v>0</v>
      </c>
      <c r="AD1219" s="643">
        <v>0</v>
      </c>
      <c r="AE1219" s="779">
        <v>3.6</v>
      </c>
      <c r="AF1219" s="779">
        <v>3.6</v>
      </c>
      <c r="AG1219" s="780">
        <v>3.7080000000000002</v>
      </c>
    </row>
    <row r="1220" spans="1:33" x14ac:dyDescent="0.2">
      <c r="A1220" s="15">
        <f t="shared" si="151"/>
        <v>2008</v>
      </c>
      <c r="B1220" s="14">
        <f t="shared" si="152"/>
        <v>3</v>
      </c>
      <c r="C1220" s="13" t="str">
        <f t="shared" si="153"/>
        <v>Q1</v>
      </c>
      <c r="D1220" s="13" t="str">
        <f t="shared" si="154"/>
        <v>2008Q1</v>
      </c>
      <c r="E1220" s="13" t="str">
        <f t="shared" si="155"/>
        <v>Chile</v>
      </c>
      <c r="F1220" s="13" t="str">
        <f t="shared" si="158"/>
        <v>Biomass &amp; Waste</v>
      </c>
      <c r="G1220" s="13" t="str">
        <f t="shared" si="157"/>
        <v>Asset finance investments</v>
      </c>
      <c r="H1220" s="638">
        <f t="shared" si="156"/>
        <v>3.09</v>
      </c>
      <c r="I1220" s="27" t="s">
        <v>506</v>
      </c>
      <c r="J1220" s="28" t="s">
        <v>246</v>
      </c>
      <c r="K1220" s="28" t="s">
        <v>3202</v>
      </c>
      <c r="L1220" s="28" t="s">
        <v>3203</v>
      </c>
      <c r="M1220" s="28" t="s">
        <v>8</v>
      </c>
      <c r="N1220" s="28" t="s">
        <v>85</v>
      </c>
      <c r="O1220" s="28" t="s">
        <v>92</v>
      </c>
      <c r="P1220" s="28" t="s">
        <v>83</v>
      </c>
      <c r="Q1220" s="28" t="s">
        <v>129</v>
      </c>
      <c r="R1220" s="28"/>
      <c r="S1220" s="28" t="s">
        <v>114</v>
      </c>
      <c r="T1220" s="28" t="s">
        <v>114</v>
      </c>
      <c r="U1220" s="28" t="s">
        <v>379</v>
      </c>
      <c r="V1220" s="28" t="s">
        <v>347</v>
      </c>
      <c r="W1220" s="28" t="s">
        <v>553</v>
      </c>
      <c r="X1220" s="28" t="s">
        <v>1752</v>
      </c>
      <c r="Y1220" s="28" t="s">
        <v>1753</v>
      </c>
      <c r="Z1220" s="28">
        <v>39519</v>
      </c>
      <c r="AA1220" s="643">
        <v>2.8</v>
      </c>
      <c r="AB1220" s="643">
        <v>0</v>
      </c>
      <c r="AC1220" s="643">
        <v>0</v>
      </c>
      <c r="AD1220" s="643">
        <v>0</v>
      </c>
      <c r="AE1220" s="779">
        <v>3</v>
      </c>
      <c r="AF1220" s="779">
        <v>3</v>
      </c>
      <c r="AG1220" s="780">
        <v>3.09</v>
      </c>
    </row>
    <row r="1221" spans="1:33" x14ac:dyDescent="0.2">
      <c r="A1221" s="15">
        <f t="shared" ref="A1221:A1284" si="159">IF(K1221="","",IF(AND(YEAR(Z1221)&lt;2004,YEAR(Z1221)&gt;1910),2004,YEAR(Z1221)))</f>
        <v>2008</v>
      </c>
      <c r="B1221" s="14">
        <f t="shared" ref="B1221:B1284" si="160">IF(K1221="","",IF(ISNUMBER(Z1221),MONTH(Z1221),0))</f>
        <v>1</v>
      </c>
      <c r="C1221" s="13" t="str">
        <f t="shared" ref="C1221:C1284" si="161">IF(K1221="","",IF(AND(B1221&gt;=1,B1221&lt;=3),"Q1",IF(AND(B1221&gt;3,B1221&lt;=6),"Q2",IF(AND(B1221&gt;6,B1221&lt;=9),"Q3",IF(AND(B1221&gt;9,B1221&lt;=12),"Q4",0)))))</f>
        <v>Q1</v>
      </c>
      <c r="D1221" s="13" t="str">
        <f t="shared" ref="D1221:D1284" si="162">IF(A1221&lt;2006, "&lt; 2006", A1221&amp;C1221)</f>
        <v>2008Q1</v>
      </c>
      <c r="E1221" s="13" t="str">
        <f t="shared" ref="E1221:E1284" si="163">IF(K1221="","", M1221)</f>
        <v>Brazil</v>
      </c>
      <c r="F1221" s="13" t="str">
        <f t="shared" si="158"/>
        <v>Biomass &amp; Waste</v>
      </c>
      <c r="G1221" s="13" t="str">
        <f t="shared" si="157"/>
        <v>Asset finance investments</v>
      </c>
      <c r="H1221" s="638">
        <f t="shared" ref="H1221:H1284" si="164">IF(K1221="","",AG1221)</f>
        <v>2.472</v>
      </c>
      <c r="I1221" s="27" t="s">
        <v>506</v>
      </c>
      <c r="J1221" s="28" t="s">
        <v>246</v>
      </c>
      <c r="K1221" s="28" t="s">
        <v>3204</v>
      </c>
      <c r="L1221" s="28" t="s">
        <v>572</v>
      </c>
      <c r="M1221" s="28" t="s">
        <v>31</v>
      </c>
      <c r="N1221" s="28" t="s">
        <v>31</v>
      </c>
      <c r="O1221" s="28" t="s">
        <v>92</v>
      </c>
      <c r="P1221" s="28" t="s">
        <v>83</v>
      </c>
      <c r="Q1221" s="28" t="s">
        <v>82</v>
      </c>
      <c r="R1221" s="28" t="s">
        <v>91</v>
      </c>
      <c r="S1221" s="28" t="s">
        <v>114</v>
      </c>
      <c r="T1221" s="28" t="s">
        <v>114</v>
      </c>
      <c r="U1221" s="28" t="s">
        <v>113</v>
      </c>
      <c r="V1221" s="28">
        <v>0</v>
      </c>
      <c r="W1221" s="28" t="s">
        <v>553</v>
      </c>
      <c r="X1221" s="28" t="s">
        <v>1752</v>
      </c>
      <c r="Y1221" s="28" t="s">
        <v>1753</v>
      </c>
      <c r="Z1221" s="28">
        <v>39448</v>
      </c>
      <c r="AA1221" s="643">
        <v>1.2</v>
      </c>
      <c r="AB1221" s="643">
        <v>0</v>
      </c>
      <c r="AC1221" s="643">
        <v>0</v>
      </c>
      <c r="AD1221" s="643">
        <v>0</v>
      </c>
      <c r="AE1221" s="779">
        <v>0</v>
      </c>
      <c r="AF1221" s="779">
        <v>2.4</v>
      </c>
      <c r="AG1221" s="780">
        <v>2.472</v>
      </c>
    </row>
    <row r="1222" spans="1:33" x14ac:dyDescent="0.2">
      <c r="A1222" s="15">
        <f t="shared" si="159"/>
        <v>2008</v>
      </c>
      <c r="B1222" s="14">
        <f t="shared" si="160"/>
        <v>3</v>
      </c>
      <c r="C1222" s="13" t="str">
        <f t="shared" si="161"/>
        <v>Q1</v>
      </c>
      <c r="D1222" s="13" t="str">
        <f t="shared" si="162"/>
        <v>2008Q1</v>
      </c>
      <c r="E1222" s="13" t="str">
        <f t="shared" si="163"/>
        <v>Argentina</v>
      </c>
      <c r="F1222" s="13" t="str">
        <f t="shared" si="158"/>
        <v>Biomass &amp; Waste</v>
      </c>
      <c r="G1222" s="13" t="str">
        <f t="shared" ref="G1222:G1285" si="165">IF(K1222="","",IF(OR(J1222="PM",J1222="MA"), "Corporate finance investments", IF(J1222="VCPE", "VC/PE investments", IF(J1222="AF", "Asset finance investments"))))</f>
        <v>Asset finance investments</v>
      </c>
      <c r="H1222" s="638">
        <f t="shared" si="164"/>
        <v>1.4419999999999999</v>
      </c>
      <c r="I1222" s="27" t="s">
        <v>506</v>
      </c>
      <c r="J1222" s="28" t="s">
        <v>246</v>
      </c>
      <c r="K1222" s="28" t="s">
        <v>3205</v>
      </c>
      <c r="L1222" s="28" t="s">
        <v>647</v>
      </c>
      <c r="M1222" s="28" t="s">
        <v>4</v>
      </c>
      <c r="N1222" s="28" t="s">
        <v>85</v>
      </c>
      <c r="O1222" s="28" t="s">
        <v>92</v>
      </c>
      <c r="P1222" s="28" t="s">
        <v>83</v>
      </c>
      <c r="Q1222" s="28" t="s">
        <v>82</v>
      </c>
      <c r="R1222" s="28"/>
      <c r="S1222" s="28" t="s">
        <v>114</v>
      </c>
      <c r="T1222" s="28" t="s">
        <v>114</v>
      </c>
      <c r="U1222" s="28" t="s">
        <v>113</v>
      </c>
      <c r="V1222" s="28">
        <v>0</v>
      </c>
      <c r="W1222" s="28" t="s">
        <v>553</v>
      </c>
      <c r="X1222" s="28" t="s">
        <v>1752</v>
      </c>
      <c r="Y1222" s="28" t="s">
        <v>1753</v>
      </c>
      <c r="Z1222" s="28">
        <v>39535</v>
      </c>
      <c r="AA1222" s="643">
        <v>22.66</v>
      </c>
      <c r="AB1222" s="643">
        <v>0</v>
      </c>
      <c r="AC1222" s="643">
        <v>0</v>
      </c>
      <c r="AD1222" s="643">
        <v>0</v>
      </c>
      <c r="AE1222" s="779">
        <v>0</v>
      </c>
      <c r="AF1222" s="779">
        <v>1.4</v>
      </c>
      <c r="AG1222" s="780">
        <v>1.4419999999999999</v>
      </c>
    </row>
    <row r="1223" spans="1:33" x14ac:dyDescent="0.2">
      <c r="A1223" s="15">
        <f t="shared" si="159"/>
        <v>2007</v>
      </c>
      <c r="B1223" s="14">
        <f t="shared" si="160"/>
        <v>3</v>
      </c>
      <c r="C1223" s="13" t="str">
        <f t="shared" si="161"/>
        <v>Q1</v>
      </c>
      <c r="D1223" s="13" t="str">
        <f t="shared" si="162"/>
        <v>2007Q1</v>
      </c>
      <c r="E1223" s="13" t="str">
        <f t="shared" si="163"/>
        <v>Brazil</v>
      </c>
      <c r="F1223" s="13" t="str">
        <f t="shared" ref="F1223:F1286" si="166">IF(K1223="","",IF(OR(T1223="Wind",T1223="Solar",T1223="Geothermal",T1223="Small Hydro",T1223="Biofuels",T1223="Biomass &amp; Waste"),T1223,"Other Clean Energy"))</f>
        <v>Biofuels</v>
      </c>
      <c r="G1223" s="13" t="str">
        <f t="shared" si="165"/>
        <v>Asset finance investments</v>
      </c>
      <c r="H1223" s="638">
        <f t="shared" si="164"/>
        <v>717.15</v>
      </c>
      <c r="I1223" s="27" t="s">
        <v>506</v>
      </c>
      <c r="J1223" s="28" t="s">
        <v>246</v>
      </c>
      <c r="K1223" s="28" t="s">
        <v>3206</v>
      </c>
      <c r="L1223" s="28" t="s">
        <v>1168</v>
      </c>
      <c r="M1223" s="28" t="s">
        <v>31</v>
      </c>
      <c r="N1223" s="28" t="s">
        <v>31</v>
      </c>
      <c r="O1223" s="28" t="s">
        <v>92</v>
      </c>
      <c r="P1223" s="28" t="s">
        <v>83</v>
      </c>
      <c r="Q1223" s="28" t="s">
        <v>82</v>
      </c>
      <c r="R1223" s="28" t="s">
        <v>91</v>
      </c>
      <c r="S1223" s="28" t="s">
        <v>96</v>
      </c>
      <c r="T1223" s="28" t="s">
        <v>96</v>
      </c>
      <c r="U1223" s="28" t="s">
        <v>98</v>
      </c>
      <c r="V1223" s="28" t="s">
        <v>230</v>
      </c>
      <c r="W1223" s="28" t="s">
        <v>553</v>
      </c>
      <c r="X1223" s="28" t="s">
        <v>1771</v>
      </c>
      <c r="Y1223" s="28" t="s">
        <v>1750</v>
      </c>
      <c r="Z1223" s="28">
        <v>39172</v>
      </c>
      <c r="AA1223" s="643">
        <v>0</v>
      </c>
      <c r="AB1223" s="643">
        <v>306</v>
      </c>
      <c r="AC1223" s="643">
        <v>0</v>
      </c>
      <c r="AD1223" s="643">
        <v>0</v>
      </c>
      <c r="AE1223" s="779">
        <v>683</v>
      </c>
      <c r="AF1223" s="779">
        <v>683</v>
      </c>
      <c r="AG1223" s="780">
        <v>717.15</v>
      </c>
    </row>
    <row r="1224" spans="1:33" x14ac:dyDescent="0.2">
      <c r="A1224" s="15">
        <f t="shared" si="159"/>
        <v>2007</v>
      </c>
      <c r="B1224" s="14">
        <f t="shared" si="160"/>
        <v>3</v>
      </c>
      <c r="C1224" s="13" t="str">
        <f t="shared" si="161"/>
        <v>Q1</v>
      </c>
      <c r="D1224" s="13" t="str">
        <f t="shared" si="162"/>
        <v>2007Q1</v>
      </c>
      <c r="E1224" s="13" t="str">
        <f t="shared" si="163"/>
        <v>Brazil</v>
      </c>
      <c r="F1224" s="13" t="str">
        <f t="shared" si="166"/>
        <v>Biofuels</v>
      </c>
      <c r="G1224" s="13" t="str">
        <f t="shared" si="165"/>
        <v>Asset finance investments</v>
      </c>
      <c r="H1224" s="638">
        <f t="shared" si="164"/>
        <v>358.57499999999999</v>
      </c>
      <c r="I1224" s="27" t="s">
        <v>506</v>
      </c>
      <c r="J1224" s="28" t="s">
        <v>246</v>
      </c>
      <c r="K1224" s="28" t="s">
        <v>3207</v>
      </c>
      <c r="L1224" s="28" t="s">
        <v>961</v>
      </c>
      <c r="M1224" s="28" t="s">
        <v>31</v>
      </c>
      <c r="N1224" s="28" t="s">
        <v>31</v>
      </c>
      <c r="O1224" s="28" t="s">
        <v>92</v>
      </c>
      <c r="P1224" s="28" t="s">
        <v>83</v>
      </c>
      <c r="Q1224" s="28" t="s">
        <v>82</v>
      </c>
      <c r="R1224" s="28" t="s">
        <v>91</v>
      </c>
      <c r="S1224" s="28" t="s">
        <v>96</v>
      </c>
      <c r="T1224" s="28" t="s">
        <v>96</v>
      </c>
      <c r="U1224" s="28" t="s">
        <v>98</v>
      </c>
      <c r="V1224" s="28" t="s">
        <v>230</v>
      </c>
      <c r="W1224" s="28" t="s">
        <v>553</v>
      </c>
      <c r="X1224" s="28" t="s">
        <v>1771</v>
      </c>
      <c r="Y1224" s="28" t="s">
        <v>1750</v>
      </c>
      <c r="Z1224" s="28">
        <v>39172</v>
      </c>
      <c r="AA1224" s="643">
        <v>0</v>
      </c>
      <c r="AB1224" s="643">
        <v>153</v>
      </c>
      <c r="AC1224" s="643">
        <v>0</v>
      </c>
      <c r="AD1224" s="643">
        <v>0</v>
      </c>
      <c r="AE1224" s="779">
        <v>341.5</v>
      </c>
      <c r="AF1224" s="779">
        <v>341.5</v>
      </c>
      <c r="AG1224" s="780">
        <v>358.57499999999999</v>
      </c>
    </row>
    <row r="1225" spans="1:33" x14ac:dyDescent="0.2">
      <c r="A1225" s="15">
        <f t="shared" si="159"/>
        <v>2007</v>
      </c>
      <c r="B1225" s="14">
        <f t="shared" si="160"/>
        <v>1</v>
      </c>
      <c r="C1225" s="13" t="str">
        <f t="shared" si="161"/>
        <v>Q1</v>
      </c>
      <c r="D1225" s="13" t="str">
        <f t="shared" si="162"/>
        <v>2007Q1</v>
      </c>
      <c r="E1225" s="13" t="str">
        <f t="shared" si="163"/>
        <v>Brazil</v>
      </c>
      <c r="F1225" s="13" t="str">
        <f t="shared" si="166"/>
        <v>Biofuels</v>
      </c>
      <c r="G1225" s="13" t="str">
        <f t="shared" si="165"/>
        <v>VC/PE investments</v>
      </c>
      <c r="H1225" s="638">
        <f t="shared" si="164"/>
        <v>252</v>
      </c>
      <c r="I1225" s="27" t="s">
        <v>506</v>
      </c>
      <c r="J1225" s="28" t="s">
        <v>216</v>
      </c>
      <c r="K1225" s="28" t="s">
        <v>3208</v>
      </c>
      <c r="L1225" s="28" t="s">
        <v>206</v>
      </c>
      <c r="M1225" s="28" t="s">
        <v>31</v>
      </c>
      <c r="N1225" s="28" t="s">
        <v>31</v>
      </c>
      <c r="O1225" s="28" t="s">
        <v>92</v>
      </c>
      <c r="P1225" s="28" t="s">
        <v>83</v>
      </c>
      <c r="Q1225" s="28" t="s">
        <v>82</v>
      </c>
      <c r="R1225" s="28" t="s">
        <v>91</v>
      </c>
      <c r="S1225" s="28" t="s">
        <v>96</v>
      </c>
      <c r="T1225" s="28" t="s">
        <v>96</v>
      </c>
      <c r="U1225" s="28" t="s">
        <v>98</v>
      </c>
      <c r="V1225" s="28" t="s">
        <v>230</v>
      </c>
      <c r="W1225" s="28" t="s">
        <v>97</v>
      </c>
      <c r="X1225" s="28" t="s">
        <v>508</v>
      </c>
      <c r="Y1225" s="28" t="s">
        <v>507</v>
      </c>
      <c r="Z1225" s="28">
        <v>39083</v>
      </c>
      <c r="AA1225" s="643" t="s">
        <v>1748</v>
      </c>
      <c r="AB1225" s="643" t="s">
        <v>1748</v>
      </c>
      <c r="AC1225" s="643" t="s">
        <v>1748</v>
      </c>
      <c r="AD1225" s="643" t="s">
        <v>1748</v>
      </c>
      <c r="AE1225" s="779">
        <v>240</v>
      </c>
      <c r="AF1225" s="779">
        <v>240</v>
      </c>
      <c r="AG1225" s="780">
        <v>252</v>
      </c>
    </row>
    <row r="1226" spans="1:33" x14ac:dyDescent="0.2">
      <c r="A1226" s="15">
        <f t="shared" si="159"/>
        <v>2007</v>
      </c>
      <c r="B1226" s="14">
        <f t="shared" si="160"/>
        <v>1</v>
      </c>
      <c r="C1226" s="13" t="str">
        <f t="shared" si="161"/>
        <v>Q1</v>
      </c>
      <c r="D1226" s="13" t="str">
        <f t="shared" si="162"/>
        <v>2007Q1</v>
      </c>
      <c r="E1226" s="13" t="str">
        <f t="shared" si="163"/>
        <v>Brazil</v>
      </c>
      <c r="F1226" s="13" t="str">
        <f t="shared" si="166"/>
        <v>Biofuels</v>
      </c>
      <c r="G1226" s="13" t="str">
        <f t="shared" si="165"/>
        <v>Asset finance investments</v>
      </c>
      <c r="H1226" s="638">
        <f t="shared" si="164"/>
        <v>231.61949999999999</v>
      </c>
      <c r="I1226" s="27" t="s">
        <v>506</v>
      </c>
      <c r="J1226" s="28" t="s">
        <v>246</v>
      </c>
      <c r="K1226" s="28" t="s">
        <v>3209</v>
      </c>
      <c r="L1226" s="28" t="s">
        <v>1080</v>
      </c>
      <c r="M1226" s="28" t="s">
        <v>31</v>
      </c>
      <c r="N1226" s="28" t="s">
        <v>31</v>
      </c>
      <c r="O1226" s="28" t="s">
        <v>92</v>
      </c>
      <c r="P1226" s="28" t="s">
        <v>83</v>
      </c>
      <c r="Q1226" s="28" t="s">
        <v>82</v>
      </c>
      <c r="R1226" s="28" t="s">
        <v>91</v>
      </c>
      <c r="S1226" s="28" t="s">
        <v>96</v>
      </c>
      <c r="T1226" s="28" t="s">
        <v>96</v>
      </c>
      <c r="U1226" s="28" t="s">
        <v>98</v>
      </c>
      <c r="V1226" s="28" t="s">
        <v>230</v>
      </c>
      <c r="W1226" s="28" t="s">
        <v>553</v>
      </c>
      <c r="X1226" s="28" t="s">
        <v>1752</v>
      </c>
      <c r="Y1226" s="28" t="s">
        <v>1753</v>
      </c>
      <c r="Z1226" s="28">
        <v>39084</v>
      </c>
      <c r="AA1226" s="643">
        <v>0</v>
      </c>
      <c r="AB1226" s="643">
        <v>387</v>
      </c>
      <c r="AC1226" s="643">
        <v>0</v>
      </c>
      <c r="AD1226" s="643">
        <v>0</v>
      </c>
      <c r="AE1226" s="779">
        <v>0</v>
      </c>
      <c r="AF1226" s="779">
        <v>220.58999999999997</v>
      </c>
      <c r="AG1226" s="780">
        <v>231.61949999999999</v>
      </c>
    </row>
    <row r="1227" spans="1:33" x14ac:dyDescent="0.2">
      <c r="A1227" s="15">
        <f t="shared" si="159"/>
        <v>2007</v>
      </c>
      <c r="B1227" s="14">
        <f t="shared" si="160"/>
        <v>3</v>
      </c>
      <c r="C1227" s="13" t="str">
        <f t="shared" si="161"/>
        <v>Q1</v>
      </c>
      <c r="D1227" s="13" t="str">
        <f t="shared" si="162"/>
        <v>2007Q1</v>
      </c>
      <c r="E1227" s="13" t="str">
        <f t="shared" si="163"/>
        <v>Brazil</v>
      </c>
      <c r="F1227" s="13" t="str">
        <f t="shared" si="166"/>
        <v>Biofuels</v>
      </c>
      <c r="G1227" s="13" t="str">
        <f t="shared" si="165"/>
        <v>VC/PE investments</v>
      </c>
      <c r="H1227" s="638">
        <f t="shared" si="164"/>
        <v>210</v>
      </c>
      <c r="I1227" s="27" t="s">
        <v>506</v>
      </c>
      <c r="J1227" s="28" t="s">
        <v>216</v>
      </c>
      <c r="K1227" s="28" t="s">
        <v>545</v>
      </c>
      <c r="L1227" s="28" t="s">
        <v>170</v>
      </c>
      <c r="M1227" s="28" t="s">
        <v>31</v>
      </c>
      <c r="N1227" s="28" t="s">
        <v>31</v>
      </c>
      <c r="O1227" s="28" t="s">
        <v>92</v>
      </c>
      <c r="P1227" s="28" t="s">
        <v>83</v>
      </c>
      <c r="Q1227" s="28" t="s">
        <v>82</v>
      </c>
      <c r="R1227" s="28" t="s">
        <v>91</v>
      </c>
      <c r="S1227" s="28" t="s">
        <v>96</v>
      </c>
      <c r="T1227" s="28" t="s">
        <v>96</v>
      </c>
      <c r="U1227" s="28" t="s">
        <v>98</v>
      </c>
      <c r="V1227" s="28" t="s">
        <v>230</v>
      </c>
      <c r="W1227" s="28" t="s">
        <v>94</v>
      </c>
      <c r="X1227" s="28" t="s">
        <v>508</v>
      </c>
      <c r="Y1227" s="28" t="s">
        <v>507</v>
      </c>
      <c r="Z1227" s="28">
        <v>39155.690972222197</v>
      </c>
      <c r="AA1227" s="643" t="s">
        <v>1748</v>
      </c>
      <c r="AB1227" s="643" t="s">
        <v>1748</v>
      </c>
      <c r="AC1227" s="643" t="s">
        <v>1748</v>
      </c>
      <c r="AD1227" s="643" t="s">
        <v>1748</v>
      </c>
      <c r="AE1227" s="779">
        <v>200</v>
      </c>
      <c r="AF1227" s="779">
        <v>200</v>
      </c>
      <c r="AG1227" s="780">
        <v>210</v>
      </c>
    </row>
    <row r="1228" spans="1:33" x14ac:dyDescent="0.2">
      <c r="A1228" s="15">
        <f t="shared" si="159"/>
        <v>2007</v>
      </c>
      <c r="B1228" s="14">
        <f t="shared" si="160"/>
        <v>3</v>
      </c>
      <c r="C1228" s="13" t="str">
        <f t="shared" si="161"/>
        <v>Q1</v>
      </c>
      <c r="D1228" s="13" t="str">
        <f t="shared" si="162"/>
        <v>2007Q1</v>
      </c>
      <c r="E1228" s="13" t="str">
        <f t="shared" si="163"/>
        <v>Brazil</v>
      </c>
      <c r="F1228" s="13" t="str">
        <f t="shared" si="166"/>
        <v>Biofuels</v>
      </c>
      <c r="G1228" s="13" t="str">
        <f t="shared" si="165"/>
        <v>Asset finance investments</v>
      </c>
      <c r="H1228" s="638">
        <f t="shared" si="164"/>
        <v>181.23</v>
      </c>
      <c r="I1228" s="27" t="s">
        <v>506</v>
      </c>
      <c r="J1228" s="28" t="s">
        <v>246</v>
      </c>
      <c r="K1228" s="28" t="s">
        <v>3210</v>
      </c>
      <c r="L1228" s="28" t="s">
        <v>3211</v>
      </c>
      <c r="M1228" s="28" t="s">
        <v>31</v>
      </c>
      <c r="N1228" s="28" t="s">
        <v>31</v>
      </c>
      <c r="O1228" s="28" t="s">
        <v>92</v>
      </c>
      <c r="P1228" s="28" t="s">
        <v>83</v>
      </c>
      <c r="Q1228" s="28" t="s">
        <v>82</v>
      </c>
      <c r="R1228" s="28" t="s">
        <v>91</v>
      </c>
      <c r="S1228" s="28" t="s">
        <v>96</v>
      </c>
      <c r="T1228" s="28" t="s">
        <v>96</v>
      </c>
      <c r="U1228" s="28" t="s">
        <v>98</v>
      </c>
      <c r="V1228" s="28" t="s">
        <v>230</v>
      </c>
      <c r="W1228" s="28" t="s">
        <v>553</v>
      </c>
      <c r="X1228" s="28" t="s">
        <v>1749</v>
      </c>
      <c r="Y1228" s="28" t="s">
        <v>1750</v>
      </c>
      <c r="Z1228" s="28">
        <v>39167.479166666701</v>
      </c>
      <c r="AA1228" s="643">
        <v>40</v>
      </c>
      <c r="AB1228" s="643">
        <v>212</v>
      </c>
      <c r="AC1228" s="643">
        <v>0</v>
      </c>
      <c r="AD1228" s="643">
        <v>0</v>
      </c>
      <c r="AE1228" s="779">
        <v>172.6</v>
      </c>
      <c r="AF1228" s="779">
        <v>172.6</v>
      </c>
      <c r="AG1228" s="780">
        <v>181.23</v>
      </c>
    </row>
    <row r="1229" spans="1:33" x14ac:dyDescent="0.2">
      <c r="A1229" s="15">
        <f t="shared" si="159"/>
        <v>2007</v>
      </c>
      <c r="B1229" s="14">
        <f t="shared" si="160"/>
        <v>1</v>
      </c>
      <c r="C1229" s="13" t="str">
        <f t="shared" si="161"/>
        <v>Q1</v>
      </c>
      <c r="D1229" s="13" t="str">
        <f t="shared" si="162"/>
        <v>2007Q1</v>
      </c>
      <c r="E1229" s="13" t="str">
        <f t="shared" si="163"/>
        <v>Mexico</v>
      </c>
      <c r="F1229" s="13" t="str">
        <f t="shared" si="166"/>
        <v>Wind</v>
      </c>
      <c r="G1229" s="13" t="str">
        <f t="shared" si="165"/>
        <v>Asset finance investments</v>
      </c>
      <c r="H1229" s="638">
        <f t="shared" si="164"/>
        <v>168</v>
      </c>
      <c r="I1229" s="27" t="s">
        <v>506</v>
      </c>
      <c r="J1229" s="28" t="s">
        <v>246</v>
      </c>
      <c r="K1229" s="28" t="s">
        <v>3212</v>
      </c>
      <c r="L1229" s="28" t="s">
        <v>775</v>
      </c>
      <c r="M1229" s="28" t="s">
        <v>18</v>
      </c>
      <c r="N1229" s="28" t="s">
        <v>85</v>
      </c>
      <c r="O1229" s="28" t="s">
        <v>92</v>
      </c>
      <c r="P1229" s="28" t="s">
        <v>83</v>
      </c>
      <c r="Q1229" s="28" t="s">
        <v>129</v>
      </c>
      <c r="R1229" s="28"/>
      <c r="S1229" s="28" t="s">
        <v>101</v>
      </c>
      <c r="T1229" s="28" t="s">
        <v>101</v>
      </c>
      <c r="U1229" s="28" t="s">
        <v>112</v>
      </c>
      <c r="V1229" s="28">
        <v>0</v>
      </c>
      <c r="W1229" s="28" t="s">
        <v>553</v>
      </c>
      <c r="X1229" s="28" t="s">
        <v>1752</v>
      </c>
      <c r="Y1229" s="28" t="s">
        <v>1753</v>
      </c>
      <c r="Z1229" s="28">
        <v>39092</v>
      </c>
      <c r="AA1229" s="643">
        <v>80</v>
      </c>
      <c r="AB1229" s="643">
        <v>0</v>
      </c>
      <c r="AC1229" s="643">
        <v>0</v>
      </c>
      <c r="AD1229" s="643">
        <v>0</v>
      </c>
      <c r="AE1229" s="779">
        <v>160</v>
      </c>
      <c r="AF1229" s="779">
        <v>160</v>
      </c>
      <c r="AG1229" s="780">
        <v>168</v>
      </c>
    </row>
    <row r="1230" spans="1:33" x14ac:dyDescent="0.2">
      <c r="A1230" s="15">
        <f t="shared" si="159"/>
        <v>2007</v>
      </c>
      <c r="B1230" s="14">
        <f t="shared" si="160"/>
        <v>3</v>
      </c>
      <c r="C1230" s="13" t="str">
        <f t="shared" si="161"/>
        <v>Q1</v>
      </c>
      <c r="D1230" s="13" t="str">
        <f t="shared" si="162"/>
        <v>2007Q1</v>
      </c>
      <c r="E1230" s="13" t="str">
        <f t="shared" si="163"/>
        <v>Brazil</v>
      </c>
      <c r="F1230" s="13" t="str">
        <f t="shared" si="166"/>
        <v>Biofuels</v>
      </c>
      <c r="G1230" s="13" t="str">
        <f t="shared" si="165"/>
        <v>VC/PE investments</v>
      </c>
      <c r="H1230" s="638">
        <f t="shared" si="164"/>
        <v>136.5</v>
      </c>
      <c r="I1230" s="27" t="s">
        <v>506</v>
      </c>
      <c r="J1230" s="28" t="s">
        <v>216</v>
      </c>
      <c r="K1230" s="28" t="s">
        <v>544</v>
      </c>
      <c r="L1230" s="28" t="s">
        <v>148</v>
      </c>
      <c r="M1230" s="28" t="s">
        <v>31</v>
      </c>
      <c r="N1230" s="28" t="s">
        <v>31</v>
      </c>
      <c r="O1230" s="28" t="s">
        <v>92</v>
      </c>
      <c r="P1230" s="28" t="s">
        <v>83</v>
      </c>
      <c r="Q1230" s="28" t="s">
        <v>82</v>
      </c>
      <c r="R1230" s="28" t="s">
        <v>91</v>
      </c>
      <c r="S1230" s="28" t="s">
        <v>96</v>
      </c>
      <c r="T1230" s="28" t="s">
        <v>96</v>
      </c>
      <c r="U1230" s="28" t="s">
        <v>98</v>
      </c>
      <c r="V1230" s="28" t="s">
        <v>230</v>
      </c>
      <c r="W1230" s="28" t="s">
        <v>97</v>
      </c>
      <c r="X1230" s="28" t="s">
        <v>508</v>
      </c>
      <c r="Y1230" s="28" t="s">
        <v>507</v>
      </c>
      <c r="Z1230" s="28">
        <v>39168.730555555601</v>
      </c>
      <c r="AA1230" s="643" t="s">
        <v>1748</v>
      </c>
      <c r="AB1230" s="643" t="s">
        <v>1748</v>
      </c>
      <c r="AC1230" s="643" t="s">
        <v>1748</v>
      </c>
      <c r="AD1230" s="643" t="s">
        <v>1748</v>
      </c>
      <c r="AE1230" s="779">
        <v>130</v>
      </c>
      <c r="AF1230" s="779">
        <v>130</v>
      </c>
      <c r="AG1230" s="780">
        <v>136.5</v>
      </c>
    </row>
    <row r="1231" spans="1:33" x14ac:dyDescent="0.2">
      <c r="A1231" s="15">
        <f t="shared" si="159"/>
        <v>2007</v>
      </c>
      <c r="B1231" s="14">
        <f t="shared" si="160"/>
        <v>1</v>
      </c>
      <c r="C1231" s="13" t="str">
        <f t="shared" si="161"/>
        <v>Q1</v>
      </c>
      <c r="D1231" s="13" t="str">
        <f t="shared" si="162"/>
        <v>2007Q1</v>
      </c>
      <c r="E1231" s="13" t="str">
        <f t="shared" si="163"/>
        <v>Brazil</v>
      </c>
      <c r="F1231" s="13" t="str">
        <f t="shared" si="166"/>
        <v>Biofuels</v>
      </c>
      <c r="G1231" s="13" t="str">
        <f t="shared" si="165"/>
        <v>Asset finance investments</v>
      </c>
      <c r="H1231" s="638">
        <f t="shared" si="164"/>
        <v>129.41249999999999</v>
      </c>
      <c r="I1231" s="27" t="s">
        <v>506</v>
      </c>
      <c r="J1231" s="28" t="s">
        <v>246</v>
      </c>
      <c r="K1231" s="28" t="s">
        <v>3213</v>
      </c>
      <c r="L1231" s="28" t="s">
        <v>616</v>
      </c>
      <c r="M1231" s="28" t="s">
        <v>31</v>
      </c>
      <c r="N1231" s="28" t="s">
        <v>31</v>
      </c>
      <c r="O1231" s="28" t="s">
        <v>92</v>
      </c>
      <c r="P1231" s="28" t="s">
        <v>83</v>
      </c>
      <c r="Q1231" s="28" t="s">
        <v>82</v>
      </c>
      <c r="R1231" s="28" t="s">
        <v>91</v>
      </c>
      <c r="S1231" s="28" t="s">
        <v>96</v>
      </c>
      <c r="T1231" s="28" t="s">
        <v>96</v>
      </c>
      <c r="U1231" s="28" t="s">
        <v>98</v>
      </c>
      <c r="V1231" s="28">
        <v>0</v>
      </c>
      <c r="W1231" s="28" t="s">
        <v>553</v>
      </c>
      <c r="X1231" s="28" t="s">
        <v>1752</v>
      </c>
      <c r="Y1231" s="28" t="s">
        <v>1753</v>
      </c>
      <c r="Z1231" s="28">
        <v>39083</v>
      </c>
      <c r="AA1231" s="643">
        <v>0</v>
      </c>
      <c r="AB1231" s="643">
        <v>0</v>
      </c>
      <c r="AC1231" s="643">
        <v>0</v>
      </c>
      <c r="AD1231" s="643">
        <v>0</v>
      </c>
      <c r="AE1231" s="779">
        <v>0</v>
      </c>
      <c r="AF1231" s="779">
        <v>123.25</v>
      </c>
      <c r="AG1231" s="780">
        <v>129.41249999999999</v>
      </c>
    </row>
    <row r="1232" spans="1:33" x14ac:dyDescent="0.2">
      <c r="A1232" s="15">
        <f t="shared" si="159"/>
        <v>2007</v>
      </c>
      <c r="B1232" s="14">
        <f t="shared" si="160"/>
        <v>3</v>
      </c>
      <c r="C1232" s="13" t="str">
        <f t="shared" si="161"/>
        <v>Q1</v>
      </c>
      <c r="D1232" s="13" t="str">
        <f t="shared" si="162"/>
        <v>2007Q1</v>
      </c>
      <c r="E1232" s="13" t="str">
        <f t="shared" si="163"/>
        <v>Brazil</v>
      </c>
      <c r="F1232" s="13" t="str">
        <f t="shared" si="166"/>
        <v>Biomass &amp; Waste</v>
      </c>
      <c r="G1232" s="13" t="str">
        <f t="shared" si="165"/>
        <v>Asset finance investments</v>
      </c>
      <c r="H1232" s="638">
        <f t="shared" si="164"/>
        <v>103.63500000000001</v>
      </c>
      <c r="I1232" s="27" t="s">
        <v>506</v>
      </c>
      <c r="J1232" s="28" t="s">
        <v>246</v>
      </c>
      <c r="K1232" s="28" t="s">
        <v>3214</v>
      </c>
      <c r="L1232" s="28" t="s">
        <v>3215</v>
      </c>
      <c r="M1232" s="28" t="s">
        <v>31</v>
      </c>
      <c r="N1232" s="28" t="s">
        <v>31</v>
      </c>
      <c r="O1232" s="28" t="s">
        <v>92</v>
      </c>
      <c r="P1232" s="28" t="s">
        <v>83</v>
      </c>
      <c r="Q1232" s="28" t="s">
        <v>82</v>
      </c>
      <c r="R1232" s="28" t="s">
        <v>91</v>
      </c>
      <c r="S1232" s="28" t="s">
        <v>114</v>
      </c>
      <c r="T1232" s="28" t="s">
        <v>114</v>
      </c>
      <c r="U1232" s="28" t="s">
        <v>113</v>
      </c>
      <c r="V1232" s="28" t="s">
        <v>347</v>
      </c>
      <c r="W1232" s="28" t="s">
        <v>553</v>
      </c>
      <c r="X1232" s="28" t="s">
        <v>1752</v>
      </c>
      <c r="Y1232" s="28" t="s">
        <v>1753</v>
      </c>
      <c r="Z1232" s="28">
        <v>39172</v>
      </c>
      <c r="AA1232" s="643">
        <v>30</v>
      </c>
      <c r="AB1232" s="643">
        <v>0</v>
      </c>
      <c r="AC1232" s="643">
        <v>0</v>
      </c>
      <c r="AD1232" s="643">
        <v>0</v>
      </c>
      <c r="AE1232" s="779">
        <v>0</v>
      </c>
      <c r="AF1232" s="779">
        <v>98.7</v>
      </c>
      <c r="AG1232" s="780">
        <v>103.63500000000001</v>
      </c>
    </row>
    <row r="1233" spans="1:33" x14ac:dyDescent="0.2">
      <c r="A1233" s="15">
        <f t="shared" si="159"/>
        <v>2007</v>
      </c>
      <c r="B1233" s="14">
        <f t="shared" si="160"/>
        <v>2</v>
      </c>
      <c r="C1233" s="13" t="str">
        <f t="shared" si="161"/>
        <v>Q1</v>
      </c>
      <c r="D1233" s="13" t="str">
        <f t="shared" si="162"/>
        <v>2007Q1</v>
      </c>
      <c r="E1233" s="13" t="str">
        <f t="shared" si="163"/>
        <v>Brazil</v>
      </c>
      <c r="F1233" s="13" t="str">
        <f t="shared" si="166"/>
        <v>Biofuels</v>
      </c>
      <c r="G1233" s="13" t="str">
        <f t="shared" si="165"/>
        <v>Corporate finance investments</v>
      </c>
      <c r="H1233" s="638">
        <f t="shared" si="164"/>
        <v>101.955</v>
      </c>
      <c r="I1233" s="27" t="s">
        <v>506</v>
      </c>
      <c r="J1233" s="28" t="s">
        <v>211</v>
      </c>
      <c r="K1233" s="28" t="s">
        <v>210</v>
      </c>
      <c r="L1233" s="28" t="s">
        <v>209</v>
      </c>
      <c r="M1233" s="28" t="s">
        <v>31</v>
      </c>
      <c r="N1233" s="28" t="s">
        <v>31</v>
      </c>
      <c r="O1233" s="28" t="s">
        <v>92</v>
      </c>
      <c r="P1233" s="28" t="s">
        <v>83</v>
      </c>
      <c r="Q1233" s="28" t="s">
        <v>82</v>
      </c>
      <c r="R1233" s="28" t="s">
        <v>91</v>
      </c>
      <c r="S1233" s="28" t="s">
        <v>96</v>
      </c>
      <c r="T1233" s="28" t="s">
        <v>96</v>
      </c>
      <c r="U1233" s="28">
        <v>0</v>
      </c>
      <c r="V1233" s="28">
        <v>0</v>
      </c>
      <c r="W1233" s="28" t="s">
        <v>31</v>
      </c>
      <c r="X1233" s="28" t="s">
        <v>208</v>
      </c>
      <c r="Y1233" s="28" t="s">
        <v>208</v>
      </c>
      <c r="Z1233" s="28">
        <v>39125</v>
      </c>
      <c r="AA1233" s="643" t="s">
        <v>1823</v>
      </c>
      <c r="AB1233" s="643">
        <v>103.8</v>
      </c>
      <c r="AC1233" s="643">
        <v>200.9</v>
      </c>
      <c r="AD1233" s="643">
        <v>0</v>
      </c>
      <c r="AE1233" s="779">
        <v>97.1</v>
      </c>
      <c r="AF1233" s="779">
        <v>97.1</v>
      </c>
      <c r="AG1233" s="780">
        <v>101.955</v>
      </c>
    </row>
    <row r="1234" spans="1:33" x14ac:dyDescent="0.2">
      <c r="A1234" s="15">
        <f t="shared" si="159"/>
        <v>2007</v>
      </c>
      <c r="B1234" s="14">
        <f t="shared" si="160"/>
        <v>1</v>
      </c>
      <c r="C1234" s="13" t="str">
        <f t="shared" si="161"/>
        <v>Q1</v>
      </c>
      <c r="D1234" s="13" t="str">
        <f t="shared" si="162"/>
        <v>2007Q1</v>
      </c>
      <c r="E1234" s="13" t="str">
        <f t="shared" si="163"/>
        <v>Brazil</v>
      </c>
      <c r="F1234" s="13" t="str">
        <f t="shared" si="166"/>
        <v>Small Hydro</v>
      </c>
      <c r="G1234" s="13" t="str">
        <f t="shared" si="165"/>
        <v>Asset finance investments</v>
      </c>
      <c r="H1234" s="638">
        <f t="shared" si="164"/>
        <v>82.11</v>
      </c>
      <c r="I1234" s="27" t="s">
        <v>506</v>
      </c>
      <c r="J1234" s="28" t="s">
        <v>246</v>
      </c>
      <c r="K1234" s="28" t="s">
        <v>3216</v>
      </c>
      <c r="L1234" s="28" t="s">
        <v>1072</v>
      </c>
      <c r="M1234" s="28" t="s">
        <v>31</v>
      </c>
      <c r="N1234" s="28" t="s">
        <v>31</v>
      </c>
      <c r="O1234" s="28" t="s">
        <v>92</v>
      </c>
      <c r="P1234" s="28" t="s">
        <v>83</v>
      </c>
      <c r="Q1234" s="28" t="s">
        <v>82</v>
      </c>
      <c r="R1234" s="28" t="s">
        <v>91</v>
      </c>
      <c r="S1234" s="28" t="s">
        <v>126</v>
      </c>
      <c r="T1234" s="28" t="s">
        <v>125</v>
      </c>
      <c r="U1234" s="28" t="s">
        <v>342</v>
      </c>
      <c r="V1234" s="28">
        <v>0</v>
      </c>
      <c r="W1234" s="28" t="s">
        <v>553</v>
      </c>
      <c r="X1234" s="28" t="s">
        <v>1749</v>
      </c>
      <c r="Y1234" s="28" t="s">
        <v>1750</v>
      </c>
      <c r="Z1234" s="28">
        <v>39083</v>
      </c>
      <c r="AA1234" s="643">
        <v>29.02</v>
      </c>
      <c r="AB1234" s="643">
        <v>0</v>
      </c>
      <c r="AC1234" s="643">
        <v>0</v>
      </c>
      <c r="AD1234" s="643">
        <v>0</v>
      </c>
      <c r="AE1234" s="779">
        <v>78.2</v>
      </c>
      <c r="AF1234" s="779">
        <v>78.2</v>
      </c>
      <c r="AG1234" s="780">
        <v>82.11</v>
      </c>
    </row>
    <row r="1235" spans="1:33" x14ac:dyDescent="0.2">
      <c r="A1235" s="15">
        <f t="shared" si="159"/>
        <v>2007</v>
      </c>
      <c r="B1235" s="14">
        <f t="shared" si="160"/>
        <v>3</v>
      </c>
      <c r="C1235" s="13" t="str">
        <f t="shared" si="161"/>
        <v>Q1</v>
      </c>
      <c r="D1235" s="13" t="str">
        <f t="shared" si="162"/>
        <v>2007Q1</v>
      </c>
      <c r="E1235" s="13" t="str">
        <f t="shared" si="163"/>
        <v>Brazil</v>
      </c>
      <c r="F1235" s="13" t="str">
        <f t="shared" si="166"/>
        <v>Small Hydro</v>
      </c>
      <c r="G1235" s="13" t="str">
        <f t="shared" si="165"/>
        <v>Asset finance investments</v>
      </c>
      <c r="H1235" s="638">
        <f t="shared" si="164"/>
        <v>73.237499999999997</v>
      </c>
      <c r="I1235" s="27" t="s">
        <v>506</v>
      </c>
      <c r="J1235" s="28" t="s">
        <v>246</v>
      </c>
      <c r="K1235" s="28" t="s">
        <v>3217</v>
      </c>
      <c r="L1235" s="28" t="s">
        <v>597</v>
      </c>
      <c r="M1235" s="28" t="s">
        <v>31</v>
      </c>
      <c r="N1235" s="28" t="s">
        <v>31</v>
      </c>
      <c r="O1235" s="28" t="s">
        <v>92</v>
      </c>
      <c r="P1235" s="28" t="s">
        <v>83</v>
      </c>
      <c r="Q1235" s="28" t="s">
        <v>82</v>
      </c>
      <c r="R1235" s="28" t="s">
        <v>91</v>
      </c>
      <c r="S1235" s="28" t="s">
        <v>126</v>
      </c>
      <c r="T1235" s="28" t="s">
        <v>125</v>
      </c>
      <c r="U1235" s="28" t="s">
        <v>342</v>
      </c>
      <c r="V1235" s="28">
        <v>0</v>
      </c>
      <c r="W1235" s="28" t="s">
        <v>553</v>
      </c>
      <c r="X1235" s="28" t="s">
        <v>1752</v>
      </c>
      <c r="Y1235" s="28" t="s">
        <v>1753</v>
      </c>
      <c r="Z1235" s="28">
        <v>39150</v>
      </c>
      <c r="AA1235" s="643">
        <v>27.9</v>
      </c>
      <c r="AB1235" s="643">
        <v>0</v>
      </c>
      <c r="AC1235" s="643">
        <v>0</v>
      </c>
      <c r="AD1235" s="643">
        <v>0</v>
      </c>
      <c r="AE1235" s="779">
        <v>69.75</v>
      </c>
      <c r="AF1235" s="779">
        <v>69.75</v>
      </c>
      <c r="AG1235" s="780">
        <v>73.237499999999997</v>
      </c>
    </row>
    <row r="1236" spans="1:33" x14ac:dyDescent="0.2">
      <c r="A1236" s="15">
        <f t="shared" si="159"/>
        <v>2007</v>
      </c>
      <c r="B1236" s="14">
        <f t="shared" si="160"/>
        <v>1</v>
      </c>
      <c r="C1236" s="13" t="str">
        <f t="shared" si="161"/>
        <v>Q1</v>
      </c>
      <c r="D1236" s="13" t="str">
        <f t="shared" si="162"/>
        <v>2007Q1</v>
      </c>
      <c r="E1236" s="13" t="str">
        <f t="shared" si="163"/>
        <v>Argentina</v>
      </c>
      <c r="F1236" s="13" t="str">
        <f t="shared" si="166"/>
        <v>Biofuels</v>
      </c>
      <c r="G1236" s="13" t="str">
        <f t="shared" si="165"/>
        <v>Asset finance investments</v>
      </c>
      <c r="H1236" s="638">
        <f t="shared" si="164"/>
        <v>63.018900000000002</v>
      </c>
      <c r="I1236" s="27" t="s">
        <v>506</v>
      </c>
      <c r="J1236" s="28" t="s">
        <v>246</v>
      </c>
      <c r="K1236" s="28" t="s">
        <v>3218</v>
      </c>
      <c r="L1236" s="28" t="s">
        <v>1000</v>
      </c>
      <c r="M1236" s="28" t="s">
        <v>4</v>
      </c>
      <c r="N1236" s="28" t="s">
        <v>85</v>
      </c>
      <c r="O1236" s="28" t="s">
        <v>92</v>
      </c>
      <c r="P1236" s="28" t="s">
        <v>83</v>
      </c>
      <c r="Q1236" s="28" t="s">
        <v>82</v>
      </c>
      <c r="R1236" s="28"/>
      <c r="S1236" s="28" t="s">
        <v>96</v>
      </c>
      <c r="T1236" s="28" t="s">
        <v>96</v>
      </c>
      <c r="U1236" s="28" t="s">
        <v>95</v>
      </c>
      <c r="V1236" s="28" t="s">
        <v>223</v>
      </c>
      <c r="W1236" s="28" t="s">
        <v>553</v>
      </c>
      <c r="X1236" s="28" t="s">
        <v>1752</v>
      </c>
      <c r="Y1236" s="28" t="s">
        <v>1753</v>
      </c>
      <c r="Z1236" s="28">
        <v>39112</v>
      </c>
      <c r="AA1236" s="643">
        <v>0</v>
      </c>
      <c r="AB1236" s="643">
        <v>142.9</v>
      </c>
      <c r="AC1236" s="643">
        <v>0</v>
      </c>
      <c r="AD1236" s="643">
        <v>0</v>
      </c>
      <c r="AE1236" s="779">
        <v>0</v>
      </c>
      <c r="AF1236" s="779">
        <v>60.018000000000001</v>
      </c>
      <c r="AG1236" s="780">
        <v>63.018900000000002</v>
      </c>
    </row>
    <row r="1237" spans="1:33" x14ac:dyDescent="0.2">
      <c r="A1237" s="15">
        <f t="shared" si="159"/>
        <v>2007</v>
      </c>
      <c r="B1237" s="14">
        <f t="shared" si="160"/>
        <v>2</v>
      </c>
      <c r="C1237" s="13" t="str">
        <f t="shared" si="161"/>
        <v>Q1</v>
      </c>
      <c r="D1237" s="13" t="str">
        <f t="shared" si="162"/>
        <v>2007Q1</v>
      </c>
      <c r="E1237" s="13" t="str">
        <f t="shared" si="163"/>
        <v>Brazil</v>
      </c>
      <c r="F1237" s="13" t="str">
        <f t="shared" si="166"/>
        <v>Small Hydro</v>
      </c>
      <c r="G1237" s="13" t="str">
        <f t="shared" si="165"/>
        <v>Asset finance investments</v>
      </c>
      <c r="H1237" s="638">
        <f t="shared" si="164"/>
        <v>62.265000000000001</v>
      </c>
      <c r="I1237" s="27" t="s">
        <v>506</v>
      </c>
      <c r="J1237" s="28" t="s">
        <v>246</v>
      </c>
      <c r="K1237" s="28" t="s">
        <v>3219</v>
      </c>
      <c r="L1237" s="28" t="s">
        <v>619</v>
      </c>
      <c r="M1237" s="28" t="s">
        <v>31</v>
      </c>
      <c r="N1237" s="28" t="s">
        <v>31</v>
      </c>
      <c r="O1237" s="28" t="s">
        <v>92</v>
      </c>
      <c r="P1237" s="28" t="s">
        <v>83</v>
      </c>
      <c r="Q1237" s="28" t="s">
        <v>82</v>
      </c>
      <c r="R1237" s="28" t="s">
        <v>91</v>
      </c>
      <c r="S1237" s="28" t="s">
        <v>126</v>
      </c>
      <c r="T1237" s="28" t="s">
        <v>125</v>
      </c>
      <c r="U1237" s="28" t="s">
        <v>342</v>
      </c>
      <c r="V1237" s="28">
        <v>0</v>
      </c>
      <c r="W1237" s="28" t="s">
        <v>553</v>
      </c>
      <c r="X1237" s="28" t="s">
        <v>1749</v>
      </c>
      <c r="Y1237" s="28" t="s">
        <v>1750</v>
      </c>
      <c r="Z1237" s="28">
        <v>39114</v>
      </c>
      <c r="AA1237" s="643">
        <v>28</v>
      </c>
      <c r="AB1237" s="643">
        <v>0</v>
      </c>
      <c r="AC1237" s="643">
        <v>0</v>
      </c>
      <c r="AD1237" s="643">
        <v>0</v>
      </c>
      <c r="AE1237" s="779">
        <v>59.3</v>
      </c>
      <c r="AF1237" s="779">
        <v>59.3</v>
      </c>
      <c r="AG1237" s="780">
        <v>62.265000000000001</v>
      </c>
    </row>
    <row r="1238" spans="1:33" x14ac:dyDescent="0.2">
      <c r="A1238" s="15">
        <f t="shared" si="159"/>
        <v>2007</v>
      </c>
      <c r="B1238" s="14">
        <f t="shared" si="160"/>
        <v>3</v>
      </c>
      <c r="C1238" s="13" t="str">
        <f t="shared" si="161"/>
        <v>Q1</v>
      </c>
      <c r="D1238" s="13" t="str">
        <f t="shared" si="162"/>
        <v>2007Q1</v>
      </c>
      <c r="E1238" s="13" t="str">
        <f t="shared" si="163"/>
        <v>Belize</v>
      </c>
      <c r="F1238" s="13" t="str">
        <f t="shared" si="166"/>
        <v>Biomass &amp; Waste</v>
      </c>
      <c r="G1238" s="13" t="str">
        <f t="shared" si="165"/>
        <v>Asset finance investments</v>
      </c>
      <c r="H1238" s="638">
        <f t="shared" si="164"/>
        <v>56.28</v>
      </c>
      <c r="I1238" s="27" t="s">
        <v>506</v>
      </c>
      <c r="J1238" s="28" t="s">
        <v>246</v>
      </c>
      <c r="K1238" s="28" t="s">
        <v>3220</v>
      </c>
      <c r="L1238" s="28" t="s">
        <v>810</v>
      </c>
      <c r="M1238" s="28" t="s">
        <v>143</v>
      </c>
      <c r="N1238" s="28" t="s">
        <v>85</v>
      </c>
      <c r="O1238" s="28" t="s">
        <v>92</v>
      </c>
      <c r="P1238" s="28" t="s">
        <v>83</v>
      </c>
      <c r="Q1238" s="28" t="s">
        <v>82</v>
      </c>
      <c r="R1238" s="28"/>
      <c r="S1238" s="28" t="s">
        <v>114</v>
      </c>
      <c r="T1238" s="28" t="s">
        <v>114</v>
      </c>
      <c r="U1238" s="28" t="s">
        <v>113</v>
      </c>
      <c r="V1238" s="28" t="s">
        <v>347</v>
      </c>
      <c r="W1238" s="28" t="s">
        <v>553</v>
      </c>
      <c r="X1238" s="28" t="s">
        <v>1749</v>
      </c>
      <c r="Y1238" s="28" t="s">
        <v>1750</v>
      </c>
      <c r="Z1238" s="28">
        <v>39171</v>
      </c>
      <c r="AA1238" s="643">
        <v>0</v>
      </c>
      <c r="AB1238" s="643">
        <v>0</v>
      </c>
      <c r="AC1238" s="643">
        <v>0</v>
      </c>
      <c r="AD1238" s="643">
        <v>0</v>
      </c>
      <c r="AE1238" s="779">
        <v>53.6</v>
      </c>
      <c r="AF1238" s="779">
        <v>53.6</v>
      </c>
      <c r="AG1238" s="780">
        <v>56.28</v>
      </c>
    </row>
    <row r="1239" spans="1:33" x14ac:dyDescent="0.2">
      <c r="A1239" s="15">
        <f t="shared" si="159"/>
        <v>2007</v>
      </c>
      <c r="B1239" s="14">
        <f t="shared" si="160"/>
        <v>3</v>
      </c>
      <c r="C1239" s="13" t="str">
        <f t="shared" si="161"/>
        <v>Q1</v>
      </c>
      <c r="D1239" s="13" t="str">
        <f t="shared" si="162"/>
        <v>2007Q1</v>
      </c>
      <c r="E1239" s="13" t="str">
        <f t="shared" si="163"/>
        <v>Brazil</v>
      </c>
      <c r="F1239" s="13" t="str">
        <f t="shared" si="166"/>
        <v>Small Hydro</v>
      </c>
      <c r="G1239" s="13" t="str">
        <f t="shared" si="165"/>
        <v>Asset finance investments</v>
      </c>
      <c r="H1239" s="638">
        <f t="shared" si="164"/>
        <v>54.883500000000005</v>
      </c>
      <c r="I1239" s="27" t="s">
        <v>506</v>
      </c>
      <c r="J1239" s="28" t="s">
        <v>246</v>
      </c>
      <c r="K1239" s="28" t="s">
        <v>3221</v>
      </c>
      <c r="L1239" s="28" t="s">
        <v>1088</v>
      </c>
      <c r="M1239" s="28" t="s">
        <v>31</v>
      </c>
      <c r="N1239" s="28" t="s">
        <v>31</v>
      </c>
      <c r="O1239" s="28" t="s">
        <v>92</v>
      </c>
      <c r="P1239" s="28" t="s">
        <v>83</v>
      </c>
      <c r="Q1239" s="28" t="s">
        <v>82</v>
      </c>
      <c r="R1239" s="28" t="s">
        <v>91</v>
      </c>
      <c r="S1239" s="28" t="s">
        <v>126</v>
      </c>
      <c r="T1239" s="28" t="s">
        <v>125</v>
      </c>
      <c r="U1239" s="28" t="s">
        <v>342</v>
      </c>
      <c r="V1239" s="28">
        <v>0</v>
      </c>
      <c r="W1239" s="28" t="s">
        <v>553</v>
      </c>
      <c r="X1239" s="28" t="s">
        <v>1749</v>
      </c>
      <c r="Y1239" s="28" t="s">
        <v>1750</v>
      </c>
      <c r="Z1239" s="28">
        <v>39148</v>
      </c>
      <c r="AA1239" s="643">
        <v>29</v>
      </c>
      <c r="AB1239" s="643">
        <v>0</v>
      </c>
      <c r="AC1239" s="643">
        <v>0</v>
      </c>
      <c r="AD1239" s="643">
        <v>0</v>
      </c>
      <c r="AE1239" s="779">
        <v>52.27</v>
      </c>
      <c r="AF1239" s="779">
        <v>52.27</v>
      </c>
      <c r="AG1239" s="780">
        <v>54.883500000000005</v>
      </c>
    </row>
    <row r="1240" spans="1:33" x14ac:dyDescent="0.2">
      <c r="A1240" s="15">
        <f t="shared" si="159"/>
        <v>2007</v>
      </c>
      <c r="B1240" s="14">
        <f t="shared" si="160"/>
        <v>3</v>
      </c>
      <c r="C1240" s="13" t="str">
        <f t="shared" si="161"/>
        <v>Q1</v>
      </c>
      <c r="D1240" s="13" t="str">
        <f t="shared" si="162"/>
        <v>2007Q1</v>
      </c>
      <c r="E1240" s="13" t="str">
        <f t="shared" si="163"/>
        <v>Brazil</v>
      </c>
      <c r="F1240" s="13" t="str">
        <f t="shared" si="166"/>
        <v>Small Hydro</v>
      </c>
      <c r="G1240" s="13" t="str">
        <f t="shared" si="165"/>
        <v>Asset finance investments</v>
      </c>
      <c r="H1240" s="638">
        <f t="shared" si="164"/>
        <v>52.185000000000002</v>
      </c>
      <c r="I1240" s="27" t="s">
        <v>506</v>
      </c>
      <c r="J1240" s="28" t="s">
        <v>246</v>
      </c>
      <c r="K1240" s="28" t="s">
        <v>3222</v>
      </c>
      <c r="L1240" s="28" t="s">
        <v>1041</v>
      </c>
      <c r="M1240" s="28" t="s">
        <v>31</v>
      </c>
      <c r="N1240" s="28" t="s">
        <v>31</v>
      </c>
      <c r="O1240" s="28" t="s">
        <v>92</v>
      </c>
      <c r="P1240" s="28" t="s">
        <v>83</v>
      </c>
      <c r="Q1240" s="28" t="s">
        <v>82</v>
      </c>
      <c r="R1240" s="28" t="s">
        <v>91</v>
      </c>
      <c r="S1240" s="28" t="s">
        <v>126</v>
      </c>
      <c r="T1240" s="28" t="s">
        <v>125</v>
      </c>
      <c r="U1240" s="28" t="s">
        <v>342</v>
      </c>
      <c r="V1240" s="28">
        <v>0</v>
      </c>
      <c r="W1240" s="28" t="s">
        <v>553</v>
      </c>
      <c r="X1240" s="28" t="s">
        <v>1749</v>
      </c>
      <c r="Y1240" s="28" t="s">
        <v>1750</v>
      </c>
      <c r="Z1240" s="28">
        <v>39154</v>
      </c>
      <c r="AA1240" s="643">
        <v>27.9</v>
      </c>
      <c r="AB1240" s="643">
        <v>0</v>
      </c>
      <c r="AC1240" s="643">
        <v>0</v>
      </c>
      <c r="AD1240" s="643">
        <v>0</v>
      </c>
      <c r="AE1240" s="779">
        <v>49.7</v>
      </c>
      <c r="AF1240" s="779">
        <v>49.7</v>
      </c>
      <c r="AG1240" s="780">
        <v>52.185000000000002</v>
      </c>
    </row>
    <row r="1241" spans="1:33" x14ac:dyDescent="0.2">
      <c r="A1241" s="15">
        <f t="shared" si="159"/>
        <v>2007</v>
      </c>
      <c r="B1241" s="14">
        <f t="shared" si="160"/>
        <v>1</v>
      </c>
      <c r="C1241" s="13" t="str">
        <f t="shared" si="161"/>
        <v>Q1</v>
      </c>
      <c r="D1241" s="13" t="str">
        <f t="shared" si="162"/>
        <v>2007Q1</v>
      </c>
      <c r="E1241" s="13" t="str">
        <f t="shared" si="163"/>
        <v>Brazil</v>
      </c>
      <c r="F1241" s="13" t="str">
        <f t="shared" si="166"/>
        <v>Small Hydro</v>
      </c>
      <c r="G1241" s="13" t="str">
        <f t="shared" si="165"/>
        <v>Asset finance investments</v>
      </c>
      <c r="H1241" s="638">
        <f t="shared" si="164"/>
        <v>50.295000000000002</v>
      </c>
      <c r="I1241" s="27" t="s">
        <v>506</v>
      </c>
      <c r="J1241" s="28" t="s">
        <v>246</v>
      </c>
      <c r="K1241" s="28" t="s">
        <v>3223</v>
      </c>
      <c r="L1241" s="28" t="s">
        <v>1170</v>
      </c>
      <c r="M1241" s="28" t="s">
        <v>31</v>
      </c>
      <c r="N1241" s="28" t="s">
        <v>31</v>
      </c>
      <c r="O1241" s="28" t="s">
        <v>92</v>
      </c>
      <c r="P1241" s="28" t="s">
        <v>83</v>
      </c>
      <c r="Q1241" s="28" t="s">
        <v>82</v>
      </c>
      <c r="R1241" s="28" t="s">
        <v>91</v>
      </c>
      <c r="S1241" s="28" t="s">
        <v>126</v>
      </c>
      <c r="T1241" s="28" t="s">
        <v>125</v>
      </c>
      <c r="U1241" s="28" t="s">
        <v>247</v>
      </c>
      <c r="V1241" s="28">
        <v>0</v>
      </c>
      <c r="W1241" s="28" t="s">
        <v>553</v>
      </c>
      <c r="X1241" s="28" t="s">
        <v>1749</v>
      </c>
      <c r="Y1241" s="28" t="s">
        <v>1750</v>
      </c>
      <c r="Z1241" s="28">
        <v>39113</v>
      </c>
      <c r="AA1241" s="643">
        <v>19.8</v>
      </c>
      <c r="AB1241" s="643">
        <v>0</v>
      </c>
      <c r="AC1241" s="643">
        <v>0</v>
      </c>
      <c r="AD1241" s="643">
        <v>0</v>
      </c>
      <c r="AE1241" s="779">
        <v>47.9</v>
      </c>
      <c r="AF1241" s="779">
        <v>47.9</v>
      </c>
      <c r="AG1241" s="780">
        <v>50.295000000000002</v>
      </c>
    </row>
    <row r="1242" spans="1:33" x14ac:dyDescent="0.2">
      <c r="A1242" s="15">
        <f t="shared" si="159"/>
        <v>2007</v>
      </c>
      <c r="B1242" s="14">
        <f t="shared" si="160"/>
        <v>3</v>
      </c>
      <c r="C1242" s="13" t="str">
        <f t="shared" si="161"/>
        <v>Q1</v>
      </c>
      <c r="D1242" s="13" t="str">
        <f t="shared" si="162"/>
        <v>2007Q1</v>
      </c>
      <c r="E1242" s="13" t="str">
        <f t="shared" si="163"/>
        <v>Brazil</v>
      </c>
      <c r="F1242" s="13" t="str">
        <f t="shared" si="166"/>
        <v>Wind</v>
      </c>
      <c r="G1242" s="13" t="str">
        <f t="shared" si="165"/>
        <v>Asset finance investments</v>
      </c>
      <c r="H1242" s="638">
        <f t="shared" si="164"/>
        <v>47.25</v>
      </c>
      <c r="I1242" s="27" t="s">
        <v>506</v>
      </c>
      <c r="J1242" s="28" t="s">
        <v>246</v>
      </c>
      <c r="K1242" s="28" t="s">
        <v>3224</v>
      </c>
      <c r="L1242" s="28" t="s">
        <v>957</v>
      </c>
      <c r="M1242" s="28" t="s">
        <v>31</v>
      </c>
      <c r="N1242" s="28" t="s">
        <v>31</v>
      </c>
      <c r="O1242" s="28" t="s">
        <v>92</v>
      </c>
      <c r="P1242" s="28" t="s">
        <v>83</v>
      </c>
      <c r="Q1242" s="28" t="s">
        <v>82</v>
      </c>
      <c r="R1242" s="28" t="s">
        <v>91</v>
      </c>
      <c r="S1242" s="28" t="s">
        <v>101</v>
      </c>
      <c r="T1242" s="28" t="s">
        <v>101</v>
      </c>
      <c r="U1242" s="28" t="s">
        <v>112</v>
      </c>
      <c r="V1242" s="28">
        <v>0</v>
      </c>
      <c r="W1242" s="28" t="s">
        <v>553</v>
      </c>
      <c r="X1242" s="28" t="s">
        <v>1752</v>
      </c>
      <c r="Y1242" s="28" t="s">
        <v>1753</v>
      </c>
      <c r="Z1242" s="28">
        <v>39161.617361111101</v>
      </c>
      <c r="AA1242" s="643">
        <v>14.7</v>
      </c>
      <c r="AB1242" s="643">
        <v>0</v>
      </c>
      <c r="AC1242" s="643">
        <v>0</v>
      </c>
      <c r="AD1242" s="643">
        <v>0</v>
      </c>
      <c r="AE1242" s="779">
        <v>45</v>
      </c>
      <c r="AF1242" s="779">
        <v>45</v>
      </c>
      <c r="AG1242" s="780">
        <v>47.25</v>
      </c>
    </row>
    <row r="1243" spans="1:33" x14ac:dyDescent="0.2">
      <c r="A1243" s="15">
        <f t="shared" si="159"/>
        <v>2007</v>
      </c>
      <c r="B1243" s="14">
        <f t="shared" si="160"/>
        <v>1</v>
      </c>
      <c r="C1243" s="13" t="str">
        <f t="shared" si="161"/>
        <v>Q1</v>
      </c>
      <c r="D1243" s="13" t="str">
        <f t="shared" si="162"/>
        <v>2007Q1</v>
      </c>
      <c r="E1243" s="13" t="str">
        <f t="shared" si="163"/>
        <v>Argentina</v>
      </c>
      <c r="F1243" s="13" t="str">
        <f t="shared" si="166"/>
        <v>Biofuels</v>
      </c>
      <c r="G1243" s="13" t="str">
        <f t="shared" si="165"/>
        <v>Asset finance investments</v>
      </c>
      <c r="H1243" s="638">
        <f t="shared" si="164"/>
        <v>42</v>
      </c>
      <c r="I1243" s="27" t="s">
        <v>506</v>
      </c>
      <c r="J1243" s="28" t="s">
        <v>246</v>
      </c>
      <c r="K1243" s="28" t="s">
        <v>3225</v>
      </c>
      <c r="L1243" s="28" t="s">
        <v>1001</v>
      </c>
      <c r="M1243" s="28" t="s">
        <v>4</v>
      </c>
      <c r="N1243" s="28" t="s">
        <v>85</v>
      </c>
      <c r="O1243" s="28" t="s">
        <v>92</v>
      </c>
      <c r="P1243" s="28" t="s">
        <v>83</v>
      </c>
      <c r="Q1243" s="28" t="s">
        <v>82</v>
      </c>
      <c r="R1243" s="28"/>
      <c r="S1243" s="28" t="s">
        <v>96</v>
      </c>
      <c r="T1243" s="28" t="s">
        <v>96</v>
      </c>
      <c r="U1243" s="28" t="s">
        <v>95</v>
      </c>
      <c r="V1243" s="28" t="s">
        <v>223</v>
      </c>
      <c r="W1243" s="28" t="s">
        <v>553</v>
      </c>
      <c r="X1243" s="28" t="s">
        <v>1752</v>
      </c>
      <c r="Y1243" s="28" t="s">
        <v>1753</v>
      </c>
      <c r="Z1243" s="28">
        <v>39113</v>
      </c>
      <c r="AA1243" s="643">
        <v>0</v>
      </c>
      <c r="AB1243" s="643">
        <v>273.8</v>
      </c>
      <c r="AC1243" s="643">
        <v>0</v>
      </c>
      <c r="AD1243" s="643">
        <v>0</v>
      </c>
      <c r="AE1243" s="779">
        <v>40</v>
      </c>
      <c r="AF1243" s="779">
        <v>40</v>
      </c>
      <c r="AG1243" s="780">
        <v>42</v>
      </c>
    </row>
    <row r="1244" spans="1:33" x14ac:dyDescent="0.2">
      <c r="A1244" s="15">
        <f t="shared" si="159"/>
        <v>2007</v>
      </c>
      <c r="B1244" s="14">
        <f t="shared" si="160"/>
        <v>1</v>
      </c>
      <c r="C1244" s="13" t="str">
        <f t="shared" si="161"/>
        <v>Q1</v>
      </c>
      <c r="D1244" s="13" t="str">
        <f t="shared" si="162"/>
        <v>2007Q1</v>
      </c>
      <c r="E1244" s="13" t="str">
        <f t="shared" si="163"/>
        <v>Brazil</v>
      </c>
      <c r="F1244" s="13" t="str">
        <f t="shared" si="166"/>
        <v>Biofuels</v>
      </c>
      <c r="G1244" s="13" t="str">
        <f t="shared" si="165"/>
        <v>Asset finance investments</v>
      </c>
      <c r="H1244" s="638">
        <f t="shared" si="164"/>
        <v>31.5</v>
      </c>
      <c r="I1244" s="27" t="s">
        <v>506</v>
      </c>
      <c r="J1244" s="28" t="s">
        <v>246</v>
      </c>
      <c r="K1244" s="28" t="s">
        <v>3226</v>
      </c>
      <c r="L1244" s="28" t="s">
        <v>1174</v>
      </c>
      <c r="M1244" s="28" t="s">
        <v>31</v>
      </c>
      <c r="N1244" s="28" t="s">
        <v>31</v>
      </c>
      <c r="O1244" s="28" t="s">
        <v>92</v>
      </c>
      <c r="P1244" s="28" t="s">
        <v>83</v>
      </c>
      <c r="Q1244" s="28" t="s">
        <v>82</v>
      </c>
      <c r="R1244" s="28" t="s">
        <v>91</v>
      </c>
      <c r="S1244" s="28" t="s">
        <v>96</v>
      </c>
      <c r="T1244" s="28" t="s">
        <v>96</v>
      </c>
      <c r="U1244" s="28" t="s">
        <v>95</v>
      </c>
      <c r="V1244" s="28" t="s">
        <v>223</v>
      </c>
      <c r="W1244" s="28" t="s">
        <v>553</v>
      </c>
      <c r="X1244" s="28" t="s">
        <v>1752</v>
      </c>
      <c r="Y1244" s="28" t="s">
        <v>1753</v>
      </c>
      <c r="Z1244" s="28">
        <v>39083</v>
      </c>
      <c r="AA1244" s="643">
        <v>0</v>
      </c>
      <c r="AB1244" s="643">
        <v>245.5</v>
      </c>
      <c r="AC1244" s="643">
        <v>0</v>
      </c>
      <c r="AD1244" s="643">
        <v>0</v>
      </c>
      <c r="AE1244" s="779">
        <v>0</v>
      </c>
      <c r="AF1244" s="779">
        <v>30</v>
      </c>
      <c r="AG1244" s="780">
        <v>31.5</v>
      </c>
    </row>
    <row r="1245" spans="1:33" x14ac:dyDescent="0.2">
      <c r="A1245" s="15">
        <f t="shared" si="159"/>
        <v>2007</v>
      </c>
      <c r="B1245" s="14">
        <f t="shared" si="160"/>
        <v>1</v>
      </c>
      <c r="C1245" s="13" t="str">
        <f t="shared" si="161"/>
        <v>Q1</v>
      </c>
      <c r="D1245" s="13" t="str">
        <f t="shared" si="162"/>
        <v>2007Q1</v>
      </c>
      <c r="E1245" s="13" t="str">
        <f t="shared" si="163"/>
        <v>Chile</v>
      </c>
      <c r="F1245" s="13" t="str">
        <f t="shared" si="166"/>
        <v>Wind</v>
      </c>
      <c r="G1245" s="13" t="str">
        <f t="shared" si="165"/>
        <v>Asset finance investments</v>
      </c>
      <c r="H1245" s="638">
        <f t="shared" si="164"/>
        <v>30.87</v>
      </c>
      <c r="I1245" s="27" t="s">
        <v>506</v>
      </c>
      <c r="J1245" s="28" t="s">
        <v>246</v>
      </c>
      <c r="K1245" s="28" t="s">
        <v>3227</v>
      </c>
      <c r="L1245" s="28" t="s">
        <v>1160</v>
      </c>
      <c r="M1245" s="28" t="s">
        <v>8</v>
      </c>
      <c r="N1245" s="28" t="s">
        <v>85</v>
      </c>
      <c r="O1245" s="28" t="s">
        <v>92</v>
      </c>
      <c r="P1245" s="28" t="s">
        <v>83</v>
      </c>
      <c r="Q1245" s="28" t="s">
        <v>129</v>
      </c>
      <c r="R1245" s="28"/>
      <c r="S1245" s="28" t="s">
        <v>101</v>
      </c>
      <c r="T1245" s="28" t="s">
        <v>101</v>
      </c>
      <c r="U1245" s="28" t="s">
        <v>112</v>
      </c>
      <c r="V1245" s="28">
        <v>0</v>
      </c>
      <c r="W1245" s="28" t="s">
        <v>553</v>
      </c>
      <c r="X1245" s="28" t="s">
        <v>1752</v>
      </c>
      <c r="Y1245" s="28" t="s">
        <v>1753</v>
      </c>
      <c r="Z1245" s="28">
        <v>39094</v>
      </c>
      <c r="AA1245" s="643">
        <v>20</v>
      </c>
      <c r="AB1245" s="643">
        <v>0</v>
      </c>
      <c r="AC1245" s="643">
        <v>0</v>
      </c>
      <c r="AD1245" s="643">
        <v>0</v>
      </c>
      <c r="AE1245" s="779">
        <v>0</v>
      </c>
      <c r="AF1245" s="779">
        <v>29.4</v>
      </c>
      <c r="AG1245" s="780">
        <v>30.87</v>
      </c>
    </row>
    <row r="1246" spans="1:33" x14ac:dyDescent="0.2">
      <c r="A1246" s="15">
        <f t="shared" si="159"/>
        <v>2007</v>
      </c>
      <c r="B1246" s="14">
        <f t="shared" si="160"/>
        <v>1</v>
      </c>
      <c r="C1246" s="13" t="str">
        <f t="shared" si="161"/>
        <v>Q1</v>
      </c>
      <c r="D1246" s="13" t="str">
        <f t="shared" si="162"/>
        <v>2007Q1</v>
      </c>
      <c r="E1246" s="13" t="str">
        <f t="shared" si="163"/>
        <v>Honduras</v>
      </c>
      <c r="F1246" s="13" t="str">
        <f t="shared" si="166"/>
        <v>Small Hydro</v>
      </c>
      <c r="G1246" s="13" t="str">
        <f t="shared" si="165"/>
        <v>Asset finance investments</v>
      </c>
      <c r="H1246" s="638">
        <f t="shared" si="164"/>
        <v>24.412500000000001</v>
      </c>
      <c r="I1246" s="27" t="s">
        <v>506</v>
      </c>
      <c r="J1246" s="28" t="s">
        <v>246</v>
      </c>
      <c r="K1246" s="28" t="s">
        <v>3228</v>
      </c>
      <c r="L1246" s="28" t="s">
        <v>669</v>
      </c>
      <c r="M1246" s="28" t="s">
        <v>16</v>
      </c>
      <c r="N1246" s="28" t="s">
        <v>85</v>
      </c>
      <c r="O1246" s="28" t="s">
        <v>92</v>
      </c>
      <c r="P1246" s="28" t="s">
        <v>83</v>
      </c>
      <c r="Q1246" s="28" t="s">
        <v>82</v>
      </c>
      <c r="R1246" s="28"/>
      <c r="S1246" s="28" t="s">
        <v>126</v>
      </c>
      <c r="T1246" s="28" t="s">
        <v>125</v>
      </c>
      <c r="U1246" s="28" t="s">
        <v>247</v>
      </c>
      <c r="V1246" s="28">
        <v>0</v>
      </c>
      <c r="W1246" s="28" t="s">
        <v>553</v>
      </c>
      <c r="X1246" s="28" t="s">
        <v>1752</v>
      </c>
      <c r="Y1246" s="28" t="s">
        <v>1753</v>
      </c>
      <c r="Z1246" s="28">
        <v>39083</v>
      </c>
      <c r="AA1246" s="643">
        <v>9.3000000000000007</v>
      </c>
      <c r="AB1246" s="643">
        <v>0</v>
      </c>
      <c r="AC1246" s="643">
        <v>0</v>
      </c>
      <c r="AD1246" s="643">
        <v>0</v>
      </c>
      <c r="AE1246" s="779">
        <v>0</v>
      </c>
      <c r="AF1246" s="779">
        <v>23.25</v>
      </c>
      <c r="AG1246" s="780">
        <v>24.412500000000001</v>
      </c>
    </row>
    <row r="1247" spans="1:33" x14ac:dyDescent="0.2">
      <c r="A1247" s="15">
        <f t="shared" si="159"/>
        <v>2007</v>
      </c>
      <c r="B1247" s="14">
        <f t="shared" si="160"/>
        <v>1</v>
      </c>
      <c r="C1247" s="13" t="str">
        <f t="shared" si="161"/>
        <v>Q1</v>
      </c>
      <c r="D1247" s="13" t="str">
        <f t="shared" si="162"/>
        <v>2007Q1</v>
      </c>
      <c r="E1247" s="13" t="str">
        <f t="shared" si="163"/>
        <v>Peru</v>
      </c>
      <c r="F1247" s="13" t="str">
        <f t="shared" si="166"/>
        <v>Small Hydro</v>
      </c>
      <c r="G1247" s="13" t="str">
        <f t="shared" si="165"/>
        <v>Asset finance investments</v>
      </c>
      <c r="H1247" s="638">
        <f t="shared" si="164"/>
        <v>16.9071</v>
      </c>
      <c r="I1247" s="27" t="s">
        <v>506</v>
      </c>
      <c r="J1247" s="28" t="s">
        <v>246</v>
      </c>
      <c r="K1247" s="28" t="s">
        <v>3229</v>
      </c>
      <c r="L1247" s="28" t="s">
        <v>834</v>
      </c>
      <c r="M1247" s="28" t="s">
        <v>20</v>
      </c>
      <c r="N1247" s="28" t="s">
        <v>85</v>
      </c>
      <c r="O1247" s="28" t="s">
        <v>92</v>
      </c>
      <c r="P1247" s="28" t="s">
        <v>83</v>
      </c>
      <c r="Q1247" s="28" t="s">
        <v>82</v>
      </c>
      <c r="R1247" s="28"/>
      <c r="S1247" s="28" t="s">
        <v>126</v>
      </c>
      <c r="T1247" s="28" t="s">
        <v>125</v>
      </c>
      <c r="U1247" s="28" t="s">
        <v>247</v>
      </c>
      <c r="V1247" s="28">
        <v>0</v>
      </c>
      <c r="W1247" s="28" t="s">
        <v>553</v>
      </c>
      <c r="X1247" s="28" t="s">
        <v>1752</v>
      </c>
      <c r="Y1247" s="28" t="s">
        <v>1753</v>
      </c>
      <c r="Z1247" s="28">
        <v>39094</v>
      </c>
      <c r="AA1247" s="643">
        <v>9.6999999999999993</v>
      </c>
      <c r="AB1247" s="643">
        <v>0</v>
      </c>
      <c r="AC1247" s="643">
        <v>0</v>
      </c>
      <c r="AD1247" s="643">
        <v>0</v>
      </c>
      <c r="AE1247" s="779">
        <v>16.102</v>
      </c>
      <c r="AF1247" s="779">
        <v>16.102</v>
      </c>
      <c r="AG1247" s="780">
        <v>16.9071</v>
      </c>
    </row>
    <row r="1248" spans="1:33" x14ac:dyDescent="0.2">
      <c r="A1248" s="15">
        <f t="shared" si="159"/>
        <v>2007</v>
      </c>
      <c r="B1248" s="14">
        <f t="shared" si="160"/>
        <v>1</v>
      </c>
      <c r="C1248" s="13" t="str">
        <f t="shared" si="161"/>
        <v>Q1</v>
      </c>
      <c r="D1248" s="13" t="str">
        <f t="shared" si="162"/>
        <v>2007Q1</v>
      </c>
      <c r="E1248" s="13" t="str">
        <f t="shared" si="163"/>
        <v>Panama</v>
      </c>
      <c r="F1248" s="13" t="str">
        <f t="shared" si="166"/>
        <v>Small Hydro</v>
      </c>
      <c r="G1248" s="13" t="str">
        <f t="shared" si="165"/>
        <v>Asset finance investments</v>
      </c>
      <c r="H1248" s="638">
        <f t="shared" si="164"/>
        <v>15.33</v>
      </c>
      <c r="I1248" s="27" t="s">
        <v>506</v>
      </c>
      <c r="J1248" s="28" t="s">
        <v>246</v>
      </c>
      <c r="K1248" s="28" t="s">
        <v>3230</v>
      </c>
      <c r="L1248" s="28" t="s">
        <v>698</v>
      </c>
      <c r="M1248" s="28" t="s">
        <v>19</v>
      </c>
      <c r="N1248" s="28" t="s">
        <v>85</v>
      </c>
      <c r="O1248" s="28" t="s">
        <v>92</v>
      </c>
      <c r="P1248" s="28" t="s">
        <v>83</v>
      </c>
      <c r="Q1248" s="28" t="s">
        <v>82</v>
      </c>
      <c r="R1248" s="28"/>
      <c r="S1248" s="28" t="s">
        <v>126</v>
      </c>
      <c r="T1248" s="28" t="s">
        <v>125</v>
      </c>
      <c r="U1248" s="28" t="s">
        <v>247</v>
      </c>
      <c r="V1248" s="28">
        <v>0</v>
      </c>
      <c r="W1248" s="28" t="s">
        <v>553</v>
      </c>
      <c r="X1248" s="28" t="s">
        <v>1752</v>
      </c>
      <c r="Y1248" s="28" t="s">
        <v>1753</v>
      </c>
      <c r="Z1248" s="28">
        <v>39092</v>
      </c>
      <c r="AA1248" s="643">
        <v>10</v>
      </c>
      <c r="AB1248" s="643">
        <v>0</v>
      </c>
      <c r="AC1248" s="643">
        <v>0</v>
      </c>
      <c r="AD1248" s="643">
        <v>0</v>
      </c>
      <c r="AE1248" s="779">
        <v>0</v>
      </c>
      <c r="AF1248" s="779">
        <v>14.6</v>
      </c>
      <c r="AG1248" s="780">
        <v>15.33</v>
      </c>
    </row>
    <row r="1249" spans="1:33" x14ac:dyDescent="0.2">
      <c r="A1249" s="15">
        <f t="shared" si="159"/>
        <v>2007</v>
      </c>
      <c r="B1249" s="14">
        <f t="shared" si="160"/>
        <v>1</v>
      </c>
      <c r="C1249" s="13" t="str">
        <f t="shared" si="161"/>
        <v>Q1</v>
      </c>
      <c r="D1249" s="13" t="str">
        <f t="shared" si="162"/>
        <v>2007Q1</v>
      </c>
      <c r="E1249" s="13" t="str">
        <f t="shared" si="163"/>
        <v>Ecuador</v>
      </c>
      <c r="F1249" s="13" t="str">
        <f t="shared" si="166"/>
        <v>Wind</v>
      </c>
      <c r="G1249" s="13" t="str">
        <f t="shared" si="165"/>
        <v>Asset finance investments</v>
      </c>
      <c r="H1249" s="638">
        <f t="shared" si="164"/>
        <v>10.920000000000002</v>
      </c>
      <c r="I1249" s="27" t="s">
        <v>506</v>
      </c>
      <c r="J1249" s="28" t="s">
        <v>246</v>
      </c>
      <c r="K1249" s="28" t="s">
        <v>3231</v>
      </c>
      <c r="L1249" s="28" t="s">
        <v>1105</v>
      </c>
      <c r="M1249" s="28" t="s">
        <v>12</v>
      </c>
      <c r="N1249" s="28" t="s">
        <v>85</v>
      </c>
      <c r="O1249" s="28" t="s">
        <v>92</v>
      </c>
      <c r="P1249" s="28" t="s">
        <v>83</v>
      </c>
      <c r="Q1249" s="28" t="s">
        <v>82</v>
      </c>
      <c r="R1249" s="28"/>
      <c r="S1249" s="28" t="s">
        <v>101</v>
      </c>
      <c r="T1249" s="28" t="s">
        <v>101</v>
      </c>
      <c r="U1249" s="28" t="s">
        <v>112</v>
      </c>
      <c r="V1249" s="28">
        <v>0</v>
      </c>
      <c r="W1249" s="28" t="s">
        <v>553</v>
      </c>
      <c r="X1249" s="28" t="s">
        <v>1752</v>
      </c>
      <c r="Y1249" s="28" t="s">
        <v>1753</v>
      </c>
      <c r="Z1249" s="28">
        <v>39083</v>
      </c>
      <c r="AA1249" s="643">
        <v>2.4</v>
      </c>
      <c r="AB1249" s="643">
        <v>0</v>
      </c>
      <c r="AC1249" s="643">
        <v>0</v>
      </c>
      <c r="AD1249" s="643">
        <v>0</v>
      </c>
      <c r="AE1249" s="779">
        <v>10.4</v>
      </c>
      <c r="AF1249" s="779">
        <v>10.4</v>
      </c>
      <c r="AG1249" s="780">
        <v>10.920000000000002</v>
      </c>
    </row>
    <row r="1250" spans="1:33" x14ac:dyDescent="0.2">
      <c r="A1250" s="15">
        <f t="shared" si="159"/>
        <v>2007</v>
      </c>
      <c r="B1250" s="14">
        <f t="shared" si="160"/>
        <v>1</v>
      </c>
      <c r="C1250" s="13" t="str">
        <f t="shared" si="161"/>
        <v>Q1</v>
      </c>
      <c r="D1250" s="13" t="str">
        <f t="shared" si="162"/>
        <v>2007Q1</v>
      </c>
      <c r="E1250" s="13" t="str">
        <f t="shared" si="163"/>
        <v>Ecuador</v>
      </c>
      <c r="F1250" s="13" t="str">
        <f t="shared" si="166"/>
        <v>Small Hydro</v>
      </c>
      <c r="G1250" s="13" t="str">
        <f t="shared" si="165"/>
        <v>Asset finance investments</v>
      </c>
      <c r="H1250" s="638">
        <f t="shared" si="164"/>
        <v>10.395000000000001</v>
      </c>
      <c r="I1250" s="27" t="s">
        <v>506</v>
      </c>
      <c r="J1250" s="28" t="s">
        <v>246</v>
      </c>
      <c r="K1250" s="28" t="s">
        <v>3232</v>
      </c>
      <c r="L1250" s="28" t="s">
        <v>558</v>
      </c>
      <c r="M1250" s="28" t="s">
        <v>12</v>
      </c>
      <c r="N1250" s="28" t="s">
        <v>85</v>
      </c>
      <c r="O1250" s="28" t="s">
        <v>92</v>
      </c>
      <c r="P1250" s="28" t="s">
        <v>83</v>
      </c>
      <c r="Q1250" s="28" t="s">
        <v>82</v>
      </c>
      <c r="R1250" s="28"/>
      <c r="S1250" s="28" t="s">
        <v>126</v>
      </c>
      <c r="T1250" s="28" t="s">
        <v>125</v>
      </c>
      <c r="U1250" s="28" t="s">
        <v>247</v>
      </c>
      <c r="V1250" s="28">
        <v>0</v>
      </c>
      <c r="W1250" s="28" t="s">
        <v>553</v>
      </c>
      <c r="X1250" s="28" t="s">
        <v>1752</v>
      </c>
      <c r="Y1250" s="28" t="s">
        <v>1753</v>
      </c>
      <c r="Z1250" s="28">
        <v>39083</v>
      </c>
      <c r="AA1250" s="643">
        <v>3.96</v>
      </c>
      <c r="AB1250" s="643">
        <v>0</v>
      </c>
      <c r="AC1250" s="643">
        <v>0</v>
      </c>
      <c r="AD1250" s="643">
        <v>0</v>
      </c>
      <c r="AE1250" s="779">
        <v>0</v>
      </c>
      <c r="AF1250" s="779">
        <v>9.9</v>
      </c>
      <c r="AG1250" s="780">
        <v>10.395000000000001</v>
      </c>
    </row>
    <row r="1251" spans="1:33" x14ac:dyDescent="0.2">
      <c r="A1251" s="15">
        <f t="shared" si="159"/>
        <v>2007</v>
      </c>
      <c r="B1251" s="14">
        <f t="shared" si="160"/>
        <v>1</v>
      </c>
      <c r="C1251" s="13" t="str">
        <f t="shared" si="161"/>
        <v>Q1</v>
      </c>
      <c r="D1251" s="13" t="str">
        <f t="shared" si="162"/>
        <v>2007Q1</v>
      </c>
      <c r="E1251" s="13" t="str">
        <f t="shared" si="163"/>
        <v>Brazil</v>
      </c>
      <c r="F1251" s="13" t="str">
        <f t="shared" si="166"/>
        <v>Biofuels</v>
      </c>
      <c r="G1251" s="13" t="str">
        <f t="shared" si="165"/>
        <v>Asset finance investments</v>
      </c>
      <c r="H1251" s="638">
        <f t="shared" si="164"/>
        <v>9.4500000000000011</v>
      </c>
      <c r="I1251" s="27" t="s">
        <v>506</v>
      </c>
      <c r="J1251" s="28" t="s">
        <v>246</v>
      </c>
      <c r="K1251" s="28" t="s">
        <v>3233</v>
      </c>
      <c r="L1251" s="28" t="s">
        <v>1033</v>
      </c>
      <c r="M1251" s="28" t="s">
        <v>31</v>
      </c>
      <c r="N1251" s="28" t="s">
        <v>31</v>
      </c>
      <c r="O1251" s="28" t="s">
        <v>92</v>
      </c>
      <c r="P1251" s="28" t="s">
        <v>83</v>
      </c>
      <c r="Q1251" s="28" t="s">
        <v>82</v>
      </c>
      <c r="R1251" s="28" t="s">
        <v>91</v>
      </c>
      <c r="S1251" s="28" t="s">
        <v>96</v>
      </c>
      <c r="T1251" s="28" t="s">
        <v>96</v>
      </c>
      <c r="U1251" s="28" t="s">
        <v>95</v>
      </c>
      <c r="V1251" s="28" t="s">
        <v>223</v>
      </c>
      <c r="W1251" s="28" t="s">
        <v>553</v>
      </c>
      <c r="X1251" s="28" t="s">
        <v>1752</v>
      </c>
      <c r="Y1251" s="28" t="s">
        <v>1753</v>
      </c>
      <c r="Z1251" s="28">
        <v>39097</v>
      </c>
      <c r="AA1251" s="643">
        <v>0</v>
      </c>
      <c r="AB1251" s="643">
        <v>55.4</v>
      </c>
      <c r="AC1251" s="643">
        <v>0</v>
      </c>
      <c r="AD1251" s="643">
        <v>0</v>
      </c>
      <c r="AE1251" s="779">
        <v>9</v>
      </c>
      <c r="AF1251" s="779">
        <v>9</v>
      </c>
      <c r="AG1251" s="780">
        <v>9.4500000000000011</v>
      </c>
    </row>
    <row r="1252" spans="1:33" x14ac:dyDescent="0.2">
      <c r="A1252" s="15">
        <f t="shared" si="159"/>
        <v>2007</v>
      </c>
      <c r="B1252" s="14">
        <f t="shared" si="160"/>
        <v>2</v>
      </c>
      <c r="C1252" s="13" t="str">
        <f t="shared" si="161"/>
        <v>Q1</v>
      </c>
      <c r="D1252" s="13" t="str">
        <f t="shared" si="162"/>
        <v>2007Q1</v>
      </c>
      <c r="E1252" s="13" t="str">
        <f t="shared" si="163"/>
        <v>Brazil</v>
      </c>
      <c r="F1252" s="13" t="str">
        <f t="shared" si="166"/>
        <v>Small Hydro</v>
      </c>
      <c r="G1252" s="13" t="str">
        <f t="shared" si="165"/>
        <v>Asset finance investments</v>
      </c>
      <c r="H1252" s="638">
        <f t="shared" si="164"/>
        <v>6.09</v>
      </c>
      <c r="I1252" s="27" t="s">
        <v>506</v>
      </c>
      <c r="J1252" s="28" t="s">
        <v>246</v>
      </c>
      <c r="K1252" s="28" t="s">
        <v>3234</v>
      </c>
      <c r="L1252" s="28" t="s">
        <v>628</v>
      </c>
      <c r="M1252" s="28" t="s">
        <v>31</v>
      </c>
      <c r="N1252" s="28" t="s">
        <v>31</v>
      </c>
      <c r="O1252" s="28" t="s">
        <v>92</v>
      </c>
      <c r="P1252" s="28" t="s">
        <v>83</v>
      </c>
      <c r="Q1252" s="28" t="s">
        <v>82</v>
      </c>
      <c r="R1252" s="28" t="s">
        <v>91</v>
      </c>
      <c r="S1252" s="28" t="s">
        <v>126</v>
      </c>
      <c r="T1252" s="28" t="s">
        <v>125</v>
      </c>
      <c r="U1252" s="28" t="s">
        <v>247</v>
      </c>
      <c r="V1252" s="28">
        <v>0</v>
      </c>
      <c r="W1252" s="28" t="s">
        <v>553</v>
      </c>
      <c r="X1252" s="28" t="s">
        <v>1752</v>
      </c>
      <c r="Y1252" s="28" t="s">
        <v>1753</v>
      </c>
      <c r="Z1252" s="28">
        <v>39117</v>
      </c>
      <c r="AA1252" s="643">
        <v>2.3199999999999998</v>
      </c>
      <c r="AB1252" s="643">
        <v>0</v>
      </c>
      <c r="AC1252" s="643">
        <v>0</v>
      </c>
      <c r="AD1252" s="643">
        <v>0</v>
      </c>
      <c r="AE1252" s="779">
        <v>0</v>
      </c>
      <c r="AF1252" s="779">
        <v>5.8</v>
      </c>
      <c r="AG1252" s="780">
        <v>6.09</v>
      </c>
    </row>
    <row r="1253" spans="1:33" x14ac:dyDescent="0.2">
      <c r="A1253" s="15">
        <f t="shared" si="159"/>
        <v>2007</v>
      </c>
      <c r="B1253" s="14">
        <f t="shared" si="160"/>
        <v>1</v>
      </c>
      <c r="C1253" s="13" t="str">
        <f t="shared" si="161"/>
        <v>Q1</v>
      </c>
      <c r="D1253" s="13" t="str">
        <f t="shared" si="162"/>
        <v>2007Q1</v>
      </c>
      <c r="E1253" s="13" t="str">
        <f t="shared" si="163"/>
        <v>Brazil</v>
      </c>
      <c r="F1253" s="13" t="str">
        <f t="shared" si="166"/>
        <v>Biofuels</v>
      </c>
      <c r="G1253" s="13" t="str">
        <f t="shared" si="165"/>
        <v>Asset finance investments</v>
      </c>
      <c r="H1253" s="638">
        <f t="shared" si="164"/>
        <v>5.9850000000000003</v>
      </c>
      <c r="I1253" s="27" t="s">
        <v>506</v>
      </c>
      <c r="J1253" s="28" t="s">
        <v>246</v>
      </c>
      <c r="K1253" s="28" t="s">
        <v>3235</v>
      </c>
      <c r="L1253" s="28" t="s">
        <v>891</v>
      </c>
      <c r="M1253" s="28" t="s">
        <v>31</v>
      </c>
      <c r="N1253" s="28" t="s">
        <v>31</v>
      </c>
      <c r="O1253" s="28" t="s">
        <v>92</v>
      </c>
      <c r="P1253" s="28" t="s">
        <v>83</v>
      </c>
      <c r="Q1253" s="28" t="s">
        <v>82</v>
      </c>
      <c r="R1253" s="28" t="s">
        <v>91</v>
      </c>
      <c r="S1253" s="28" t="s">
        <v>96</v>
      </c>
      <c r="T1253" s="28" t="s">
        <v>96</v>
      </c>
      <c r="U1253" s="28" t="s">
        <v>95</v>
      </c>
      <c r="V1253" s="28" t="s">
        <v>889</v>
      </c>
      <c r="W1253" s="28" t="s">
        <v>553</v>
      </c>
      <c r="X1253" s="28" t="s">
        <v>1752</v>
      </c>
      <c r="Y1253" s="28" t="s">
        <v>1753</v>
      </c>
      <c r="Z1253" s="28">
        <v>39113</v>
      </c>
      <c r="AA1253" s="643">
        <v>0</v>
      </c>
      <c r="AB1253" s="643">
        <v>85.3</v>
      </c>
      <c r="AC1253" s="643">
        <v>0</v>
      </c>
      <c r="AD1253" s="643">
        <v>0</v>
      </c>
      <c r="AE1253" s="779">
        <v>5.7</v>
      </c>
      <c r="AF1253" s="779">
        <v>5.7</v>
      </c>
      <c r="AG1253" s="780">
        <v>5.9850000000000003</v>
      </c>
    </row>
    <row r="1254" spans="1:33" x14ac:dyDescent="0.2">
      <c r="A1254" s="15">
        <f t="shared" si="159"/>
        <v>2007</v>
      </c>
      <c r="B1254" s="14">
        <f t="shared" si="160"/>
        <v>1</v>
      </c>
      <c r="C1254" s="13" t="str">
        <f t="shared" si="161"/>
        <v>Q1</v>
      </c>
      <c r="D1254" s="13" t="str">
        <f t="shared" si="162"/>
        <v>2007Q1</v>
      </c>
      <c r="E1254" s="13" t="str">
        <f t="shared" si="163"/>
        <v>Brazil</v>
      </c>
      <c r="F1254" s="13" t="str">
        <f t="shared" si="166"/>
        <v>Biofuels</v>
      </c>
      <c r="G1254" s="13" t="str">
        <f t="shared" si="165"/>
        <v>Asset finance investments</v>
      </c>
      <c r="H1254" s="638">
        <f t="shared" si="164"/>
        <v>5.9850000000000003</v>
      </c>
      <c r="I1254" s="27" t="s">
        <v>506</v>
      </c>
      <c r="J1254" s="28" t="s">
        <v>246</v>
      </c>
      <c r="K1254" s="28" t="s">
        <v>3236</v>
      </c>
      <c r="L1254" s="28" t="s">
        <v>890</v>
      </c>
      <c r="M1254" s="28" t="s">
        <v>31</v>
      </c>
      <c r="N1254" s="28" t="s">
        <v>31</v>
      </c>
      <c r="O1254" s="28" t="s">
        <v>92</v>
      </c>
      <c r="P1254" s="28" t="s">
        <v>83</v>
      </c>
      <c r="Q1254" s="28" t="s">
        <v>82</v>
      </c>
      <c r="R1254" s="28" t="s">
        <v>91</v>
      </c>
      <c r="S1254" s="28" t="s">
        <v>96</v>
      </c>
      <c r="T1254" s="28" t="s">
        <v>96</v>
      </c>
      <c r="U1254" s="28" t="s">
        <v>95</v>
      </c>
      <c r="V1254" s="28" t="s">
        <v>889</v>
      </c>
      <c r="W1254" s="28" t="s">
        <v>553</v>
      </c>
      <c r="X1254" s="28" t="s">
        <v>1752</v>
      </c>
      <c r="Y1254" s="28" t="s">
        <v>1753</v>
      </c>
      <c r="Z1254" s="28">
        <v>39113</v>
      </c>
      <c r="AA1254" s="643">
        <v>0</v>
      </c>
      <c r="AB1254" s="643">
        <v>85.3</v>
      </c>
      <c r="AC1254" s="643">
        <v>0</v>
      </c>
      <c r="AD1254" s="643">
        <v>0</v>
      </c>
      <c r="AE1254" s="779">
        <v>5.7</v>
      </c>
      <c r="AF1254" s="779">
        <v>5.7</v>
      </c>
      <c r="AG1254" s="780">
        <v>5.9850000000000003</v>
      </c>
    </row>
    <row r="1255" spans="1:33" x14ac:dyDescent="0.2">
      <c r="A1255" s="15">
        <f t="shared" si="159"/>
        <v>2007</v>
      </c>
      <c r="B1255" s="14">
        <f t="shared" si="160"/>
        <v>3</v>
      </c>
      <c r="C1255" s="13" t="str">
        <f t="shared" si="161"/>
        <v>Q1</v>
      </c>
      <c r="D1255" s="13" t="str">
        <f t="shared" si="162"/>
        <v>2007Q1</v>
      </c>
      <c r="E1255" s="13" t="str">
        <f t="shared" si="163"/>
        <v>Argentina</v>
      </c>
      <c r="F1255" s="13" t="str">
        <f t="shared" si="166"/>
        <v>Biofuels</v>
      </c>
      <c r="G1255" s="13" t="str">
        <f t="shared" si="165"/>
        <v>Asset finance investments</v>
      </c>
      <c r="H1255" s="638">
        <f t="shared" si="164"/>
        <v>5.3361000000000001</v>
      </c>
      <c r="I1255" s="27" t="s">
        <v>506</v>
      </c>
      <c r="J1255" s="28" t="s">
        <v>246</v>
      </c>
      <c r="K1255" s="28" t="s">
        <v>3237</v>
      </c>
      <c r="L1255" s="28" t="s">
        <v>745</v>
      </c>
      <c r="M1255" s="28" t="s">
        <v>4</v>
      </c>
      <c r="N1255" s="28" t="s">
        <v>85</v>
      </c>
      <c r="O1255" s="28" t="s">
        <v>92</v>
      </c>
      <c r="P1255" s="28" t="s">
        <v>83</v>
      </c>
      <c r="Q1255" s="28" t="s">
        <v>82</v>
      </c>
      <c r="R1255" s="28"/>
      <c r="S1255" s="28" t="s">
        <v>96</v>
      </c>
      <c r="T1255" s="28" t="s">
        <v>96</v>
      </c>
      <c r="U1255" s="28" t="s">
        <v>95</v>
      </c>
      <c r="V1255" s="28" t="s">
        <v>223</v>
      </c>
      <c r="W1255" s="28" t="s">
        <v>553</v>
      </c>
      <c r="X1255" s="28" t="s">
        <v>1752</v>
      </c>
      <c r="Y1255" s="28" t="s">
        <v>1753</v>
      </c>
      <c r="Z1255" s="28">
        <v>39169</v>
      </c>
      <c r="AA1255" s="643">
        <v>0</v>
      </c>
      <c r="AB1255" s="643">
        <v>12.1</v>
      </c>
      <c r="AC1255" s="643">
        <v>0</v>
      </c>
      <c r="AD1255" s="643">
        <v>0</v>
      </c>
      <c r="AE1255" s="779">
        <v>0</v>
      </c>
      <c r="AF1255" s="779">
        <v>5.0819999999999999</v>
      </c>
      <c r="AG1255" s="780">
        <v>5.3361000000000001</v>
      </c>
    </row>
    <row r="1256" spans="1:33" x14ac:dyDescent="0.2">
      <c r="A1256" s="15">
        <f t="shared" si="159"/>
        <v>2007</v>
      </c>
      <c r="B1256" s="14">
        <f t="shared" si="160"/>
        <v>2</v>
      </c>
      <c r="C1256" s="13" t="str">
        <f t="shared" si="161"/>
        <v>Q1</v>
      </c>
      <c r="D1256" s="13" t="str">
        <f t="shared" si="162"/>
        <v>2007Q1</v>
      </c>
      <c r="E1256" s="13" t="str">
        <f t="shared" si="163"/>
        <v>Brazil</v>
      </c>
      <c r="F1256" s="13" t="str">
        <f t="shared" si="166"/>
        <v>Biofuels</v>
      </c>
      <c r="G1256" s="13" t="str">
        <f t="shared" si="165"/>
        <v>Asset finance investments</v>
      </c>
      <c r="H1256" s="638">
        <f t="shared" si="164"/>
        <v>4.7628000000000004</v>
      </c>
      <c r="I1256" s="27" t="s">
        <v>506</v>
      </c>
      <c r="J1256" s="28" t="s">
        <v>246</v>
      </c>
      <c r="K1256" s="28" t="s">
        <v>3238</v>
      </c>
      <c r="L1256" s="28" t="s">
        <v>1021</v>
      </c>
      <c r="M1256" s="28" t="s">
        <v>31</v>
      </c>
      <c r="N1256" s="28" t="s">
        <v>31</v>
      </c>
      <c r="O1256" s="28" t="s">
        <v>92</v>
      </c>
      <c r="P1256" s="28" t="s">
        <v>83</v>
      </c>
      <c r="Q1256" s="28" t="s">
        <v>82</v>
      </c>
      <c r="R1256" s="28" t="s">
        <v>91</v>
      </c>
      <c r="S1256" s="28" t="s">
        <v>96</v>
      </c>
      <c r="T1256" s="28" t="s">
        <v>96</v>
      </c>
      <c r="U1256" s="28" t="s">
        <v>95</v>
      </c>
      <c r="V1256" s="28" t="s">
        <v>223</v>
      </c>
      <c r="W1256" s="28" t="s">
        <v>553</v>
      </c>
      <c r="X1256" s="28" t="s">
        <v>1752</v>
      </c>
      <c r="Y1256" s="28" t="s">
        <v>1753</v>
      </c>
      <c r="Z1256" s="28">
        <v>39114</v>
      </c>
      <c r="AA1256" s="643">
        <v>0</v>
      </c>
      <c r="AB1256" s="643">
        <v>10.8</v>
      </c>
      <c r="AC1256" s="643">
        <v>0</v>
      </c>
      <c r="AD1256" s="643">
        <v>0</v>
      </c>
      <c r="AE1256" s="779">
        <v>0</v>
      </c>
      <c r="AF1256" s="779">
        <v>4.5360000000000005</v>
      </c>
      <c r="AG1256" s="780">
        <v>4.7628000000000004</v>
      </c>
    </row>
    <row r="1257" spans="1:33" x14ac:dyDescent="0.2">
      <c r="A1257" s="15">
        <f t="shared" si="159"/>
        <v>2006</v>
      </c>
      <c r="B1257" s="14">
        <f t="shared" si="160"/>
        <v>3</v>
      </c>
      <c r="C1257" s="13" t="str">
        <f t="shared" si="161"/>
        <v>Q1</v>
      </c>
      <c r="D1257" s="13" t="str">
        <f t="shared" si="162"/>
        <v>2006Q1</v>
      </c>
      <c r="E1257" s="13" t="str">
        <f t="shared" si="163"/>
        <v>Brazil</v>
      </c>
      <c r="F1257" s="13" t="str">
        <f t="shared" si="166"/>
        <v>Wind</v>
      </c>
      <c r="G1257" s="13" t="str">
        <f t="shared" si="165"/>
        <v>Asset finance investments</v>
      </c>
      <c r="H1257" s="638">
        <f t="shared" si="164"/>
        <v>98.318578303571499</v>
      </c>
      <c r="I1257" s="27" t="s">
        <v>506</v>
      </c>
      <c r="J1257" s="28" t="s">
        <v>246</v>
      </c>
      <c r="K1257" s="28" t="s">
        <v>3239</v>
      </c>
      <c r="L1257" s="28" t="s">
        <v>1188</v>
      </c>
      <c r="M1257" s="28" t="s">
        <v>31</v>
      </c>
      <c r="N1257" s="28" t="s">
        <v>31</v>
      </c>
      <c r="O1257" s="28" t="s">
        <v>92</v>
      </c>
      <c r="P1257" s="28" t="s">
        <v>83</v>
      </c>
      <c r="Q1257" s="28" t="s">
        <v>82</v>
      </c>
      <c r="R1257" s="28" t="s">
        <v>91</v>
      </c>
      <c r="S1257" s="28" t="s">
        <v>101</v>
      </c>
      <c r="T1257" s="28" t="s">
        <v>101</v>
      </c>
      <c r="U1257" s="28" t="s">
        <v>112</v>
      </c>
      <c r="V1257" s="28">
        <v>0</v>
      </c>
      <c r="W1257" s="28" t="s">
        <v>553</v>
      </c>
      <c r="X1257" s="28" t="s">
        <v>1749</v>
      </c>
      <c r="Y1257" s="28" t="s">
        <v>1750</v>
      </c>
      <c r="Z1257" s="28">
        <v>38805</v>
      </c>
      <c r="AA1257" s="643">
        <v>49.3</v>
      </c>
      <c r="AB1257" s="643">
        <v>0</v>
      </c>
      <c r="AC1257" s="643">
        <v>0</v>
      </c>
      <c r="AD1257" s="643">
        <v>0</v>
      </c>
      <c r="AE1257" s="779">
        <v>98.1</v>
      </c>
      <c r="AF1257" s="779">
        <v>98.1</v>
      </c>
      <c r="AG1257" s="780">
        <v>98.318578303571499</v>
      </c>
    </row>
    <row r="1258" spans="1:33" x14ac:dyDescent="0.2">
      <c r="A1258" s="15">
        <f t="shared" si="159"/>
        <v>2006</v>
      </c>
      <c r="B1258" s="14">
        <f t="shared" si="160"/>
        <v>3</v>
      </c>
      <c r="C1258" s="13" t="str">
        <f t="shared" si="161"/>
        <v>Q1</v>
      </c>
      <c r="D1258" s="13" t="str">
        <f t="shared" si="162"/>
        <v>2006Q1</v>
      </c>
      <c r="E1258" s="13" t="str">
        <f t="shared" si="163"/>
        <v>Brazil</v>
      </c>
      <c r="F1258" s="13" t="str">
        <f t="shared" si="166"/>
        <v>Biofuels</v>
      </c>
      <c r="G1258" s="13" t="str">
        <f t="shared" si="165"/>
        <v>Asset finance investments</v>
      </c>
      <c r="H1258" s="638">
        <f t="shared" si="164"/>
        <v>88.296297130934235</v>
      </c>
      <c r="I1258" s="27" t="s">
        <v>506</v>
      </c>
      <c r="J1258" s="28" t="s">
        <v>246</v>
      </c>
      <c r="K1258" s="28" t="s">
        <v>3240</v>
      </c>
      <c r="L1258" s="28" t="s">
        <v>3241</v>
      </c>
      <c r="M1258" s="28" t="s">
        <v>31</v>
      </c>
      <c r="N1258" s="28" t="s">
        <v>31</v>
      </c>
      <c r="O1258" s="28" t="s">
        <v>92</v>
      </c>
      <c r="P1258" s="28" t="s">
        <v>83</v>
      </c>
      <c r="Q1258" s="28" t="s">
        <v>82</v>
      </c>
      <c r="R1258" s="28" t="s">
        <v>91</v>
      </c>
      <c r="S1258" s="28" t="s">
        <v>96</v>
      </c>
      <c r="T1258" s="28" t="s">
        <v>96</v>
      </c>
      <c r="U1258" s="28" t="s">
        <v>98</v>
      </c>
      <c r="V1258" s="28" t="s">
        <v>230</v>
      </c>
      <c r="W1258" s="28" t="s">
        <v>553</v>
      </c>
      <c r="X1258" s="28" t="s">
        <v>1749</v>
      </c>
      <c r="Y1258" s="28" t="s">
        <v>1750</v>
      </c>
      <c r="Z1258" s="28">
        <v>38778</v>
      </c>
      <c r="AA1258" s="643">
        <v>16.5</v>
      </c>
      <c r="AB1258" s="643">
        <v>90</v>
      </c>
      <c r="AC1258" s="643">
        <v>0</v>
      </c>
      <c r="AD1258" s="643">
        <v>0</v>
      </c>
      <c r="AE1258" s="779">
        <v>88.1</v>
      </c>
      <c r="AF1258" s="779">
        <v>88.1</v>
      </c>
      <c r="AG1258" s="780">
        <v>88.296297130934235</v>
      </c>
    </row>
    <row r="1259" spans="1:33" x14ac:dyDescent="0.2">
      <c r="A1259" s="15">
        <f t="shared" si="159"/>
        <v>2006</v>
      </c>
      <c r="B1259" s="14">
        <f t="shared" si="160"/>
        <v>1</v>
      </c>
      <c r="C1259" s="13" t="str">
        <f t="shared" si="161"/>
        <v>Q1</v>
      </c>
      <c r="D1259" s="13" t="str">
        <f t="shared" si="162"/>
        <v>2006Q1</v>
      </c>
      <c r="E1259" s="13" t="str">
        <f t="shared" si="163"/>
        <v>Brazil</v>
      </c>
      <c r="F1259" s="13" t="str">
        <f t="shared" si="166"/>
        <v>Biofuels</v>
      </c>
      <c r="G1259" s="13" t="str">
        <f t="shared" si="165"/>
        <v>Asset finance investments</v>
      </c>
      <c r="H1259" s="638">
        <f t="shared" si="164"/>
        <v>80.478917816277175</v>
      </c>
      <c r="I1259" s="27" t="s">
        <v>506</v>
      </c>
      <c r="J1259" s="28" t="s">
        <v>246</v>
      </c>
      <c r="K1259" s="28" t="s">
        <v>3242</v>
      </c>
      <c r="L1259" s="28" t="s">
        <v>989</v>
      </c>
      <c r="M1259" s="28" t="s">
        <v>31</v>
      </c>
      <c r="N1259" s="28" t="s">
        <v>31</v>
      </c>
      <c r="O1259" s="28" t="s">
        <v>92</v>
      </c>
      <c r="P1259" s="28" t="s">
        <v>83</v>
      </c>
      <c r="Q1259" s="28" t="s">
        <v>82</v>
      </c>
      <c r="R1259" s="28" t="s">
        <v>91</v>
      </c>
      <c r="S1259" s="28" t="s">
        <v>96</v>
      </c>
      <c r="T1259" s="28" t="s">
        <v>96</v>
      </c>
      <c r="U1259" s="28" t="s">
        <v>98</v>
      </c>
      <c r="V1259" s="28" t="s">
        <v>230</v>
      </c>
      <c r="W1259" s="28" t="s">
        <v>553</v>
      </c>
      <c r="X1259" s="28" t="s">
        <v>1752</v>
      </c>
      <c r="Y1259" s="28" t="s">
        <v>1753</v>
      </c>
      <c r="Z1259" s="28">
        <v>38718</v>
      </c>
      <c r="AA1259" s="643">
        <v>0</v>
      </c>
      <c r="AB1259" s="643">
        <v>110</v>
      </c>
      <c r="AC1259" s="643">
        <v>0</v>
      </c>
      <c r="AD1259" s="643">
        <v>0</v>
      </c>
      <c r="AE1259" s="779">
        <v>0</v>
      </c>
      <c r="AF1259" s="779">
        <v>80.3</v>
      </c>
      <c r="AG1259" s="780">
        <v>80.478917816277175</v>
      </c>
    </row>
    <row r="1260" spans="1:33" x14ac:dyDescent="0.2">
      <c r="A1260" s="15">
        <f t="shared" si="159"/>
        <v>2006</v>
      </c>
      <c r="B1260" s="14">
        <f t="shared" si="160"/>
        <v>1</v>
      </c>
      <c r="C1260" s="13" t="str">
        <f t="shared" si="161"/>
        <v>Q1</v>
      </c>
      <c r="D1260" s="13" t="str">
        <f t="shared" si="162"/>
        <v>2006Q1</v>
      </c>
      <c r="E1260" s="13" t="str">
        <f t="shared" si="163"/>
        <v>Brazil</v>
      </c>
      <c r="F1260" s="13" t="str">
        <f t="shared" si="166"/>
        <v>Small Hydro</v>
      </c>
      <c r="G1260" s="13" t="str">
        <f t="shared" si="165"/>
        <v>Asset finance investments</v>
      </c>
      <c r="H1260" s="638">
        <f t="shared" si="164"/>
        <v>71.579132134975296</v>
      </c>
      <c r="I1260" s="27" t="s">
        <v>506</v>
      </c>
      <c r="J1260" s="28" t="s">
        <v>246</v>
      </c>
      <c r="K1260" s="28" t="s">
        <v>3243</v>
      </c>
      <c r="L1260" s="28" t="s">
        <v>1093</v>
      </c>
      <c r="M1260" s="28" t="s">
        <v>31</v>
      </c>
      <c r="N1260" s="28" t="s">
        <v>31</v>
      </c>
      <c r="O1260" s="28" t="s">
        <v>92</v>
      </c>
      <c r="P1260" s="28" t="s">
        <v>83</v>
      </c>
      <c r="Q1260" s="28" t="s">
        <v>82</v>
      </c>
      <c r="R1260" s="28" t="s">
        <v>91</v>
      </c>
      <c r="S1260" s="28" t="s">
        <v>126</v>
      </c>
      <c r="T1260" s="28" t="s">
        <v>125</v>
      </c>
      <c r="U1260" s="28" t="s">
        <v>247</v>
      </c>
      <c r="V1260" s="28">
        <v>0</v>
      </c>
      <c r="W1260" s="28" t="s">
        <v>553</v>
      </c>
      <c r="X1260" s="28" t="s">
        <v>1749</v>
      </c>
      <c r="Y1260" s="28" t="s">
        <v>1750</v>
      </c>
      <c r="Z1260" s="28">
        <v>38719</v>
      </c>
      <c r="AA1260" s="643">
        <v>30</v>
      </c>
      <c r="AB1260" s="643">
        <v>0</v>
      </c>
      <c r="AC1260" s="643">
        <v>0</v>
      </c>
      <c r="AD1260" s="643">
        <v>0</v>
      </c>
      <c r="AE1260" s="779">
        <v>71.42</v>
      </c>
      <c r="AF1260" s="779">
        <v>71.42</v>
      </c>
      <c r="AG1260" s="780">
        <v>71.579132134975296</v>
      </c>
    </row>
    <row r="1261" spans="1:33" x14ac:dyDescent="0.2">
      <c r="A1261" s="15">
        <f t="shared" si="159"/>
        <v>2006</v>
      </c>
      <c r="B1261" s="14">
        <f t="shared" si="160"/>
        <v>1</v>
      </c>
      <c r="C1261" s="13" t="str">
        <f t="shared" si="161"/>
        <v>Q1</v>
      </c>
      <c r="D1261" s="13" t="str">
        <f t="shared" si="162"/>
        <v>2006Q1</v>
      </c>
      <c r="E1261" s="13" t="str">
        <f t="shared" si="163"/>
        <v>Brazil</v>
      </c>
      <c r="F1261" s="13" t="str">
        <f t="shared" si="166"/>
        <v>Small Hydro</v>
      </c>
      <c r="G1261" s="13" t="str">
        <f t="shared" si="165"/>
        <v>Asset finance investments</v>
      </c>
      <c r="H1261" s="638">
        <f t="shared" si="164"/>
        <v>67.149283856669626</v>
      </c>
      <c r="I1261" s="27" t="s">
        <v>506</v>
      </c>
      <c r="J1261" s="28" t="s">
        <v>246</v>
      </c>
      <c r="K1261" s="28" t="s">
        <v>3244</v>
      </c>
      <c r="L1261" s="28" t="s">
        <v>1092</v>
      </c>
      <c r="M1261" s="28" t="s">
        <v>31</v>
      </c>
      <c r="N1261" s="28" t="s">
        <v>31</v>
      </c>
      <c r="O1261" s="28" t="s">
        <v>92</v>
      </c>
      <c r="P1261" s="28" t="s">
        <v>83</v>
      </c>
      <c r="Q1261" s="28" t="s">
        <v>82</v>
      </c>
      <c r="R1261" s="28" t="s">
        <v>91</v>
      </c>
      <c r="S1261" s="28" t="s">
        <v>126</v>
      </c>
      <c r="T1261" s="28" t="s">
        <v>125</v>
      </c>
      <c r="U1261" s="28" t="s">
        <v>247</v>
      </c>
      <c r="V1261" s="28">
        <v>0</v>
      </c>
      <c r="W1261" s="28" t="s">
        <v>553</v>
      </c>
      <c r="X1261" s="28" t="s">
        <v>1749</v>
      </c>
      <c r="Y1261" s="28" t="s">
        <v>1750</v>
      </c>
      <c r="Z1261" s="28">
        <v>38719</v>
      </c>
      <c r="AA1261" s="643">
        <v>30</v>
      </c>
      <c r="AB1261" s="643">
        <v>0</v>
      </c>
      <c r="AC1261" s="643">
        <v>0</v>
      </c>
      <c r="AD1261" s="643">
        <v>0</v>
      </c>
      <c r="AE1261" s="779">
        <v>67</v>
      </c>
      <c r="AF1261" s="779">
        <v>67</v>
      </c>
      <c r="AG1261" s="780">
        <v>67.149283856669626</v>
      </c>
    </row>
    <row r="1262" spans="1:33" x14ac:dyDescent="0.2">
      <c r="A1262" s="15">
        <f t="shared" si="159"/>
        <v>2006</v>
      </c>
      <c r="B1262" s="14">
        <f t="shared" si="160"/>
        <v>3</v>
      </c>
      <c r="C1262" s="13" t="str">
        <f t="shared" si="161"/>
        <v>Q1</v>
      </c>
      <c r="D1262" s="13" t="str">
        <f t="shared" si="162"/>
        <v>2006Q1</v>
      </c>
      <c r="E1262" s="13" t="str">
        <f t="shared" si="163"/>
        <v>Brazil</v>
      </c>
      <c r="F1262" s="13" t="str">
        <f t="shared" si="166"/>
        <v>Biofuels</v>
      </c>
      <c r="G1262" s="13" t="str">
        <f t="shared" si="165"/>
        <v>Asset finance investments</v>
      </c>
      <c r="H1262" s="638">
        <f t="shared" si="164"/>
        <v>56.826334248853257</v>
      </c>
      <c r="I1262" s="27" t="s">
        <v>506</v>
      </c>
      <c r="J1262" s="28" t="s">
        <v>246</v>
      </c>
      <c r="K1262" s="28" t="s">
        <v>3245</v>
      </c>
      <c r="L1262" s="28" t="s">
        <v>1077</v>
      </c>
      <c r="M1262" s="28" t="s">
        <v>31</v>
      </c>
      <c r="N1262" s="28" t="s">
        <v>31</v>
      </c>
      <c r="O1262" s="28" t="s">
        <v>92</v>
      </c>
      <c r="P1262" s="28" t="s">
        <v>83</v>
      </c>
      <c r="Q1262" s="28" t="s">
        <v>82</v>
      </c>
      <c r="R1262" s="28" t="s">
        <v>91</v>
      </c>
      <c r="S1262" s="28" t="s">
        <v>96</v>
      </c>
      <c r="T1262" s="28" t="s">
        <v>96</v>
      </c>
      <c r="U1262" s="28" t="s">
        <v>98</v>
      </c>
      <c r="V1262" s="28" t="s">
        <v>230</v>
      </c>
      <c r="W1262" s="28" t="s">
        <v>553</v>
      </c>
      <c r="X1262" s="28" t="s">
        <v>1752</v>
      </c>
      <c r="Y1262" s="28" t="s">
        <v>1753</v>
      </c>
      <c r="Z1262" s="28">
        <v>38777</v>
      </c>
      <c r="AA1262" s="643">
        <v>6</v>
      </c>
      <c r="AB1262" s="643">
        <v>84.4</v>
      </c>
      <c r="AC1262" s="643">
        <v>0</v>
      </c>
      <c r="AD1262" s="643">
        <v>0</v>
      </c>
      <c r="AE1262" s="779">
        <v>56.7</v>
      </c>
      <c r="AF1262" s="779">
        <v>56.7</v>
      </c>
      <c r="AG1262" s="780">
        <v>56.826334248853257</v>
      </c>
    </row>
    <row r="1263" spans="1:33" x14ac:dyDescent="0.2">
      <c r="A1263" s="15">
        <f t="shared" si="159"/>
        <v>2006</v>
      </c>
      <c r="B1263" s="14">
        <f t="shared" si="160"/>
        <v>3</v>
      </c>
      <c r="C1263" s="13" t="str">
        <f t="shared" si="161"/>
        <v>Q1</v>
      </c>
      <c r="D1263" s="13" t="str">
        <f t="shared" si="162"/>
        <v>2006Q1</v>
      </c>
      <c r="E1263" s="13" t="str">
        <f t="shared" si="163"/>
        <v>Guatemala</v>
      </c>
      <c r="F1263" s="13" t="str">
        <f t="shared" si="166"/>
        <v>Geothermal</v>
      </c>
      <c r="G1263" s="13" t="str">
        <f t="shared" si="165"/>
        <v>Asset finance investments</v>
      </c>
      <c r="H1263" s="638">
        <f t="shared" si="164"/>
        <v>55.322992072957668</v>
      </c>
      <c r="I1263" s="27" t="s">
        <v>506</v>
      </c>
      <c r="J1263" s="28" t="s">
        <v>246</v>
      </c>
      <c r="K1263" s="28" t="s">
        <v>3246</v>
      </c>
      <c r="L1263" s="28" t="s">
        <v>1187</v>
      </c>
      <c r="M1263" s="28" t="s">
        <v>13</v>
      </c>
      <c r="N1263" s="28" t="s">
        <v>85</v>
      </c>
      <c r="O1263" s="28" t="s">
        <v>92</v>
      </c>
      <c r="P1263" s="28" t="s">
        <v>83</v>
      </c>
      <c r="Q1263" s="28" t="s">
        <v>82</v>
      </c>
      <c r="R1263" s="28"/>
      <c r="S1263" s="28" t="s">
        <v>157</v>
      </c>
      <c r="T1263" s="28" t="s">
        <v>157</v>
      </c>
      <c r="U1263" s="28" t="s">
        <v>156</v>
      </c>
      <c r="V1263" s="28" t="s">
        <v>248</v>
      </c>
      <c r="W1263" s="28" t="s">
        <v>553</v>
      </c>
      <c r="X1263" s="28" t="s">
        <v>1752</v>
      </c>
      <c r="Y1263" s="28" t="s">
        <v>1753</v>
      </c>
      <c r="Z1263" s="28">
        <v>38791</v>
      </c>
      <c r="AA1263" s="643">
        <v>25.2</v>
      </c>
      <c r="AB1263" s="643">
        <v>0</v>
      </c>
      <c r="AC1263" s="643">
        <v>0</v>
      </c>
      <c r="AD1263" s="643">
        <v>0</v>
      </c>
      <c r="AE1263" s="779">
        <v>55.2</v>
      </c>
      <c r="AF1263" s="779">
        <v>55.2</v>
      </c>
      <c r="AG1263" s="780">
        <v>55.322992072957668</v>
      </c>
    </row>
    <row r="1264" spans="1:33" x14ac:dyDescent="0.2">
      <c r="A1264" s="15">
        <f t="shared" si="159"/>
        <v>2006</v>
      </c>
      <c r="B1264" s="14">
        <f t="shared" si="160"/>
        <v>1</v>
      </c>
      <c r="C1264" s="13" t="str">
        <f t="shared" si="161"/>
        <v>Q1</v>
      </c>
      <c r="D1264" s="13" t="str">
        <f t="shared" si="162"/>
        <v>2006Q1</v>
      </c>
      <c r="E1264" s="13" t="str">
        <f t="shared" si="163"/>
        <v>Brazil</v>
      </c>
      <c r="F1264" s="13" t="str">
        <f t="shared" si="166"/>
        <v>Small Hydro</v>
      </c>
      <c r="G1264" s="13" t="str">
        <f t="shared" si="165"/>
        <v>Asset finance investments</v>
      </c>
      <c r="H1264" s="638">
        <f t="shared" si="164"/>
        <v>51.113633980450018</v>
      </c>
      <c r="I1264" s="27" t="s">
        <v>506</v>
      </c>
      <c r="J1264" s="28" t="s">
        <v>246</v>
      </c>
      <c r="K1264" s="28" t="s">
        <v>3247</v>
      </c>
      <c r="L1264" s="28" t="s">
        <v>1015</v>
      </c>
      <c r="M1264" s="28" t="s">
        <v>31</v>
      </c>
      <c r="N1264" s="28" t="s">
        <v>31</v>
      </c>
      <c r="O1264" s="28" t="s">
        <v>92</v>
      </c>
      <c r="P1264" s="28" t="s">
        <v>83</v>
      </c>
      <c r="Q1264" s="28" t="s">
        <v>82</v>
      </c>
      <c r="R1264" s="28" t="s">
        <v>91</v>
      </c>
      <c r="S1264" s="28" t="s">
        <v>126</v>
      </c>
      <c r="T1264" s="28" t="s">
        <v>125</v>
      </c>
      <c r="U1264" s="28" t="s">
        <v>342</v>
      </c>
      <c r="V1264" s="28">
        <v>0</v>
      </c>
      <c r="W1264" s="28" t="s">
        <v>553</v>
      </c>
      <c r="X1264" s="28" t="s">
        <v>1749</v>
      </c>
      <c r="Y1264" s="28" t="s">
        <v>1750</v>
      </c>
      <c r="Z1264" s="28">
        <v>38718</v>
      </c>
      <c r="AA1264" s="643">
        <v>30</v>
      </c>
      <c r="AB1264" s="643">
        <v>0</v>
      </c>
      <c r="AC1264" s="643">
        <v>0</v>
      </c>
      <c r="AD1264" s="643">
        <v>0</v>
      </c>
      <c r="AE1264" s="779">
        <v>51</v>
      </c>
      <c r="AF1264" s="779">
        <v>51</v>
      </c>
      <c r="AG1264" s="780">
        <v>51.113633980450018</v>
      </c>
    </row>
    <row r="1265" spans="1:33" x14ac:dyDescent="0.2">
      <c r="A1265" s="15">
        <f t="shared" si="159"/>
        <v>2006</v>
      </c>
      <c r="B1265" s="14">
        <f t="shared" si="160"/>
        <v>2</v>
      </c>
      <c r="C1265" s="13" t="str">
        <f t="shared" si="161"/>
        <v>Q1</v>
      </c>
      <c r="D1265" s="13" t="str">
        <f t="shared" si="162"/>
        <v>2006Q1</v>
      </c>
      <c r="E1265" s="13" t="str">
        <f t="shared" si="163"/>
        <v>Brazil</v>
      </c>
      <c r="F1265" s="13" t="str">
        <f t="shared" si="166"/>
        <v>Biofuels</v>
      </c>
      <c r="G1265" s="13" t="str">
        <f t="shared" si="165"/>
        <v>Asset finance investments</v>
      </c>
      <c r="H1265" s="638">
        <f t="shared" si="164"/>
        <v>48.407618063837951</v>
      </c>
      <c r="I1265" s="27" t="s">
        <v>506</v>
      </c>
      <c r="J1265" s="28" t="s">
        <v>246</v>
      </c>
      <c r="K1265" s="28" t="s">
        <v>3248</v>
      </c>
      <c r="L1265" s="28" t="s">
        <v>1180</v>
      </c>
      <c r="M1265" s="28" t="s">
        <v>31</v>
      </c>
      <c r="N1265" s="28" t="s">
        <v>31</v>
      </c>
      <c r="O1265" s="28" t="s">
        <v>92</v>
      </c>
      <c r="P1265" s="28" t="s">
        <v>83</v>
      </c>
      <c r="Q1265" s="28" t="s">
        <v>82</v>
      </c>
      <c r="R1265" s="28" t="s">
        <v>91</v>
      </c>
      <c r="S1265" s="28" t="s">
        <v>96</v>
      </c>
      <c r="T1265" s="28" t="s">
        <v>96</v>
      </c>
      <c r="U1265" s="28" t="s">
        <v>98</v>
      </c>
      <c r="V1265" s="28" t="s">
        <v>230</v>
      </c>
      <c r="W1265" s="28" t="s">
        <v>553</v>
      </c>
      <c r="X1265" s="28" t="s">
        <v>1749</v>
      </c>
      <c r="Y1265" s="28" t="s">
        <v>1750</v>
      </c>
      <c r="Z1265" s="28">
        <v>38768</v>
      </c>
      <c r="AA1265" s="643">
        <v>11</v>
      </c>
      <c r="AB1265" s="643">
        <v>200</v>
      </c>
      <c r="AC1265" s="643">
        <v>0</v>
      </c>
      <c r="AD1265" s="643">
        <v>0</v>
      </c>
      <c r="AE1265" s="779">
        <v>48.3</v>
      </c>
      <c r="AF1265" s="779">
        <v>48.3</v>
      </c>
      <c r="AG1265" s="780">
        <v>48.407618063837951</v>
      </c>
    </row>
    <row r="1266" spans="1:33" x14ac:dyDescent="0.2">
      <c r="A1266" s="15">
        <f t="shared" si="159"/>
        <v>2006</v>
      </c>
      <c r="B1266" s="14">
        <f t="shared" si="160"/>
        <v>1</v>
      </c>
      <c r="C1266" s="13" t="str">
        <f t="shared" si="161"/>
        <v>Q1</v>
      </c>
      <c r="D1266" s="13" t="str">
        <f t="shared" si="162"/>
        <v>2006Q1</v>
      </c>
      <c r="E1266" s="13" t="str">
        <f t="shared" si="163"/>
        <v>Nicaragua</v>
      </c>
      <c r="F1266" s="13" t="str">
        <f t="shared" si="166"/>
        <v>Small Hydro</v>
      </c>
      <c r="G1266" s="13" t="str">
        <f t="shared" si="165"/>
        <v>Asset finance investments</v>
      </c>
      <c r="H1266" s="638">
        <f t="shared" si="164"/>
        <v>37.082440338757856</v>
      </c>
      <c r="I1266" s="27" t="s">
        <v>506</v>
      </c>
      <c r="J1266" s="28" t="s">
        <v>246</v>
      </c>
      <c r="K1266" s="28" t="s">
        <v>3249</v>
      </c>
      <c r="L1266" s="28" t="s">
        <v>939</v>
      </c>
      <c r="M1266" s="28" t="s">
        <v>2</v>
      </c>
      <c r="N1266" s="28" t="s">
        <v>85</v>
      </c>
      <c r="O1266" s="28" t="s">
        <v>92</v>
      </c>
      <c r="P1266" s="28" t="s">
        <v>83</v>
      </c>
      <c r="Q1266" s="28" t="s">
        <v>82</v>
      </c>
      <c r="R1266" s="28"/>
      <c r="S1266" s="28" t="s">
        <v>126</v>
      </c>
      <c r="T1266" s="28" t="s">
        <v>125</v>
      </c>
      <c r="U1266" s="28" t="s">
        <v>247</v>
      </c>
      <c r="V1266" s="28">
        <v>0</v>
      </c>
      <c r="W1266" s="28" t="s">
        <v>553</v>
      </c>
      <c r="X1266" s="28" t="s">
        <v>1752</v>
      </c>
      <c r="Y1266" s="28" t="s">
        <v>1753</v>
      </c>
      <c r="Z1266" s="28">
        <v>38718</v>
      </c>
      <c r="AA1266" s="643">
        <v>17</v>
      </c>
      <c r="AB1266" s="643">
        <v>0</v>
      </c>
      <c r="AC1266" s="643">
        <v>0</v>
      </c>
      <c r="AD1266" s="643">
        <v>0</v>
      </c>
      <c r="AE1266" s="779">
        <v>37</v>
      </c>
      <c r="AF1266" s="779">
        <v>37</v>
      </c>
      <c r="AG1266" s="780">
        <v>37.082440338757856</v>
      </c>
    </row>
    <row r="1267" spans="1:33" x14ac:dyDescent="0.2">
      <c r="A1267" s="15">
        <f t="shared" si="159"/>
        <v>2006</v>
      </c>
      <c r="B1267" s="14">
        <f t="shared" si="160"/>
        <v>3</v>
      </c>
      <c r="C1267" s="13" t="str">
        <f t="shared" si="161"/>
        <v>Q1</v>
      </c>
      <c r="D1267" s="13" t="str">
        <f t="shared" si="162"/>
        <v>2006Q1</v>
      </c>
      <c r="E1267" s="13" t="str">
        <f t="shared" si="163"/>
        <v>Brazil</v>
      </c>
      <c r="F1267" s="13" t="str">
        <f t="shared" si="166"/>
        <v>Biofuels</v>
      </c>
      <c r="G1267" s="13" t="str">
        <f t="shared" si="165"/>
        <v>Asset finance investments</v>
      </c>
      <c r="H1267" s="638">
        <f t="shared" si="164"/>
        <v>36.481103468399617</v>
      </c>
      <c r="I1267" s="27" t="s">
        <v>506</v>
      </c>
      <c r="J1267" s="28" t="s">
        <v>246</v>
      </c>
      <c r="K1267" s="28" t="s">
        <v>3250</v>
      </c>
      <c r="L1267" s="28" t="s">
        <v>959</v>
      </c>
      <c r="M1267" s="28" t="s">
        <v>31</v>
      </c>
      <c r="N1267" s="28" t="s">
        <v>31</v>
      </c>
      <c r="O1267" s="28" t="s">
        <v>92</v>
      </c>
      <c r="P1267" s="28" t="s">
        <v>83</v>
      </c>
      <c r="Q1267" s="28" t="s">
        <v>82</v>
      </c>
      <c r="R1267" s="28" t="s">
        <v>91</v>
      </c>
      <c r="S1267" s="28" t="s">
        <v>96</v>
      </c>
      <c r="T1267" s="28" t="s">
        <v>96</v>
      </c>
      <c r="U1267" s="28" t="s">
        <v>98</v>
      </c>
      <c r="V1267" s="28" t="s">
        <v>230</v>
      </c>
      <c r="W1267" s="28" t="s">
        <v>553</v>
      </c>
      <c r="X1267" s="28" t="s">
        <v>1752</v>
      </c>
      <c r="Y1267" s="28" t="s">
        <v>1753</v>
      </c>
      <c r="Z1267" s="28">
        <v>38806</v>
      </c>
      <c r="AA1267" s="643">
        <v>0</v>
      </c>
      <c r="AB1267" s="643">
        <v>0</v>
      </c>
      <c r="AC1267" s="643">
        <v>0</v>
      </c>
      <c r="AD1267" s="643">
        <v>0</v>
      </c>
      <c r="AE1267" s="779">
        <v>36.4</v>
      </c>
      <c r="AF1267" s="779">
        <v>36.4</v>
      </c>
      <c r="AG1267" s="780">
        <v>36.481103468399617</v>
      </c>
    </row>
    <row r="1268" spans="1:33" x14ac:dyDescent="0.2">
      <c r="A1268" s="15">
        <f t="shared" si="159"/>
        <v>2006</v>
      </c>
      <c r="B1268" s="14">
        <f t="shared" si="160"/>
        <v>3</v>
      </c>
      <c r="C1268" s="13" t="str">
        <f t="shared" si="161"/>
        <v>Q1</v>
      </c>
      <c r="D1268" s="13" t="str">
        <f t="shared" si="162"/>
        <v>2006Q1</v>
      </c>
      <c r="E1268" s="13" t="str">
        <f t="shared" si="163"/>
        <v>Brazil</v>
      </c>
      <c r="F1268" s="13" t="str">
        <f t="shared" si="166"/>
        <v>Biofuels</v>
      </c>
      <c r="G1268" s="13" t="str">
        <f t="shared" si="165"/>
        <v>Asset finance investments</v>
      </c>
      <c r="H1268" s="638">
        <f t="shared" si="164"/>
        <v>33.775087551787564</v>
      </c>
      <c r="I1268" s="27" t="s">
        <v>506</v>
      </c>
      <c r="J1268" s="28" t="s">
        <v>246</v>
      </c>
      <c r="K1268" s="28" t="s">
        <v>3251</v>
      </c>
      <c r="L1268" s="28" t="s">
        <v>1026</v>
      </c>
      <c r="M1268" s="28" t="s">
        <v>31</v>
      </c>
      <c r="N1268" s="28" t="s">
        <v>31</v>
      </c>
      <c r="O1268" s="28" t="s">
        <v>92</v>
      </c>
      <c r="P1268" s="28" t="s">
        <v>83</v>
      </c>
      <c r="Q1268" s="28" t="s">
        <v>82</v>
      </c>
      <c r="R1268" s="28" t="s">
        <v>91</v>
      </c>
      <c r="S1268" s="28" t="s">
        <v>96</v>
      </c>
      <c r="T1268" s="28" t="s">
        <v>96</v>
      </c>
      <c r="U1268" s="28" t="s">
        <v>95</v>
      </c>
      <c r="V1268" s="28" t="s">
        <v>223</v>
      </c>
      <c r="W1268" s="28" t="s">
        <v>553</v>
      </c>
      <c r="X1268" s="28" t="s">
        <v>1749</v>
      </c>
      <c r="Y1268" s="28" t="s">
        <v>1750</v>
      </c>
      <c r="Z1268" s="28">
        <v>38807</v>
      </c>
      <c r="AA1268" s="643">
        <v>0</v>
      </c>
      <c r="AB1268" s="643">
        <v>72</v>
      </c>
      <c r="AC1268" s="643">
        <v>0</v>
      </c>
      <c r="AD1268" s="643">
        <v>0</v>
      </c>
      <c r="AE1268" s="779">
        <v>33.700000000000003</v>
      </c>
      <c r="AF1268" s="779">
        <v>33.700000000000003</v>
      </c>
      <c r="AG1268" s="780">
        <v>33.775087551787564</v>
      </c>
    </row>
    <row r="1269" spans="1:33" x14ac:dyDescent="0.2">
      <c r="A1269" s="15">
        <f t="shared" si="159"/>
        <v>2006</v>
      </c>
      <c r="B1269" s="14">
        <f t="shared" si="160"/>
        <v>2</v>
      </c>
      <c r="C1269" s="13" t="str">
        <f t="shared" si="161"/>
        <v>Q1</v>
      </c>
      <c r="D1269" s="13" t="str">
        <f t="shared" si="162"/>
        <v>2006Q1</v>
      </c>
      <c r="E1269" s="13" t="str">
        <f t="shared" si="163"/>
        <v>Brazil</v>
      </c>
      <c r="F1269" s="13" t="str">
        <f t="shared" si="166"/>
        <v>Small Hydro</v>
      </c>
      <c r="G1269" s="13" t="str">
        <f t="shared" si="165"/>
        <v>Asset finance investments</v>
      </c>
      <c r="H1269" s="638">
        <f t="shared" si="164"/>
        <v>33.674864740061189</v>
      </c>
      <c r="I1269" s="27" t="s">
        <v>506</v>
      </c>
      <c r="J1269" s="28" t="s">
        <v>246</v>
      </c>
      <c r="K1269" s="28" t="s">
        <v>3252</v>
      </c>
      <c r="L1269" s="28" t="s">
        <v>670</v>
      </c>
      <c r="M1269" s="28" t="s">
        <v>31</v>
      </c>
      <c r="N1269" s="28" t="s">
        <v>31</v>
      </c>
      <c r="O1269" s="28" t="s">
        <v>92</v>
      </c>
      <c r="P1269" s="28" t="s">
        <v>83</v>
      </c>
      <c r="Q1269" s="28" t="s">
        <v>82</v>
      </c>
      <c r="R1269" s="28" t="s">
        <v>91</v>
      </c>
      <c r="S1269" s="28" t="s">
        <v>126</v>
      </c>
      <c r="T1269" s="28" t="s">
        <v>125</v>
      </c>
      <c r="U1269" s="28" t="s">
        <v>247</v>
      </c>
      <c r="V1269" s="28">
        <v>0</v>
      </c>
      <c r="W1269" s="28" t="s">
        <v>553</v>
      </c>
      <c r="X1269" s="28" t="s">
        <v>1752</v>
      </c>
      <c r="Y1269" s="28" t="s">
        <v>1753</v>
      </c>
      <c r="Z1269" s="28">
        <v>38774.465277777803</v>
      </c>
      <c r="AA1269" s="643">
        <v>16.8</v>
      </c>
      <c r="AB1269" s="643">
        <v>0</v>
      </c>
      <c r="AC1269" s="643">
        <v>0</v>
      </c>
      <c r="AD1269" s="643">
        <v>0</v>
      </c>
      <c r="AE1269" s="779">
        <v>0</v>
      </c>
      <c r="AF1269" s="779">
        <v>33.6</v>
      </c>
      <c r="AG1269" s="780">
        <v>33.674864740061189</v>
      </c>
    </row>
    <row r="1270" spans="1:33" x14ac:dyDescent="0.2">
      <c r="A1270" s="15">
        <f t="shared" si="159"/>
        <v>2006</v>
      </c>
      <c r="B1270" s="14">
        <f t="shared" si="160"/>
        <v>2</v>
      </c>
      <c r="C1270" s="13" t="str">
        <f t="shared" si="161"/>
        <v>Q1</v>
      </c>
      <c r="D1270" s="13" t="str">
        <f t="shared" si="162"/>
        <v>2006Q1</v>
      </c>
      <c r="E1270" s="13" t="str">
        <f t="shared" si="163"/>
        <v>Brazil</v>
      </c>
      <c r="F1270" s="13" t="str">
        <f t="shared" si="166"/>
        <v>Small Hydro</v>
      </c>
      <c r="G1270" s="13" t="str">
        <f t="shared" si="165"/>
        <v>Asset finance investments</v>
      </c>
      <c r="H1270" s="638">
        <f t="shared" si="164"/>
        <v>32.071299752439224</v>
      </c>
      <c r="I1270" s="27" t="s">
        <v>506</v>
      </c>
      <c r="J1270" s="28" t="s">
        <v>246</v>
      </c>
      <c r="K1270" s="28" t="s">
        <v>3253</v>
      </c>
      <c r="L1270" s="28" t="s">
        <v>674</v>
      </c>
      <c r="M1270" s="28" t="s">
        <v>31</v>
      </c>
      <c r="N1270" s="28" t="s">
        <v>31</v>
      </c>
      <c r="O1270" s="28" t="s">
        <v>92</v>
      </c>
      <c r="P1270" s="28" t="s">
        <v>83</v>
      </c>
      <c r="Q1270" s="28" t="s">
        <v>82</v>
      </c>
      <c r="R1270" s="28" t="s">
        <v>91</v>
      </c>
      <c r="S1270" s="28" t="s">
        <v>126</v>
      </c>
      <c r="T1270" s="28" t="s">
        <v>125</v>
      </c>
      <c r="U1270" s="28" t="s">
        <v>247</v>
      </c>
      <c r="V1270" s="28">
        <v>0</v>
      </c>
      <c r="W1270" s="28" t="s">
        <v>553</v>
      </c>
      <c r="X1270" s="28" t="s">
        <v>1752</v>
      </c>
      <c r="Y1270" s="28" t="s">
        <v>1753</v>
      </c>
      <c r="Z1270" s="28">
        <v>38774.402083333298</v>
      </c>
      <c r="AA1270" s="643">
        <v>16</v>
      </c>
      <c r="AB1270" s="643">
        <v>0</v>
      </c>
      <c r="AC1270" s="643">
        <v>0</v>
      </c>
      <c r="AD1270" s="643">
        <v>0</v>
      </c>
      <c r="AE1270" s="779">
        <v>0</v>
      </c>
      <c r="AF1270" s="779">
        <v>32</v>
      </c>
      <c r="AG1270" s="780">
        <v>32.071299752439224</v>
      </c>
    </row>
    <row r="1271" spans="1:33" x14ac:dyDescent="0.2">
      <c r="A1271" s="15">
        <f t="shared" si="159"/>
        <v>2006</v>
      </c>
      <c r="B1271" s="14">
        <f t="shared" si="160"/>
        <v>3</v>
      </c>
      <c r="C1271" s="13" t="str">
        <f t="shared" si="161"/>
        <v>Q1</v>
      </c>
      <c r="D1271" s="13" t="str">
        <f t="shared" si="162"/>
        <v>2006Q1</v>
      </c>
      <c r="E1271" s="13" t="str">
        <f t="shared" si="163"/>
        <v>Costa Rica</v>
      </c>
      <c r="F1271" s="13" t="str">
        <f t="shared" si="166"/>
        <v>Small Hydro</v>
      </c>
      <c r="G1271" s="13" t="str">
        <f t="shared" si="165"/>
        <v>Asset finance investments</v>
      </c>
      <c r="H1271" s="638">
        <f t="shared" si="164"/>
        <v>25.055702931593146</v>
      </c>
      <c r="I1271" s="27" t="s">
        <v>506</v>
      </c>
      <c r="J1271" s="28" t="s">
        <v>246</v>
      </c>
      <c r="K1271" s="28" t="s">
        <v>3254</v>
      </c>
      <c r="L1271" s="28" t="s">
        <v>577</v>
      </c>
      <c r="M1271" s="28" t="s">
        <v>10</v>
      </c>
      <c r="N1271" s="28" t="s">
        <v>85</v>
      </c>
      <c r="O1271" s="28" t="s">
        <v>92</v>
      </c>
      <c r="P1271" s="28" t="s">
        <v>83</v>
      </c>
      <c r="Q1271" s="28" t="s">
        <v>82</v>
      </c>
      <c r="R1271" s="28"/>
      <c r="S1271" s="28" t="s">
        <v>126</v>
      </c>
      <c r="T1271" s="28" t="s">
        <v>125</v>
      </c>
      <c r="U1271" s="28" t="s">
        <v>247</v>
      </c>
      <c r="V1271" s="28">
        <v>0</v>
      </c>
      <c r="W1271" s="28" t="s">
        <v>553</v>
      </c>
      <c r="X1271" s="28" t="s">
        <v>1752</v>
      </c>
      <c r="Y1271" s="28" t="s">
        <v>1753</v>
      </c>
      <c r="Z1271" s="28">
        <v>38807</v>
      </c>
      <c r="AA1271" s="643">
        <v>17.5</v>
      </c>
      <c r="AB1271" s="643">
        <v>0</v>
      </c>
      <c r="AC1271" s="643">
        <v>0</v>
      </c>
      <c r="AD1271" s="643">
        <v>0</v>
      </c>
      <c r="AE1271" s="779">
        <v>25</v>
      </c>
      <c r="AF1271" s="779">
        <v>25</v>
      </c>
      <c r="AG1271" s="780">
        <v>25.055702931593146</v>
      </c>
    </row>
    <row r="1272" spans="1:33" x14ac:dyDescent="0.2">
      <c r="A1272" s="15">
        <f t="shared" si="159"/>
        <v>2006</v>
      </c>
      <c r="B1272" s="14">
        <f t="shared" si="160"/>
        <v>1</v>
      </c>
      <c r="C1272" s="13" t="str">
        <f t="shared" si="161"/>
        <v>Q1</v>
      </c>
      <c r="D1272" s="13" t="str">
        <f t="shared" si="162"/>
        <v>2006Q1</v>
      </c>
      <c r="E1272" s="13" t="str">
        <f t="shared" si="163"/>
        <v>Brazil</v>
      </c>
      <c r="F1272" s="13" t="str">
        <f t="shared" si="166"/>
        <v>Small Hydro</v>
      </c>
      <c r="G1272" s="13" t="str">
        <f t="shared" si="165"/>
        <v>Asset finance investments</v>
      </c>
      <c r="H1272" s="638">
        <f t="shared" si="164"/>
        <v>20.946567650811868</v>
      </c>
      <c r="I1272" s="27" t="s">
        <v>506</v>
      </c>
      <c r="J1272" s="28" t="s">
        <v>246</v>
      </c>
      <c r="K1272" s="28" t="s">
        <v>3255</v>
      </c>
      <c r="L1272" s="28" t="s">
        <v>1016</v>
      </c>
      <c r="M1272" s="28" t="s">
        <v>31</v>
      </c>
      <c r="N1272" s="28" t="s">
        <v>31</v>
      </c>
      <c r="O1272" s="28" t="s">
        <v>92</v>
      </c>
      <c r="P1272" s="28" t="s">
        <v>83</v>
      </c>
      <c r="Q1272" s="28" t="s">
        <v>82</v>
      </c>
      <c r="R1272" s="28" t="s">
        <v>91</v>
      </c>
      <c r="S1272" s="28" t="s">
        <v>126</v>
      </c>
      <c r="T1272" s="28" t="s">
        <v>125</v>
      </c>
      <c r="U1272" s="28" t="s">
        <v>342</v>
      </c>
      <c r="V1272" s="28">
        <v>0</v>
      </c>
      <c r="W1272" s="28" t="s">
        <v>553</v>
      </c>
      <c r="X1272" s="28" t="s">
        <v>1749</v>
      </c>
      <c r="Y1272" s="28" t="s">
        <v>1750</v>
      </c>
      <c r="Z1272" s="28">
        <v>38718</v>
      </c>
      <c r="AA1272" s="643">
        <v>13</v>
      </c>
      <c r="AB1272" s="643">
        <v>0</v>
      </c>
      <c r="AC1272" s="643">
        <v>0</v>
      </c>
      <c r="AD1272" s="643">
        <v>0</v>
      </c>
      <c r="AE1272" s="779">
        <v>20.9</v>
      </c>
      <c r="AF1272" s="779">
        <v>20.9</v>
      </c>
      <c r="AG1272" s="780">
        <v>20.946567650811868</v>
      </c>
    </row>
    <row r="1273" spans="1:33" x14ac:dyDescent="0.2">
      <c r="A1273" s="15">
        <f t="shared" si="159"/>
        <v>2006</v>
      </c>
      <c r="B1273" s="14">
        <f t="shared" si="160"/>
        <v>2</v>
      </c>
      <c r="C1273" s="13" t="str">
        <f t="shared" si="161"/>
        <v>Q1</v>
      </c>
      <c r="D1273" s="13" t="str">
        <f t="shared" si="162"/>
        <v>2006Q1</v>
      </c>
      <c r="E1273" s="13" t="str">
        <f t="shared" si="163"/>
        <v>Brazil</v>
      </c>
      <c r="F1273" s="13" t="str">
        <f t="shared" si="166"/>
        <v>Small Hydro</v>
      </c>
      <c r="G1273" s="13" t="str">
        <f t="shared" si="165"/>
        <v>Asset finance investments</v>
      </c>
      <c r="H1273" s="638">
        <f t="shared" si="164"/>
        <v>17.438769240388826</v>
      </c>
      <c r="I1273" s="27" t="s">
        <v>506</v>
      </c>
      <c r="J1273" s="28" t="s">
        <v>246</v>
      </c>
      <c r="K1273" s="28" t="s">
        <v>3256</v>
      </c>
      <c r="L1273" s="28" t="s">
        <v>672</v>
      </c>
      <c r="M1273" s="28" t="s">
        <v>31</v>
      </c>
      <c r="N1273" s="28" t="s">
        <v>31</v>
      </c>
      <c r="O1273" s="28" t="s">
        <v>92</v>
      </c>
      <c r="P1273" s="28" t="s">
        <v>83</v>
      </c>
      <c r="Q1273" s="28" t="s">
        <v>82</v>
      </c>
      <c r="R1273" s="28" t="s">
        <v>91</v>
      </c>
      <c r="S1273" s="28" t="s">
        <v>126</v>
      </c>
      <c r="T1273" s="28" t="s">
        <v>125</v>
      </c>
      <c r="U1273" s="28" t="s">
        <v>247</v>
      </c>
      <c r="V1273" s="28">
        <v>0</v>
      </c>
      <c r="W1273" s="28" t="s">
        <v>553</v>
      </c>
      <c r="X1273" s="28" t="s">
        <v>1752</v>
      </c>
      <c r="Y1273" s="28" t="s">
        <v>1753</v>
      </c>
      <c r="Z1273" s="28">
        <v>38774.448611111096</v>
      </c>
      <c r="AA1273" s="643">
        <v>8.6999999999999993</v>
      </c>
      <c r="AB1273" s="643">
        <v>0</v>
      </c>
      <c r="AC1273" s="643">
        <v>0</v>
      </c>
      <c r="AD1273" s="643">
        <v>0</v>
      </c>
      <c r="AE1273" s="779">
        <v>0</v>
      </c>
      <c r="AF1273" s="779">
        <v>17.399999999999999</v>
      </c>
      <c r="AG1273" s="780">
        <v>17.438769240388826</v>
      </c>
    </row>
    <row r="1274" spans="1:33" x14ac:dyDescent="0.2">
      <c r="A1274" s="15">
        <f t="shared" si="159"/>
        <v>2006</v>
      </c>
      <c r="B1274" s="14">
        <f t="shared" si="160"/>
        <v>3</v>
      </c>
      <c r="C1274" s="13" t="str">
        <f t="shared" si="161"/>
        <v>Q1</v>
      </c>
      <c r="D1274" s="13" t="str">
        <f t="shared" si="162"/>
        <v>2006Q1</v>
      </c>
      <c r="E1274" s="13" t="str">
        <f t="shared" si="163"/>
        <v>Brazil</v>
      </c>
      <c r="F1274" s="13" t="str">
        <f t="shared" si="166"/>
        <v>Biofuels</v>
      </c>
      <c r="G1274" s="13" t="str">
        <f t="shared" si="165"/>
        <v>Asset finance investments</v>
      </c>
      <c r="H1274" s="638">
        <f t="shared" si="164"/>
        <v>10.022281172637259</v>
      </c>
      <c r="I1274" s="27" t="s">
        <v>506</v>
      </c>
      <c r="J1274" s="28" t="s">
        <v>246</v>
      </c>
      <c r="K1274" s="28" t="s">
        <v>3257</v>
      </c>
      <c r="L1274" s="28" t="s">
        <v>1035</v>
      </c>
      <c r="M1274" s="28" t="s">
        <v>31</v>
      </c>
      <c r="N1274" s="28" t="s">
        <v>31</v>
      </c>
      <c r="O1274" s="28" t="s">
        <v>92</v>
      </c>
      <c r="P1274" s="28" t="s">
        <v>83</v>
      </c>
      <c r="Q1274" s="28" t="s">
        <v>82</v>
      </c>
      <c r="R1274" s="28" t="s">
        <v>91</v>
      </c>
      <c r="S1274" s="28" t="s">
        <v>96</v>
      </c>
      <c r="T1274" s="28" t="s">
        <v>96</v>
      </c>
      <c r="U1274" s="28" t="s">
        <v>95</v>
      </c>
      <c r="V1274" s="28" t="s">
        <v>223</v>
      </c>
      <c r="W1274" s="28" t="s">
        <v>553</v>
      </c>
      <c r="X1274" s="28" t="s">
        <v>1752</v>
      </c>
      <c r="Y1274" s="28" t="s">
        <v>1753</v>
      </c>
      <c r="Z1274" s="28">
        <v>38797</v>
      </c>
      <c r="AA1274" s="643">
        <v>0</v>
      </c>
      <c r="AB1274" s="643">
        <v>117.7</v>
      </c>
      <c r="AC1274" s="643">
        <v>0</v>
      </c>
      <c r="AD1274" s="643">
        <v>0</v>
      </c>
      <c r="AE1274" s="779">
        <v>10</v>
      </c>
      <c r="AF1274" s="779">
        <v>10</v>
      </c>
      <c r="AG1274" s="780">
        <v>10.022281172637259</v>
      </c>
    </row>
    <row r="1275" spans="1:33" x14ac:dyDescent="0.2">
      <c r="A1275" s="15">
        <f t="shared" si="159"/>
        <v>2006</v>
      </c>
      <c r="B1275" s="14">
        <f t="shared" si="160"/>
        <v>2</v>
      </c>
      <c r="C1275" s="13" t="str">
        <f t="shared" si="161"/>
        <v>Q1</v>
      </c>
      <c r="D1275" s="13" t="str">
        <f t="shared" si="162"/>
        <v>2006Q1</v>
      </c>
      <c r="E1275" s="13" t="str">
        <f t="shared" si="163"/>
        <v>Brazil</v>
      </c>
      <c r="F1275" s="13" t="str">
        <f t="shared" si="166"/>
        <v>Small Hydro</v>
      </c>
      <c r="G1275" s="13" t="str">
        <f t="shared" si="165"/>
        <v>Asset finance investments</v>
      </c>
      <c r="H1275" s="638">
        <f t="shared" si="164"/>
        <v>9.7015681751128664</v>
      </c>
      <c r="I1275" s="27" t="s">
        <v>506</v>
      </c>
      <c r="J1275" s="28" t="s">
        <v>246</v>
      </c>
      <c r="K1275" s="28" t="s">
        <v>3258</v>
      </c>
      <c r="L1275" s="28" t="s">
        <v>673</v>
      </c>
      <c r="M1275" s="28" t="s">
        <v>31</v>
      </c>
      <c r="N1275" s="28" t="s">
        <v>31</v>
      </c>
      <c r="O1275" s="28" t="s">
        <v>92</v>
      </c>
      <c r="P1275" s="28" t="s">
        <v>83</v>
      </c>
      <c r="Q1275" s="28" t="s">
        <v>82</v>
      </c>
      <c r="R1275" s="28" t="s">
        <v>91</v>
      </c>
      <c r="S1275" s="28" t="s">
        <v>126</v>
      </c>
      <c r="T1275" s="28" t="s">
        <v>125</v>
      </c>
      <c r="U1275" s="28" t="s">
        <v>247</v>
      </c>
      <c r="V1275" s="28">
        <v>0</v>
      </c>
      <c r="W1275" s="28" t="s">
        <v>553</v>
      </c>
      <c r="X1275" s="28" t="s">
        <v>1752</v>
      </c>
      <c r="Y1275" s="28" t="s">
        <v>1753</v>
      </c>
      <c r="Z1275" s="28">
        <v>38774.438888888901</v>
      </c>
      <c r="AA1275" s="643">
        <v>4.84</v>
      </c>
      <c r="AB1275" s="643">
        <v>0</v>
      </c>
      <c r="AC1275" s="643">
        <v>0</v>
      </c>
      <c r="AD1275" s="643">
        <v>0</v>
      </c>
      <c r="AE1275" s="779">
        <v>0</v>
      </c>
      <c r="AF1275" s="779">
        <v>9.68</v>
      </c>
      <c r="AG1275" s="780">
        <v>9.7015681751128664</v>
      </c>
    </row>
    <row r="1276" spans="1:33" x14ac:dyDescent="0.2">
      <c r="A1276" s="15">
        <f t="shared" si="159"/>
        <v>2006</v>
      </c>
      <c r="B1276" s="14">
        <f t="shared" si="160"/>
        <v>2</v>
      </c>
      <c r="C1276" s="13" t="str">
        <f t="shared" si="161"/>
        <v>Q1</v>
      </c>
      <c r="D1276" s="13" t="str">
        <f t="shared" si="162"/>
        <v>2006Q1</v>
      </c>
      <c r="E1276" s="13" t="str">
        <f t="shared" si="163"/>
        <v>Brazil</v>
      </c>
      <c r="F1276" s="13" t="str">
        <f t="shared" si="166"/>
        <v>Small Hydro</v>
      </c>
      <c r="G1276" s="13" t="str">
        <f t="shared" si="165"/>
        <v>Asset finance investments</v>
      </c>
      <c r="H1276" s="638">
        <f t="shared" si="164"/>
        <v>9.0200530553735323</v>
      </c>
      <c r="I1276" s="27" t="s">
        <v>506</v>
      </c>
      <c r="J1276" s="28" t="s">
        <v>246</v>
      </c>
      <c r="K1276" s="28" t="s">
        <v>3259</v>
      </c>
      <c r="L1276" s="28" t="s">
        <v>671</v>
      </c>
      <c r="M1276" s="28" t="s">
        <v>31</v>
      </c>
      <c r="N1276" s="28" t="s">
        <v>31</v>
      </c>
      <c r="O1276" s="28" t="s">
        <v>92</v>
      </c>
      <c r="P1276" s="28" t="s">
        <v>83</v>
      </c>
      <c r="Q1276" s="28" t="s">
        <v>82</v>
      </c>
      <c r="R1276" s="28" t="s">
        <v>91</v>
      </c>
      <c r="S1276" s="28" t="s">
        <v>126</v>
      </c>
      <c r="T1276" s="28" t="s">
        <v>125</v>
      </c>
      <c r="U1276" s="28" t="s">
        <v>247</v>
      </c>
      <c r="V1276" s="28">
        <v>0</v>
      </c>
      <c r="W1276" s="28" t="s">
        <v>553</v>
      </c>
      <c r="X1276" s="28" t="s">
        <v>1752</v>
      </c>
      <c r="Y1276" s="28" t="s">
        <v>1753</v>
      </c>
      <c r="Z1276" s="28">
        <v>38774.459027777797</v>
      </c>
      <c r="AA1276" s="643">
        <v>4.5</v>
      </c>
      <c r="AB1276" s="643">
        <v>0</v>
      </c>
      <c r="AC1276" s="643">
        <v>0</v>
      </c>
      <c r="AD1276" s="643">
        <v>0</v>
      </c>
      <c r="AE1276" s="779">
        <v>0</v>
      </c>
      <c r="AF1276" s="779">
        <v>9</v>
      </c>
      <c r="AG1276" s="780">
        <v>9.0200530553735323</v>
      </c>
    </row>
    <row r="1277" spans="1:33" x14ac:dyDescent="0.2">
      <c r="A1277" s="15">
        <f t="shared" si="159"/>
        <v>2006</v>
      </c>
      <c r="B1277" s="14">
        <f t="shared" si="160"/>
        <v>3</v>
      </c>
      <c r="C1277" s="13" t="str">
        <f t="shared" si="161"/>
        <v>Q1</v>
      </c>
      <c r="D1277" s="13" t="str">
        <f t="shared" si="162"/>
        <v>2006Q1</v>
      </c>
      <c r="E1277" s="13" t="str">
        <f t="shared" si="163"/>
        <v>Panama</v>
      </c>
      <c r="F1277" s="13" t="str">
        <f t="shared" si="166"/>
        <v>Small Hydro</v>
      </c>
      <c r="G1277" s="13" t="str">
        <f t="shared" si="165"/>
        <v>Asset finance investments</v>
      </c>
      <c r="H1277" s="638">
        <f t="shared" si="164"/>
        <v>7.5167108794779436</v>
      </c>
      <c r="I1277" s="27" t="s">
        <v>506</v>
      </c>
      <c r="J1277" s="28" t="s">
        <v>246</v>
      </c>
      <c r="K1277" s="28" t="s">
        <v>3260</v>
      </c>
      <c r="L1277" s="28" t="s">
        <v>877</v>
      </c>
      <c r="M1277" s="28" t="s">
        <v>19</v>
      </c>
      <c r="N1277" s="28" t="s">
        <v>85</v>
      </c>
      <c r="O1277" s="28" t="s">
        <v>92</v>
      </c>
      <c r="P1277" s="28" t="s">
        <v>83</v>
      </c>
      <c r="Q1277" s="28" t="s">
        <v>82</v>
      </c>
      <c r="R1277" s="28"/>
      <c r="S1277" s="28" t="s">
        <v>126</v>
      </c>
      <c r="T1277" s="28" t="s">
        <v>125</v>
      </c>
      <c r="U1277" s="28" t="s">
        <v>247</v>
      </c>
      <c r="V1277" s="28">
        <v>0</v>
      </c>
      <c r="W1277" s="28" t="s">
        <v>553</v>
      </c>
      <c r="X1277" s="28" t="s">
        <v>1752</v>
      </c>
      <c r="Y1277" s="28" t="s">
        <v>1753</v>
      </c>
      <c r="Z1277" s="28">
        <v>38807</v>
      </c>
      <c r="AA1277" s="643">
        <v>5</v>
      </c>
      <c r="AB1277" s="643">
        <v>0</v>
      </c>
      <c r="AC1277" s="643">
        <v>0</v>
      </c>
      <c r="AD1277" s="643">
        <v>0</v>
      </c>
      <c r="AE1277" s="779">
        <v>7.5</v>
      </c>
      <c r="AF1277" s="779">
        <v>7.5</v>
      </c>
      <c r="AG1277" s="780">
        <v>7.5167108794779436</v>
      </c>
    </row>
    <row r="1278" spans="1:33" x14ac:dyDescent="0.2">
      <c r="A1278" s="15">
        <f t="shared" si="159"/>
        <v>2006</v>
      </c>
      <c r="B1278" s="14">
        <f t="shared" si="160"/>
        <v>2</v>
      </c>
      <c r="C1278" s="13" t="str">
        <f t="shared" si="161"/>
        <v>Q1</v>
      </c>
      <c r="D1278" s="13" t="str">
        <f t="shared" si="162"/>
        <v>2006Q1</v>
      </c>
      <c r="E1278" s="13" t="str">
        <f t="shared" si="163"/>
        <v>Peru</v>
      </c>
      <c r="F1278" s="13" t="str">
        <f t="shared" si="166"/>
        <v>Small Hydro</v>
      </c>
      <c r="G1278" s="13" t="str">
        <f t="shared" si="165"/>
        <v>Asset finance investments</v>
      </c>
      <c r="H1278" s="638">
        <f t="shared" si="164"/>
        <v>7.4415437706831637</v>
      </c>
      <c r="I1278" s="27" t="s">
        <v>506</v>
      </c>
      <c r="J1278" s="28" t="s">
        <v>246</v>
      </c>
      <c r="K1278" s="28" t="s">
        <v>3261</v>
      </c>
      <c r="L1278" s="28" t="s">
        <v>625</v>
      </c>
      <c r="M1278" s="28" t="s">
        <v>20</v>
      </c>
      <c r="N1278" s="28" t="s">
        <v>85</v>
      </c>
      <c r="O1278" s="28" t="s">
        <v>92</v>
      </c>
      <c r="P1278" s="28" t="s">
        <v>83</v>
      </c>
      <c r="Q1278" s="28" t="s">
        <v>82</v>
      </c>
      <c r="R1278" s="28"/>
      <c r="S1278" s="28" t="s">
        <v>126</v>
      </c>
      <c r="T1278" s="28" t="s">
        <v>125</v>
      </c>
      <c r="U1278" s="28" t="s">
        <v>247</v>
      </c>
      <c r="V1278" s="28">
        <v>0</v>
      </c>
      <c r="W1278" s="28" t="s">
        <v>553</v>
      </c>
      <c r="X1278" s="28" t="s">
        <v>1752</v>
      </c>
      <c r="Y1278" s="28" t="s">
        <v>1753</v>
      </c>
      <c r="Z1278" s="28">
        <v>38752</v>
      </c>
      <c r="AA1278" s="643">
        <v>3.3</v>
      </c>
      <c r="AB1278" s="643">
        <v>0</v>
      </c>
      <c r="AC1278" s="643">
        <v>0</v>
      </c>
      <c r="AD1278" s="643">
        <v>0</v>
      </c>
      <c r="AE1278" s="779">
        <v>0</v>
      </c>
      <c r="AF1278" s="779">
        <v>7.4249999999999998</v>
      </c>
      <c r="AG1278" s="780">
        <v>7.4415437706831637</v>
      </c>
    </row>
    <row r="1279" spans="1:33" x14ac:dyDescent="0.2">
      <c r="A1279" s="15" t="str">
        <f t="shared" si="159"/>
        <v/>
      </c>
      <c r="B1279" s="14" t="str">
        <f t="shared" si="160"/>
        <v/>
      </c>
      <c r="C1279" s="13" t="str">
        <f t="shared" si="161"/>
        <v/>
      </c>
      <c r="D1279" s="13" t="str">
        <f t="shared" si="162"/>
        <v/>
      </c>
      <c r="E1279" s="13" t="str">
        <f t="shared" si="163"/>
        <v/>
      </c>
      <c r="F1279" s="13" t="str">
        <f t="shared" si="166"/>
        <v/>
      </c>
      <c r="G1279" s="13" t="str">
        <f t="shared" si="165"/>
        <v/>
      </c>
      <c r="H1279" s="638" t="str">
        <f t="shared" si="164"/>
        <v/>
      </c>
      <c r="I1279" s="27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643"/>
      <c r="AB1279" s="643"/>
      <c r="AC1279" s="643"/>
      <c r="AD1279" s="643"/>
      <c r="AE1279" s="779"/>
      <c r="AF1279" s="779"/>
      <c r="AG1279" s="780"/>
    </row>
    <row r="1280" spans="1:33" x14ac:dyDescent="0.2">
      <c r="A1280" s="15" t="str">
        <f t="shared" si="159"/>
        <v/>
      </c>
      <c r="B1280" s="14" t="str">
        <f t="shared" si="160"/>
        <v/>
      </c>
      <c r="C1280" s="13" t="str">
        <f t="shared" si="161"/>
        <v/>
      </c>
      <c r="D1280" s="13" t="str">
        <f t="shared" si="162"/>
        <v/>
      </c>
      <c r="E1280" s="13" t="str">
        <f t="shared" si="163"/>
        <v/>
      </c>
      <c r="F1280" s="13" t="str">
        <f t="shared" si="166"/>
        <v/>
      </c>
      <c r="G1280" s="13" t="str">
        <f t="shared" si="165"/>
        <v/>
      </c>
      <c r="H1280" s="638" t="str">
        <f t="shared" si="164"/>
        <v/>
      </c>
      <c r="I1280" s="27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643"/>
      <c r="AB1280" s="643"/>
      <c r="AC1280" s="643"/>
      <c r="AD1280" s="643"/>
      <c r="AE1280" s="779"/>
      <c r="AF1280" s="779"/>
      <c r="AG1280" s="780"/>
    </row>
    <row r="1281" spans="1:33" x14ac:dyDescent="0.2">
      <c r="A1281" s="15" t="str">
        <f t="shared" si="159"/>
        <v/>
      </c>
      <c r="B1281" s="14" t="str">
        <f t="shared" si="160"/>
        <v/>
      </c>
      <c r="C1281" s="13" t="str">
        <f t="shared" si="161"/>
        <v/>
      </c>
      <c r="D1281" s="13" t="str">
        <f t="shared" si="162"/>
        <v/>
      </c>
      <c r="E1281" s="13" t="str">
        <f t="shared" si="163"/>
        <v/>
      </c>
      <c r="F1281" s="13" t="str">
        <f t="shared" si="166"/>
        <v/>
      </c>
      <c r="G1281" s="13" t="str">
        <f t="shared" si="165"/>
        <v/>
      </c>
      <c r="H1281" s="638" t="str">
        <f t="shared" si="164"/>
        <v/>
      </c>
      <c r="I1281" s="27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643"/>
      <c r="AB1281" s="643"/>
      <c r="AC1281" s="643"/>
      <c r="AD1281" s="643"/>
      <c r="AE1281" s="779"/>
      <c r="AF1281" s="779"/>
      <c r="AG1281" s="780"/>
    </row>
    <row r="1282" spans="1:33" x14ac:dyDescent="0.2">
      <c r="A1282" s="15" t="str">
        <f t="shared" si="159"/>
        <v/>
      </c>
      <c r="B1282" s="14" t="str">
        <f t="shared" si="160"/>
        <v/>
      </c>
      <c r="C1282" s="13" t="str">
        <f t="shared" si="161"/>
        <v/>
      </c>
      <c r="D1282" s="13" t="str">
        <f t="shared" si="162"/>
        <v/>
      </c>
      <c r="E1282" s="13" t="str">
        <f t="shared" si="163"/>
        <v/>
      </c>
      <c r="F1282" s="13" t="str">
        <f t="shared" si="166"/>
        <v/>
      </c>
      <c r="G1282" s="13" t="str">
        <f t="shared" si="165"/>
        <v/>
      </c>
      <c r="H1282" s="638" t="str">
        <f t="shared" si="164"/>
        <v/>
      </c>
      <c r="I1282" s="27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643"/>
      <c r="AB1282" s="643"/>
      <c r="AC1282" s="643"/>
      <c r="AD1282" s="643"/>
      <c r="AE1282" s="779"/>
      <c r="AF1282" s="779"/>
      <c r="AG1282" s="780"/>
    </row>
    <row r="1283" spans="1:33" x14ac:dyDescent="0.2">
      <c r="A1283" s="15" t="str">
        <f t="shared" si="159"/>
        <v/>
      </c>
      <c r="B1283" s="14" t="str">
        <f t="shared" si="160"/>
        <v/>
      </c>
      <c r="C1283" s="13" t="str">
        <f t="shared" si="161"/>
        <v/>
      </c>
      <c r="D1283" s="13" t="str">
        <f t="shared" si="162"/>
        <v/>
      </c>
      <c r="E1283" s="13" t="str">
        <f t="shared" si="163"/>
        <v/>
      </c>
      <c r="F1283" s="13" t="str">
        <f t="shared" si="166"/>
        <v/>
      </c>
      <c r="G1283" s="13" t="str">
        <f t="shared" si="165"/>
        <v/>
      </c>
      <c r="H1283" s="638" t="str">
        <f t="shared" si="164"/>
        <v/>
      </c>
      <c r="I1283" s="27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643"/>
      <c r="AB1283" s="643"/>
      <c r="AC1283" s="643"/>
      <c r="AD1283" s="643"/>
      <c r="AE1283" s="779"/>
      <c r="AF1283" s="779"/>
      <c r="AG1283" s="780"/>
    </row>
    <row r="1284" spans="1:33" x14ac:dyDescent="0.2">
      <c r="A1284" s="15" t="str">
        <f t="shared" si="159"/>
        <v/>
      </c>
      <c r="B1284" s="14" t="str">
        <f t="shared" si="160"/>
        <v/>
      </c>
      <c r="C1284" s="13" t="str">
        <f t="shared" si="161"/>
        <v/>
      </c>
      <c r="D1284" s="13" t="str">
        <f t="shared" si="162"/>
        <v/>
      </c>
      <c r="E1284" s="13" t="str">
        <f t="shared" si="163"/>
        <v/>
      </c>
      <c r="F1284" s="13" t="str">
        <f t="shared" si="166"/>
        <v/>
      </c>
      <c r="G1284" s="13" t="str">
        <f t="shared" si="165"/>
        <v/>
      </c>
      <c r="H1284" s="638" t="str">
        <f t="shared" si="164"/>
        <v/>
      </c>
      <c r="I1284" s="27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643"/>
      <c r="AB1284" s="643"/>
      <c r="AC1284" s="643"/>
      <c r="AD1284" s="643"/>
      <c r="AE1284" s="779"/>
      <c r="AF1284" s="779"/>
      <c r="AG1284" s="780"/>
    </row>
    <row r="1285" spans="1:33" x14ac:dyDescent="0.2">
      <c r="A1285" s="15" t="str">
        <f t="shared" ref="A1285:A1303" si="167">IF(K1285="","",IF(AND(YEAR(Z1285)&lt;2004,YEAR(Z1285)&gt;1910),2004,YEAR(Z1285)))</f>
        <v/>
      </c>
      <c r="B1285" s="14" t="str">
        <f t="shared" ref="B1285:B1303" si="168">IF(K1285="","",IF(ISNUMBER(Z1285),MONTH(Z1285),0))</f>
        <v/>
      </c>
      <c r="C1285" s="13" t="str">
        <f t="shared" ref="C1285:C1303" si="169">IF(K1285="","",IF(AND(B1285&gt;=1,B1285&lt;=3),"Q1",IF(AND(B1285&gt;3,B1285&lt;=6),"Q2",IF(AND(B1285&gt;6,B1285&lt;=9),"Q3",IF(AND(B1285&gt;9,B1285&lt;=12),"Q4",0)))))</f>
        <v/>
      </c>
      <c r="D1285" s="13" t="str">
        <f t="shared" ref="D1285:D1303" si="170">IF(A1285&lt;2006, "&lt; 2006", A1285&amp;C1285)</f>
        <v/>
      </c>
      <c r="E1285" s="13" t="str">
        <f t="shared" ref="E1285:E1303" si="171">IF(K1285="","", M1285)</f>
        <v/>
      </c>
      <c r="F1285" s="13" t="str">
        <f t="shared" si="166"/>
        <v/>
      </c>
      <c r="G1285" s="13" t="str">
        <f t="shared" si="165"/>
        <v/>
      </c>
      <c r="H1285" s="638" t="str">
        <f t="shared" ref="H1285:H1303" si="172">IF(K1285="","",AG1285)</f>
        <v/>
      </c>
      <c r="I1285" s="27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643"/>
      <c r="AB1285" s="643"/>
      <c r="AC1285" s="643"/>
      <c r="AD1285" s="643"/>
      <c r="AE1285" s="779"/>
      <c r="AF1285" s="779"/>
      <c r="AG1285" s="780"/>
    </row>
    <row r="1286" spans="1:33" x14ac:dyDescent="0.2">
      <c r="A1286" s="15" t="str">
        <f t="shared" si="167"/>
        <v/>
      </c>
      <c r="B1286" s="14" t="str">
        <f t="shared" si="168"/>
        <v/>
      </c>
      <c r="C1286" s="13" t="str">
        <f t="shared" si="169"/>
        <v/>
      </c>
      <c r="D1286" s="13" t="str">
        <f t="shared" si="170"/>
        <v/>
      </c>
      <c r="E1286" s="13" t="str">
        <f t="shared" si="171"/>
        <v/>
      </c>
      <c r="F1286" s="13" t="str">
        <f t="shared" si="166"/>
        <v/>
      </c>
      <c r="G1286" s="13" t="str">
        <f t="shared" ref="G1286:G1303" si="173">IF(K1286="","",IF(OR(J1286="PM",J1286="MA"), "Corporate finance investments", IF(J1286="VCPE", "VC/PE investments", IF(J1286="AF", "Asset finance investments"))))</f>
        <v/>
      </c>
      <c r="H1286" s="638" t="str">
        <f t="shared" si="172"/>
        <v/>
      </c>
      <c r="I1286" s="27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643"/>
      <c r="AB1286" s="643"/>
      <c r="AC1286" s="643"/>
      <c r="AD1286" s="643"/>
      <c r="AE1286" s="779"/>
      <c r="AF1286" s="779"/>
      <c r="AG1286" s="780"/>
    </row>
    <row r="1287" spans="1:33" x14ac:dyDescent="0.2">
      <c r="A1287" s="15" t="str">
        <f t="shared" si="167"/>
        <v/>
      </c>
      <c r="B1287" s="14" t="str">
        <f t="shared" si="168"/>
        <v/>
      </c>
      <c r="C1287" s="13" t="str">
        <f t="shared" si="169"/>
        <v/>
      </c>
      <c r="D1287" s="13" t="str">
        <f t="shared" si="170"/>
        <v/>
      </c>
      <c r="E1287" s="13" t="str">
        <f t="shared" si="171"/>
        <v/>
      </c>
      <c r="F1287" s="13" t="str">
        <f t="shared" ref="F1287:F1304" si="174">IF(K1287="","",IF(OR(T1287="Wind",T1287="Solar",T1287="Geothermal",T1287="Small Hydro",T1287="Biofuels",T1287="Biomass &amp; Waste"),T1287,"Other Clean Energy"))</f>
        <v/>
      </c>
      <c r="G1287" s="13" t="str">
        <f t="shared" si="173"/>
        <v/>
      </c>
      <c r="H1287" s="638" t="str">
        <f t="shared" si="172"/>
        <v/>
      </c>
      <c r="I1287" s="27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643"/>
      <c r="AB1287" s="643"/>
      <c r="AC1287" s="643"/>
      <c r="AD1287" s="643"/>
      <c r="AE1287" s="779"/>
      <c r="AF1287" s="779"/>
      <c r="AG1287" s="780"/>
    </row>
    <row r="1288" spans="1:33" x14ac:dyDescent="0.2">
      <c r="A1288" s="15" t="str">
        <f t="shared" si="167"/>
        <v/>
      </c>
      <c r="B1288" s="14" t="str">
        <f t="shared" si="168"/>
        <v/>
      </c>
      <c r="C1288" s="13" t="str">
        <f t="shared" si="169"/>
        <v/>
      </c>
      <c r="D1288" s="13" t="str">
        <f t="shared" si="170"/>
        <v/>
      </c>
      <c r="E1288" s="13" t="str">
        <f t="shared" si="171"/>
        <v/>
      </c>
      <c r="F1288" s="13" t="str">
        <f t="shared" si="174"/>
        <v/>
      </c>
      <c r="G1288" s="13" t="str">
        <f t="shared" si="173"/>
        <v/>
      </c>
      <c r="H1288" s="638" t="str">
        <f t="shared" si="172"/>
        <v/>
      </c>
      <c r="I1288" s="27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643"/>
      <c r="AB1288" s="643"/>
      <c r="AC1288" s="643"/>
      <c r="AD1288" s="643"/>
      <c r="AE1288" s="779"/>
      <c r="AF1288" s="779"/>
      <c r="AG1288" s="780"/>
    </row>
    <row r="1289" spans="1:33" x14ac:dyDescent="0.2">
      <c r="A1289" s="15" t="str">
        <f t="shared" si="167"/>
        <v/>
      </c>
      <c r="B1289" s="14" t="str">
        <f t="shared" si="168"/>
        <v/>
      </c>
      <c r="C1289" s="13" t="str">
        <f t="shared" si="169"/>
        <v/>
      </c>
      <c r="D1289" s="13" t="str">
        <f t="shared" si="170"/>
        <v/>
      </c>
      <c r="E1289" s="13" t="str">
        <f t="shared" si="171"/>
        <v/>
      </c>
      <c r="F1289" s="13" t="str">
        <f t="shared" si="174"/>
        <v/>
      </c>
      <c r="G1289" s="13" t="str">
        <f t="shared" si="173"/>
        <v/>
      </c>
      <c r="H1289" s="638" t="str">
        <f t="shared" si="172"/>
        <v/>
      </c>
      <c r="I1289" s="27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643"/>
      <c r="AB1289" s="643"/>
      <c r="AC1289" s="643"/>
      <c r="AD1289" s="643"/>
      <c r="AE1289" s="779"/>
      <c r="AF1289" s="779"/>
      <c r="AG1289" s="780"/>
    </row>
    <row r="1290" spans="1:33" x14ac:dyDescent="0.2">
      <c r="A1290" s="15" t="str">
        <f t="shared" si="167"/>
        <v/>
      </c>
      <c r="B1290" s="14" t="str">
        <f t="shared" si="168"/>
        <v/>
      </c>
      <c r="C1290" s="13" t="str">
        <f t="shared" si="169"/>
        <v/>
      </c>
      <c r="D1290" s="13" t="str">
        <f t="shared" si="170"/>
        <v/>
      </c>
      <c r="E1290" s="13" t="str">
        <f t="shared" si="171"/>
        <v/>
      </c>
      <c r="F1290" s="13" t="str">
        <f t="shared" si="174"/>
        <v/>
      </c>
      <c r="G1290" s="13" t="str">
        <f t="shared" si="173"/>
        <v/>
      </c>
      <c r="H1290" s="638" t="str">
        <f t="shared" si="172"/>
        <v/>
      </c>
      <c r="I1290" s="27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643"/>
      <c r="AB1290" s="643"/>
      <c r="AC1290" s="643"/>
      <c r="AD1290" s="643"/>
      <c r="AE1290" s="779"/>
      <c r="AF1290" s="779"/>
      <c r="AG1290" s="780"/>
    </row>
    <row r="1291" spans="1:33" x14ac:dyDescent="0.2">
      <c r="A1291" s="15" t="str">
        <f t="shared" si="167"/>
        <v/>
      </c>
      <c r="B1291" s="14" t="str">
        <f t="shared" si="168"/>
        <v/>
      </c>
      <c r="C1291" s="13" t="str">
        <f t="shared" si="169"/>
        <v/>
      </c>
      <c r="D1291" s="13" t="str">
        <f t="shared" si="170"/>
        <v/>
      </c>
      <c r="E1291" s="13" t="str">
        <f t="shared" si="171"/>
        <v/>
      </c>
      <c r="F1291" s="13" t="str">
        <f t="shared" si="174"/>
        <v/>
      </c>
      <c r="G1291" s="13" t="str">
        <f t="shared" si="173"/>
        <v/>
      </c>
      <c r="H1291" s="638" t="str">
        <f t="shared" si="172"/>
        <v/>
      </c>
      <c r="I1291" s="27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643"/>
      <c r="AB1291" s="643"/>
      <c r="AC1291" s="643"/>
      <c r="AD1291" s="643"/>
      <c r="AE1291" s="779"/>
      <c r="AF1291" s="779"/>
      <c r="AG1291" s="780"/>
    </row>
    <row r="1292" spans="1:33" x14ac:dyDescent="0.2">
      <c r="A1292" s="15" t="str">
        <f t="shared" si="167"/>
        <v/>
      </c>
      <c r="B1292" s="14" t="str">
        <f t="shared" si="168"/>
        <v/>
      </c>
      <c r="C1292" s="13" t="str">
        <f t="shared" si="169"/>
        <v/>
      </c>
      <c r="D1292" s="13" t="str">
        <f t="shared" si="170"/>
        <v/>
      </c>
      <c r="E1292" s="13" t="str">
        <f t="shared" si="171"/>
        <v/>
      </c>
      <c r="F1292" s="13" t="str">
        <f t="shared" si="174"/>
        <v/>
      </c>
      <c r="G1292" s="13" t="str">
        <f t="shared" si="173"/>
        <v/>
      </c>
      <c r="H1292" s="638" t="str">
        <f t="shared" si="172"/>
        <v/>
      </c>
      <c r="I1292" s="27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643"/>
      <c r="AB1292" s="643"/>
      <c r="AC1292" s="643"/>
      <c r="AD1292" s="643"/>
      <c r="AE1292" s="779"/>
      <c r="AF1292" s="779"/>
      <c r="AG1292" s="780"/>
    </row>
    <row r="1293" spans="1:33" x14ac:dyDescent="0.2">
      <c r="A1293" s="15" t="str">
        <f t="shared" si="167"/>
        <v/>
      </c>
      <c r="B1293" s="14" t="str">
        <f t="shared" si="168"/>
        <v/>
      </c>
      <c r="C1293" s="13" t="str">
        <f t="shared" si="169"/>
        <v/>
      </c>
      <c r="D1293" s="13" t="str">
        <f t="shared" si="170"/>
        <v/>
      </c>
      <c r="E1293" s="13" t="str">
        <f t="shared" si="171"/>
        <v/>
      </c>
      <c r="F1293" s="13" t="str">
        <f t="shared" si="174"/>
        <v/>
      </c>
      <c r="G1293" s="13" t="str">
        <f t="shared" si="173"/>
        <v/>
      </c>
      <c r="H1293" s="638" t="str">
        <f t="shared" si="172"/>
        <v/>
      </c>
      <c r="I1293" s="27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643"/>
      <c r="AB1293" s="643"/>
      <c r="AC1293" s="643"/>
      <c r="AD1293" s="643"/>
      <c r="AE1293" s="779"/>
      <c r="AF1293" s="779"/>
      <c r="AG1293" s="780"/>
    </row>
    <row r="1294" spans="1:33" x14ac:dyDescent="0.2">
      <c r="A1294" s="15" t="str">
        <f t="shared" si="167"/>
        <v/>
      </c>
      <c r="B1294" s="14" t="str">
        <f t="shared" si="168"/>
        <v/>
      </c>
      <c r="C1294" s="13" t="str">
        <f t="shared" si="169"/>
        <v/>
      </c>
      <c r="D1294" s="13" t="str">
        <f t="shared" si="170"/>
        <v/>
      </c>
      <c r="E1294" s="13" t="str">
        <f t="shared" si="171"/>
        <v/>
      </c>
      <c r="F1294" s="13" t="str">
        <f t="shared" si="174"/>
        <v/>
      </c>
      <c r="G1294" s="13" t="str">
        <f t="shared" si="173"/>
        <v/>
      </c>
      <c r="H1294" s="638" t="str">
        <f t="shared" si="172"/>
        <v/>
      </c>
      <c r="I1294" s="27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643"/>
      <c r="AB1294" s="643"/>
      <c r="AC1294" s="643"/>
      <c r="AD1294" s="643"/>
      <c r="AE1294" s="779"/>
      <c r="AF1294" s="779"/>
      <c r="AG1294" s="780"/>
    </row>
    <row r="1295" spans="1:33" x14ac:dyDescent="0.2">
      <c r="A1295" s="15" t="str">
        <f t="shared" si="167"/>
        <v/>
      </c>
      <c r="B1295" s="14" t="str">
        <f t="shared" si="168"/>
        <v/>
      </c>
      <c r="C1295" s="13" t="str">
        <f t="shared" si="169"/>
        <v/>
      </c>
      <c r="D1295" s="13" t="str">
        <f t="shared" si="170"/>
        <v/>
      </c>
      <c r="E1295" s="13" t="str">
        <f t="shared" si="171"/>
        <v/>
      </c>
      <c r="F1295" s="13" t="str">
        <f t="shared" si="174"/>
        <v/>
      </c>
      <c r="G1295" s="13" t="str">
        <f t="shared" si="173"/>
        <v/>
      </c>
      <c r="H1295" s="638" t="str">
        <f t="shared" si="172"/>
        <v/>
      </c>
      <c r="I1295" s="27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643"/>
      <c r="AB1295" s="643"/>
      <c r="AC1295" s="643"/>
      <c r="AD1295" s="643"/>
      <c r="AE1295" s="779"/>
      <c r="AF1295" s="779"/>
      <c r="AG1295" s="780"/>
    </row>
    <row r="1296" spans="1:33" x14ac:dyDescent="0.2">
      <c r="A1296" s="15" t="str">
        <f t="shared" si="167"/>
        <v/>
      </c>
      <c r="B1296" s="14" t="str">
        <f t="shared" si="168"/>
        <v/>
      </c>
      <c r="C1296" s="13" t="str">
        <f t="shared" si="169"/>
        <v/>
      </c>
      <c r="D1296" s="13" t="str">
        <f t="shared" si="170"/>
        <v/>
      </c>
      <c r="E1296" s="13" t="str">
        <f t="shared" si="171"/>
        <v/>
      </c>
      <c r="F1296" s="13" t="str">
        <f t="shared" si="174"/>
        <v/>
      </c>
      <c r="G1296" s="13" t="str">
        <f t="shared" si="173"/>
        <v/>
      </c>
      <c r="H1296" s="638" t="str">
        <f t="shared" si="172"/>
        <v/>
      </c>
      <c r="I1296" s="27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643"/>
      <c r="AB1296" s="643"/>
      <c r="AC1296" s="643"/>
      <c r="AD1296" s="643"/>
      <c r="AE1296" s="779"/>
      <c r="AF1296" s="779"/>
      <c r="AG1296" s="780"/>
    </row>
    <row r="1297" spans="1:33" x14ac:dyDescent="0.2">
      <c r="A1297" s="15" t="str">
        <f t="shared" si="167"/>
        <v/>
      </c>
      <c r="B1297" s="14" t="str">
        <f t="shared" si="168"/>
        <v/>
      </c>
      <c r="C1297" s="13" t="str">
        <f t="shared" si="169"/>
        <v/>
      </c>
      <c r="D1297" s="13" t="str">
        <f t="shared" si="170"/>
        <v/>
      </c>
      <c r="E1297" s="13" t="str">
        <f t="shared" si="171"/>
        <v/>
      </c>
      <c r="F1297" s="13" t="str">
        <f t="shared" si="174"/>
        <v/>
      </c>
      <c r="G1297" s="13" t="str">
        <f t="shared" si="173"/>
        <v/>
      </c>
      <c r="H1297" s="638" t="str">
        <f t="shared" si="172"/>
        <v/>
      </c>
      <c r="I1297" s="27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643"/>
      <c r="AB1297" s="643"/>
      <c r="AC1297" s="643"/>
      <c r="AD1297" s="643"/>
      <c r="AE1297" s="779"/>
      <c r="AF1297" s="779"/>
      <c r="AG1297" s="780"/>
    </row>
    <row r="1298" spans="1:33" x14ac:dyDescent="0.2">
      <c r="A1298" s="15" t="str">
        <f t="shared" si="167"/>
        <v/>
      </c>
      <c r="B1298" s="14" t="str">
        <f t="shared" si="168"/>
        <v/>
      </c>
      <c r="C1298" s="13" t="str">
        <f t="shared" si="169"/>
        <v/>
      </c>
      <c r="D1298" s="13" t="str">
        <f t="shared" si="170"/>
        <v/>
      </c>
      <c r="E1298" s="13" t="str">
        <f t="shared" si="171"/>
        <v/>
      </c>
      <c r="F1298" s="13" t="str">
        <f t="shared" si="174"/>
        <v/>
      </c>
      <c r="G1298" s="13" t="str">
        <f t="shared" si="173"/>
        <v/>
      </c>
      <c r="H1298" s="638" t="str">
        <f t="shared" si="172"/>
        <v/>
      </c>
      <c r="I1298" s="27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643"/>
      <c r="AB1298" s="643"/>
      <c r="AC1298" s="643"/>
      <c r="AD1298" s="643"/>
      <c r="AE1298" s="779"/>
      <c r="AF1298" s="779"/>
      <c r="AG1298" s="780"/>
    </row>
    <row r="1299" spans="1:33" x14ac:dyDescent="0.2">
      <c r="A1299" s="15" t="str">
        <f t="shared" si="167"/>
        <v/>
      </c>
      <c r="B1299" s="14" t="str">
        <f t="shared" si="168"/>
        <v/>
      </c>
      <c r="C1299" s="13" t="str">
        <f t="shared" si="169"/>
        <v/>
      </c>
      <c r="D1299" s="13" t="str">
        <f t="shared" si="170"/>
        <v/>
      </c>
      <c r="E1299" s="13" t="str">
        <f t="shared" si="171"/>
        <v/>
      </c>
      <c r="F1299" s="13" t="str">
        <f t="shared" si="174"/>
        <v/>
      </c>
      <c r="G1299" s="13" t="str">
        <f t="shared" si="173"/>
        <v/>
      </c>
      <c r="H1299" s="638" t="str">
        <f t="shared" si="172"/>
        <v/>
      </c>
      <c r="I1299" s="27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643"/>
      <c r="AB1299" s="643"/>
      <c r="AC1299" s="643"/>
      <c r="AD1299" s="643"/>
      <c r="AE1299" s="779"/>
      <c r="AF1299" s="779"/>
      <c r="AG1299" s="780"/>
    </row>
    <row r="1300" spans="1:33" x14ac:dyDescent="0.2">
      <c r="A1300" s="15" t="str">
        <f t="shared" si="167"/>
        <v/>
      </c>
      <c r="B1300" s="14" t="str">
        <f t="shared" si="168"/>
        <v/>
      </c>
      <c r="C1300" s="13" t="str">
        <f t="shared" si="169"/>
        <v/>
      </c>
      <c r="D1300" s="13" t="str">
        <f t="shared" si="170"/>
        <v/>
      </c>
      <c r="E1300" s="13" t="str">
        <f t="shared" si="171"/>
        <v/>
      </c>
      <c r="F1300" s="13" t="str">
        <f t="shared" si="174"/>
        <v/>
      </c>
      <c r="G1300" s="13" t="str">
        <f t="shared" si="173"/>
        <v/>
      </c>
      <c r="H1300" s="638" t="str">
        <f t="shared" si="172"/>
        <v/>
      </c>
      <c r="I1300" s="27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643"/>
      <c r="AB1300" s="643"/>
      <c r="AC1300" s="643"/>
      <c r="AD1300" s="643"/>
      <c r="AE1300" s="779"/>
      <c r="AF1300" s="779"/>
      <c r="AG1300" s="780"/>
    </row>
    <row r="1301" spans="1:33" x14ac:dyDescent="0.2">
      <c r="A1301" s="15" t="str">
        <f t="shared" si="167"/>
        <v/>
      </c>
      <c r="B1301" s="14" t="str">
        <f t="shared" si="168"/>
        <v/>
      </c>
      <c r="C1301" s="13" t="str">
        <f t="shared" si="169"/>
        <v/>
      </c>
      <c r="D1301" s="13" t="str">
        <f t="shared" si="170"/>
        <v/>
      </c>
      <c r="E1301" s="13" t="str">
        <f t="shared" si="171"/>
        <v/>
      </c>
      <c r="F1301" s="13" t="str">
        <f t="shared" si="174"/>
        <v/>
      </c>
      <c r="G1301" s="13" t="str">
        <f t="shared" si="173"/>
        <v/>
      </c>
      <c r="H1301" s="638" t="str">
        <f t="shared" si="172"/>
        <v/>
      </c>
      <c r="I1301" s="27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643"/>
      <c r="AB1301" s="643"/>
      <c r="AC1301" s="643"/>
      <c r="AD1301" s="643"/>
      <c r="AE1301" s="779"/>
      <c r="AF1301" s="779"/>
      <c r="AG1301" s="780"/>
    </row>
    <row r="1302" spans="1:33" x14ac:dyDescent="0.2">
      <c r="A1302" s="15" t="str">
        <f t="shared" si="167"/>
        <v/>
      </c>
      <c r="B1302" s="14" t="str">
        <f t="shared" si="168"/>
        <v/>
      </c>
      <c r="C1302" s="13" t="str">
        <f t="shared" si="169"/>
        <v/>
      </c>
      <c r="D1302" s="13" t="str">
        <f t="shared" si="170"/>
        <v/>
      </c>
      <c r="E1302" s="13" t="str">
        <f t="shared" si="171"/>
        <v/>
      </c>
      <c r="F1302" s="13" t="str">
        <f t="shared" si="174"/>
        <v/>
      </c>
      <c r="G1302" s="13" t="str">
        <f t="shared" si="173"/>
        <v/>
      </c>
      <c r="H1302" s="638" t="str">
        <f t="shared" si="172"/>
        <v/>
      </c>
      <c r="I1302" s="27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643"/>
      <c r="AB1302" s="643"/>
      <c r="AC1302" s="643"/>
      <c r="AD1302" s="643"/>
      <c r="AE1302" s="779"/>
      <c r="AF1302" s="779"/>
      <c r="AG1302" s="780"/>
    </row>
    <row r="1303" spans="1:33" x14ac:dyDescent="0.2">
      <c r="A1303" s="12" t="str">
        <f t="shared" si="167"/>
        <v/>
      </c>
      <c r="B1303" s="11" t="str">
        <f t="shared" si="168"/>
        <v/>
      </c>
      <c r="C1303" s="10" t="str">
        <f t="shared" si="169"/>
        <v/>
      </c>
      <c r="D1303" s="10" t="str">
        <f t="shared" si="170"/>
        <v/>
      </c>
      <c r="E1303" s="10" t="str">
        <f t="shared" si="171"/>
        <v/>
      </c>
      <c r="F1303" s="10" t="str">
        <f t="shared" si="174"/>
        <v/>
      </c>
      <c r="G1303" s="10" t="str">
        <f t="shared" si="173"/>
        <v/>
      </c>
      <c r="H1303" s="787" t="str">
        <f t="shared" si="172"/>
        <v/>
      </c>
      <c r="I1303" s="29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  <c r="Z1303" s="30"/>
      <c r="AA1303" s="645"/>
      <c r="AB1303" s="645"/>
      <c r="AC1303" s="645"/>
      <c r="AD1303" s="645"/>
      <c r="AE1303" s="783"/>
      <c r="AF1303" s="783"/>
      <c r="AG1303" s="784"/>
    </row>
    <row r="1304" spans="1:33" x14ac:dyDescent="0.2">
      <c r="A1304" s="9" t="s">
        <v>1526</v>
      </c>
      <c r="B1304" s="9" t="s">
        <v>1526</v>
      </c>
      <c r="C1304" s="9" t="s">
        <v>1526</v>
      </c>
      <c r="D1304" s="9" t="s">
        <v>1526</v>
      </c>
      <c r="E1304" s="9" t="s">
        <v>1526</v>
      </c>
      <c r="F1304" s="9" t="str">
        <f t="shared" si="174"/>
        <v>Other Clean Energy</v>
      </c>
      <c r="G1304" s="9" t="s">
        <v>1526</v>
      </c>
      <c r="H1304" s="637" t="s">
        <v>1526</v>
      </c>
      <c r="I1304" s="9" t="s">
        <v>1526</v>
      </c>
      <c r="J1304" s="9" t="s">
        <v>1526</v>
      </c>
      <c r="K1304" s="9" t="s">
        <v>1526</v>
      </c>
      <c r="L1304" s="9" t="s">
        <v>1526</v>
      </c>
      <c r="M1304" s="9" t="s">
        <v>1526</v>
      </c>
      <c r="N1304" s="9" t="s">
        <v>1526</v>
      </c>
      <c r="O1304" s="9" t="s">
        <v>1526</v>
      </c>
      <c r="P1304" s="9" t="s">
        <v>1526</v>
      </c>
      <c r="Q1304" s="9" t="s">
        <v>1526</v>
      </c>
      <c r="R1304" s="9" t="s">
        <v>1526</v>
      </c>
      <c r="S1304" s="9" t="s">
        <v>1526</v>
      </c>
      <c r="T1304" s="9" t="s">
        <v>1526</v>
      </c>
      <c r="U1304" s="9" t="s">
        <v>1526</v>
      </c>
      <c r="V1304" s="9" t="s">
        <v>1526</v>
      </c>
      <c r="W1304" s="9" t="s">
        <v>1526</v>
      </c>
      <c r="X1304" s="9" t="s">
        <v>1526</v>
      </c>
      <c r="Y1304" s="9" t="s">
        <v>1526</v>
      </c>
      <c r="Z1304" s="9" t="s">
        <v>1526</v>
      </c>
      <c r="AA1304" s="637" t="s">
        <v>1526</v>
      </c>
      <c r="AB1304" s="637" t="s">
        <v>1526</v>
      </c>
      <c r="AC1304" s="637" t="s">
        <v>1526</v>
      </c>
      <c r="AD1304" s="637" t="s">
        <v>1526</v>
      </c>
      <c r="AE1304" s="769" t="s">
        <v>1526</v>
      </c>
      <c r="AF1304" s="769" t="s">
        <v>1526</v>
      </c>
      <c r="AG1304" s="769" t="s">
        <v>1526</v>
      </c>
    </row>
  </sheetData>
  <sheetProtection password="ECD7" sheet="1" objects="1" scenarios="1"/>
  <pageMargins left="0.7" right="0.7" top="0.75" bottom="0.75" header="0.3" footer="0.3"/>
  <pageSetup paperSize="9" orientation="portrait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AH386"/>
  <sheetViews>
    <sheetView showGridLines="0" zoomScale="85" zoomScaleNormal="85" zoomScalePageLayoutView="80" workbookViewId="0">
      <pane ySplit="2" topLeftCell="A3" activePane="bottomLeft" state="frozen"/>
      <selection pane="bottomLeft" activeCell="O60" sqref="O60"/>
    </sheetView>
  </sheetViews>
  <sheetFormatPr defaultColWidth="10.7109375" defaultRowHeight="16.5" customHeight="1" x14ac:dyDescent="0.2"/>
  <cols>
    <col min="1" max="1" width="30.140625" style="31" customWidth="1"/>
    <col min="2" max="7" width="12.42578125" style="131" customWidth="1"/>
    <col min="8" max="8" width="10.7109375" style="131"/>
    <col min="9" max="9" width="10.42578125" style="131" customWidth="1"/>
    <col min="10" max="16384" width="10.7109375" style="99"/>
  </cols>
  <sheetData>
    <row r="1" spans="1:34" s="50" customFormat="1" ht="21" x14ac:dyDescent="0.2">
      <c r="A1" s="955" t="s">
        <v>1530</v>
      </c>
      <c r="B1" s="952"/>
      <c r="C1" s="952"/>
      <c r="D1" s="953"/>
      <c r="E1" s="953"/>
      <c r="F1" s="953"/>
      <c r="G1" s="953"/>
      <c r="H1" s="953"/>
      <c r="I1" s="948"/>
      <c r="J1" s="948"/>
      <c r="K1" s="954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</row>
    <row r="2" spans="1:34" s="50" customFormat="1" ht="21" x14ac:dyDescent="0.2">
      <c r="A2" s="306"/>
      <c r="B2" s="301"/>
      <c r="C2" s="301"/>
      <c r="D2" s="302"/>
      <c r="E2" s="302"/>
      <c r="F2" s="302"/>
      <c r="G2" s="302"/>
      <c r="H2" s="302"/>
      <c r="I2" s="304"/>
      <c r="J2" s="304"/>
      <c r="K2" s="305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</row>
    <row r="3" spans="1:34" ht="14.25" customHeight="1" x14ac:dyDescent="0.2">
      <c r="I3" s="99"/>
    </row>
    <row r="4" spans="1:34" ht="14.25" customHeight="1" x14ac:dyDescent="0.2">
      <c r="A4" s="806" t="s">
        <v>3272</v>
      </c>
      <c r="B4" s="807" t="s">
        <v>3341</v>
      </c>
      <c r="I4" s="99"/>
    </row>
    <row r="5" spans="1:34" ht="14.25" customHeight="1" x14ac:dyDescent="0.2">
      <c r="A5" s="806" t="s">
        <v>3317</v>
      </c>
      <c r="B5" s="867" t="str">
        <f>str_WeightScenario</f>
        <v>Defaults</v>
      </c>
      <c r="D5" s="99"/>
      <c r="I5" s="99"/>
    </row>
    <row r="6" spans="1:34" ht="14.25" customHeight="1" x14ac:dyDescent="0.2">
      <c r="I6" s="99"/>
    </row>
    <row r="7" spans="1:34" ht="14.25" customHeight="1" x14ac:dyDescent="0.2">
      <c r="A7" s="852" t="s">
        <v>3315</v>
      </c>
      <c r="B7" s="853"/>
      <c r="C7" s="853"/>
      <c r="D7" s="853"/>
      <c r="E7" s="853"/>
      <c r="F7" s="853"/>
      <c r="G7" s="853"/>
      <c r="H7" s="866"/>
      <c r="I7" s="99"/>
    </row>
    <row r="8" spans="1:34" ht="14.25" customHeight="1" x14ac:dyDescent="0.2">
      <c r="A8" s="620" t="s">
        <v>1248</v>
      </c>
      <c r="B8" s="313">
        <v>2006</v>
      </c>
      <c r="C8" s="313">
        <v>2007</v>
      </c>
      <c r="D8" s="313">
        <v>2008</v>
      </c>
      <c r="E8" s="313">
        <v>2009</v>
      </c>
      <c r="F8" s="313">
        <v>2010</v>
      </c>
      <c r="G8" s="313">
        <v>2011</v>
      </c>
      <c r="H8" s="314">
        <v>2012</v>
      </c>
      <c r="I8" s="99"/>
    </row>
    <row r="9" spans="1:34" ht="14.25" customHeight="1" x14ac:dyDescent="0.2">
      <c r="A9" s="210" t="s">
        <v>114</v>
      </c>
      <c r="B9" s="138">
        <f>B$17*SUMIFS(Levelisation!F$7:F$344, Levelisation!$E$7:$E$344, str_Country, Levelisation!$C$7:$C$344, $A9)</f>
        <v>2909.4400000000005</v>
      </c>
      <c r="C9" s="138">
        <f>C$17*SUMIFS(Levelisation!G$7:G$344, Levelisation!$E$7:$E$344, str_Country, Levelisation!$C$7:$C$344, $A9)</f>
        <v>3636.8</v>
      </c>
      <c r="D9" s="138">
        <f>D$17*SUMIFS(Levelisation!H$7:H$344, Levelisation!$E$7:$E$344, str_Country, Levelisation!$C$7:$C$344, $A9)</f>
        <v>4546</v>
      </c>
      <c r="E9" s="138">
        <f>E$17*SUMIFS(Levelisation!I$7:I$344, Levelisation!$E$7:$E$344, str_Country, Levelisation!$C$7:$C$344, $A9)</f>
        <v>5439</v>
      </c>
      <c r="F9" s="138">
        <f>F$17*SUMIFS(Levelisation!J$7:J$344, Levelisation!$E$7:$E$344, str_Country, Levelisation!$C$7:$C$344, $A9)</f>
        <v>6703</v>
      </c>
      <c r="G9" s="138">
        <f>G$17*SUMIFS(Levelisation!K$7:K$344, Levelisation!$E$7:$E$344, str_Country, Levelisation!$C$7:$C$344, $A9)</f>
        <v>8622</v>
      </c>
      <c r="H9" s="621">
        <f>H$17*SUMIFS(Levelisation!L$7:L$344, Levelisation!$E$7:$E$344, str_Country, Levelisation!$C$7:$C$344, $A9)</f>
        <v>9815.9</v>
      </c>
      <c r="I9" s="99"/>
    </row>
    <row r="10" spans="1:34" ht="14.25" customHeight="1" x14ac:dyDescent="0.2">
      <c r="A10" s="211" t="s">
        <v>157</v>
      </c>
      <c r="B10" s="134">
        <f>B$17*SUMIFS(Levelisation!F$7:F$344, Levelisation!$E$7:$E$344, str_Country, Levelisation!$C$7:$C$344, $A10)</f>
        <v>0</v>
      </c>
      <c r="C10" s="134">
        <f>C$17*SUMIFS(Levelisation!G$7:G$344, Levelisation!$E$7:$E$344, str_Country, Levelisation!$C$7:$C$344, $A10)</f>
        <v>0</v>
      </c>
      <c r="D10" s="134">
        <f>D$17*SUMIFS(Levelisation!H$7:H$344, Levelisation!$E$7:$E$344, str_Country, Levelisation!$C$7:$C$344, $A10)</f>
        <v>0</v>
      </c>
      <c r="E10" s="134">
        <f>E$17*SUMIFS(Levelisation!I$7:I$344, Levelisation!$E$7:$E$344, str_Country, Levelisation!$C$7:$C$344, $A10)</f>
        <v>0</v>
      </c>
      <c r="F10" s="134">
        <f>F$17*SUMIFS(Levelisation!J$7:J$344, Levelisation!$E$7:$E$344, str_Country, Levelisation!$C$7:$C$344, $A10)</f>
        <v>0</v>
      </c>
      <c r="G10" s="134">
        <f>G$17*SUMIFS(Levelisation!K$7:K$344, Levelisation!$E$7:$E$344, str_Country, Levelisation!$C$7:$C$344, $A10)</f>
        <v>0</v>
      </c>
      <c r="H10" s="135">
        <f>H$17*SUMIFS(Levelisation!L$7:L$344, Levelisation!$E$7:$E$344, str_Country, Levelisation!$C$7:$C$344, $A10)</f>
        <v>0</v>
      </c>
      <c r="I10" s="99"/>
    </row>
    <row r="11" spans="1:34" ht="14.25" customHeight="1" x14ac:dyDescent="0.2">
      <c r="A11" s="211" t="s">
        <v>944</v>
      </c>
      <c r="B11" s="134">
        <f>B$17*SUMIFS(Levelisation!F$7:F$344, Levelisation!$E$7:$E$344, str_Country, Levelisation!$C$7:$C$344, $A11)</f>
        <v>0</v>
      </c>
      <c r="C11" s="134">
        <f>C$17*SUMIFS(Levelisation!G$7:G$344, Levelisation!$E$7:$E$344, str_Country, Levelisation!$C$7:$C$344, $A11)</f>
        <v>0</v>
      </c>
      <c r="D11" s="134">
        <f>D$17*SUMIFS(Levelisation!H$7:H$344, Levelisation!$E$7:$E$344, str_Country, Levelisation!$C$7:$C$344, $A11)</f>
        <v>0</v>
      </c>
      <c r="E11" s="134">
        <f>E$17*SUMIFS(Levelisation!I$7:I$344, Levelisation!$E$7:$E$344, str_Country, Levelisation!$C$7:$C$344, $A11)</f>
        <v>0</v>
      </c>
      <c r="F11" s="134">
        <f>F$17*SUMIFS(Levelisation!J$7:J$344, Levelisation!$E$7:$E$344, str_Country, Levelisation!$C$7:$C$344, $A11)</f>
        <v>0</v>
      </c>
      <c r="G11" s="134">
        <f>G$17*SUMIFS(Levelisation!K$7:K$344, Levelisation!$E$7:$E$344, str_Country, Levelisation!$C$7:$C$344, $A11)</f>
        <v>0</v>
      </c>
      <c r="H11" s="135">
        <f>H$17*SUMIFS(Levelisation!L$7:L$344, Levelisation!$E$7:$E$344, str_Country, Levelisation!$C$7:$C$344, $A11)</f>
        <v>0</v>
      </c>
      <c r="I11" s="99"/>
    </row>
    <row r="12" spans="1:34" ht="14.25" customHeight="1" x14ac:dyDescent="0.2">
      <c r="A12" s="211" t="s">
        <v>125</v>
      </c>
      <c r="B12" s="134">
        <f>B$17*SUMIFS(Levelisation!F$7:F$344, Levelisation!$E$7:$E$344, str_Country, Levelisation!$C$7:$C$344, $A12)</f>
        <v>1673</v>
      </c>
      <c r="C12" s="134">
        <f>C$17*SUMIFS(Levelisation!G$7:G$344, Levelisation!$E$7:$E$344, str_Country, Levelisation!$C$7:$C$344, $A12)</f>
        <v>1932</v>
      </c>
      <c r="D12" s="134">
        <f>D$17*SUMIFS(Levelisation!H$7:H$344, Levelisation!$E$7:$E$344, str_Country, Levelisation!$C$7:$C$344, $A12)</f>
        <v>2644</v>
      </c>
      <c r="E12" s="134">
        <f>E$17*SUMIFS(Levelisation!I$7:I$344, Levelisation!$E$7:$E$344, str_Country, Levelisation!$C$7:$C$344, $A12)</f>
        <v>3126</v>
      </c>
      <c r="F12" s="134">
        <f>F$17*SUMIFS(Levelisation!J$7:J$344, Levelisation!$E$7:$E$344, str_Country, Levelisation!$C$7:$C$344, $A12)</f>
        <v>3613</v>
      </c>
      <c r="G12" s="134">
        <f>G$17*SUMIFS(Levelisation!K$7:K$344, Levelisation!$E$7:$E$344, str_Country, Levelisation!$C$7:$C$344, $A12)</f>
        <v>3989</v>
      </c>
      <c r="H12" s="135">
        <f>H$17*SUMIFS(Levelisation!L$7:L$344, Levelisation!$E$7:$E$344, str_Country, Levelisation!$C$7:$C$344, $A12)</f>
        <v>4247.8</v>
      </c>
      <c r="I12" s="99"/>
    </row>
    <row r="13" spans="1:34" ht="14.25" customHeight="1" x14ac:dyDescent="0.2">
      <c r="A13" s="211" t="s">
        <v>80</v>
      </c>
      <c r="B13" s="134">
        <f>B$17*SUMIFS(Levelisation!F$7:F$344, Levelisation!$E$7:$E$344, str_Country, Levelisation!$C$7:$C$344, $A13)</f>
        <v>0</v>
      </c>
      <c r="C13" s="134">
        <f>C$17*SUMIFS(Levelisation!G$7:G$344, Levelisation!$E$7:$E$344, str_Country, Levelisation!$C$7:$C$344, $A13)</f>
        <v>0</v>
      </c>
      <c r="D13" s="134">
        <f>D$17*SUMIFS(Levelisation!H$7:H$344, Levelisation!$E$7:$E$344, str_Country, Levelisation!$C$7:$C$344, $A13)</f>
        <v>0</v>
      </c>
      <c r="E13" s="134">
        <f>E$17*SUMIFS(Levelisation!I$7:I$344, Levelisation!$E$7:$E$344, str_Country, Levelisation!$C$7:$C$344, $A13)</f>
        <v>0</v>
      </c>
      <c r="F13" s="134">
        <f>F$17*SUMIFS(Levelisation!J$7:J$344, Levelisation!$E$7:$E$344, str_Country, Levelisation!$C$7:$C$344, $A13)</f>
        <v>1</v>
      </c>
      <c r="G13" s="134">
        <f>G$17*SUMIFS(Levelisation!K$7:K$344, Levelisation!$E$7:$E$344, str_Country, Levelisation!$C$7:$C$344, $A13)</f>
        <v>1.1000000000000001</v>
      </c>
      <c r="H13" s="135">
        <f>H$17*SUMIFS(Levelisation!L$7:L$344, Levelisation!$E$7:$E$344, str_Country, Levelisation!$C$7:$C$344, $A13)</f>
        <v>1.5</v>
      </c>
      <c r="I13" s="99"/>
    </row>
    <row r="14" spans="1:34" ht="14.25" customHeight="1" x14ac:dyDescent="0.2">
      <c r="A14" s="211" t="s">
        <v>101</v>
      </c>
      <c r="B14" s="134">
        <f>B$17*SUMIFS(Levelisation!F$7:F$344, Levelisation!$E$7:$E$344, str_Country, Levelisation!$C$7:$C$344, $A14)</f>
        <v>237</v>
      </c>
      <c r="C14" s="134">
        <f>C$17*SUMIFS(Levelisation!G$7:G$344, Levelisation!$E$7:$E$344, str_Country, Levelisation!$C$7:$C$344, $A14)</f>
        <v>247</v>
      </c>
      <c r="D14" s="134">
        <f>D$17*SUMIFS(Levelisation!H$7:H$344, Levelisation!$E$7:$E$344, str_Country, Levelisation!$C$7:$C$344, $A14)</f>
        <v>398</v>
      </c>
      <c r="E14" s="134">
        <f>E$17*SUMIFS(Levelisation!I$7:I$344, Levelisation!$E$7:$E$344, str_Country, Levelisation!$C$7:$C$344, $A14)</f>
        <v>602</v>
      </c>
      <c r="F14" s="134">
        <f>F$17*SUMIFS(Levelisation!J$7:J$344, Levelisation!$E$7:$E$344, str_Country, Levelisation!$C$7:$C$344, $A14)</f>
        <v>927</v>
      </c>
      <c r="G14" s="134">
        <f>G$17*SUMIFS(Levelisation!K$7:K$344, Levelisation!$E$7:$E$344, str_Country, Levelisation!$C$7:$C$344, $A14)</f>
        <v>1250</v>
      </c>
      <c r="H14" s="135">
        <f>H$17*SUMIFS(Levelisation!L$7:L$344, Levelisation!$E$7:$E$344, str_Country, Levelisation!$C$7:$C$344, $A14)</f>
        <v>1815.7</v>
      </c>
      <c r="I14" s="99"/>
    </row>
    <row r="15" spans="1:34" ht="14.25" customHeight="1" x14ac:dyDescent="0.2">
      <c r="A15" s="211" t="s">
        <v>1308</v>
      </c>
      <c r="B15" s="134">
        <f>B$17*(SUMIFS(Levelisation!F$7:F$344, Levelisation!$E$7:$E$344, str_Country, Levelisation!$C$7:$C$344, $A16)-SUM(B9:B14))</f>
        <v>91474.559999999998</v>
      </c>
      <c r="C15" s="134">
        <f>C$17*(SUMIFS(Levelisation!G$7:G$344, Levelisation!$E$7:$E$344, str_Country, Levelisation!$C$7:$C$344, $A16)-SUM(C9:C14))</f>
        <v>94536.200000000012</v>
      </c>
      <c r="D15" s="134">
        <f>D$17*(SUMIFS(Levelisation!H$7:H$344, Levelisation!$E$7:$E$344, str_Country, Levelisation!$C$7:$C$344, $A16)-SUM(D9:D14))</f>
        <v>95360.999999999985</v>
      </c>
      <c r="E15" s="134">
        <f>E$17*(SUMIFS(Levelisation!I$7:I$344, Levelisation!$E$7:$E$344, str_Country, Levelisation!$C$7:$C$344, $A16)-SUM(E9:E14))</f>
        <v>96696</v>
      </c>
      <c r="F15" s="134">
        <f>F$17*(SUMIFS(Levelisation!J$7:J$344, Levelisation!$E$7:$E$344, str_Country, Levelisation!$C$7:$C$344, $A16)-SUM(F9:F14))</f>
        <v>102083</v>
      </c>
      <c r="G15" s="134">
        <f>G$17*(SUMIFS(Levelisation!K$7:K$344, Levelisation!$E$7:$E$344, str_Country, Levelisation!$C$7:$C$344, $A16)-SUM(G9:G14))</f>
        <v>102269</v>
      </c>
      <c r="H15" s="135">
        <f>H$17*(SUMIFS(Levelisation!L$7:L$344, Levelisation!$E$7:$E$344, str_Country, Levelisation!$C$7:$C$344, $A16)-SUM(H9:H14))</f>
        <v>107563.79999999999</v>
      </c>
      <c r="I15" s="99"/>
    </row>
    <row r="16" spans="1:34" ht="14.25" customHeight="1" x14ac:dyDescent="0.2">
      <c r="A16" s="622" t="s">
        <v>1236</v>
      </c>
      <c r="B16" s="623">
        <f>SUMIFS(Levelisation!F$7:F$344, Levelisation!$E$7:$E$344, str_Country, Levelisation!$C$7:$C$344, $A16)</f>
        <v>96294</v>
      </c>
      <c r="C16" s="623">
        <f>SUMIFS(Levelisation!G$7:G$344, Levelisation!$E$7:$E$344, str_Country, Levelisation!$C$7:$C$344, $A16)</f>
        <v>100352.00000000001</v>
      </c>
      <c r="D16" s="623">
        <f>SUMIFS(Levelisation!H$7:H$344, Levelisation!$E$7:$E$344, str_Country, Levelisation!$C$7:$C$344, $A16)</f>
        <v>102948.99999999999</v>
      </c>
      <c r="E16" s="623">
        <f>SUMIFS(Levelisation!I$7:I$344, Levelisation!$E$7:$E$344, str_Country, Levelisation!$C$7:$C$344, $A16)</f>
        <v>105863</v>
      </c>
      <c r="F16" s="623">
        <f>SUMIFS(Levelisation!J$7:J$344, Levelisation!$E$7:$E$344, str_Country, Levelisation!$C$7:$C$344, $A16)</f>
        <v>113327</v>
      </c>
      <c r="G16" s="623">
        <f>SUMIFS(Levelisation!K$7:K$344, Levelisation!$E$7:$E$344, str_Country, Levelisation!$C$7:$C$344, $A16)</f>
        <v>116131.1</v>
      </c>
      <c r="H16" s="624">
        <f>SUMIFS(Levelisation!L$7:L$344, Levelisation!$E$7:$E$344, str_Country, Levelisation!$C$7:$C$344, $A16)</f>
        <v>123444.7</v>
      </c>
      <c r="I16" s="99"/>
    </row>
    <row r="17" spans="1:9" ht="14.25" customHeight="1" x14ac:dyDescent="0.2">
      <c r="A17" s="622" t="s">
        <v>1675</v>
      </c>
      <c r="B17" s="623">
        <f t="shared" ref="B17:C17" si="0">IF(A16=B16, 0, 1)</f>
        <v>1</v>
      </c>
      <c r="C17" s="623">
        <f t="shared" si="0"/>
        <v>1</v>
      </c>
      <c r="D17" s="623">
        <f t="shared" ref="D17" si="1">IF(C16=D16, 0, 1)</f>
        <v>1</v>
      </c>
      <c r="E17" s="623">
        <f t="shared" ref="E17" si="2">IF(D16=E16, 0, 1)</f>
        <v>1</v>
      </c>
      <c r="F17" s="623">
        <f t="shared" ref="F17" si="3">IF(E16=F16, 0, 1)</f>
        <v>1</v>
      </c>
      <c r="G17" s="623">
        <f t="shared" ref="G17" si="4">IF(F16=G16, 0, 1)</f>
        <v>1</v>
      </c>
      <c r="H17" s="624">
        <f t="shared" ref="H17" si="5">IF(G16=H16, 0, 1)</f>
        <v>1</v>
      </c>
      <c r="I17" s="99"/>
    </row>
    <row r="18" spans="1:9" ht="14.25" customHeight="1" x14ac:dyDescent="0.2">
      <c r="A18" s="625" t="s">
        <v>1527</v>
      </c>
      <c r="B18" s="315">
        <v>2006</v>
      </c>
      <c r="C18" s="315">
        <v>2007</v>
      </c>
      <c r="D18" s="315">
        <v>2008</v>
      </c>
      <c r="E18" s="315">
        <v>2009</v>
      </c>
      <c r="F18" s="315">
        <v>2010</v>
      </c>
      <c r="G18" s="315">
        <v>2011</v>
      </c>
      <c r="H18" s="316">
        <v>2012</v>
      </c>
      <c r="I18" s="99"/>
    </row>
    <row r="19" spans="1:9" ht="14.25" customHeight="1" x14ac:dyDescent="0.2">
      <c r="A19" s="210" t="s">
        <v>114</v>
      </c>
      <c r="B19" s="136">
        <f>B$27*SUMIFS(Levelisation!F$346:F$683, Levelisation!$E$346:$E$683, str_Country, Levelisation!$C$346:$C$683, $A19)</f>
        <v>18687</v>
      </c>
      <c r="C19" s="136">
        <f>C$27*SUMIFS(Levelisation!G$346:G$683, Levelisation!$E$346:$E$683, str_Country, Levelisation!$C$346:$C$683, $A19)</f>
        <v>21675</v>
      </c>
      <c r="D19" s="136">
        <f>D$27*SUMIFS(Levelisation!H$346:H$683, Levelisation!$E$346:$E$683, str_Country, Levelisation!$C$346:$C$683, $A19)</f>
        <v>23339</v>
      </c>
      <c r="E19" s="136">
        <f>E$27*SUMIFS(Levelisation!I$346:I$683, Levelisation!$E$346:$E$683, str_Country, Levelisation!$C$346:$C$683, $A19)</f>
        <v>24447</v>
      </c>
      <c r="F19" s="136">
        <f>F$27*SUMIFS(Levelisation!J$346:J$683, Levelisation!$E$346:$E$683, str_Country, Levelisation!$C$346:$C$683, $A19)</f>
        <v>34880</v>
      </c>
      <c r="G19" s="136">
        <f>G$27*SUMIFS(Levelisation!K$346:K$683, Levelisation!$E$346:$E$683, str_Country, Levelisation!$C$346:$C$683, $A19)</f>
        <v>37223</v>
      </c>
      <c r="H19" s="137">
        <f>H$27*SUMIFS(Levelisation!L$346:L$683, Levelisation!$E$346:$E$683, str_Country, Levelisation!$C$346:$C$683, $A19)</f>
        <v>0</v>
      </c>
      <c r="I19" s="99"/>
    </row>
    <row r="20" spans="1:9" ht="14.25" customHeight="1" x14ac:dyDescent="0.2">
      <c r="A20" s="211" t="s">
        <v>157</v>
      </c>
      <c r="B20" s="132">
        <f>B$27*SUMIFS(Levelisation!F$346:F$683, Levelisation!$E$346:$E$683, str_Country, Levelisation!$C$346:$C$683, $A20)</f>
        <v>0</v>
      </c>
      <c r="C20" s="132">
        <f>C$27*SUMIFS(Levelisation!G$346:G$683, Levelisation!$E$346:$E$683, str_Country, Levelisation!$C$346:$C$683, $A20)</f>
        <v>0</v>
      </c>
      <c r="D20" s="132">
        <f>D$27*SUMIFS(Levelisation!H$346:H$683, Levelisation!$E$346:$E$683, str_Country, Levelisation!$C$346:$C$683, $A20)</f>
        <v>0</v>
      </c>
      <c r="E20" s="132">
        <f>E$27*SUMIFS(Levelisation!I$346:I$683, Levelisation!$E$346:$E$683, str_Country, Levelisation!$C$346:$C$683, $A20)</f>
        <v>0</v>
      </c>
      <c r="F20" s="132">
        <f>F$27*SUMIFS(Levelisation!J$346:J$683, Levelisation!$E$346:$E$683, str_Country, Levelisation!$C$346:$C$683, $A20)</f>
        <v>0</v>
      </c>
      <c r="G20" s="132">
        <f>G$27*SUMIFS(Levelisation!K$346:K$683, Levelisation!$E$346:$E$683, str_Country, Levelisation!$C$346:$C$683, $A20)</f>
        <v>0</v>
      </c>
      <c r="H20" s="133">
        <f>H$27*SUMIFS(Levelisation!L$346:L$683, Levelisation!$E$346:$E$683, str_Country, Levelisation!$C$346:$C$683, $A20)</f>
        <v>0</v>
      </c>
      <c r="I20" s="99"/>
    </row>
    <row r="21" spans="1:9" ht="14.25" customHeight="1" x14ac:dyDescent="0.2">
      <c r="A21" s="211" t="s">
        <v>944</v>
      </c>
      <c r="B21" s="132">
        <f>B$27*SUMIFS(Levelisation!F$346:F$683, Levelisation!$E$346:$E$683, str_Country, Levelisation!$C$346:$C$683, $A21)</f>
        <v>0</v>
      </c>
      <c r="C21" s="132">
        <f>C$27*SUMIFS(Levelisation!G$346:G$683, Levelisation!$E$346:$E$683, str_Country, Levelisation!$C$346:$C$683, $A21)</f>
        <v>0</v>
      </c>
      <c r="D21" s="132">
        <f>D$27*SUMIFS(Levelisation!H$346:H$683, Levelisation!$E$346:$E$683, str_Country, Levelisation!$C$346:$C$683, $A21)</f>
        <v>0</v>
      </c>
      <c r="E21" s="132">
        <f>E$27*SUMIFS(Levelisation!I$346:I$683, Levelisation!$E$346:$E$683, str_Country, Levelisation!$C$346:$C$683, $A21)</f>
        <v>0</v>
      </c>
      <c r="F21" s="132">
        <f>F$27*SUMIFS(Levelisation!J$346:J$683, Levelisation!$E$346:$E$683, str_Country, Levelisation!$C$346:$C$683, $A21)</f>
        <v>0</v>
      </c>
      <c r="G21" s="132">
        <f>G$27*SUMIFS(Levelisation!K$346:K$683, Levelisation!$E$346:$E$683, str_Country, Levelisation!$C$346:$C$683, $A21)</f>
        <v>0</v>
      </c>
      <c r="H21" s="133">
        <f>H$27*SUMIFS(Levelisation!L$346:L$683, Levelisation!$E$346:$E$683, str_Country, Levelisation!$C$346:$C$683, $A21)</f>
        <v>0</v>
      </c>
      <c r="I21" s="99"/>
    </row>
    <row r="22" spans="1:9" ht="14.25" customHeight="1" x14ac:dyDescent="0.2">
      <c r="A22" s="211" t="s">
        <v>125</v>
      </c>
      <c r="B22" s="132">
        <f>B$27*SUMIFS(Levelisation!F$346:F$683, Levelisation!$E$346:$E$683, str_Country, Levelisation!$C$346:$C$683, $A22)</f>
        <v>7327.74</v>
      </c>
      <c r="C22" s="132">
        <f>C$27*SUMIFS(Levelisation!G$346:G$683, Levelisation!$E$346:$E$683, str_Country, Levelisation!$C$346:$C$683, $A22)</f>
        <v>8462.16</v>
      </c>
      <c r="D22" s="132">
        <f>D$27*SUMIFS(Levelisation!H$346:H$683, Levelisation!$E$346:$E$683, str_Country, Levelisation!$C$346:$C$683, $A22)</f>
        <v>11580.72</v>
      </c>
      <c r="E22" s="132">
        <f>E$27*SUMIFS(Levelisation!I$346:I$683, Levelisation!$E$346:$E$683, str_Country, Levelisation!$C$346:$C$683, $A22)</f>
        <v>13691.88</v>
      </c>
      <c r="F22" s="132">
        <f>F$27*SUMIFS(Levelisation!J$346:J$683, Levelisation!$E$346:$E$683, str_Country, Levelisation!$C$346:$C$683, $A22)</f>
        <v>15824.94</v>
      </c>
      <c r="G22" s="132">
        <f>G$27*SUMIFS(Levelisation!K$346:K$683, Levelisation!$E$346:$E$683, str_Country, Levelisation!$C$346:$C$683, $A22)</f>
        <v>17471.82</v>
      </c>
      <c r="H22" s="133">
        <f>H$27*SUMIFS(Levelisation!L$346:L$683, Levelisation!$E$346:$E$683, str_Country, Levelisation!$C$346:$C$683, $A22)</f>
        <v>0</v>
      </c>
      <c r="I22" s="99"/>
    </row>
    <row r="23" spans="1:9" ht="14.25" customHeight="1" x14ac:dyDescent="0.2">
      <c r="A23" s="211" t="s">
        <v>80</v>
      </c>
      <c r="B23" s="132">
        <f>B$27*SUMIFS(Levelisation!F$346:F$683, Levelisation!$E$346:$E$683, str_Country, Levelisation!$C$346:$C$683, $A23)</f>
        <v>0</v>
      </c>
      <c r="C23" s="132">
        <f>C$27*SUMIFS(Levelisation!G$346:G$683, Levelisation!$E$346:$E$683, str_Country, Levelisation!$C$346:$C$683, $A23)</f>
        <v>0</v>
      </c>
      <c r="D23" s="132">
        <f>D$27*SUMIFS(Levelisation!H$346:H$683, Levelisation!$E$346:$E$683, str_Country, Levelisation!$C$346:$C$683, $A23)</f>
        <v>0</v>
      </c>
      <c r="E23" s="132">
        <f>E$27*SUMIFS(Levelisation!I$346:I$683, Levelisation!$E$346:$E$683, str_Country, Levelisation!$C$346:$C$683, $A23)</f>
        <v>0</v>
      </c>
      <c r="F23" s="132">
        <f>F$27*SUMIFS(Levelisation!J$346:J$683, Levelisation!$E$346:$E$683, str_Country, Levelisation!$C$346:$C$683, $A23)</f>
        <v>0</v>
      </c>
      <c r="G23" s="132">
        <f>G$27*SUMIFS(Levelisation!K$346:K$683, Levelisation!$E$346:$E$683, str_Country, Levelisation!$C$346:$C$683, $A23)</f>
        <v>0</v>
      </c>
      <c r="H23" s="133">
        <f>H$27*SUMIFS(Levelisation!L$346:L$683, Levelisation!$E$346:$E$683, str_Country, Levelisation!$C$346:$C$683, $A23)</f>
        <v>0</v>
      </c>
      <c r="I23" s="99"/>
    </row>
    <row r="24" spans="1:9" ht="14.25" customHeight="1" x14ac:dyDescent="0.2">
      <c r="A24" s="211" t="s">
        <v>101</v>
      </c>
      <c r="B24" s="132">
        <f>B$27*SUMIFS(Levelisation!F$346:F$683, Levelisation!$E$346:$E$683, str_Country, Levelisation!$C$346:$C$683, $A24)</f>
        <v>237</v>
      </c>
      <c r="C24" s="132">
        <f>C$27*SUMIFS(Levelisation!G$346:G$683, Levelisation!$E$346:$E$683, str_Country, Levelisation!$C$346:$C$683, $A24)</f>
        <v>559</v>
      </c>
      <c r="D24" s="132">
        <f>D$27*SUMIFS(Levelisation!H$346:H$683, Levelisation!$E$346:$E$683, str_Country, Levelisation!$C$346:$C$683, $A24)</f>
        <v>1183</v>
      </c>
      <c r="E24" s="132">
        <f>E$27*SUMIFS(Levelisation!I$346:I$683, Levelisation!$E$346:$E$683, str_Country, Levelisation!$C$346:$C$683, $A24)</f>
        <v>1446</v>
      </c>
      <c r="F24" s="132">
        <f>F$27*SUMIFS(Levelisation!J$346:J$683, Levelisation!$E$346:$E$683, str_Country, Levelisation!$C$346:$C$683, $A24)</f>
        <v>2248</v>
      </c>
      <c r="G24" s="132">
        <f>G$27*SUMIFS(Levelisation!K$346:K$683, Levelisation!$E$346:$E$683, str_Country, Levelisation!$C$346:$C$683, $A24)</f>
        <v>2705</v>
      </c>
      <c r="H24" s="133">
        <f>H$27*SUMIFS(Levelisation!L$346:L$683, Levelisation!$E$346:$E$683, str_Country, Levelisation!$C$346:$C$683, $A24)</f>
        <v>0</v>
      </c>
      <c r="I24" s="99"/>
    </row>
    <row r="25" spans="1:9" ht="14.25" customHeight="1" x14ac:dyDescent="0.2">
      <c r="A25" s="211" t="s">
        <v>1308</v>
      </c>
      <c r="B25" s="132">
        <f>B$27*(SUMIFS(Levelisation!F$346:F$683, Levelisation!$E$346:$E$683, str_Country, Levelisation!$C$346:$C$683, $A26)-SUM(B19:B24))</f>
        <v>402068</v>
      </c>
      <c r="C25" s="132">
        <f>C$27*(SUMIFS(Levelisation!G$346:G$683, Levelisation!$E$346:$E$683, str_Country, Levelisation!$C$346:$C$683, $A26)-SUM(C19:C24))</f>
        <v>424222</v>
      </c>
      <c r="D25" s="132">
        <f>D$27*(SUMIFS(Levelisation!H$346:H$683, Levelisation!$E$346:$E$683, str_Country, Levelisation!$C$346:$C$683, $A26)-SUM(D19:D24))</f>
        <v>440408</v>
      </c>
      <c r="E25" s="132">
        <f>E$27*(SUMIFS(Levelisation!I$346:I$683, Levelisation!$E$346:$E$683, str_Country, Levelisation!$C$346:$C$683, $A26)-SUM(E19:E24))</f>
        <v>439017</v>
      </c>
      <c r="F25" s="132">
        <f>F$27*(SUMIFS(Levelisation!J$346:J$683, Levelisation!$E$346:$E$683, str_Country, Levelisation!$C$346:$C$683, $A26)-SUM(F19:F24))</f>
        <v>478607.99999999994</v>
      </c>
      <c r="G25" s="132">
        <f>G$27*(SUMIFS(Levelisation!K$346:K$683, Levelisation!$E$346:$E$683, str_Country, Levelisation!$C$346:$C$683, $A26)-SUM(G19:G24))</f>
        <v>491831.00000000006</v>
      </c>
      <c r="H25" s="133">
        <f>H$27*(SUMIFS(Levelisation!L$346:L$683, Levelisation!$E$346:$E$683, str_Country, Levelisation!$C$346:$C$683, $A26)-SUM(H19:H24))</f>
        <v>0</v>
      </c>
      <c r="I25" s="99"/>
    </row>
    <row r="26" spans="1:9" ht="14.25" customHeight="1" x14ac:dyDescent="0.2">
      <c r="A26" s="622" t="s">
        <v>1236</v>
      </c>
      <c r="B26" s="623">
        <f>SUMIFS(Levelisation!F$346:F$683, Levelisation!$E$346:$E$683, str_Country, Levelisation!$C$346:$C$683, $A26)</f>
        <v>428319.74</v>
      </c>
      <c r="C26" s="623">
        <f>SUMIFS(Levelisation!G$346:G$683, Levelisation!$E$346:$E$683, str_Country, Levelisation!$C$346:$C$683, $A26)</f>
        <v>454918.16</v>
      </c>
      <c r="D26" s="623">
        <f>SUMIFS(Levelisation!H$346:H$683, Levelisation!$E$346:$E$683, str_Country, Levelisation!$C$346:$C$683, $A26)</f>
        <v>476510.71999999997</v>
      </c>
      <c r="E26" s="623">
        <f>SUMIFS(Levelisation!I$346:I$683, Levelisation!$E$346:$E$683, str_Country, Levelisation!$C$346:$C$683, $A26)</f>
        <v>478601.88</v>
      </c>
      <c r="F26" s="623">
        <f>SUMIFS(Levelisation!J$346:J$683, Levelisation!$E$346:$E$683, str_Country, Levelisation!$C$346:$C$683, $A26)</f>
        <v>531560.93999999994</v>
      </c>
      <c r="G26" s="623">
        <f>SUMIFS(Levelisation!K$346:K$683, Levelisation!$E$346:$E$683, str_Country, Levelisation!$C$346:$C$683, $A26)</f>
        <v>549230.82000000007</v>
      </c>
      <c r="H26" s="624">
        <f>SUMIFS(Levelisation!L$346:L$683, Levelisation!$E$346:$E$683, str_Country, Levelisation!$C$346:$C$683, $A26)</f>
        <v>549230.82000000007</v>
      </c>
      <c r="I26" s="99"/>
    </row>
    <row r="27" spans="1:9" ht="14.25" customHeight="1" x14ac:dyDescent="0.2">
      <c r="A27" s="622" t="s">
        <v>1675</v>
      </c>
      <c r="B27" s="626">
        <f t="shared" ref="B27:C27" si="6">IF(A26=B26, 0, 1)</f>
        <v>1</v>
      </c>
      <c r="C27" s="626">
        <f t="shared" si="6"/>
        <v>1</v>
      </c>
      <c r="D27" s="626">
        <f>IF(C26=D26, 0, 1)</f>
        <v>1</v>
      </c>
      <c r="E27" s="626">
        <f t="shared" ref="E27:F27" si="7">IF(D26=E26, 0, 1)</f>
        <v>1</v>
      </c>
      <c r="F27" s="626">
        <f t="shared" si="7"/>
        <v>1</v>
      </c>
      <c r="G27" s="626">
        <f t="shared" ref="G27" si="8">IF(F26=G26, 0, 1)</f>
        <v>1</v>
      </c>
      <c r="H27" s="627">
        <f t="shared" ref="H27" si="9">IF(G26=H26, 0, 1)</f>
        <v>0</v>
      </c>
      <c r="I27" s="99"/>
    </row>
    <row r="28" spans="1:9" ht="14.25" customHeight="1" x14ac:dyDescent="0.2">
      <c r="A28" s="625" t="s">
        <v>1547</v>
      </c>
      <c r="B28" s="315">
        <v>2006</v>
      </c>
      <c r="C28" s="315">
        <v>2007</v>
      </c>
      <c r="D28" s="315">
        <v>2008</v>
      </c>
      <c r="E28" s="315">
        <v>2009</v>
      </c>
      <c r="F28" s="315">
        <v>2010</v>
      </c>
      <c r="G28" s="315">
        <v>2011</v>
      </c>
      <c r="H28" s="316">
        <v>2012</v>
      </c>
      <c r="I28" s="99"/>
    </row>
    <row r="29" spans="1:9" ht="14.25" customHeight="1" x14ac:dyDescent="0.2">
      <c r="A29" s="210" t="s">
        <v>96</v>
      </c>
      <c r="B29" s="635">
        <f>SUM($B39:B39)</f>
        <v>2811.4729134164149</v>
      </c>
      <c r="C29" s="635">
        <f>SUM($B39:C39)</f>
        <v>11790.503772842683</v>
      </c>
      <c r="D29" s="635">
        <f>SUM($B39:D39)</f>
        <v>21712.572606652429</v>
      </c>
      <c r="E29" s="635">
        <f>SUM($B39:E39)</f>
        <v>29185.361365193145</v>
      </c>
      <c r="F29" s="635">
        <f>SUM($B39:F39)</f>
        <v>36666.316274522833</v>
      </c>
      <c r="G29" s="635">
        <f>SUM($B39:G39)</f>
        <v>40628.441554286575</v>
      </c>
      <c r="H29" s="636">
        <f>SUM($B39:H39)</f>
        <v>41364.043438202418</v>
      </c>
      <c r="I29" s="99"/>
    </row>
    <row r="30" spans="1:9" ht="14.25" customHeight="1" x14ac:dyDescent="0.2">
      <c r="A30" s="211" t="s">
        <v>114</v>
      </c>
      <c r="B30" s="637">
        <f>SUM($B40:B40)</f>
        <v>508.96111191661589</v>
      </c>
      <c r="C30" s="637">
        <f>SUM($B40:C40)</f>
        <v>1053.5502265354171</v>
      </c>
      <c r="D30" s="637">
        <f>SUM($B40:D40)</f>
        <v>2922.1363527430212</v>
      </c>
      <c r="E30" s="637">
        <f>SUM($B40:E40)</f>
        <v>3769.0849535823345</v>
      </c>
      <c r="F30" s="637">
        <f>SUM($B40:F40)</f>
        <v>4754.9124397410287</v>
      </c>
      <c r="G30" s="637">
        <f>SUM($B40:G40)</f>
        <v>5440.2277919251101</v>
      </c>
      <c r="H30" s="638">
        <f>SUM($B40:H40)</f>
        <v>6170.0834967032097</v>
      </c>
      <c r="I30" s="99"/>
    </row>
    <row r="31" spans="1:9" ht="14.25" customHeight="1" x14ac:dyDescent="0.2">
      <c r="A31" s="211" t="s">
        <v>157</v>
      </c>
      <c r="B31" s="637">
        <f>SUM($B41:B41)</f>
        <v>0</v>
      </c>
      <c r="C31" s="637">
        <f>SUM($B41:C41)</f>
        <v>0</v>
      </c>
      <c r="D31" s="637">
        <f>SUM($B41:D41)</f>
        <v>0</v>
      </c>
      <c r="E31" s="637">
        <f>SUM($B41:E41)</f>
        <v>0</v>
      </c>
      <c r="F31" s="637">
        <f>SUM($B41:F41)</f>
        <v>0</v>
      </c>
      <c r="G31" s="637">
        <f>SUM($B41:G41)</f>
        <v>0</v>
      </c>
      <c r="H31" s="638">
        <f>SUM($B41:H41)</f>
        <v>0</v>
      </c>
      <c r="I31" s="99"/>
    </row>
    <row r="32" spans="1:9" ht="14.25" customHeight="1" x14ac:dyDescent="0.2">
      <c r="A32" s="211" t="s">
        <v>125</v>
      </c>
      <c r="B32" s="637">
        <f>SUM($B42:B42)</f>
        <v>1521.6440249349203</v>
      </c>
      <c r="C32" s="637">
        <f>SUM($B42:C42)</f>
        <v>3754.8942144101165</v>
      </c>
      <c r="D32" s="637">
        <f>SUM($B42:D42)</f>
        <v>6194.4770260277037</v>
      </c>
      <c r="E32" s="637">
        <f>SUM($B42:E42)</f>
        <v>7498.362590740825</v>
      </c>
      <c r="F32" s="637">
        <f>SUM($B42:F42)</f>
        <v>8772.0259775076738</v>
      </c>
      <c r="G32" s="637">
        <f>SUM($B42:G42)</f>
        <v>10375.328939577541</v>
      </c>
      <c r="H32" s="638">
        <f>SUM($B42:H42)</f>
        <v>11500.052727018847</v>
      </c>
      <c r="I32" s="99"/>
    </row>
    <row r="33" spans="1:18" ht="14.25" customHeight="1" x14ac:dyDescent="0.2">
      <c r="A33" s="211" t="s">
        <v>80</v>
      </c>
      <c r="B33" s="637">
        <f>SUM($B43:B43)</f>
        <v>0</v>
      </c>
      <c r="C33" s="637">
        <f>SUM($B43:C43)</f>
        <v>0</v>
      </c>
      <c r="D33" s="637">
        <f>SUM($B43:D43)</f>
        <v>0</v>
      </c>
      <c r="E33" s="637">
        <f>SUM($B43:E43)</f>
        <v>0</v>
      </c>
      <c r="F33" s="637">
        <f>SUM($B43:F43)</f>
        <v>5.8354339941330524</v>
      </c>
      <c r="G33" s="637">
        <f>SUM($B43:G43)</f>
        <v>34.732896524300507</v>
      </c>
      <c r="H33" s="638">
        <f>SUM($B43:H43)</f>
        <v>90.168461116037605</v>
      </c>
      <c r="I33" s="99"/>
    </row>
    <row r="34" spans="1:18" ht="14.25" customHeight="1" x14ac:dyDescent="0.2">
      <c r="A34" s="211" t="s">
        <v>101</v>
      </c>
      <c r="B34" s="639">
        <f>SUM($B44:B44)</f>
        <v>167.09646364491337</v>
      </c>
      <c r="C34" s="639">
        <f>SUM($B44:C44)</f>
        <v>1236.2324642605165</v>
      </c>
      <c r="D34" s="639">
        <f>SUM($B44:D44)</f>
        <v>2259.2150415657093</v>
      </c>
      <c r="E34" s="639">
        <f>SUM($B44:E44)</f>
        <v>4399.4552989934637</v>
      </c>
      <c r="F34" s="639">
        <f>SUM($B44:F44)</f>
        <v>8203.151230547177</v>
      </c>
      <c r="G34" s="639">
        <f>SUM($B44:G44)</f>
        <v>16396.686113998003</v>
      </c>
      <c r="H34" s="640">
        <f>SUM($B44:H44)</f>
        <v>22937.484673358962</v>
      </c>
      <c r="I34" s="99"/>
    </row>
    <row r="35" spans="1:18" ht="14.25" customHeight="1" x14ac:dyDescent="0.2">
      <c r="A35" s="211" t="s">
        <v>1529</v>
      </c>
      <c r="B35" s="639">
        <f>SUM($B45:B45)</f>
        <v>8.4274459999999998</v>
      </c>
      <c r="C35" s="639">
        <f>SUM($B45:C45)</f>
        <v>8.4274459999999998</v>
      </c>
      <c r="D35" s="639">
        <f>SUM($B45:D45)</f>
        <v>113.7962712554733</v>
      </c>
      <c r="E35" s="639">
        <f>SUM($B45:E45)</f>
        <v>113.7962712554733</v>
      </c>
      <c r="F35" s="639">
        <f>SUM($B45:F45)</f>
        <v>127.44701863460598</v>
      </c>
      <c r="G35" s="639">
        <f>SUM($B45:G45)</f>
        <v>127.44701863460598</v>
      </c>
      <c r="H35" s="640">
        <f>SUM($B45:H45)</f>
        <v>148.90639286286338</v>
      </c>
      <c r="I35" s="99"/>
    </row>
    <row r="36" spans="1:18" ht="14.25" customHeight="1" x14ac:dyDescent="0.2">
      <c r="A36" s="211" t="s">
        <v>1650</v>
      </c>
      <c r="B36" s="639">
        <f>SUM($B46:B46)</f>
        <v>0</v>
      </c>
      <c r="C36" s="639">
        <f>SUM($B46:C46)</f>
        <v>0</v>
      </c>
      <c r="D36" s="639">
        <f>SUM($B46:D46)</f>
        <v>0</v>
      </c>
      <c r="E36" s="639">
        <f>SUM($B46:E46)</f>
        <v>0</v>
      </c>
      <c r="F36" s="639">
        <f>SUM($B46:F46)</f>
        <v>0</v>
      </c>
      <c r="G36" s="639">
        <f>SUM($B46:G46)</f>
        <v>0.02</v>
      </c>
      <c r="H36" s="640">
        <f>SUM($B46:H46)</f>
        <v>0.04</v>
      </c>
      <c r="I36" s="99"/>
    </row>
    <row r="37" spans="1:18" ht="14.25" customHeight="1" x14ac:dyDescent="0.2">
      <c r="A37" s="622" t="s">
        <v>1651</v>
      </c>
      <c r="B37" s="641">
        <f>IF(SUM(A29:A36)=SUM(B29:B36), "", SUM(B29:B36))</f>
        <v>5017.6019599128649</v>
      </c>
      <c r="C37" s="641">
        <f t="shared" ref="C37" si="10">IF(SUM(B29:B36)=SUM(C29:C36), "", SUM(C29:C36))</f>
        <v>17843.608124048733</v>
      </c>
      <c r="D37" s="641">
        <f t="shared" ref="D37" si="11">IF(SUM(C29:C36)=SUM(D29:D36), "", SUM(D29:D36))</f>
        <v>33202.19729824434</v>
      </c>
      <c r="E37" s="641">
        <f t="shared" ref="E37" si="12">IF(SUM(D29:D36)=SUM(E29:E36), "", SUM(E29:E36))</f>
        <v>44966.060479765249</v>
      </c>
      <c r="F37" s="641">
        <f t="shared" ref="F37" si="13">IF(SUM(E29:E36)=SUM(F29:F36), "", SUM(F29:F36))</f>
        <v>58529.688374947458</v>
      </c>
      <c r="G37" s="641">
        <f t="shared" ref="G37" si="14">IF(SUM(F29:F36)=SUM(G29:G36), "", SUM(G29:G36))</f>
        <v>73002.884314946132</v>
      </c>
      <c r="H37" s="642">
        <f t="shared" ref="H37" si="15">IF(SUM(G29:G36)=SUM(H29:H36), "", SUM(H29:H36))</f>
        <v>82210.779189262321</v>
      </c>
      <c r="I37" s="942"/>
    </row>
    <row r="38" spans="1:18" ht="14.25" customHeight="1" x14ac:dyDescent="0.2">
      <c r="A38" s="628" t="s">
        <v>1546</v>
      </c>
      <c r="B38" s="629">
        <v>2006</v>
      </c>
      <c r="C38" s="629">
        <v>2007</v>
      </c>
      <c r="D38" s="629">
        <v>2008</v>
      </c>
      <c r="E38" s="629">
        <v>2009</v>
      </c>
      <c r="F38" s="629">
        <v>2010</v>
      </c>
      <c r="G38" s="629">
        <v>2011</v>
      </c>
      <c r="H38" s="630">
        <v>2012</v>
      </c>
      <c r="I38" s="99"/>
    </row>
    <row r="39" spans="1:18" ht="14.25" customHeight="1" x14ac:dyDescent="0.2">
      <c r="A39" s="212" t="s">
        <v>96</v>
      </c>
      <c r="B39" s="643">
        <f>SUMIFS(Investment!$H$6:$H$1303, Investment!$E$6:$E$1303, IF(str_Country="All", "&lt;&gt;0", str_Country),  Investment!$F$6:$F$1303, $A39, Investment!$G$6:$G$1303, IF(str_OptionInvType="All", "&lt;&gt;0", str_OptionInvType), Investment!$A$6:$A$1303, B$38)</f>
        <v>2811.4729134164149</v>
      </c>
      <c r="C39" s="643">
        <f>SUMIFS(Investment!$H$6:$H$1303, Investment!$E$6:$E$1303, IF(str_Country="All", "&lt;&gt;0", str_Country),  Investment!$F$6:$F$1303, $A39, Investment!$G$6:$G$1303, IF(str_OptionInvType="All", "&lt;&gt;0", str_OptionInvType), Investment!$A$6:$A$1303, C$38)</f>
        <v>8979.0308594262679</v>
      </c>
      <c r="D39" s="643">
        <f>SUMIFS(Investment!$H$6:$H$1303, Investment!$E$6:$E$1303, IF(str_Country="All", "&lt;&gt;0", str_Country),  Investment!$F$6:$F$1303, $A39, Investment!$G$6:$G$1303, IF(str_OptionInvType="All", "&lt;&gt;0", str_OptionInvType), Investment!$A$6:$A$1303, D$38)</f>
        <v>9922.0688338097461</v>
      </c>
      <c r="E39" s="643">
        <f>SUMIFS(Investment!$H$6:$H$1303, Investment!$E$6:$E$1303, IF(str_Country="All", "&lt;&gt;0", str_Country),  Investment!$F$6:$F$1303, $A39, Investment!$G$6:$G$1303, IF(str_OptionInvType="All", "&lt;&gt;0", str_OptionInvType), Investment!$A$6:$A$1303, E$38)</f>
        <v>7472.7887585407152</v>
      </c>
      <c r="F39" s="643">
        <f>SUMIFS(Investment!$H$6:$H$1303, Investment!$E$6:$E$1303, IF(str_Country="All", "&lt;&gt;0", str_Country),  Investment!$F$6:$F$1303, $A39, Investment!$G$6:$G$1303, IF(str_OptionInvType="All", "&lt;&gt;0", str_OptionInvType), Investment!$A$6:$A$1303, F$38)</f>
        <v>7480.9549093296882</v>
      </c>
      <c r="G39" s="643">
        <f>SUMIFS(Investment!$H$6:$H$1303, Investment!$E$6:$E$1303, IF(str_Country="All", "&lt;&gt;0", str_Country),  Investment!$F$6:$F$1303, $A39, Investment!$G$6:$G$1303, IF(str_OptionInvType="All", "&lt;&gt;0", str_OptionInvType), Investment!$A$6:$A$1303, G$38)</f>
        <v>3962.1252797637444</v>
      </c>
      <c r="H39" s="644">
        <f>SUMIFS(Investment!$H$6:$H$1303, Investment!$E$6:$E$1303, IF(str_Country="All", "&lt;&gt;0", str_Country),  Investment!$F$6:$F$1303, $A39, Investment!$G$6:$G$1303, IF(str_OptionInvType="All", "&lt;&gt;0", str_OptionInvType), Investment!$A$6:$A$1303, H$38)</f>
        <v>735.60188391584143</v>
      </c>
      <c r="I39" s="99"/>
    </row>
    <row r="40" spans="1:18" ht="14.25" customHeight="1" x14ac:dyDescent="0.2">
      <c r="A40" s="212" t="s">
        <v>114</v>
      </c>
      <c r="B40" s="643">
        <f>SUMIFS(Investment!$H$6:$H$1303, Investment!$E$6:$E$1303, IF(str_Country="All", "&lt;&gt;0", str_Country),  Investment!$F$6:$F$1303, $A40, Investment!$G$6:$G$1303, IF(str_OptionInvType="All", "&lt;&gt;0", str_OptionInvType), Investment!$A$6:$A$1303, B$38)</f>
        <v>508.96111191661589</v>
      </c>
      <c r="C40" s="643">
        <f>SUMIFS(Investment!$H$6:$H$1303, Investment!$E$6:$E$1303, IF(str_Country="All", "&lt;&gt;0", str_Country),  Investment!$F$6:$F$1303, $A40, Investment!$G$6:$G$1303, IF(str_OptionInvType="All", "&lt;&gt;0", str_OptionInvType), Investment!$A$6:$A$1303, C$38)</f>
        <v>544.58911461880132</v>
      </c>
      <c r="D40" s="643">
        <f>SUMIFS(Investment!$H$6:$H$1303, Investment!$E$6:$E$1303, IF(str_Country="All", "&lt;&gt;0", str_Country),  Investment!$F$6:$F$1303, $A40, Investment!$G$6:$G$1303, IF(str_OptionInvType="All", "&lt;&gt;0", str_OptionInvType), Investment!$A$6:$A$1303, D$38)</f>
        <v>1868.5861262076044</v>
      </c>
      <c r="E40" s="643">
        <f>SUMIFS(Investment!$H$6:$H$1303, Investment!$E$6:$E$1303, IF(str_Country="All", "&lt;&gt;0", str_Country),  Investment!$F$6:$F$1303, $A40, Investment!$G$6:$G$1303, IF(str_OptionInvType="All", "&lt;&gt;0", str_OptionInvType), Investment!$A$6:$A$1303, E$38)</f>
        <v>846.94860083931326</v>
      </c>
      <c r="F40" s="643">
        <f>SUMIFS(Investment!$H$6:$H$1303, Investment!$E$6:$E$1303, IF(str_Country="All", "&lt;&gt;0", str_Country),  Investment!$F$6:$F$1303, $A40, Investment!$G$6:$G$1303, IF(str_OptionInvType="All", "&lt;&gt;0", str_OptionInvType), Investment!$A$6:$A$1303, F$38)</f>
        <v>985.82748615869377</v>
      </c>
      <c r="G40" s="643">
        <f>SUMIFS(Investment!$H$6:$H$1303, Investment!$E$6:$E$1303, IF(str_Country="All", "&lt;&gt;0", str_Country),  Investment!$F$6:$F$1303, $A40, Investment!$G$6:$G$1303, IF(str_OptionInvType="All", "&lt;&gt;0", str_OptionInvType), Investment!$A$6:$A$1303, G$38)</f>
        <v>685.31535218408146</v>
      </c>
      <c r="H40" s="644">
        <f>SUMIFS(Investment!$H$6:$H$1303, Investment!$E$6:$E$1303, IF(str_Country="All", "&lt;&gt;0", str_Country),  Investment!$F$6:$F$1303, $A40, Investment!$G$6:$G$1303, IF(str_OptionInvType="All", "&lt;&gt;0", str_OptionInvType), Investment!$A$6:$A$1303, H$38)</f>
        <v>729.85570477809938</v>
      </c>
      <c r="I40" s="99"/>
    </row>
    <row r="41" spans="1:18" ht="14.25" customHeight="1" x14ac:dyDescent="0.2">
      <c r="A41" s="212" t="s">
        <v>157</v>
      </c>
      <c r="B41" s="643">
        <f>SUMIFS(Investment!$H$6:$H$1303, Investment!$E$6:$E$1303, IF(str_Country="All", "&lt;&gt;0", str_Country),  Investment!$F$6:$F$1303, $A41, Investment!$G$6:$G$1303, IF(str_OptionInvType="All", "&lt;&gt;0", str_OptionInvType), Investment!$A$6:$A$1303, B$38)</f>
        <v>0</v>
      </c>
      <c r="C41" s="643">
        <f>SUMIFS(Investment!$H$6:$H$1303, Investment!$E$6:$E$1303, IF(str_Country="All", "&lt;&gt;0", str_Country),  Investment!$F$6:$F$1303, $A41, Investment!$G$6:$G$1303, IF(str_OptionInvType="All", "&lt;&gt;0", str_OptionInvType), Investment!$A$6:$A$1303, C$38)</f>
        <v>0</v>
      </c>
      <c r="D41" s="643">
        <f>SUMIFS(Investment!$H$6:$H$1303, Investment!$E$6:$E$1303, IF(str_Country="All", "&lt;&gt;0", str_Country),  Investment!$F$6:$F$1303, $A41, Investment!$G$6:$G$1303, IF(str_OptionInvType="All", "&lt;&gt;0", str_OptionInvType), Investment!$A$6:$A$1303, D$38)</f>
        <v>0</v>
      </c>
      <c r="E41" s="643">
        <f>SUMIFS(Investment!$H$6:$H$1303, Investment!$E$6:$E$1303, IF(str_Country="All", "&lt;&gt;0", str_Country),  Investment!$F$6:$F$1303, $A41, Investment!$G$6:$G$1303, IF(str_OptionInvType="All", "&lt;&gt;0", str_OptionInvType), Investment!$A$6:$A$1303, E$38)</f>
        <v>0</v>
      </c>
      <c r="F41" s="643">
        <f>SUMIFS(Investment!$H$6:$H$1303, Investment!$E$6:$E$1303, IF(str_Country="All", "&lt;&gt;0", str_Country),  Investment!$F$6:$F$1303, $A41, Investment!$G$6:$G$1303, IF(str_OptionInvType="All", "&lt;&gt;0", str_OptionInvType), Investment!$A$6:$A$1303, F$38)</f>
        <v>0</v>
      </c>
      <c r="G41" s="643">
        <f>SUMIFS(Investment!$H$6:$H$1303, Investment!$E$6:$E$1303, IF(str_Country="All", "&lt;&gt;0", str_Country),  Investment!$F$6:$F$1303, $A41, Investment!$G$6:$G$1303, IF(str_OptionInvType="All", "&lt;&gt;0", str_OptionInvType), Investment!$A$6:$A$1303, G$38)</f>
        <v>0</v>
      </c>
      <c r="H41" s="644">
        <f>SUMIFS(Investment!$H$6:$H$1303, Investment!$E$6:$E$1303, IF(str_Country="All", "&lt;&gt;0", str_Country),  Investment!$F$6:$F$1303, $A41, Investment!$G$6:$G$1303, IF(str_OptionInvType="All", "&lt;&gt;0", str_OptionInvType), Investment!$A$6:$A$1303, H$38)</f>
        <v>0</v>
      </c>
      <c r="I41" s="99"/>
    </row>
    <row r="42" spans="1:18" ht="14.25" customHeight="1" x14ac:dyDescent="0.2">
      <c r="A42" s="212" t="s">
        <v>125</v>
      </c>
      <c r="B42" s="643">
        <f>SUMIFS(Investment!$H$6:$H$1303, Investment!$E$6:$E$1303, IF(str_Country="All", "&lt;&gt;0", str_Country),  Investment!$F$6:$F$1303, $A42, Investment!$G$6:$G$1303, IF(str_OptionInvType="All", "&lt;&gt;0", str_OptionInvType), Investment!$A$6:$A$1303, B$38)</f>
        <v>1521.6440249349203</v>
      </c>
      <c r="C42" s="643">
        <f>SUMIFS(Investment!$H$6:$H$1303, Investment!$E$6:$E$1303, IF(str_Country="All", "&lt;&gt;0", str_Country),  Investment!$F$6:$F$1303, $A42, Investment!$G$6:$G$1303, IF(str_OptionInvType="All", "&lt;&gt;0", str_OptionInvType), Investment!$A$6:$A$1303, C$38)</f>
        <v>2233.2501894751963</v>
      </c>
      <c r="D42" s="643">
        <f>SUMIFS(Investment!$H$6:$H$1303, Investment!$E$6:$E$1303, IF(str_Country="All", "&lt;&gt;0", str_Country),  Investment!$F$6:$F$1303, $A42, Investment!$G$6:$G$1303, IF(str_OptionInvType="All", "&lt;&gt;0", str_OptionInvType), Investment!$A$6:$A$1303, D$38)</f>
        <v>2439.5828116175867</v>
      </c>
      <c r="E42" s="643">
        <f>SUMIFS(Investment!$H$6:$H$1303, Investment!$E$6:$E$1303, IF(str_Country="All", "&lt;&gt;0", str_Country),  Investment!$F$6:$F$1303, $A42, Investment!$G$6:$G$1303, IF(str_OptionInvType="All", "&lt;&gt;0", str_OptionInvType), Investment!$A$6:$A$1303, E$38)</f>
        <v>1303.8855647131211</v>
      </c>
      <c r="F42" s="643">
        <f>SUMIFS(Investment!$H$6:$H$1303, Investment!$E$6:$E$1303, IF(str_Country="All", "&lt;&gt;0", str_Country),  Investment!$F$6:$F$1303, $A42, Investment!$G$6:$G$1303, IF(str_OptionInvType="All", "&lt;&gt;0", str_OptionInvType), Investment!$A$6:$A$1303, F$38)</f>
        <v>1273.663386766849</v>
      </c>
      <c r="G42" s="643">
        <f>SUMIFS(Investment!$H$6:$H$1303, Investment!$E$6:$E$1303, IF(str_Country="All", "&lt;&gt;0", str_Country),  Investment!$F$6:$F$1303, $A42, Investment!$G$6:$G$1303, IF(str_OptionInvType="All", "&lt;&gt;0", str_OptionInvType), Investment!$A$6:$A$1303, G$38)</f>
        <v>1603.3029620698671</v>
      </c>
      <c r="H42" s="644">
        <f>SUMIFS(Investment!$H$6:$H$1303, Investment!$E$6:$E$1303, IF(str_Country="All", "&lt;&gt;0", str_Country),  Investment!$F$6:$F$1303, $A42, Investment!$G$6:$G$1303, IF(str_OptionInvType="All", "&lt;&gt;0", str_OptionInvType), Investment!$A$6:$A$1303, H$38)</f>
        <v>1124.7237874413061</v>
      </c>
      <c r="I42" s="99"/>
    </row>
    <row r="43" spans="1:18" ht="14.25" customHeight="1" x14ac:dyDescent="0.2">
      <c r="A43" s="212" t="s">
        <v>80</v>
      </c>
      <c r="B43" s="643">
        <f>SUMIFS(Investment!$H$6:$H$1303, Investment!$E$6:$E$1303, IF(str_Country="All", "&lt;&gt;0", str_Country),  Investment!$F$6:$F$1303, $A43, Investment!$G$6:$G$1303, IF(str_OptionInvType="All", "&lt;&gt;0", str_OptionInvType), Investment!$A$6:$A$1303, B$38)</f>
        <v>0</v>
      </c>
      <c r="C43" s="643">
        <f>SUMIFS(Investment!$H$6:$H$1303, Investment!$E$6:$E$1303, IF(str_Country="All", "&lt;&gt;0", str_Country),  Investment!$F$6:$F$1303, $A43, Investment!$G$6:$G$1303, IF(str_OptionInvType="All", "&lt;&gt;0", str_OptionInvType), Investment!$A$6:$A$1303, C$38)</f>
        <v>0</v>
      </c>
      <c r="D43" s="643">
        <f>SUMIFS(Investment!$H$6:$H$1303, Investment!$E$6:$E$1303, IF(str_Country="All", "&lt;&gt;0", str_Country),  Investment!$F$6:$F$1303, $A43, Investment!$G$6:$G$1303, IF(str_OptionInvType="All", "&lt;&gt;0", str_OptionInvType), Investment!$A$6:$A$1303, D$38)</f>
        <v>0</v>
      </c>
      <c r="E43" s="643">
        <f>SUMIFS(Investment!$H$6:$H$1303, Investment!$E$6:$E$1303, IF(str_Country="All", "&lt;&gt;0", str_Country),  Investment!$F$6:$F$1303, $A43, Investment!$G$6:$G$1303, IF(str_OptionInvType="All", "&lt;&gt;0", str_OptionInvType), Investment!$A$6:$A$1303, E$38)</f>
        <v>0</v>
      </c>
      <c r="F43" s="643">
        <f>SUMIFS(Investment!$H$6:$H$1303, Investment!$E$6:$E$1303, IF(str_Country="All", "&lt;&gt;0", str_Country),  Investment!$F$6:$F$1303, $A43, Investment!$G$6:$G$1303, IF(str_OptionInvType="All", "&lt;&gt;0", str_OptionInvType), Investment!$A$6:$A$1303, F$38)</f>
        <v>5.8354339941330524</v>
      </c>
      <c r="G43" s="643">
        <f>SUMIFS(Investment!$H$6:$H$1303, Investment!$E$6:$E$1303, IF(str_Country="All", "&lt;&gt;0", str_Country),  Investment!$F$6:$F$1303, $A43, Investment!$G$6:$G$1303, IF(str_OptionInvType="All", "&lt;&gt;0", str_OptionInvType), Investment!$A$6:$A$1303, G$38)</f>
        <v>28.897462530167452</v>
      </c>
      <c r="H43" s="644">
        <f>SUMIFS(Investment!$H$6:$H$1303, Investment!$E$6:$E$1303, IF(str_Country="All", "&lt;&gt;0", str_Country),  Investment!$F$6:$F$1303, $A43, Investment!$G$6:$G$1303, IF(str_OptionInvType="All", "&lt;&gt;0", str_OptionInvType), Investment!$A$6:$A$1303, H$38)</f>
        <v>55.435564591737091</v>
      </c>
      <c r="I43" s="99"/>
    </row>
    <row r="44" spans="1:18" ht="14.25" customHeight="1" x14ac:dyDescent="0.2">
      <c r="A44" s="212" t="s">
        <v>101</v>
      </c>
      <c r="B44" s="643">
        <f>SUMIFS(Investment!$H$6:$H$1303, Investment!$E$6:$E$1303, IF(str_Country="All", "&lt;&gt;0", str_Country),  Investment!$F$6:$F$1303, $A44, Investment!$G$6:$G$1303, IF(str_OptionInvType="All", "&lt;&gt;0", str_OptionInvType), Investment!$A$6:$A$1303, B$38)</f>
        <v>167.09646364491337</v>
      </c>
      <c r="C44" s="643">
        <f>SUMIFS(Investment!$H$6:$H$1303, Investment!$E$6:$E$1303, IF(str_Country="All", "&lt;&gt;0", str_Country),  Investment!$F$6:$F$1303, $A44, Investment!$G$6:$G$1303, IF(str_OptionInvType="All", "&lt;&gt;0", str_OptionInvType), Investment!$A$6:$A$1303, C$38)</f>
        <v>1069.1360006156031</v>
      </c>
      <c r="D44" s="643">
        <f>SUMIFS(Investment!$H$6:$H$1303, Investment!$E$6:$E$1303, IF(str_Country="All", "&lt;&gt;0", str_Country),  Investment!$F$6:$F$1303, $A44, Investment!$G$6:$G$1303, IF(str_OptionInvType="All", "&lt;&gt;0", str_OptionInvType), Investment!$A$6:$A$1303, D$38)</f>
        <v>1022.9825773051928</v>
      </c>
      <c r="E44" s="643">
        <f>SUMIFS(Investment!$H$6:$H$1303, Investment!$E$6:$E$1303, IF(str_Country="All", "&lt;&gt;0", str_Country),  Investment!$F$6:$F$1303, $A44, Investment!$G$6:$G$1303, IF(str_OptionInvType="All", "&lt;&gt;0", str_OptionInvType), Investment!$A$6:$A$1303, E$38)</f>
        <v>2140.2402574277544</v>
      </c>
      <c r="F44" s="643">
        <f>SUMIFS(Investment!$H$6:$H$1303, Investment!$E$6:$E$1303, IF(str_Country="All", "&lt;&gt;0", str_Country),  Investment!$F$6:$F$1303, $A44, Investment!$G$6:$G$1303, IF(str_OptionInvType="All", "&lt;&gt;0", str_OptionInvType), Investment!$A$6:$A$1303, F$38)</f>
        <v>3803.6959315537138</v>
      </c>
      <c r="G44" s="643">
        <f>SUMIFS(Investment!$H$6:$H$1303, Investment!$E$6:$E$1303, IF(str_Country="All", "&lt;&gt;0", str_Country),  Investment!$F$6:$F$1303, $A44, Investment!$G$6:$G$1303, IF(str_OptionInvType="All", "&lt;&gt;0", str_OptionInvType), Investment!$A$6:$A$1303, G$38)</f>
        <v>8193.5348834508277</v>
      </c>
      <c r="H44" s="644">
        <f>SUMIFS(Investment!$H$6:$H$1303, Investment!$E$6:$E$1303, IF(str_Country="All", "&lt;&gt;0", str_Country),  Investment!$F$6:$F$1303, $A44, Investment!$G$6:$G$1303, IF(str_OptionInvType="All", "&lt;&gt;0", str_OptionInvType), Investment!$A$6:$A$1303, H$38)</f>
        <v>6540.7985593609583</v>
      </c>
      <c r="I44" s="99"/>
    </row>
    <row r="45" spans="1:18" ht="14.25" customHeight="1" x14ac:dyDescent="0.2">
      <c r="A45" s="212" t="s">
        <v>1529</v>
      </c>
      <c r="B45" s="643">
        <f>SUMIFS(Investment!$H$6:$H$1303, Investment!$E$6:$E$1303, IF(str_Country="All", "&lt;&gt;0", str_Country),  Investment!$F$6:$F$1303, $A45, Investment!$G$6:$G$1303, IF(str_OptionInvType="All", "&lt;&gt;0", str_OptionInvType), Investment!$A$6:$A$1303, B$38)</f>
        <v>8.4274459999999998</v>
      </c>
      <c r="C45" s="643">
        <f>SUMIFS(Investment!$H$6:$H$1303, Investment!$E$6:$E$1303, IF(str_Country="All", "&lt;&gt;0", str_Country),  Investment!$F$6:$F$1303, $A45, Investment!$G$6:$G$1303, IF(str_OptionInvType="All", "&lt;&gt;0", str_OptionInvType), Investment!$A$6:$A$1303, C$38)</f>
        <v>0</v>
      </c>
      <c r="D45" s="643">
        <f>SUMIFS(Investment!$H$6:$H$1303, Investment!$E$6:$E$1303, IF(str_Country="All", "&lt;&gt;0", str_Country),  Investment!$F$6:$F$1303, $A45, Investment!$G$6:$G$1303, IF(str_OptionInvType="All", "&lt;&gt;0", str_OptionInvType), Investment!$A$6:$A$1303, D$38)</f>
        <v>105.3688252554733</v>
      </c>
      <c r="E45" s="643">
        <f>SUMIFS(Investment!$H$6:$H$1303, Investment!$E$6:$E$1303, IF(str_Country="All", "&lt;&gt;0", str_Country),  Investment!$F$6:$F$1303, $A45, Investment!$G$6:$G$1303, IF(str_OptionInvType="All", "&lt;&gt;0", str_OptionInvType), Investment!$A$6:$A$1303, E$38)</f>
        <v>0</v>
      </c>
      <c r="F45" s="643">
        <f>SUMIFS(Investment!$H$6:$H$1303, Investment!$E$6:$E$1303, IF(str_Country="All", "&lt;&gt;0", str_Country),  Investment!$F$6:$F$1303, $A45, Investment!$G$6:$G$1303, IF(str_OptionInvType="All", "&lt;&gt;0", str_OptionInvType), Investment!$A$6:$A$1303, F$38)</f>
        <v>13.650747379132676</v>
      </c>
      <c r="G45" s="643">
        <f>SUMIFS(Investment!$H$6:$H$1303, Investment!$E$6:$E$1303, IF(str_Country="All", "&lt;&gt;0", str_Country),  Investment!$F$6:$F$1303, $A45, Investment!$G$6:$G$1303, IF(str_OptionInvType="All", "&lt;&gt;0", str_OptionInvType), Investment!$A$6:$A$1303, G$38)</f>
        <v>0</v>
      </c>
      <c r="H45" s="644">
        <f>SUMIFS(Investment!$H$6:$H$1303, Investment!$E$6:$E$1303, IF(str_Country="All", "&lt;&gt;0", str_Country),  Investment!$F$6:$F$1303, $A45, Investment!$G$6:$G$1303, IF(str_OptionInvType="All", "&lt;&gt;0", str_OptionInvType), Investment!$A$6:$A$1303, H$38)</f>
        <v>21.459374228257413</v>
      </c>
      <c r="I45" s="99"/>
    </row>
    <row r="46" spans="1:18" ht="14.25" customHeight="1" x14ac:dyDescent="0.2">
      <c r="A46" s="631" t="s">
        <v>1650</v>
      </c>
      <c r="B46" s="645">
        <f>SUMIFS(Database!S$582:S$607, Database!$D$501:$D$526, str_Country)</f>
        <v>0</v>
      </c>
      <c r="C46" s="645">
        <f>SUMIFS(Database!T$582:T$607, Database!$D$501:$D$526, str_Country)</f>
        <v>0</v>
      </c>
      <c r="D46" s="645">
        <f>SUMIFS(Database!U$582:U$607, Database!$D$501:$D$526, str_Country)</f>
        <v>0</v>
      </c>
      <c r="E46" s="645">
        <f>SUMIFS(Database!V$582:V$607, Database!$D$501:$D$526, str_Country)</f>
        <v>0</v>
      </c>
      <c r="F46" s="645">
        <f>SUMIFS(Database!W$582:W$607, Database!$D$501:$D$526, str_Country)</f>
        <v>0</v>
      </c>
      <c r="G46" s="645">
        <f>SUMIFS(Database!X$582:X$607, Database!$D$501:$D$526, str_Country)</f>
        <v>0.02</v>
      </c>
      <c r="H46" s="646">
        <f>SUMIFS(Database!Y$582:Y$607, Database!$D$501:$D$526, str_Country)</f>
        <v>0.02</v>
      </c>
      <c r="I46" s="99"/>
    </row>
    <row r="47" spans="1:18" ht="14.25" customHeight="1" x14ac:dyDescent="0.2">
      <c r="G47" s="943"/>
      <c r="H47" s="943"/>
      <c r="I47" s="943"/>
    </row>
    <row r="48" spans="1:18" ht="14.25" customHeight="1" x14ac:dyDescent="0.2">
      <c r="A48" s="856" t="s">
        <v>3313</v>
      </c>
      <c r="B48" s="747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39"/>
      <c r="O48" s="139"/>
      <c r="P48" s="139"/>
      <c r="Q48" s="139"/>
      <c r="R48" s="139"/>
    </row>
    <row r="49" spans="1:18" ht="14.25" customHeight="1" x14ac:dyDescent="0.2">
      <c r="A49" s="857" t="s">
        <v>1721</v>
      </c>
      <c r="B49" s="748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39"/>
      <c r="O49" s="139"/>
      <c r="P49" s="139"/>
      <c r="Q49" s="139"/>
      <c r="R49" s="139"/>
    </row>
    <row r="50" spans="1:18" ht="14.25" customHeight="1" x14ac:dyDescent="0.2">
      <c r="A50" s="854" t="s">
        <v>1722</v>
      </c>
      <c r="B50" s="159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39"/>
      <c r="O50" s="139"/>
      <c r="P50" s="139"/>
      <c r="Q50" s="139"/>
      <c r="R50" s="139"/>
    </row>
    <row r="51" spans="1:18" ht="14.25" customHeight="1" x14ac:dyDescent="0.2">
      <c r="A51" s="854" t="s">
        <v>1723</v>
      </c>
      <c r="B51" s="159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39"/>
      <c r="O51" s="139"/>
      <c r="P51" s="139"/>
      <c r="Q51" s="139"/>
      <c r="R51" s="139"/>
    </row>
    <row r="52" spans="1:18" ht="14.25" customHeight="1" x14ac:dyDescent="0.2">
      <c r="A52" s="854" t="s">
        <v>1724</v>
      </c>
      <c r="B52" s="159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39"/>
      <c r="O52" s="139"/>
      <c r="P52" s="139"/>
      <c r="Q52" s="139"/>
      <c r="R52" s="139"/>
    </row>
    <row r="53" spans="1:18" ht="14.25" customHeight="1" x14ac:dyDescent="0.2">
      <c r="A53" s="854" t="s">
        <v>1725</v>
      </c>
      <c r="B53" s="159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39"/>
      <c r="O53" s="139"/>
      <c r="P53" s="139"/>
      <c r="Q53" s="139"/>
      <c r="R53" s="139"/>
    </row>
    <row r="54" spans="1:18" ht="14.25" customHeight="1" x14ac:dyDescent="0.2">
      <c r="A54" s="855" t="s">
        <v>1726</v>
      </c>
      <c r="B54" s="159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39"/>
      <c r="O54" s="139"/>
      <c r="P54" s="139"/>
      <c r="Q54" s="139"/>
      <c r="R54" s="139"/>
    </row>
    <row r="55" spans="1:18" ht="14.25" customHeight="1" x14ac:dyDescent="0.2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39"/>
      <c r="O55" s="139"/>
      <c r="P55" s="139"/>
      <c r="Q55" s="139"/>
      <c r="R55" s="139"/>
    </row>
    <row r="56" spans="1:18" ht="12.75" x14ac:dyDescent="0.2">
      <c r="A56" s="852" t="s">
        <v>3314</v>
      </c>
      <c r="B56" s="853"/>
      <c r="C56" s="853"/>
      <c r="D56" s="853"/>
      <c r="E56" s="853"/>
      <c r="F56" s="853"/>
      <c r="G56" s="853"/>
      <c r="H56" s="853"/>
      <c r="I56" s="853"/>
      <c r="J56" s="853"/>
      <c r="K56" s="866"/>
    </row>
    <row r="57" spans="1:18" ht="14.25" customHeight="1" x14ac:dyDescent="0.2">
      <c r="A57" s="846" t="str">
        <f>Dashboard!D34</f>
        <v>COUNTRY</v>
      </c>
      <c r="B57" s="847" t="s">
        <v>1665</v>
      </c>
      <c r="C57" s="847" t="s">
        <v>1664</v>
      </c>
      <c r="D57" s="847" t="s">
        <v>1663</v>
      </c>
      <c r="E57" s="847" t="s">
        <v>1662</v>
      </c>
      <c r="F57" s="848" t="s">
        <v>1661</v>
      </c>
      <c r="G57" s="862"/>
      <c r="H57" s="846" t="str">
        <f>Dashboard!D34</f>
        <v>COUNTRY</v>
      </c>
      <c r="I57" s="847" t="str">
        <f>Dashboard!E34</f>
        <v>CLIMATESCOPE 2013 SCORES</v>
      </c>
      <c r="J57" s="847" t="s">
        <v>1744</v>
      </c>
      <c r="K57" s="848" t="s">
        <v>3307</v>
      </c>
    </row>
    <row r="58" spans="1:18" ht="14.25" customHeight="1" x14ac:dyDescent="0.2">
      <c r="A58" s="544" t="str">
        <f>Dashboard!D35</f>
        <v>Brazil</v>
      </c>
      <c r="B58" s="527">
        <f>IF(Dashboard!$E35&lt;=1, Dashboard!$E35, 0)</f>
        <v>0</v>
      </c>
      <c r="C58" s="527">
        <f>IF(AND(Dashboard!$E35&gt;1, Dashboard!$E35&lt;=2), Dashboard!$E35, 0)</f>
        <v>0</v>
      </c>
      <c r="D58" s="527">
        <f>IF(AND(Dashboard!$E35&gt;2, Dashboard!$E35&lt;=3), Dashboard!$E35, 0)</f>
        <v>2.4727326749130318</v>
      </c>
      <c r="E58" s="527">
        <f>IF(AND(Dashboard!$E35&gt;3, Dashboard!$E35&lt;=4), Dashboard!$E35, 0)</f>
        <v>0</v>
      </c>
      <c r="F58" s="527">
        <f>IF(Dashboard!$E35&gt;4, Dashboard!$E35, 0)</f>
        <v>0</v>
      </c>
      <c r="G58" s="863"/>
      <c r="H58" s="524" t="str">
        <f>Dashboard!D35</f>
        <v>Brazil</v>
      </c>
      <c r="I58" s="758">
        <f>Dashboard!E35</f>
        <v>2.4727326749130318</v>
      </c>
      <c r="J58" s="759">
        <f>INDEX(ChartData!$B$87:$F$112, MATCH(Dashboard!D35, ChartData!$A$87:$A$112, 0), MATCH(Dashboard!$E$25, ChartData!$B$86:$F$86, 0))</f>
        <v>2.6392086818633107</v>
      </c>
      <c r="K58" s="845">
        <f>IFERROR(Dashboard!E35/J58-1, 0)</f>
        <v>-6.3078000650083066E-2</v>
      </c>
    </row>
    <row r="59" spans="1:18" ht="14.25" customHeight="1" x14ac:dyDescent="0.2">
      <c r="A59" s="544" t="str">
        <f>Dashboard!D36</f>
        <v>Chile</v>
      </c>
      <c r="B59" s="527">
        <f>IF(Dashboard!$E36&lt;=1, Dashboard!$E36, 0)</f>
        <v>0</v>
      </c>
      <c r="C59" s="527">
        <f>IF(AND(Dashboard!$E36&gt;1, Dashboard!$E36&lt;=2), Dashboard!$E36, 0)</f>
        <v>0</v>
      </c>
      <c r="D59" s="527">
        <f>IF(AND(Dashboard!$E36&gt;2, Dashboard!$E36&lt;=3), Dashboard!$E36, 0)</f>
        <v>2.4094666752634253</v>
      </c>
      <c r="E59" s="527">
        <f>IF(AND(Dashboard!$E36&gt;3, Dashboard!$E36&lt;=4), Dashboard!$E36, 0)</f>
        <v>0</v>
      </c>
      <c r="F59" s="527">
        <f>IF(Dashboard!$E36&gt;4, Dashboard!$E36, 0)</f>
        <v>0</v>
      </c>
      <c r="G59" s="864"/>
      <c r="H59" s="524" t="str">
        <f>Dashboard!D36</f>
        <v>Chile</v>
      </c>
      <c r="I59" s="758">
        <f>Dashboard!E36</f>
        <v>2.4094666752634253</v>
      </c>
      <c r="J59" s="759">
        <f>INDEX(ChartData!$B$87:$F$112, MATCH(Dashboard!D36, ChartData!$A$87:$A$112, 0), MATCH(Dashboard!$E$25, ChartData!$B$86:$F$86, 0))</f>
        <v>1.7245935827534666</v>
      </c>
      <c r="K59" s="805">
        <f>IFERROR(Dashboard!E36/J59-1, 0)</f>
        <v>0.39712144319619824</v>
      </c>
    </row>
    <row r="60" spans="1:18" ht="14.25" customHeight="1" x14ac:dyDescent="0.2">
      <c r="A60" s="544" t="str">
        <f>Dashboard!D37</f>
        <v>Nicaragua</v>
      </c>
      <c r="B60" s="527">
        <f>IF(Dashboard!$E37&lt;=1, Dashboard!$E37, 0)</f>
        <v>0</v>
      </c>
      <c r="C60" s="527">
        <f>IF(AND(Dashboard!$E37&gt;1, Dashboard!$E37&lt;=2), Dashboard!$E37, 0)</f>
        <v>0</v>
      </c>
      <c r="D60" s="527">
        <f>IF(AND(Dashboard!$E37&gt;2, Dashboard!$E37&lt;=3), Dashboard!$E37, 0)</f>
        <v>2.2582408765252313</v>
      </c>
      <c r="E60" s="527">
        <f>IF(AND(Dashboard!$E37&gt;3, Dashboard!$E37&lt;=4), Dashboard!$E37, 0)</f>
        <v>0</v>
      </c>
      <c r="F60" s="527">
        <f>IF(Dashboard!$E37&gt;4, Dashboard!$E37, 0)</f>
        <v>0</v>
      </c>
      <c r="G60" s="864"/>
      <c r="H60" s="524" t="str">
        <f>Dashboard!D37</f>
        <v>Nicaragua</v>
      </c>
      <c r="I60" s="758">
        <f>Dashboard!E37</f>
        <v>2.2582408765252313</v>
      </c>
      <c r="J60" s="759">
        <f>INDEX(ChartData!$B$87:$F$112, MATCH(Dashboard!D37, ChartData!$A$87:$A$112, 0), MATCH(Dashboard!$E$25, ChartData!$B$86:$F$86, 0))</f>
        <v>2.1295170295561694</v>
      </c>
      <c r="K60" s="805">
        <f>IFERROR(Dashboard!E37/J60-1, 0)</f>
        <v>6.0447437227534317E-2</v>
      </c>
    </row>
    <row r="61" spans="1:18" ht="14.25" customHeight="1" x14ac:dyDescent="0.2">
      <c r="A61" s="544" t="str">
        <f>Dashboard!D38</f>
        <v>Peru</v>
      </c>
      <c r="B61" s="527">
        <f>IF(Dashboard!$E38&lt;=1, Dashboard!$E38, 0)</f>
        <v>0</v>
      </c>
      <c r="C61" s="527">
        <f>IF(AND(Dashboard!$E38&gt;1, Dashboard!$E38&lt;=2), Dashboard!$E38, 0)</f>
        <v>0</v>
      </c>
      <c r="D61" s="527">
        <f>IF(AND(Dashboard!$E38&gt;2, Dashboard!$E38&lt;=3), Dashboard!$E38, 0)</f>
        <v>2.2513997144899829</v>
      </c>
      <c r="E61" s="527">
        <f>IF(AND(Dashboard!$E38&gt;3, Dashboard!$E38&lt;=4), Dashboard!$E38, 0)</f>
        <v>0</v>
      </c>
      <c r="F61" s="527">
        <f>IF(Dashboard!$E38&gt;4, Dashboard!$E38, 0)</f>
        <v>0</v>
      </c>
      <c r="G61" s="864"/>
      <c r="H61" s="524" t="str">
        <f>Dashboard!D38</f>
        <v>Peru</v>
      </c>
      <c r="I61" s="758">
        <f>Dashboard!E38</f>
        <v>2.2513997144899829</v>
      </c>
      <c r="J61" s="759">
        <f>INDEX(ChartData!$B$87:$F$112, MATCH(Dashboard!D38, ChartData!$A$87:$A$112, 0), MATCH(Dashboard!$E$25, ChartData!$B$86:$F$86, 0))</f>
        <v>1.726771632096598</v>
      </c>
      <c r="K61" s="805">
        <f>IFERROR(Dashboard!E38/J61-1, 0)</f>
        <v>0.30382018828766366</v>
      </c>
    </row>
    <row r="62" spans="1:18" ht="14.25" customHeight="1" x14ac:dyDescent="0.2">
      <c r="A62" s="544" t="str">
        <f>Dashboard!D39</f>
        <v>Mexico</v>
      </c>
      <c r="B62" s="527">
        <f>IF(Dashboard!$E39&lt;=1, Dashboard!$E39, 0)</f>
        <v>0</v>
      </c>
      <c r="C62" s="527">
        <f>IF(AND(Dashboard!$E39&gt;1, Dashboard!$E39&lt;=2), Dashboard!$E39, 0)</f>
        <v>0</v>
      </c>
      <c r="D62" s="527">
        <f>IF(AND(Dashboard!$E39&gt;2, Dashboard!$E39&lt;=3), Dashboard!$E39, 0)</f>
        <v>2.1895912454456359</v>
      </c>
      <c r="E62" s="527">
        <f>IF(AND(Dashboard!$E39&gt;3, Dashboard!$E39&lt;=4), Dashboard!$E39, 0)</f>
        <v>0</v>
      </c>
      <c r="F62" s="527">
        <f>IF(Dashboard!$E39&gt;4, Dashboard!$E39, 0)</f>
        <v>0</v>
      </c>
      <c r="G62" s="864"/>
      <c r="H62" s="524" t="str">
        <f>Dashboard!D39</f>
        <v>Mexico</v>
      </c>
      <c r="I62" s="758">
        <f>Dashboard!E39</f>
        <v>2.1895912454456359</v>
      </c>
      <c r="J62" s="759">
        <f>INDEX(ChartData!$B$87:$F$112, MATCH(Dashboard!D39, ChartData!$A$87:$A$112, 0), MATCH(Dashboard!$E$25, ChartData!$B$86:$F$86, 0))</f>
        <v>1.6742704711421061</v>
      </c>
      <c r="K62" s="805">
        <f>IFERROR(Dashboard!E39/J62-1, 0)</f>
        <v>0.30778824758941292</v>
      </c>
    </row>
    <row r="63" spans="1:18" ht="14.25" customHeight="1" x14ac:dyDescent="0.2">
      <c r="A63" s="544" t="str">
        <f>Dashboard!D40</f>
        <v>Uruguay</v>
      </c>
      <c r="B63" s="527">
        <f>IF(Dashboard!$E40&lt;=1, Dashboard!$E40, 0)</f>
        <v>0</v>
      </c>
      <c r="C63" s="527">
        <f>IF(AND(Dashboard!$E40&gt;1, Dashboard!$E40&lt;=2), Dashboard!$E40, 0)</f>
        <v>1.6663378644286779</v>
      </c>
      <c r="D63" s="527">
        <f>IF(AND(Dashboard!$E40&gt;2, Dashboard!$E40&lt;=3), Dashboard!$E40, 0)</f>
        <v>0</v>
      </c>
      <c r="E63" s="527">
        <f>IF(AND(Dashboard!$E40&gt;3, Dashboard!$E40&lt;=4), Dashboard!$E40, 0)</f>
        <v>0</v>
      </c>
      <c r="F63" s="527">
        <f>IF(Dashboard!$E40&gt;4, Dashboard!$E40, 0)</f>
        <v>0</v>
      </c>
      <c r="G63" s="864"/>
      <c r="H63" s="524" t="str">
        <f>Dashboard!D40</f>
        <v>Uruguay</v>
      </c>
      <c r="I63" s="758">
        <f>Dashboard!E40</f>
        <v>1.6663378644286779</v>
      </c>
      <c r="J63" s="759">
        <f>INDEX(ChartData!$B$87:$F$112, MATCH(Dashboard!D40, ChartData!$A$87:$A$112, 0), MATCH(Dashboard!$E$25, ChartData!$B$86:$F$86, 0))</f>
        <v>1.3774854189336647</v>
      </c>
      <c r="K63" s="805">
        <f>IFERROR(Dashboard!E40/J63-1, 0)</f>
        <v>0.20969546502976333</v>
      </c>
    </row>
    <row r="64" spans="1:18" ht="14.25" customHeight="1" x14ac:dyDescent="0.2">
      <c r="A64" s="544" t="str">
        <f>Dashboard!D41</f>
        <v>Argentina</v>
      </c>
      <c r="B64" s="527">
        <f>IF(Dashboard!$E41&lt;=1, Dashboard!$E41, 0)</f>
        <v>0</v>
      </c>
      <c r="C64" s="527">
        <f>IF(AND(Dashboard!$E41&gt;1, Dashboard!$E41&lt;=2), Dashboard!$E41, 0)</f>
        <v>1.6660775463109065</v>
      </c>
      <c r="D64" s="527">
        <f>IF(AND(Dashboard!$E41&gt;2, Dashboard!$E41&lt;=3), Dashboard!$E41, 0)</f>
        <v>0</v>
      </c>
      <c r="E64" s="527">
        <f>IF(AND(Dashboard!$E41&gt;3, Dashboard!$E41&lt;=4), Dashboard!$E41, 0)</f>
        <v>0</v>
      </c>
      <c r="F64" s="527">
        <f>IF(Dashboard!$E41&gt;4, Dashboard!$E41, 0)</f>
        <v>0</v>
      </c>
      <c r="G64" s="864"/>
      <c r="H64" s="524" t="str">
        <f>Dashboard!D41</f>
        <v>Argentina</v>
      </c>
      <c r="I64" s="758">
        <f>Dashboard!E41</f>
        <v>1.6660775463109065</v>
      </c>
      <c r="J64" s="759">
        <f>INDEX(ChartData!$B$87:$F$112, MATCH(Dashboard!D41, ChartData!$A$87:$A$112, 0), MATCH(Dashboard!$E$25, ChartData!$B$86:$F$86, 0))</f>
        <v>1.3234821837251658</v>
      </c>
      <c r="K64" s="805">
        <f>IFERROR(Dashboard!E41/J64-1, 0)</f>
        <v>0.25885906648282009</v>
      </c>
    </row>
    <row r="65" spans="1:11" ht="14.25" customHeight="1" x14ac:dyDescent="0.2">
      <c r="A65" s="544" t="str">
        <f>Dashboard!D42</f>
        <v>Dominican Republic</v>
      </c>
      <c r="B65" s="527">
        <f>IF(Dashboard!$E42&lt;=1, Dashboard!$E42, 0)</f>
        <v>0</v>
      </c>
      <c r="C65" s="527">
        <f>IF(AND(Dashboard!$E42&gt;1, Dashboard!$E42&lt;=2), Dashboard!$E42, 0)</f>
        <v>1.5811001122845354</v>
      </c>
      <c r="D65" s="527">
        <f>IF(AND(Dashboard!$E42&gt;2, Dashboard!$E42&lt;=3), Dashboard!$E42, 0)</f>
        <v>0</v>
      </c>
      <c r="E65" s="527">
        <f>IF(AND(Dashboard!$E42&gt;3, Dashboard!$E42&lt;=4), Dashboard!$E42, 0)</f>
        <v>0</v>
      </c>
      <c r="F65" s="527">
        <f>IF(Dashboard!$E42&gt;4, Dashboard!$E42, 0)</f>
        <v>0</v>
      </c>
      <c r="G65" s="864"/>
      <c r="H65" s="524" t="str">
        <f>Dashboard!D42</f>
        <v>Dominican Republic</v>
      </c>
      <c r="I65" s="758">
        <f>Dashboard!E42</f>
        <v>1.5811001122845354</v>
      </c>
      <c r="J65" s="759">
        <f>INDEX(ChartData!$B$87:$F$112, MATCH(Dashboard!D42, ChartData!$A$87:$A$112, 0), MATCH(Dashboard!$E$25, ChartData!$B$86:$F$86, 0))</f>
        <v>1.0667754233119626</v>
      </c>
      <c r="K65" s="805">
        <f>IFERROR(Dashboard!E42/J65-1, 0)</f>
        <v>0.4821302382236885</v>
      </c>
    </row>
    <row r="66" spans="1:11" ht="14.25" customHeight="1" x14ac:dyDescent="0.2">
      <c r="A66" s="544" t="str">
        <f>Dashboard!D43</f>
        <v>Colombia</v>
      </c>
      <c r="B66" s="527">
        <f>IF(Dashboard!$E43&lt;=1, Dashboard!$E43, 0)</f>
        <v>0</v>
      </c>
      <c r="C66" s="527">
        <f>IF(AND(Dashboard!$E43&gt;1, Dashboard!$E43&lt;=2), Dashboard!$E43, 0)</f>
        <v>1.5430458186129992</v>
      </c>
      <c r="D66" s="527">
        <f>IF(AND(Dashboard!$E43&gt;2, Dashboard!$E43&lt;=3), Dashboard!$E43, 0)</f>
        <v>0</v>
      </c>
      <c r="E66" s="527">
        <f>IF(AND(Dashboard!$E43&gt;3, Dashboard!$E43&lt;=4), Dashboard!$E43, 0)</f>
        <v>0</v>
      </c>
      <c r="F66" s="527">
        <f>IF(Dashboard!$E43&gt;4, Dashboard!$E43, 0)</f>
        <v>0</v>
      </c>
      <c r="G66" s="864"/>
      <c r="H66" s="524" t="str">
        <f>Dashboard!D43</f>
        <v>Colombia</v>
      </c>
      <c r="I66" s="758">
        <f>Dashboard!E43</f>
        <v>1.5430458186129992</v>
      </c>
      <c r="J66" s="759">
        <f>INDEX(ChartData!$B$87:$F$112, MATCH(Dashboard!D43, ChartData!$A$87:$A$112, 0), MATCH(Dashboard!$E$25, ChartData!$B$86:$F$86, 0))</f>
        <v>1.6288488725546042</v>
      </c>
      <c r="K66" s="805">
        <f>IFERROR(Dashboard!E43/J66-1, 0)</f>
        <v>-5.2677111662935205E-2</v>
      </c>
    </row>
    <row r="67" spans="1:11" ht="14.25" customHeight="1" x14ac:dyDescent="0.2">
      <c r="A67" s="544" t="str">
        <f>Dashboard!D44</f>
        <v>Panama</v>
      </c>
      <c r="B67" s="527">
        <f>IF(Dashboard!$E44&lt;=1, Dashboard!$E44, 0)</f>
        <v>0</v>
      </c>
      <c r="C67" s="527">
        <f>IF(AND(Dashboard!$E44&gt;1, Dashboard!$E44&lt;=2), Dashboard!$E44, 0)</f>
        <v>1.4449322737798895</v>
      </c>
      <c r="D67" s="527">
        <f>IF(AND(Dashboard!$E44&gt;2, Dashboard!$E44&lt;=3), Dashboard!$E44, 0)</f>
        <v>0</v>
      </c>
      <c r="E67" s="527">
        <f>IF(AND(Dashboard!$E44&gt;3, Dashboard!$E44&lt;=4), Dashboard!$E44, 0)</f>
        <v>0</v>
      </c>
      <c r="F67" s="527">
        <f>IF(Dashboard!$E44&gt;4, Dashboard!$E44, 0)</f>
        <v>0</v>
      </c>
      <c r="G67" s="864"/>
      <c r="H67" s="524" t="str">
        <f>Dashboard!D44</f>
        <v>Panama</v>
      </c>
      <c r="I67" s="758">
        <f>Dashboard!E44</f>
        <v>1.4449322737798895</v>
      </c>
      <c r="J67" s="759">
        <f>INDEX(ChartData!$B$87:$F$112, MATCH(Dashboard!D44, ChartData!$A$87:$A$112, 0), MATCH(Dashboard!$E$25, ChartData!$B$86:$F$86, 0))</f>
        <v>1.965658840004143</v>
      </c>
      <c r="K67" s="805">
        <f>IFERROR(Dashboard!E44/J67-1, 0)</f>
        <v>-0.26491197537775979</v>
      </c>
    </row>
    <row r="68" spans="1:11" ht="14.25" customHeight="1" x14ac:dyDescent="0.2">
      <c r="A68" s="544" t="str">
        <f>Dashboard!D45</f>
        <v>Costa Rica</v>
      </c>
      <c r="B68" s="527">
        <f>IF(Dashboard!$E45&lt;=1, Dashboard!$E45, 0)</f>
        <v>0</v>
      </c>
      <c r="C68" s="527">
        <f>IF(AND(Dashboard!$E45&gt;1, Dashboard!$E45&lt;=2), Dashboard!$E45, 0)</f>
        <v>1.3605020693003842</v>
      </c>
      <c r="D68" s="527">
        <f>IF(AND(Dashboard!$E45&gt;2, Dashboard!$E45&lt;=3), Dashboard!$E45, 0)</f>
        <v>0</v>
      </c>
      <c r="E68" s="527">
        <f>IF(AND(Dashboard!$E45&gt;3, Dashboard!$E45&lt;=4), Dashboard!$E45, 0)</f>
        <v>0</v>
      </c>
      <c r="F68" s="527">
        <f>IF(Dashboard!$E45&gt;4, Dashboard!$E45, 0)</f>
        <v>0</v>
      </c>
      <c r="G68" s="864"/>
      <c r="H68" s="524" t="str">
        <f>Dashboard!D45</f>
        <v>Costa Rica</v>
      </c>
      <c r="I68" s="758">
        <f>Dashboard!E45</f>
        <v>1.3605020693003842</v>
      </c>
      <c r="J68" s="759">
        <f>INDEX(ChartData!$B$87:$F$112, MATCH(Dashboard!D45, ChartData!$A$87:$A$112, 0), MATCH(Dashboard!$E$25, ChartData!$B$86:$F$86, 0))</f>
        <v>1.4667168270115289</v>
      </c>
      <c r="K68" s="805">
        <f>IFERROR(Dashboard!E45/J68-1, 0)</f>
        <v>-7.2416676317513806E-2</v>
      </c>
    </row>
    <row r="69" spans="1:11" ht="14.25" customHeight="1" x14ac:dyDescent="0.2">
      <c r="A69" s="544" t="str">
        <f>Dashboard!D46</f>
        <v>Guatemala</v>
      </c>
      <c r="B69" s="527">
        <f>IF(Dashboard!$E46&lt;=1, Dashboard!$E46, 0)</f>
        <v>0</v>
      </c>
      <c r="C69" s="527">
        <f>IF(AND(Dashboard!$E46&gt;1, Dashboard!$E46&lt;=2), Dashboard!$E46, 0)</f>
        <v>1.3373084647149844</v>
      </c>
      <c r="D69" s="527">
        <f>IF(AND(Dashboard!$E46&gt;2, Dashboard!$E46&lt;=3), Dashboard!$E46, 0)</f>
        <v>0</v>
      </c>
      <c r="E69" s="527">
        <f>IF(AND(Dashboard!$E46&gt;3, Dashboard!$E46&lt;=4), Dashboard!$E46, 0)</f>
        <v>0</v>
      </c>
      <c r="F69" s="527">
        <f>IF(Dashboard!$E46&gt;4, Dashboard!$E46, 0)</f>
        <v>0</v>
      </c>
      <c r="G69" s="864"/>
      <c r="H69" s="524" t="str">
        <f>Dashboard!D46</f>
        <v>Guatemala</v>
      </c>
      <c r="I69" s="758">
        <f>Dashboard!E46</f>
        <v>1.3373084647149844</v>
      </c>
      <c r="J69" s="759">
        <f>INDEX(ChartData!$B$87:$F$112, MATCH(Dashboard!D46, ChartData!$A$87:$A$112, 0), MATCH(Dashboard!$E$25, ChartData!$B$86:$F$86, 0))</f>
        <v>1.4511521133010992</v>
      </c>
      <c r="K69" s="805">
        <f>IFERROR(Dashboard!E46/J69-1, 0)</f>
        <v>-7.8450527372448731E-2</v>
      </c>
    </row>
    <row r="70" spans="1:11" ht="14.25" customHeight="1" x14ac:dyDescent="0.2">
      <c r="A70" s="544" t="str">
        <f>Dashboard!D47</f>
        <v>Ecuador</v>
      </c>
      <c r="B70" s="527">
        <f>IF(Dashboard!$E47&lt;=1, Dashboard!$E47, 0)</f>
        <v>0</v>
      </c>
      <c r="C70" s="527">
        <f>IF(AND(Dashboard!$E47&gt;1, Dashboard!$E47&lt;=2), Dashboard!$E47, 0)</f>
        <v>1.268029964257984</v>
      </c>
      <c r="D70" s="527">
        <f>IF(AND(Dashboard!$E47&gt;2, Dashboard!$E47&lt;=3), Dashboard!$E47, 0)</f>
        <v>0</v>
      </c>
      <c r="E70" s="527">
        <f>IF(AND(Dashboard!$E47&gt;3, Dashboard!$E47&lt;=4), Dashboard!$E47, 0)</f>
        <v>0</v>
      </c>
      <c r="F70" s="527">
        <f>IF(Dashboard!$E47&gt;4, Dashboard!$E47, 0)</f>
        <v>0</v>
      </c>
      <c r="G70" s="864"/>
      <c r="H70" s="524" t="str">
        <f>Dashboard!D47</f>
        <v>Ecuador</v>
      </c>
      <c r="I70" s="758">
        <f>Dashboard!E47</f>
        <v>1.268029964257984</v>
      </c>
      <c r="J70" s="759">
        <f>INDEX(ChartData!$B$87:$F$112, MATCH(Dashboard!D47, ChartData!$A$87:$A$112, 0), MATCH(Dashboard!$E$25, ChartData!$B$86:$F$86, 0))</f>
        <v>1.1431617989982708</v>
      </c>
      <c r="K70" s="805">
        <f>IFERROR(Dashboard!E47/J70-1, 0)</f>
        <v>0.10923052657037058</v>
      </c>
    </row>
    <row r="71" spans="1:11" ht="14.25" customHeight="1" x14ac:dyDescent="0.2">
      <c r="A71" s="544" t="str">
        <f>Dashboard!D48</f>
        <v>Honduras</v>
      </c>
      <c r="B71" s="527">
        <f>IF(Dashboard!$E48&lt;=1, Dashboard!$E48, 0)</f>
        <v>0</v>
      </c>
      <c r="C71" s="527">
        <f>IF(AND(Dashboard!$E48&gt;1, Dashboard!$E48&lt;=2), Dashboard!$E48, 0)</f>
        <v>1.2347954940521071</v>
      </c>
      <c r="D71" s="527">
        <f>IF(AND(Dashboard!$E48&gt;2, Dashboard!$E48&lt;=3), Dashboard!$E48, 0)</f>
        <v>0</v>
      </c>
      <c r="E71" s="527">
        <f>IF(AND(Dashboard!$E48&gt;3, Dashboard!$E48&lt;=4), Dashboard!$E48, 0)</f>
        <v>0</v>
      </c>
      <c r="F71" s="527">
        <f>IF(Dashboard!$E48&gt;4, Dashboard!$E48, 0)</f>
        <v>0</v>
      </c>
      <c r="G71" s="864"/>
      <c r="H71" s="524" t="str">
        <f>Dashboard!D48</f>
        <v>Honduras</v>
      </c>
      <c r="I71" s="758">
        <f>Dashboard!E48</f>
        <v>1.2347954940521071</v>
      </c>
      <c r="J71" s="759">
        <f>INDEX(ChartData!$B$87:$F$112, MATCH(Dashboard!D48, ChartData!$A$87:$A$112, 0), MATCH(Dashboard!$E$25, ChartData!$B$86:$F$86, 0))</f>
        <v>1.2771506234984886</v>
      </c>
      <c r="K71" s="805">
        <f>IFERROR(Dashboard!E48/J71-1, 0)</f>
        <v>-3.3163769932130993E-2</v>
      </c>
    </row>
    <row r="72" spans="1:11" ht="14.25" customHeight="1" x14ac:dyDescent="0.2">
      <c r="A72" s="544" t="str">
        <f>Dashboard!D49</f>
        <v>El Salvador</v>
      </c>
      <c r="B72" s="527">
        <f>IF(Dashboard!$E49&lt;=1, Dashboard!$E49, 0)</f>
        <v>0</v>
      </c>
      <c r="C72" s="527">
        <f>IF(AND(Dashboard!$E49&gt;1, Dashboard!$E49&lt;=2), Dashboard!$E49, 0)</f>
        <v>1.0829763396265171</v>
      </c>
      <c r="D72" s="527">
        <f>IF(AND(Dashboard!$E49&gt;2, Dashboard!$E49&lt;=3), Dashboard!$E49, 0)</f>
        <v>0</v>
      </c>
      <c r="E72" s="527">
        <f>IF(AND(Dashboard!$E49&gt;3, Dashboard!$E49&lt;=4), Dashboard!$E49, 0)</f>
        <v>0</v>
      </c>
      <c r="F72" s="527">
        <f>IF(Dashboard!$E49&gt;4, Dashboard!$E49, 0)</f>
        <v>0</v>
      </c>
      <c r="G72" s="864"/>
      <c r="H72" s="524" t="str">
        <f>Dashboard!D49</f>
        <v>El Salvador</v>
      </c>
      <c r="I72" s="758">
        <f>Dashboard!E49</f>
        <v>1.0829763396265171</v>
      </c>
      <c r="J72" s="759">
        <f>INDEX(ChartData!$B$87:$F$112, MATCH(Dashboard!D49, ChartData!$A$87:$A$112, 0), MATCH(Dashboard!$E$25, ChartData!$B$86:$F$86, 0))</f>
        <v>1.1919451848807634</v>
      </c>
      <c r="K72" s="805">
        <f>IFERROR(Dashboard!E49/J72-1, 0)</f>
        <v>-9.1421020560729094E-2</v>
      </c>
    </row>
    <row r="73" spans="1:11" ht="14.25" customHeight="1" x14ac:dyDescent="0.2">
      <c r="A73" s="544" t="str">
        <f>Dashboard!D50</f>
        <v>Belize</v>
      </c>
      <c r="B73" s="527">
        <f>IF(Dashboard!$E50&lt;=1, Dashboard!$E50, 0)</f>
        <v>0.99838461685035851</v>
      </c>
      <c r="C73" s="527">
        <f>IF(AND(Dashboard!$E50&gt;1, Dashboard!$E50&lt;=2), Dashboard!$E50, 0)</f>
        <v>0</v>
      </c>
      <c r="D73" s="527">
        <f>IF(AND(Dashboard!$E50&gt;2, Dashboard!$E50&lt;=3), Dashboard!$E50, 0)</f>
        <v>0</v>
      </c>
      <c r="E73" s="527">
        <f>IF(AND(Dashboard!$E50&gt;3, Dashboard!$E50&lt;=4), Dashboard!$E50, 0)</f>
        <v>0</v>
      </c>
      <c r="F73" s="527">
        <f>IF(Dashboard!$E50&gt;4, Dashboard!$E50, 0)</f>
        <v>0</v>
      </c>
      <c r="G73" s="864"/>
      <c r="H73" s="524" t="str">
        <f>Dashboard!D50</f>
        <v>Belize</v>
      </c>
      <c r="I73" s="758">
        <f>Dashboard!E50</f>
        <v>0.99838461685035851</v>
      </c>
      <c r="J73" s="759">
        <f>INDEX(ChartData!$B$87:$F$112, MATCH(Dashboard!D50, ChartData!$A$87:$A$112, 0), MATCH(Dashboard!$E$25, ChartData!$B$86:$F$86, 0))</f>
        <v>0.98610820888243556</v>
      </c>
      <c r="K73" s="805">
        <f>IFERROR(Dashboard!E50/J73-1, 0)</f>
        <v>1.2449351762151784E-2</v>
      </c>
    </row>
    <row r="74" spans="1:11" ht="14.25" customHeight="1" x14ac:dyDescent="0.2">
      <c r="A74" s="544" t="str">
        <f>Dashboard!D51</f>
        <v>Jamaica</v>
      </c>
      <c r="B74" s="527">
        <f>IF(Dashboard!$E51&lt;=1, Dashboard!$E51, 0)</f>
        <v>0.93559969189148329</v>
      </c>
      <c r="C74" s="527">
        <f>IF(AND(Dashboard!$E51&gt;1, Dashboard!$E51&lt;=2), Dashboard!$E51, 0)</f>
        <v>0</v>
      </c>
      <c r="D74" s="527">
        <f>IF(AND(Dashboard!$E51&gt;2, Dashboard!$E51&lt;=3), Dashboard!$E51, 0)</f>
        <v>0</v>
      </c>
      <c r="E74" s="527">
        <f>IF(AND(Dashboard!$E51&gt;3, Dashboard!$E51&lt;=4), Dashboard!$E51, 0)</f>
        <v>0</v>
      </c>
      <c r="F74" s="527">
        <f>IF(Dashboard!$E51&gt;4, Dashboard!$E51, 0)</f>
        <v>0</v>
      </c>
      <c r="G74" s="864"/>
      <c r="H74" s="524" t="str">
        <f>Dashboard!D51</f>
        <v>Jamaica</v>
      </c>
      <c r="I74" s="758">
        <f>Dashboard!E51</f>
        <v>0.93559969189148329</v>
      </c>
      <c r="J74" s="759">
        <f>INDEX(ChartData!$B$87:$F$112, MATCH(Dashboard!D51, ChartData!$A$87:$A$112, 0), MATCH(Dashboard!$E$25, ChartData!$B$86:$F$86, 0))</f>
        <v>1.0181691521813248</v>
      </c>
      <c r="K74" s="805">
        <f>IFERROR(Dashboard!E51/J74-1, 0)</f>
        <v>-8.1096014461786381E-2</v>
      </c>
    </row>
    <row r="75" spans="1:11" ht="14.25" customHeight="1" x14ac:dyDescent="0.2">
      <c r="A75" s="544" t="str">
        <f>Dashboard!D52</f>
        <v>Paraguay</v>
      </c>
      <c r="B75" s="527">
        <f>IF(Dashboard!$E52&lt;=1, Dashboard!$E52, 0)</f>
        <v>0.89780561757652433</v>
      </c>
      <c r="C75" s="527">
        <f>IF(AND(Dashboard!$E52&gt;1, Dashboard!$E52&lt;=2), Dashboard!$E52, 0)</f>
        <v>0</v>
      </c>
      <c r="D75" s="527">
        <f>IF(AND(Dashboard!$E52&gt;2, Dashboard!$E52&lt;=3), Dashboard!$E52, 0)</f>
        <v>0</v>
      </c>
      <c r="E75" s="527">
        <f>IF(AND(Dashboard!$E52&gt;3, Dashboard!$E52&lt;=4), Dashboard!$E52, 0)</f>
        <v>0</v>
      </c>
      <c r="F75" s="527">
        <f>IF(Dashboard!$E52&gt;4, Dashboard!$E52, 0)</f>
        <v>0</v>
      </c>
      <c r="G75" s="864"/>
      <c r="H75" s="524" t="str">
        <f>Dashboard!D52</f>
        <v>Paraguay</v>
      </c>
      <c r="I75" s="758">
        <f>Dashboard!E52</f>
        <v>0.89780561757652433</v>
      </c>
      <c r="J75" s="759">
        <f>INDEX(ChartData!$B$87:$F$112, MATCH(Dashboard!D52, ChartData!$A$87:$A$112, 0), MATCH(Dashboard!$E$25, ChartData!$B$86:$F$86, 0))</f>
        <v>0.85601394305767264</v>
      </c>
      <c r="K75" s="805">
        <f>IFERROR(Dashboard!E52/J75-1, 0)</f>
        <v>4.8821254440754025E-2</v>
      </c>
    </row>
    <row r="76" spans="1:11" ht="14.25" customHeight="1" x14ac:dyDescent="0.2">
      <c r="A76" s="544" t="str">
        <f>Dashboard!D53</f>
        <v>Bolivia</v>
      </c>
      <c r="B76" s="527">
        <f>IF(Dashboard!$E53&lt;=1, Dashboard!$E53, 0)</f>
        <v>0.86145895525760319</v>
      </c>
      <c r="C76" s="527">
        <f>IF(AND(Dashboard!$E53&gt;1, Dashboard!$E53&lt;=2), Dashboard!$E53, 0)</f>
        <v>0</v>
      </c>
      <c r="D76" s="527">
        <f>IF(AND(Dashboard!$E53&gt;2, Dashboard!$E53&lt;=3), Dashboard!$E53, 0)</f>
        <v>0</v>
      </c>
      <c r="E76" s="527">
        <f>IF(AND(Dashboard!$E53&gt;3, Dashboard!$E53&lt;=4), Dashboard!$E53, 0)</f>
        <v>0</v>
      </c>
      <c r="F76" s="527">
        <f>IF(Dashboard!$E53&gt;4, Dashboard!$E53, 0)</f>
        <v>0</v>
      </c>
      <c r="G76" s="864"/>
      <c r="H76" s="524" t="str">
        <f>Dashboard!D53</f>
        <v>Bolivia</v>
      </c>
      <c r="I76" s="758">
        <f>Dashboard!E53</f>
        <v>0.86145895525760319</v>
      </c>
      <c r="J76" s="759">
        <f>INDEX(ChartData!$B$87:$F$112, MATCH(Dashboard!D53, ChartData!$A$87:$A$112, 0), MATCH(Dashboard!$E$25, ChartData!$B$86:$F$86, 0))</f>
        <v>0.84381731749091005</v>
      </c>
      <c r="K76" s="805">
        <f>IFERROR(Dashboard!E53/J76-1, 0)</f>
        <v>2.0906939690631843E-2</v>
      </c>
    </row>
    <row r="77" spans="1:11" ht="14.25" customHeight="1" x14ac:dyDescent="0.2">
      <c r="A77" s="544" t="str">
        <f>Dashboard!D54</f>
        <v>Venezuela</v>
      </c>
      <c r="B77" s="527">
        <f>IF(Dashboard!$E54&lt;=1, Dashboard!$E54, 0)</f>
        <v>0.80918593246217529</v>
      </c>
      <c r="C77" s="527">
        <f>IF(AND(Dashboard!$E54&gt;1, Dashboard!$E54&lt;=2), Dashboard!$E54, 0)</f>
        <v>0</v>
      </c>
      <c r="D77" s="527">
        <f>IF(AND(Dashboard!$E54&gt;2, Dashboard!$E54&lt;=3), Dashboard!$E54, 0)</f>
        <v>0</v>
      </c>
      <c r="E77" s="527">
        <f>IF(AND(Dashboard!$E54&gt;3, Dashboard!$E54&lt;=4), Dashboard!$E54, 0)</f>
        <v>0</v>
      </c>
      <c r="F77" s="527">
        <f>IF(Dashboard!$E54&gt;4, Dashboard!$E54, 0)</f>
        <v>0</v>
      </c>
      <c r="G77" s="864"/>
      <c r="H77" s="524" t="str">
        <f>Dashboard!D54</f>
        <v>Venezuela</v>
      </c>
      <c r="I77" s="758">
        <f>Dashboard!E54</f>
        <v>0.80918593246217529</v>
      </c>
      <c r="J77" s="759">
        <f>INDEX(ChartData!$B$87:$F$112, MATCH(Dashboard!D54, ChartData!$A$87:$A$112, 0), MATCH(Dashboard!$E$25, ChartData!$B$86:$F$86, 0))</f>
        <v>0.36528056849441504</v>
      </c>
      <c r="K77" s="805">
        <f>IFERROR(Dashboard!E54/J77-1, 0)</f>
        <v>1.215244943900013</v>
      </c>
    </row>
    <row r="78" spans="1:11" ht="14.25" customHeight="1" x14ac:dyDescent="0.2">
      <c r="A78" s="544" t="str">
        <f>Dashboard!D55</f>
        <v>Bahamas</v>
      </c>
      <c r="B78" s="527">
        <f>IF(Dashboard!$E55&lt;=1, Dashboard!$E55, 0)</f>
        <v>0.79773499210786503</v>
      </c>
      <c r="C78" s="527">
        <f>IF(AND(Dashboard!$E55&gt;1, Dashboard!$E55&lt;=2), Dashboard!$E55, 0)</f>
        <v>0</v>
      </c>
      <c r="D78" s="527">
        <f>IF(AND(Dashboard!$E55&gt;2, Dashboard!$E55&lt;=3), Dashboard!$E55, 0)</f>
        <v>0</v>
      </c>
      <c r="E78" s="527">
        <f>IF(AND(Dashboard!$E55&gt;3, Dashboard!$E55&lt;=4), Dashboard!$E55, 0)</f>
        <v>0</v>
      </c>
      <c r="F78" s="527">
        <f>IF(Dashboard!$E55&gt;4, Dashboard!$E55, 0)</f>
        <v>0</v>
      </c>
      <c r="G78" s="864"/>
      <c r="H78" s="524" t="str">
        <f>Dashboard!D55</f>
        <v>Bahamas</v>
      </c>
      <c r="I78" s="758">
        <f>Dashboard!E55</f>
        <v>0.79773499210786503</v>
      </c>
      <c r="J78" s="759">
        <f>INDEX(ChartData!$B$87:$F$112, MATCH(Dashboard!D55, ChartData!$A$87:$A$112, 0), MATCH(Dashboard!$E$25, ChartData!$B$86:$F$86, 0))</f>
        <v>0.54316349351476079</v>
      </c>
      <c r="K78" s="805">
        <f>IFERROR(Dashboard!E55/J78-1, 0)</f>
        <v>0.46868300545346964</v>
      </c>
    </row>
    <row r="79" spans="1:11" ht="14.25" customHeight="1" x14ac:dyDescent="0.2">
      <c r="A79" s="544" t="str">
        <f>Dashboard!D56</f>
        <v>Haiti</v>
      </c>
      <c r="B79" s="527">
        <f>IF(Dashboard!$E56&lt;=1, Dashboard!$E56, 0)</f>
        <v>0.710515676647688</v>
      </c>
      <c r="C79" s="527">
        <f>IF(AND(Dashboard!$E56&gt;1, Dashboard!$E56&lt;=2), Dashboard!$E56, 0)</f>
        <v>0</v>
      </c>
      <c r="D79" s="527">
        <f>IF(AND(Dashboard!$E56&gt;2, Dashboard!$E56&lt;=3), Dashboard!$E56, 0)</f>
        <v>0</v>
      </c>
      <c r="E79" s="527">
        <f>IF(AND(Dashboard!$E56&gt;3, Dashboard!$E56&lt;=4), Dashboard!$E56, 0)</f>
        <v>0</v>
      </c>
      <c r="F79" s="527">
        <f>IF(Dashboard!$E56&gt;4, Dashboard!$E56, 0)</f>
        <v>0</v>
      </c>
      <c r="G79" s="864"/>
      <c r="H79" s="524" t="str">
        <f>Dashboard!D56</f>
        <v>Haiti</v>
      </c>
      <c r="I79" s="758">
        <f>Dashboard!E56</f>
        <v>0.710515676647688</v>
      </c>
      <c r="J79" s="759">
        <f>INDEX(ChartData!$B$87:$F$112, MATCH(Dashboard!D56, ChartData!$A$87:$A$112, 0), MATCH(Dashboard!$E$25, ChartData!$B$86:$F$86, 0))</f>
        <v>0.44025599907299157</v>
      </c>
      <c r="K79" s="805">
        <f>IFERROR(Dashboard!E56/J79-1, 0)</f>
        <v>0.61386938086876386</v>
      </c>
    </row>
    <row r="80" spans="1:11" ht="14.25" customHeight="1" x14ac:dyDescent="0.2">
      <c r="A80" s="544" t="str">
        <f>Dashboard!D57</f>
        <v>Guyana</v>
      </c>
      <c r="B80" s="527">
        <f>IF(Dashboard!$E57&lt;=1, Dashboard!$E57, 0)</f>
        <v>0.66719937371368621</v>
      </c>
      <c r="C80" s="527">
        <f>IF(AND(Dashboard!$E57&gt;1, Dashboard!$E57&lt;=2), Dashboard!$E57, 0)</f>
        <v>0</v>
      </c>
      <c r="D80" s="527">
        <f>IF(AND(Dashboard!$E57&gt;2, Dashboard!$E57&lt;=3), Dashboard!$E57, 0)</f>
        <v>0</v>
      </c>
      <c r="E80" s="527">
        <f>IF(AND(Dashboard!$E57&gt;3, Dashboard!$E57&lt;=4), Dashboard!$E57, 0)</f>
        <v>0</v>
      </c>
      <c r="F80" s="527">
        <f>IF(Dashboard!$E57&gt;4, Dashboard!$E57, 0)</f>
        <v>0</v>
      </c>
      <c r="G80" s="864"/>
      <c r="H80" s="524" t="str">
        <f>Dashboard!D57</f>
        <v>Guyana</v>
      </c>
      <c r="I80" s="758">
        <f>Dashboard!E57</f>
        <v>0.66719937371368621</v>
      </c>
      <c r="J80" s="759">
        <f>INDEX(ChartData!$B$87:$F$112, MATCH(Dashboard!D57, ChartData!$A$87:$A$112, 0), MATCH(Dashboard!$E$25, ChartData!$B$86:$F$86, 0))</f>
        <v>0.3835889564809305</v>
      </c>
      <c r="K80" s="805">
        <f>IFERROR(Dashboard!E57/J80-1, 0)</f>
        <v>0.73936022516032707</v>
      </c>
    </row>
    <row r="81" spans="1:11" ht="14.25" customHeight="1" x14ac:dyDescent="0.2">
      <c r="A81" s="544" t="str">
        <f>Dashboard!D58</f>
        <v>Trinidad &amp; Tobago</v>
      </c>
      <c r="B81" s="527">
        <f>IF(Dashboard!$E58&lt;=1, Dashboard!$E58, 0)</f>
        <v>0.537315372514797</v>
      </c>
      <c r="C81" s="527">
        <f>IF(AND(Dashboard!$E58&gt;1, Dashboard!$E58&lt;=2), Dashboard!$E58, 0)</f>
        <v>0</v>
      </c>
      <c r="D81" s="527">
        <f>IF(AND(Dashboard!$E58&gt;2, Dashboard!$E58&lt;=3), Dashboard!$E58, 0)</f>
        <v>0</v>
      </c>
      <c r="E81" s="527">
        <f>IF(AND(Dashboard!$E58&gt;3, Dashboard!$E58&lt;=4), Dashboard!$E58, 0)</f>
        <v>0</v>
      </c>
      <c r="F81" s="527">
        <f>IF(Dashboard!$E58&gt;4, Dashboard!$E58, 0)</f>
        <v>0</v>
      </c>
      <c r="G81" s="864"/>
      <c r="H81" s="524" t="str">
        <f>Dashboard!D58</f>
        <v>Trinidad &amp; Tobago</v>
      </c>
      <c r="I81" s="758">
        <f>Dashboard!E58</f>
        <v>0.537315372514797</v>
      </c>
      <c r="J81" s="759">
        <f>INDEX(ChartData!$B$87:$F$112, MATCH(Dashboard!D58, ChartData!$A$87:$A$112, 0), MATCH(Dashboard!$E$25, ChartData!$B$86:$F$86, 0))</f>
        <v>0.42023664698592167</v>
      </c>
      <c r="K81" s="805">
        <f>IFERROR(Dashboard!E58/J81-1, 0)</f>
        <v>0.27860189340602082</v>
      </c>
    </row>
    <row r="82" spans="1:11" ht="14.25" customHeight="1" x14ac:dyDescent="0.2">
      <c r="A82" s="544" t="str">
        <f>Dashboard!D59</f>
        <v>Barbados</v>
      </c>
      <c r="B82" s="527">
        <f>IF(Dashboard!$E59&lt;=1, Dashboard!$E59, 0)</f>
        <v>0.44607825642070192</v>
      </c>
      <c r="C82" s="527">
        <f>IF(AND(Dashboard!$E59&gt;1, Dashboard!$E59&lt;=2), Dashboard!$E59, 0)</f>
        <v>0</v>
      </c>
      <c r="D82" s="527">
        <f>IF(AND(Dashboard!$E59&gt;2, Dashboard!$E59&lt;=3), Dashboard!$E59, 0)</f>
        <v>0</v>
      </c>
      <c r="E82" s="527">
        <f>IF(AND(Dashboard!$E59&gt;3, Dashboard!$E59&lt;=4), Dashboard!$E59, 0)</f>
        <v>0</v>
      </c>
      <c r="F82" s="527">
        <f>IF(Dashboard!$E59&gt;4, Dashboard!$E59, 0)</f>
        <v>0</v>
      </c>
      <c r="G82" s="864"/>
      <c r="H82" s="524" t="str">
        <f>Dashboard!D59</f>
        <v>Barbados</v>
      </c>
      <c r="I82" s="758">
        <f>Dashboard!E59</f>
        <v>0.44607825642070192</v>
      </c>
      <c r="J82" s="759">
        <f>INDEX(ChartData!$B$87:$F$112, MATCH(Dashboard!D59, ChartData!$A$87:$A$112, 0), MATCH(Dashboard!$E$25, ChartData!$B$86:$F$86, 0))</f>
        <v>0.57866038066252412</v>
      </c>
      <c r="K82" s="805">
        <f>IFERROR(Dashboard!E59/J82-1, 0)</f>
        <v>-0.2291190630504637</v>
      </c>
    </row>
    <row r="83" spans="1:11" ht="14.25" customHeight="1" x14ac:dyDescent="0.2">
      <c r="A83" s="545" t="str">
        <f>Dashboard!D60</f>
        <v>Suriname</v>
      </c>
      <c r="B83" s="531">
        <f>IF(Dashboard!$E60&lt;=1, Dashboard!$E60, 0)</f>
        <v>0.33322524459315506</v>
      </c>
      <c r="C83" s="531">
        <f>IF(AND(Dashboard!$E60&gt;1, Dashboard!$E60&lt;=2), Dashboard!$E60, 0)</f>
        <v>0</v>
      </c>
      <c r="D83" s="531">
        <f>IF(AND(Dashboard!$E60&gt;2, Dashboard!$E60&lt;=3), Dashboard!$E60, 0)</f>
        <v>0</v>
      </c>
      <c r="E83" s="531">
        <f>IF(AND(Dashboard!$E60&gt;3, Dashboard!$E60&lt;=4), Dashboard!$E60, 0)</f>
        <v>0</v>
      </c>
      <c r="F83" s="861">
        <f>IF(Dashboard!$E60&gt;4, Dashboard!$E60, 0)</f>
        <v>0</v>
      </c>
      <c r="G83" s="865"/>
      <c r="H83" s="10" t="str">
        <f>Dashboard!D60</f>
        <v>Suriname</v>
      </c>
      <c r="I83" s="761">
        <f>Dashboard!E60</f>
        <v>0.33322524459315506</v>
      </c>
      <c r="J83" s="762">
        <f>INDEX(ChartData!$B$87:$F$112, MATCH(Dashboard!D60, ChartData!$A$87:$A$112, 0), MATCH(Dashboard!$E$25, ChartData!$B$86:$F$86, 0))</f>
        <v>0.29243098215818608</v>
      </c>
      <c r="K83" s="805">
        <f>IFERROR(Dashboard!E60/J83-1, 0)</f>
        <v>0.13950048019502237</v>
      </c>
    </row>
    <row r="84" spans="1:11" ht="14.25" customHeight="1" x14ac:dyDescent="0.2">
      <c r="A84" s="159"/>
      <c r="B84" s="141"/>
      <c r="C84" s="141"/>
      <c r="D84" s="141"/>
      <c r="E84" s="141"/>
      <c r="F84" s="141"/>
      <c r="G84" s="141"/>
      <c r="H84" s="139"/>
      <c r="I84" s="139"/>
      <c r="J84" s="139"/>
      <c r="K84" s="139"/>
    </row>
    <row r="85" spans="1:11" ht="14.25" customHeight="1" x14ac:dyDescent="0.2">
      <c r="A85" s="849" t="s">
        <v>1745</v>
      </c>
      <c r="B85" s="850"/>
      <c r="C85" s="850"/>
      <c r="D85" s="850"/>
      <c r="E85" s="850"/>
      <c r="F85" s="851"/>
      <c r="G85" s="141"/>
    </row>
    <row r="86" spans="1:11" ht="14.25" customHeight="1" x14ac:dyDescent="0.2">
      <c r="A86" s="846" t="s">
        <v>0</v>
      </c>
      <c r="B86" s="847" t="s">
        <v>1727</v>
      </c>
      <c r="C86" s="847" t="s">
        <v>1728</v>
      </c>
      <c r="D86" s="847" t="s">
        <v>1729</v>
      </c>
      <c r="E86" s="847" t="s">
        <v>1730</v>
      </c>
      <c r="F86" s="848" t="s">
        <v>1731</v>
      </c>
      <c r="G86" s="139"/>
    </row>
    <row r="87" spans="1:11" ht="14.25" customHeight="1" x14ac:dyDescent="0.2">
      <c r="A87" s="525" t="s">
        <v>4</v>
      </c>
      <c r="B87" s="758">
        <v>1.3234821837251658</v>
      </c>
      <c r="C87" s="758">
        <v>1.6807650892981638</v>
      </c>
      <c r="D87" s="758">
        <v>0.62417049335300034</v>
      </c>
      <c r="E87" s="758">
        <v>1.78125</v>
      </c>
      <c r="F87" s="759">
        <v>1.4289999999999998</v>
      </c>
      <c r="G87" s="139"/>
    </row>
    <row r="88" spans="1:11" ht="14.25" customHeight="1" x14ac:dyDescent="0.2">
      <c r="A88" s="525" t="s">
        <v>5</v>
      </c>
      <c r="B88" s="758">
        <v>0.54316349351476079</v>
      </c>
      <c r="C88" s="758">
        <v>0.50122624559135287</v>
      </c>
      <c r="D88" s="758">
        <v>0.93165998426073171</v>
      </c>
      <c r="E88" s="758">
        <v>0.34375</v>
      </c>
      <c r="F88" s="759">
        <v>0.14400000000000002</v>
      </c>
      <c r="G88" s="139"/>
    </row>
    <row r="89" spans="1:11" ht="14.25" customHeight="1" x14ac:dyDescent="0.2">
      <c r="A89" s="525" t="s">
        <v>6</v>
      </c>
      <c r="B89" s="758">
        <v>0.57866038066252412</v>
      </c>
      <c r="C89" s="758">
        <v>0.9537279541454371</v>
      </c>
      <c r="D89" s="758">
        <v>0.57910566334783065</v>
      </c>
      <c r="E89" s="758">
        <v>0.234375</v>
      </c>
      <c r="F89" s="759">
        <v>0</v>
      </c>
      <c r="G89" s="139"/>
    </row>
    <row r="90" spans="1:11" ht="14.25" customHeight="1" x14ac:dyDescent="0.2">
      <c r="A90" s="525" t="s">
        <v>143</v>
      </c>
      <c r="B90" s="758">
        <v>0.98610820888243556</v>
      </c>
      <c r="C90" s="758">
        <v>1.785043646633637</v>
      </c>
      <c r="D90" s="758">
        <v>0.56663583409660201</v>
      </c>
      <c r="E90" s="758">
        <v>0.125</v>
      </c>
      <c r="F90" s="759">
        <v>0.44800000000000006</v>
      </c>
      <c r="G90" s="139"/>
    </row>
    <row r="91" spans="1:11" ht="14.25" customHeight="1" x14ac:dyDescent="0.2">
      <c r="A91" s="525" t="s">
        <v>7</v>
      </c>
      <c r="B91" s="758">
        <v>0.84381731749091005</v>
      </c>
      <c r="C91" s="758">
        <v>1.3168415293108973</v>
      </c>
      <c r="D91" s="758">
        <v>0.73372735255517085</v>
      </c>
      <c r="E91" s="758">
        <v>0.265625</v>
      </c>
      <c r="F91" s="759">
        <v>0.35199999999999998</v>
      </c>
      <c r="G91" s="139"/>
    </row>
    <row r="92" spans="1:11" ht="14.25" customHeight="1" x14ac:dyDescent="0.2">
      <c r="A92" s="525" t="s">
        <v>31</v>
      </c>
      <c r="B92" s="758">
        <v>2.6392086818633107</v>
      </c>
      <c r="C92" s="758">
        <v>2.5981597183644327</v>
      </c>
      <c r="D92" s="758">
        <v>2.0818159817251258</v>
      </c>
      <c r="E92" s="758">
        <v>4.25</v>
      </c>
      <c r="F92" s="759">
        <v>2.7519999999999998</v>
      </c>
      <c r="G92" s="139"/>
    </row>
    <row r="93" spans="1:11" ht="14.25" customHeight="1" x14ac:dyDescent="0.2">
      <c r="A93" s="525" t="s">
        <v>8</v>
      </c>
      <c r="B93" s="758">
        <v>1.7245935827534666</v>
      </c>
      <c r="C93" s="758">
        <v>1.9970607098197386</v>
      </c>
      <c r="D93" s="758">
        <v>0.59078227813651973</v>
      </c>
      <c r="E93" s="758">
        <v>2.8125</v>
      </c>
      <c r="F93" s="759">
        <v>2.3364230769230772</v>
      </c>
      <c r="G93" s="139"/>
    </row>
    <row r="94" spans="1:11" ht="14.25" customHeight="1" x14ac:dyDescent="0.2">
      <c r="A94" s="525" t="s">
        <v>9</v>
      </c>
      <c r="B94" s="758">
        <v>1.6288488725546042</v>
      </c>
      <c r="C94" s="758">
        <v>2.2005292540117511</v>
      </c>
      <c r="D94" s="758">
        <v>0.66912390316634496</v>
      </c>
      <c r="E94" s="758">
        <v>1.625</v>
      </c>
      <c r="F94" s="759">
        <v>1.927</v>
      </c>
      <c r="G94" s="139"/>
    </row>
    <row r="95" spans="1:11" ht="14.25" customHeight="1" x14ac:dyDescent="0.2">
      <c r="A95" s="525" t="s">
        <v>10</v>
      </c>
      <c r="B95" s="758">
        <v>1.4667168270115289</v>
      </c>
      <c r="C95" s="758">
        <v>1.459905759129603</v>
      </c>
      <c r="D95" s="758">
        <v>1.460473411198959</v>
      </c>
      <c r="E95" s="758">
        <v>1.828125</v>
      </c>
      <c r="F95" s="759">
        <v>1.3090000000000002</v>
      </c>
      <c r="G95" s="139"/>
    </row>
    <row r="96" spans="1:11" ht="14.25" customHeight="1" x14ac:dyDescent="0.2">
      <c r="A96" s="525" t="s">
        <v>11</v>
      </c>
      <c r="B96" s="758">
        <v>1.0667754233119626</v>
      </c>
      <c r="C96" s="758">
        <v>1.913494578260392</v>
      </c>
      <c r="D96" s="758">
        <v>0.15809197335935127</v>
      </c>
      <c r="E96" s="758">
        <v>0.4375</v>
      </c>
      <c r="F96" s="759">
        <v>1.0510000000000002</v>
      </c>
      <c r="G96" s="139"/>
    </row>
    <row r="97" spans="1:7" ht="14.25" customHeight="1" x14ac:dyDescent="0.2">
      <c r="A97" s="525" t="s">
        <v>12</v>
      </c>
      <c r="B97" s="758">
        <v>1.1431617989982708</v>
      </c>
      <c r="C97" s="758">
        <v>1.447848162012779</v>
      </c>
      <c r="D97" s="758">
        <v>0.79374178064386458</v>
      </c>
      <c r="E97" s="758">
        <v>0.375</v>
      </c>
      <c r="F97" s="759">
        <v>1.4419999999999999</v>
      </c>
      <c r="G97" s="139"/>
    </row>
    <row r="98" spans="1:7" ht="14.25" customHeight="1" x14ac:dyDescent="0.2">
      <c r="A98" s="525" t="s">
        <v>1</v>
      </c>
      <c r="B98" s="758">
        <v>1.1919451848807634</v>
      </c>
      <c r="C98" s="758">
        <v>1.875388598673021</v>
      </c>
      <c r="D98" s="758">
        <v>0.46671581803851625</v>
      </c>
      <c r="E98" s="758">
        <v>1.09375</v>
      </c>
      <c r="F98" s="759">
        <v>0.96199999999999986</v>
      </c>
      <c r="G98" s="139"/>
    </row>
    <row r="99" spans="1:7" ht="14.25" customHeight="1" x14ac:dyDescent="0.2">
      <c r="A99" s="525" t="s">
        <v>13</v>
      </c>
      <c r="B99" s="758">
        <v>1.4511521133010992</v>
      </c>
      <c r="C99" s="758">
        <v>1.6952918007596616</v>
      </c>
      <c r="D99" s="758">
        <v>1.1577429766574485</v>
      </c>
      <c r="E99" s="758">
        <v>1.203125</v>
      </c>
      <c r="F99" s="759">
        <v>1.5270000000000001</v>
      </c>
      <c r="G99" s="139"/>
    </row>
    <row r="100" spans="1:7" ht="14.25" customHeight="1" x14ac:dyDescent="0.2">
      <c r="A100" s="525" t="s">
        <v>14</v>
      </c>
      <c r="B100" s="758">
        <v>0.3835889564809305</v>
      </c>
      <c r="C100" s="758">
        <v>0.74044158665691828</v>
      </c>
      <c r="D100" s="758">
        <v>0.12716607272721051</v>
      </c>
      <c r="E100" s="758">
        <v>0.140625</v>
      </c>
      <c r="F100" s="759">
        <v>0.17599999999999999</v>
      </c>
      <c r="G100" s="139"/>
    </row>
    <row r="101" spans="1:7" ht="14.25" customHeight="1" x14ac:dyDescent="0.2">
      <c r="A101" s="525" t="s">
        <v>15</v>
      </c>
      <c r="B101" s="758">
        <v>0.44025599907299157</v>
      </c>
      <c r="C101" s="758">
        <v>0.78405193501850334</v>
      </c>
      <c r="D101" s="758">
        <v>0.35440908355196699</v>
      </c>
      <c r="E101" s="758">
        <v>0.203125</v>
      </c>
      <c r="F101" s="759">
        <v>0</v>
      </c>
      <c r="G101" s="139"/>
    </row>
    <row r="102" spans="1:7" ht="14.25" customHeight="1" x14ac:dyDescent="0.2">
      <c r="A102" s="525" t="s">
        <v>16</v>
      </c>
      <c r="B102" s="758">
        <v>1.2771506234984886</v>
      </c>
      <c r="C102" s="758">
        <v>1.537265200992296</v>
      </c>
      <c r="D102" s="758">
        <v>1.2299818103385667</v>
      </c>
      <c r="E102" s="758">
        <v>0.8125</v>
      </c>
      <c r="F102" s="759">
        <v>1.06</v>
      </c>
      <c r="G102" s="139"/>
    </row>
    <row r="103" spans="1:7" ht="14.25" customHeight="1" x14ac:dyDescent="0.2">
      <c r="A103" s="525" t="s">
        <v>17</v>
      </c>
      <c r="B103" s="758">
        <v>1.0181691521813248</v>
      </c>
      <c r="C103" s="758">
        <v>1.9432174273144174</v>
      </c>
      <c r="D103" s="758">
        <v>0.28373227085185931</v>
      </c>
      <c r="E103" s="758">
        <v>0.640625</v>
      </c>
      <c r="F103" s="759">
        <v>0.45850000000000002</v>
      </c>
      <c r="G103" s="139"/>
    </row>
    <row r="104" spans="1:7" ht="14.25" customHeight="1" x14ac:dyDescent="0.2">
      <c r="A104" s="525" t="s">
        <v>18</v>
      </c>
      <c r="B104" s="758">
        <v>1.6742704711421061</v>
      </c>
      <c r="C104" s="758">
        <v>1.443769444599565</v>
      </c>
      <c r="D104" s="758">
        <v>0.92225064434093351</v>
      </c>
      <c r="E104" s="758">
        <v>2.546875</v>
      </c>
      <c r="F104" s="759">
        <v>2.827</v>
      </c>
      <c r="G104" s="139"/>
    </row>
    <row r="105" spans="1:7" ht="14.25" customHeight="1" x14ac:dyDescent="0.2">
      <c r="A105" s="525" t="s">
        <v>2</v>
      </c>
      <c r="B105" s="758">
        <v>2.1295170295561694</v>
      </c>
      <c r="C105" s="758">
        <v>2.1399924533074377</v>
      </c>
      <c r="D105" s="758">
        <v>3.0967334941106461</v>
      </c>
      <c r="E105" s="758">
        <v>0.75</v>
      </c>
      <c r="F105" s="759">
        <v>1.3475000000000001</v>
      </c>
      <c r="G105" s="139"/>
    </row>
    <row r="106" spans="1:7" ht="14.25" customHeight="1" x14ac:dyDescent="0.2">
      <c r="A106" s="525" t="s">
        <v>19</v>
      </c>
      <c r="B106" s="758">
        <v>1.965658840004143</v>
      </c>
      <c r="C106" s="758">
        <v>2.7118785091738569</v>
      </c>
      <c r="D106" s="758">
        <v>0.71239978778199997</v>
      </c>
      <c r="E106" s="758">
        <v>1.171875</v>
      </c>
      <c r="F106" s="759">
        <v>2.75</v>
      </c>
      <c r="G106" s="139"/>
    </row>
    <row r="107" spans="1:7" ht="14.25" customHeight="1" x14ac:dyDescent="0.2">
      <c r="A107" s="525" t="s">
        <v>3</v>
      </c>
      <c r="B107" s="758">
        <v>0.85601394305767264</v>
      </c>
      <c r="C107" s="758">
        <v>0.90913119732188274</v>
      </c>
      <c r="D107" s="758">
        <v>1.2515382137630642</v>
      </c>
      <c r="E107" s="758">
        <v>0.5</v>
      </c>
      <c r="F107" s="759">
        <v>0.33449999999999991</v>
      </c>
      <c r="G107" s="139"/>
    </row>
    <row r="108" spans="1:7" ht="14.25" customHeight="1" x14ac:dyDescent="0.2">
      <c r="A108" s="525" t="s">
        <v>20</v>
      </c>
      <c r="B108" s="758">
        <v>1.726771632096598</v>
      </c>
      <c r="C108" s="758">
        <v>2.1408736664055228</v>
      </c>
      <c r="D108" s="758">
        <v>1.3968655517812956</v>
      </c>
      <c r="E108" s="758">
        <v>1.890625</v>
      </c>
      <c r="F108" s="759">
        <v>1.3114999999999999</v>
      </c>
      <c r="G108" s="139"/>
    </row>
    <row r="109" spans="1:7" ht="14.25" customHeight="1" x14ac:dyDescent="0.2">
      <c r="A109" s="525" t="s">
        <v>21</v>
      </c>
      <c r="B109" s="758">
        <v>0.29243098215818608</v>
      </c>
      <c r="C109" s="758">
        <v>0.58370614991895486</v>
      </c>
      <c r="D109" s="758">
        <v>0.17566174063534684</v>
      </c>
      <c r="E109" s="758">
        <v>6.25E-2</v>
      </c>
      <c r="F109" s="759">
        <v>0</v>
      </c>
      <c r="G109" s="139"/>
    </row>
    <row r="110" spans="1:7" ht="14.25" customHeight="1" x14ac:dyDescent="0.2">
      <c r="A110" s="525" t="s">
        <v>1096</v>
      </c>
      <c r="B110" s="758">
        <v>0.42023664698592167</v>
      </c>
      <c r="C110" s="758">
        <v>0.58051546391752573</v>
      </c>
      <c r="D110" s="758">
        <v>0.48093487139637109</v>
      </c>
      <c r="E110" s="758">
        <v>0.4375</v>
      </c>
      <c r="F110" s="759">
        <v>0</v>
      </c>
      <c r="G110" s="139"/>
    </row>
    <row r="111" spans="1:7" ht="14.25" customHeight="1" x14ac:dyDescent="0.2">
      <c r="A111" s="525" t="s">
        <v>22</v>
      </c>
      <c r="B111" s="758">
        <v>1.3774854189336647</v>
      </c>
      <c r="C111" s="758">
        <v>1.9298190971650586</v>
      </c>
      <c r="D111" s="758">
        <v>1.1330676002254694</v>
      </c>
      <c r="E111" s="758">
        <v>1.484375</v>
      </c>
      <c r="F111" s="759">
        <v>0.58600000000000008</v>
      </c>
      <c r="G111" s="139"/>
    </row>
    <row r="112" spans="1:7" ht="14.25" customHeight="1" x14ac:dyDescent="0.2">
      <c r="A112" s="760" t="s">
        <v>23</v>
      </c>
      <c r="B112" s="761">
        <v>0.36528056849441504</v>
      </c>
      <c r="C112" s="761">
        <v>0.57525370147312926</v>
      </c>
      <c r="D112" s="761">
        <v>0.25268029301721084</v>
      </c>
      <c r="E112" s="761">
        <v>0.59375</v>
      </c>
      <c r="F112" s="762">
        <v>0</v>
      </c>
      <c r="G112" s="139"/>
    </row>
    <row r="113" spans="1:7" ht="14.25" customHeight="1" x14ac:dyDescent="0.2">
      <c r="A113" s="141"/>
      <c r="B113" s="141"/>
      <c r="C113" s="141"/>
      <c r="D113" s="141"/>
      <c r="E113" s="141"/>
      <c r="F113" s="141"/>
      <c r="G113" s="139"/>
    </row>
    <row r="114" spans="1:7" ht="14.25" customHeight="1" x14ac:dyDescent="0.2"/>
    <row r="115" spans="1:7" ht="14.25" customHeight="1" x14ac:dyDescent="0.2"/>
    <row r="116" spans="1:7" ht="14.25" customHeight="1" x14ac:dyDescent="0.2"/>
    <row r="117" spans="1:7" ht="14.25" customHeight="1" x14ac:dyDescent="0.2"/>
    <row r="118" spans="1:7" ht="14.25" customHeight="1" x14ac:dyDescent="0.2"/>
    <row r="119" spans="1:7" ht="14.25" customHeight="1" x14ac:dyDescent="0.2"/>
    <row r="120" spans="1:7" ht="14.25" customHeight="1" x14ac:dyDescent="0.2"/>
    <row r="121" spans="1:7" ht="14.25" customHeight="1" x14ac:dyDescent="0.2"/>
    <row r="122" spans="1:7" ht="14.25" customHeight="1" x14ac:dyDescent="0.2"/>
    <row r="123" spans="1:7" ht="14.25" customHeight="1" x14ac:dyDescent="0.2"/>
    <row r="124" spans="1:7" ht="14.25" customHeight="1" x14ac:dyDescent="0.2"/>
    <row r="125" spans="1:7" ht="14.25" customHeight="1" x14ac:dyDescent="0.2"/>
    <row r="126" spans="1:7" ht="14.25" customHeight="1" x14ac:dyDescent="0.2"/>
    <row r="127" spans="1:7" ht="14.25" customHeight="1" x14ac:dyDescent="0.2"/>
    <row r="128" spans="1:7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</sheetData>
  <sheetProtection password="ECD7" sheet="1" objects="1" scenarios="1"/>
  <conditionalFormatting sqref="K58:K83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G31"/>
  <sheetViews>
    <sheetView showGridLines="0" zoomScale="85" zoomScaleNormal="85" zoomScalePageLayoutView="80" workbookViewId="0">
      <pane ySplit="2" topLeftCell="A3" activePane="bottomLeft" state="frozen"/>
      <selection pane="bottomLeft" activeCell="AD64" sqref="AD64"/>
    </sheetView>
  </sheetViews>
  <sheetFormatPr defaultColWidth="8.85546875" defaultRowHeight="12.75" x14ac:dyDescent="0.2"/>
  <cols>
    <col min="1" max="1" width="29.28515625" style="97" customWidth="1"/>
    <col min="2" max="25" width="4.42578125" style="149" customWidth="1"/>
    <col min="26" max="26" width="15.5703125" style="103" customWidth="1"/>
    <col min="27" max="27" width="8.42578125" style="97" customWidth="1"/>
    <col min="28" max="29" width="9.140625" style="97" customWidth="1"/>
    <col min="30" max="16384" width="8.85546875" style="97"/>
  </cols>
  <sheetData>
    <row r="1" spans="1:33" s="50" customFormat="1" ht="21" x14ac:dyDescent="0.2">
      <c r="A1" s="295" t="s">
        <v>1542</v>
      </c>
      <c r="B1" s="307"/>
      <c r="C1" s="307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9"/>
      <c r="AA1" s="222"/>
      <c r="AB1" s="222"/>
      <c r="AC1" s="222"/>
      <c r="AD1" s="222"/>
      <c r="AE1" s="222"/>
      <c r="AF1" s="222"/>
      <c r="AG1" s="222"/>
    </row>
    <row r="2" spans="1:33" s="50" customFormat="1" ht="21" x14ac:dyDescent="0.2">
      <c r="A2" s="300"/>
      <c r="B2" s="310"/>
      <c r="C2" s="310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2"/>
      <c r="AA2" s="222"/>
      <c r="AB2" s="222"/>
      <c r="AC2" s="222"/>
      <c r="AD2" s="222"/>
      <c r="AE2" s="222"/>
      <c r="AF2" s="222"/>
      <c r="AG2" s="222"/>
    </row>
    <row r="3" spans="1:33" x14ac:dyDescent="0.2">
      <c r="Z3" s="97"/>
    </row>
    <row r="4" spans="1:33" s="213" customFormat="1" x14ac:dyDescent="0.2">
      <c r="A4" s="317" t="s">
        <v>0</v>
      </c>
      <c r="B4" s="1024" t="s">
        <v>1653</v>
      </c>
      <c r="C4" s="1024"/>
      <c r="D4" s="1024"/>
      <c r="E4" s="1024"/>
      <c r="F4" s="1024"/>
      <c r="G4" s="1025"/>
      <c r="H4" s="1023" t="s">
        <v>1654</v>
      </c>
      <c r="I4" s="1024"/>
      <c r="J4" s="1024"/>
      <c r="K4" s="1025"/>
      <c r="L4" s="1023" t="s">
        <v>1655</v>
      </c>
      <c r="M4" s="1024"/>
      <c r="N4" s="1024"/>
      <c r="O4" s="1025"/>
      <c r="P4" s="1023" t="s">
        <v>1656</v>
      </c>
      <c r="Q4" s="1024"/>
      <c r="R4" s="1024"/>
      <c r="S4" s="1024"/>
      <c r="T4" s="1024"/>
      <c r="U4" s="1025"/>
      <c r="V4" s="1023" t="s">
        <v>1657</v>
      </c>
      <c r="W4" s="1024"/>
      <c r="X4" s="1024"/>
      <c r="Y4" s="1024"/>
      <c r="Z4" s="317" t="s">
        <v>1658</v>
      </c>
    </row>
    <row r="5" spans="1:33" s="1" customFormat="1" ht="198" x14ac:dyDescent="0.2">
      <c r="A5" s="214"/>
      <c r="B5" s="215" t="s">
        <v>1286</v>
      </c>
      <c r="C5" s="216" t="s">
        <v>1287</v>
      </c>
      <c r="D5" s="216" t="s">
        <v>1288</v>
      </c>
      <c r="E5" s="216" t="s">
        <v>1289</v>
      </c>
      <c r="F5" s="216" t="s">
        <v>1290</v>
      </c>
      <c r="G5" s="216" t="s">
        <v>1291</v>
      </c>
      <c r="H5" s="215" t="s">
        <v>1292</v>
      </c>
      <c r="I5" s="216" t="s">
        <v>1293</v>
      </c>
      <c r="J5" s="216" t="s">
        <v>1294</v>
      </c>
      <c r="K5" s="217" t="s">
        <v>1295</v>
      </c>
      <c r="L5" s="216" t="s">
        <v>1296</v>
      </c>
      <c r="M5" s="216" t="s">
        <v>1297</v>
      </c>
      <c r="N5" s="216" t="s">
        <v>1298</v>
      </c>
      <c r="O5" s="216" t="s">
        <v>1299</v>
      </c>
      <c r="P5" s="215" t="s">
        <v>1300</v>
      </c>
      <c r="Q5" s="216" t="s">
        <v>1301</v>
      </c>
      <c r="R5" s="216" t="s">
        <v>1302</v>
      </c>
      <c r="S5" s="216" t="s">
        <v>1303</v>
      </c>
      <c r="T5" s="216" t="s">
        <v>1304</v>
      </c>
      <c r="U5" s="217" t="s">
        <v>1285</v>
      </c>
      <c r="V5" s="216" t="s">
        <v>1284</v>
      </c>
      <c r="W5" s="216" t="s">
        <v>1305</v>
      </c>
      <c r="X5" s="216" t="s">
        <v>1306</v>
      </c>
      <c r="Y5" s="217" t="s">
        <v>1307</v>
      </c>
      <c r="Z5" s="218"/>
    </row>
    <row r="6" spans="1:33" x14ac:dyDescent="0.2">
      <c r="A6" s="22" t="s">
        <v>4</v>
      </c>
      <c r="B6" s="647">
        <v>1</v>
      </c>
      <c r="C6" s="648">
        <v>1</v>
      </c>
      <c r="D6" s="648">
        <v>1</v>
      </c>
      <c r="E6" s="648">
        <v>1</v>
      </c>
      <c r="F6" s="648">
        <v>0</v>
      </c>
      <c r="G6" s="721">
        <v>0</v>
      </c>
      <c r="H6" s="647">
        <v>0</v>
      </c>
      <c r="I6" s="648">
        <v>0</v>
      </c>
      <c r="J6" s="648">
        <v>0</v>
      </c>
      <c r="K6" s="649">
        <v>0</v>
      </c>
      <c r="L6" s="724">
        <v>0</v>
      </c>
      <c r="M6" s="648">
        <v>0</v>
      </c>
      <c r="N6" s="648">
        <v>0</v>
      </c>
      <c r="O6" s="721">
        <v>0</v>
      </c>
      <c r="P6" s="647">
        <v>1</v>
      </c>
      <c r="Q6" s="648">
        <v>0</v>
      </c>
      <c r="R6" s="648">
        <v>0</v>
      </c>
      <c r="S6" s="648">
        <v>0</v>
      </c>
      <c r="T6" s="648">
        <v>1</v>
      </c>
      <c r="U6" s="649">
        <v>0</v>
      </c>
      <c r="V6" s="724">
        <v>0</v>
      </c>
      <c r="W6" s="648">
        <v>0</v>
      </c>
      <c r="X6" s="648">
        <v>0</v>
      </c>
      <c r="Y6" s="649">
        <v>0</v>
      </c>
      <c r="Z6" s="219">
        <f>SUM(B6:Y6)</f>
        <v>6</v>
      </c>
    </row>
    <row r="7" spans="1:33" x14ac:dyDescent="0.2">
      <c r="A7" s="22" t="s">
        <v>5</v>
      </c>
      <c r="B7" s="650">
        <v>0</v>
      </c>
      <c r="C7" s="651">
        <v>0</v>
      </c>
      <c r="D7" s="651">
        <v>0</v>
      </c>
      <c r="E7" s="651">
        <v>0</v>
      </c>
      <c r="F7" s="651">
        <v>0</v>
      </c>
      <c r="G7" s="722">
        <v>0</v>
      </c>
      <c r="H7" s="727">
        <v>0</v>
      </c>
      <c r="I7" s="720">
        <v>0</v>
      </c>
      <c r="J7" s="720">
        <v>0</v>
      </c>
      <c r="K7" s="728">
        <v>0</v>
      </c>
      <c r="L7" s="725">
        <v>0</v>
      </c>
      <c r="M7" s="651">
        <v>0</v>
      </c>
      <c r="N7" s="651">
        <v>0</v>
      </c>
      <c r="O7" s="722">
        <v>0</v>
      </c>
      <c r="P7" s="727">
        <v>0</v>
      </c>
      <c r="Q7" s="720">
        <v>0</v>
      </c>
      <c r="R7" s="720">
        <v>0</v>
      </c>
      <c r="S7" s="720">
        <v>0</v>
      </c>
      <c r="T7" s="720">
        <v>0</v>
      </c>
      <c r="U7" s="728">
        <v>0</v>
      </c>
      <c r="V7" s="725">
        <v>0</v>
      </c>
      <c r="W7" s="651">
        <v>0</v>
      </c>
      <c r="X7" s="651">
        <v>0</v>
      </c>
      <c r="Y7" s="652">
        <v>0</v>
      </c>
      <c r="Z7" s="219">
        <f>SUM(B7:Y7)</f>
        <v>0</v>
      </c>
    </row>
    <row r="8" spans="1:33" x14ac:dyDescent="0.2">
      <c r="A8" s="22" t="s">
        <v>6</v>
      </c>
      <c r="B8" s="650">
        <v>0</v>
      </c>
      <c r="C8" s="651">
        <v>1</v>
      </c>
      <c r="D8" s="651">
        <v>0</v>
      </c>
      <c r="E8" s="651">
        <v>0</v>
      </c>
      <c r="F8" s="651">
        <v>1</v>
      </c>
      <c r="G8" s="722">
        <v>0</v>
      </c>
      <c r="H8" s="727">
        <v>0</v>
      </c>
      <c r="I8" s="720">
        <v>0</v>
      </c>
      <c r="J8" s="720">
        <v>0</v>
      </c>
      <c r="K8" s="728">
        <v>0</v>
      </c>
      <c r="L8" s="725">
        <v>0</v>
      </c>
      <c r="M8" s="651">
        <v>0</v>
      </c>
      <c r="N8" s="651">
        <v>0</v>
      </c>
      <c r="O8" s="722">
        <v>0</v>
      </c>
      <c r="P8" s="727">
        <v>0</v>
      </c>
      <c r="Q8" s="720">
        <v>0</v>
      </c>
      <c r="R8" s="720">
        <v>0</v>
      </c>
      <c r="S8" s="720">
        <v>0</v>
      </c>
      <c r="T8" s="720">
        <v>0</v>
      </c>
      <c r="U8" s="728">
        <v>0</v>
      </c>
      <c r="V8" s="725">
        <v>0</v>
      </c>
      <c r="W8" s="651">
        <v>0</v>
      </c>
      <c r="X8" s="651">
        <v>0</v>
      </c>
      <c r="Y8" s="652">
        <v>0</v>
      </c>
      <c r="Z8" s="219">
        <f t="shared" ref="Z8:Z31" si="0">SUM(B8:Y8)</f>
        <v>2</v>
      </c>
    </row>
    <row r="9" spans="1:33" x14ac:dyDescent="0.2">
      <c r="A9" s="22" t="s">
        <v>143</v>
      </c>
      <c r="B9" s="650">
        <v>0</v>
      </c>
      <c r="C9" s="651">
        <v>0</v>
      </c>
      <c r="D9" s="651">
        <v>0</v>
      </c>
      <c r="E9" s="651">
        <v>0</v>
      </c>
      <c r="F9" s="651">
        <v>0</v>
      </c>
      <c r="G9" s="722">
        <v>0</v>
      </c>
      <c r="H9" s="727">
        <v>0</v>
      </c>
      <c r="I9" s="720">
        <v>0</v>
      </c>
      <c r="J9" s="720">
        <v>0</v>
      </c>
      <c r="K9" s="728">
        <v>0</v>
      </c>
      <c r="L9" s="725">
        <v>0</v>
      </c>
      <c r="M9" s="651">
        <v>0</v>
      </c>
      <c r="N9" s="651">
        <v>0</v>
      </c>
      <c r="O9" s="722">
        <v>0</v>
      </c>
      <c r="P9" s="727">
        <v>0</v>
      </c>
      <c r="Q9" s="720">
        <v>0</v>
      </c>
      <c r="R9" s="720">
        <v>0</v>
      </c>
      <c r="S9" s="720">
        <v>0</v>
      </c>
      <c r="T9" s="720">
        <v>0</v>
      </c>
      <c r="U9" s="728">
        <v>0</v>
      </c>
      <c r="V9" s="725">
        <v>0</v>
      </c>
      <c r="W9" s="651">
        <v>0</v>
      </c>
      <c r="X9" s="651">
        <v>0</v>
      </c>
      <c r="Y9" s="652">
        <v>0</v>
      </c>
      <c r="Z9" s="219">
        <f t="shared" si="0"/>
        <v>0</v>
      </c>
    </row>
    <row r="10" spans="1:33" x14ac:dyDescent="0.2">
      <c r="A10" s="22" t="s">
        <v>7</v>
      </c>
      <c r="B10" s="650">
        <v>0</v>
      </c>
      <c r="C10" s="651">
        <v>0</v>
      </c>
      <c r="D10" s="651">
        <v>0</v>
      </c>
      <c r="E10" s="651">
        <v>0</v>
      </c>
      <c r="F10" s="651">
        <v>0</v>
      </c>
      <c r="G10" s="722">
        <v>0</v>
      </c>
      <c r="H10" s="727">
        <v>0</v>
      </c>
      <c r="I10" s="720">
        <v>0</v>
      </c>
      <c r="J10" s="720">
        <v>0</v>
      </c>
      <c r="K10" s="728">
        <v>0</v>
      </c>
      <c r="L10" s="725">
        <v>0</v>
      </c>
      <c r="M10" s="651">
        <v>0</v>
      </c>
      <c r="N10" s="651">
        <v>0</v>
      </c>
      <c r="O10" s="722">
        <v>0</v>
      </c>
      <c r="P10" s="727">
        <v>0</v>
      </c>
      <c r="Q10" s="720">
        <v>0</v>
      </c>
      <c r="R10" s="720">
        <v>0</v>
      </c>
      <c r="S10" s="720">
        <v>0</v>
      </c>
      <c r="T10" s="720">
        <v>0</v>
      </c>
      <c r="U10" s="728">
        <v>0</v>
      </c>
      <c r="V10" s="725">
        <v>0</v>
      </c>
      <c r="W10" s="651">
        <v>0</v>
      </c>
      <c r="X10" s="651">
        <v>0</v>
      </c>
      <c r="Y10" s="652">
        <v>0</v>
      </c>
      <c r="Z10" s="219">
        <f t="shared" si="0"/>
        <v>0</v>
      </c>
    </row>
    <row r="11" spans="1:33" x14ac:dyDescent="0.2">
      <c r="A11" s="22" t="s">
        <v>31</v>
      </c>
      <c r="B11" s="650">
        <v>1</v>
      </c>
      <c r="C11" s="651">
        <v>0</v>
      </c>
      <c r="D11" s="651">
        <v>1</v>
      </c>
      <c r="E11" s="651">
        <v>1</v>
      </c>
      <c r="F11" s="651">
        <v>1</v>
      </c>
      <c r="G11" s="722">
        <v>1</v>
      </c>
      <c r="H11" s="727">
        <v>0</v>
      </c>
      <c r="I11" s="720">
        <v>0</v>
      </c>
      <c r="J11" s="720">
        <v>1</v>
      </c>
      <c r="K11" s="728">
        <v>0</v>
      </c>
      <c r="L11" s="725">
        <v>1</v>
      </c>
      <c r="M11" s="651">
        <v>0</v>
      </c>
      <c r="N11" s="651">
        <v>0</v>
      </c>
      <c r="O11" s="722">
        <v>0</v>
      </c>
      <c r="P11" s="727">
        <v>0</v>
      </c>
      <c r="Q11" s="720">
        <v>1</v>
      </c>
      <c r="R11" s="720">
        <v>0</v>
      </c>
      <c r="S11" s="720">
        <v>1</v>
      </c>
      <c r="T11" s="720">
        <v>1</v>
      </c>
      <c r="U11" s="728">
        <v>0</v>
      </c>
      <c r="V11" s="725">
        <v>0</v>
      </c>
      <c r="W11" s="651">
        <v>1</v>
      </c>
      <c r="X11" s="651">
        <v>0</v>
      </c>
      <c r="Y11" s="652">
        <v>0</v>
      </c>
      <c r="Z11" s="219">
        <f>SUM(B11:Y11)</f>
        <v>11</v>
      </c>
    </row>
    <row r="12" spans="1:33" x14ac:dyDescent="0.2">
      <c r="A12" s="22" t="s">
        <v>8</v>
      </c>
      <c r="B12" s="650">
        <v>0</v>
      </c>
      <c r="C12" s="651">
        <v>1</v>
      </c>
      <c r="D12" s="651">
        <v>0</v>
      </c>
      <c r="E12" s="651">
        <v>0</v>
      </c>
      <c r="F12" s="651">
        <v>1</v>
      </c>
      <c r="G12" s="722">
        <v>0</v>
      </c>
      <c r="H12" s="727">
        <v>0</v>
      </c>
      <c r="I12" s="720">
        <v>0</v>
      </c>
      <c r="J12" s="720">
        <v>0</v>
      </c>
      <c r="K12" s="728">
        <v>0</v>
      </c>
      <c r="L12" s="725">
        <v>0</v>
      </c>
      <c r="M12" s="651">
        <v>0</v>
      </c>
      <c r="N12" s="651">
        <v>0</v>
      </c>
      <c r="O12" s="722">
        <v>0</v>
      </c>
      <c r="P12" s="727">
        <v>0</v>
      </c>
      <c r="Q12" s="720">
        <v>0</v>
      </c>
      <c r="R12" s="720">
        <v>0</v>
      </c>
      <c r="S12" s="720">
        <v>0</v>
      </c>
      <c r="T12" s="720">
        <v>0</v>
      </c>
      <c r="U12" s="728">
        <v>1</v>
      </c>
      <c r="V12" s="725">
        <v>0</v>
      </c>
      <c r="W12" s="651">
        <v>1</v>
      </c>
      <c r="X12" s="651">
        <v>0</v>
      </c>
      <c r="Y12" s="652">
        <v>0</v>
      </c>
      <c r="Z12" s="219">
        <f t="shared" si="0"/>
        <v>4</v>
      </c>
    </row>
    <row r="13" spans="1:33" x14ac:dyDescent="0.2">
      <c r="A13" s="22" t="s">
        <v>9</v>
      </c>
      <c r="B13" s="650">
        <v>0</v>
      </c>
      <c r="C13" s="651">
        <v>1</v>
      </c>
      <c r="D13" s="651">
        <v>0</v>
      </c>
      <c r="E13" s="651">
        <v>1</v>
      </c>
      <c r="F13" s="651">
        <v>0</v>
      </c>
      <c r="G13" s="722">
        <v>0</v>
      </c>
      <c r="H13" s="727">
        <v>0</v>
      </c>
      <c r="I13" s="720">
        <v>0</v>
      </c>
      <c r="J13" s="720">
        <v>0</v>
      </c>
      <c r="K13" s="728">
        <v>0</v>
      </c>
      <c r="L13" s="725">
        <v>0</v>
      </c>
      <c r="M13" s="651">
        <v>0</v>
      </c>
      <c r="N13" s="651">
        <v>0</v>
      </c>
      <c r="O13" s="722">
        <v>0</v>
      </c>
      <c r="P13" s="727">
        <v>0</v>
      </c>
      <c r="Q13" s="720">
        <v>1</v>
      </c>
      <c r="R13" s="720">
        <v>0</v>
      </c>
      <c r="S13" s="720">
        <v>0</v>
      </c>
      <c r="T13" s="720">
        <v>0</v>
      </c>
      <c r="U13" s="728">
        <v>0</v>
      </c>
      <c r="V13" s="725">
        <v>0</v>
      </c>
      <c r="W13" s="651">
        <v>0</v>
      </c>
      <c r="X13" s="651">
        <v>0</v>
      </c>
      <c r="Y13" s="652">
        <v>0</v>
      </c>
      <c r="Z13" s="219">
        <f t="shared" si="0"/>
        <v>3</v>
      </c>
    </row>
    <row r="14" spans="1:33" x14ac:dyDescent="0.2">
      <c r="A14" s="22" t="s">
        <v>10</v>
      </c>
      <c r="B14" s="650">
        <v>0</v>
      </c>
      <c r="C14" s="651">
        <v>0</v>
      </c>
      <c r="D14" s="651">
        <v>1</v>
      </c>
      <c r="E14" s="651">
        <v>0</v>
      </c>
      <c r="F14" s="651">
        <v>1</v>
      </c>
      <c r="G14" s="722">
        <v>0</v>
      </c>
      <c r="H14" s="727">
        <v>0</v>
      </c>
      <c r="I14" s="720">
        <v>0</v>
      </c>
      <c r="J14" s="720">
        <v>0</v>
      </c>
      <c r="K14" s="728">
        <v>0</v>
      </c>
      <c r="L14" s="725">
        <v>0</v>
      </c>
      <c r="M14" s="651">
        <v>0</v>
      </c>
      <c r="N14" s="651">
        <v>0</v>
      </c>
      <c r="O14" s="722">
        <v>0</v>
      </c>
      <c r="P14" s="727">
        <v>0</v>
      </c>
      <c r="Q14" s="720">
        <v>1</v>
      </c>
      <c r="R14" s="720">
        <v>0</v>
      </c>
      <c r="S14" s="720">
        <v>0</v>
      </c>
      <c r="T14" s="720">
        <v>0</v>
      </c>
      <c r="U14" s="728">
        <v>0</v>
      </c>
      <c r="V14" s="725">
        <v>0</v>
      </c>
      <c r="W14" s="651">
        <v>1</v>
      </c>
      <c r="X14" s="651">
        <v>0</v>
      </c>
      <c r="Y14" s="652">
        <v>0</v>
      </c>
      <c r="Z14" s="219">
        <f t="shared" si="0"/>
        <v>4</v>
      </c>
    </row>
    <row r="15" spans="1:33" x14ac:dyDescent="0.2">
      <c r="A15" s="22" t="s">
        <v>11</v>
      </c>
      <c r="B15" s="650">
        <v>1</v>
      </c>
      <c r="C15" s="651">
        <v>1</v>
      </c>
      <c r="D15" s="651">
        <v>0</v>
      </c>
      <c r="E15" s="651">
        <v>0</v>
      </c>
      <c r="F15" s="651">
        <v>1</v>
      </c>
      <c r="G15" s="722">
        <v>0</v>
      </c>
      <c r="H15" s="727">
        <v>0</v>
      </c>
      <c r="I15" s="720">
        <v>0</v>
      </c>
      <c r="J15" s="720">
        <v>1</v>
      </c>
      <c r="K15" s="728">
        <v>0</v>
      </c>
      <c r="L15" s="725">
        <v>0</v>
      </c>
      <c r="M15" s="651">
        <v>0</v>
      </c>
      <c r="N15" s="651">
        <v>0</v>
      </c>
      <c r="O15" s="722">
        <v>0</v>
      </c>
      <c r="P15" s="727">
        <v>0</v>
      </c>
      <c r="Q15" s="720">
        <v>1</v>
      </c>
      <c r="R15" s="720">
        <v>1</v>
      </c>
      <c r="S15" s="720">
        <v>1</v>
      </c>
      <c r="T15" s="720">
        <v>0</v>
      </c>
      <c r="U15" s="728">
        <v>0</v>
      </c>
      <c r="V15" s="725">
        <v>0</v>
      </c>
      <c r="W15" s="651">
        <v>1</v>
      </c>
      <c r="X15" s="651">
        <v>0</v>
      </c>
      <c r="Y15" s="652">
        <v>0</v>
      </c>
      <c r="Z15" s="219">
        <f t="shared" si="0"/>
        <v>8</v>
      </c>
    </row>
    <row r="16" spans="1:33" x14ac:dyDescent="0.2">
      <c r="A16" s="22" t="s">
        <v>12</v>
      </c>
      <c r="B16" s="650">
        <v>1</v>
      </c>
      <c r="C16" s="651">
        <v>0</v>
      </c>
      <c r="D16" s="651">
        <v>0</v>
      </c>
      <c r="E16" s="651">
        <v>1</v>
      </c>
      <c r="F16" s="651">
        <v>0</v>
      </c>
      <c r="G16" s="722">
        <v>0</v>
      </c>
      <c r="H16" s="727">
        <v>0</v>
      </c>
      <c r="I16" s="720">
        <v>0</v>
      </c>
      <c r="J16" s="720">
        <v>0</v>
      </c>
      <c r="K16" s="728">
        <v>0</v>
      </c>
      <c r="L16" s="725">
        <v>0</v>
      </c>
      <c r="M16" s="651">
        <v>0</v>
      </c>
      <c r="N16" s="651">
        <v>0</v>
      </c>
      <c r="O16" s="722">
        <v>0</v>
      </c>
      <c r="P16" s="727">
        <v>0</v>
      </c>
      <c r="Q16" s="720">
        <v>1</v>
      </c>
      <c r="R16" s="720">
        <v>0</v>
      </c>
      <c r="S16" s="720">
        <v>0</v>
      </c>
      <c r="T16" s="720">
        <v>0</v>
      </c>
      <c r="U16" s="728">
        <v>0</v>
      </c>
      <c r="V16" s="725">
        <v>0</v>
      </c>
      <c r="W16" s="651">
        <v>0</v>
      </c>
      <c r="X16" s="651">
        <v>0</v>
      </c>
      <c r="Y16" s="652">
        <v>0</v>
      </c>
      <c r="Z16" s="219">
        <f t="shared" si="0"/>
        <v>3</v>
      </c>
    </row>
    <row r="17" spans="1:26" x14ac:dyDescent="0.2">
      <c r="A17" s="22" t="s">
        <v>1</v>
      </c>
      <c r="B17" s="650">
        <v>0</v>
      </c>
      <c r="C17" s="651">
        <v>0</v>
      </c>
      <c r="D17" s="651">
        <v>0</v>
      </c>
      <c r="E17" s="651">
        <v>0</v>
      </c>
      <c r="F17" s="651">
        <v>0</v>
      </c>
      <c r="G17" s="722">
        <v>0</v>
      </c>
      <c r="H17" s="727">
        <v>0</v>
      </c>
      <c r="I17" s="720">
        <v>0</v>
      </c>
      <c r="J17" s="720">
        <v>0</v>
      </c>
      <c r="K17" s="728">
        <v>0</v>
      </c>
      <c r="L17" s="725">
        <v>0</v>
      </c>
      <c r="M17" s="651">
        <v>0</v>
      </c>
      <c r="N17" s="651">
        <v>0</v>
      </c>
      <c r="O17" s="722">
        <v>0</v>
      </c>
      <c r="P17" s="727">
        <v>0</v>
      </c>
      <c r="Q17" s="720">
        <v>0</v>
      </c>
      <c r="R17" s="720">
        <v>1</v>
      </c>
      <c r="S17" s="720">
        <v>1</v>
      </c>
      <c r="T17" s="720">
        <v>0</v>
      </c>
      <c r="U17" s="728">
        <v>0</v>
      </c>
      <c r="V17" s="725">
        <v>0</v>
      </c>
      <c r="W17" s="651">
        <v>0</v>
      </c>
      <c r="X17" s="651">
        <v>0</v>
      </c>
      <c r="Y17" s="652">
        <v>0</v>
      </c>
      <c r="Z17" s="219">
        <f t="shared" si="0"/>
        <v>2</v>
      </c>
    </row>
    <row r="18" spans="1:26" x14ac:dyDescent="0.2">
      <c r="A18" s="22" t="s">
        <v>13</v>
      </c>
      <c r="B18" s="650">
        <v>0</v>
      </c>
      <c r="C18" s="651">
        <v>0</v>
      </c>
      <c r="D18" s="651">
        <v>1</v>
      </c>
      <c r="E18" s="651">
        <v>0</v>
      </c>
      <c r="F18" s="651">
        <v>0</v>
      </c>
      <c r="G18" s="722">
        <v>0</v>
      </c>
      <c r="H18" s="727">
        <v>0</v>
      </c>
      <c r="I18" s="720">
        <v>0</v>
      </c>
      <c r="J18" s="720">
        <v>0</v>
      </c>
      <c r="K18" s="728">
        <v>0</v>
      </c>
      <c r="L18" s="725">
        <v>0</v>
      </c>
      <c r="M18" s="651">
        <v>0</v>
      </c>
      <c r="N18" s="651">
        <v>0</v>
      </c>
      <c r="O18" s="722">
        <v>0</v>
      </c>
      <c r="P18" s="727">
        <v>0</v>
      </c>
      <c r="Q18" s="720">
        <v>1</v>
      </c>
      <c r="R18" s="720">
        <v>1</v>
      </c>
      <c r="S18" s="720">
        <v>1</v>
      </c>
      <c r="T18" s="720">
        <v>0</v>
      </c>
      <c r="U18" s="728">
        <v>0</v>
      </c>
      <c r="V18" s="725">
        <v>0</v>
      </c>
      <c r="W18" s="651">
        <v>0</v>
      </c>
      <c r="X18" s="651">
        <v>0</v>
      </c>
      <c r="Y18" s="652">
        <v>0</v>
      </c>
      <c r="Z18" s="219">
        <f t="shared" si="0"/>
        <v>4</v>
      </c>
    </row>
    <row r="19" spans="1:26" x14ac:dyDescent="0.2">
      <c r="A19" s="22" t="s">
        <v>14</v>
      </c>
      <c r="B19" s="650">
        <v>0</v>
      </c>
      <c r="C19" s="651">
        <v>0</v>
      </c>
      <c r="D19" s="651">
        <v>0</v>
      </c>
      <c r="E19" s="651">
        <v>0</v>
      </c>
      <c r="F19" s="651">
        <v>0</v>
      </c>
      <c r="G19" s="722">
        <v>0</v>
      </c>
      <c r="H19" s="727">
        <v>0</v>
      </c>
      <c r="I19" s="720">
        <v>0</v>
      </c>
      <c r="J19" s="720">
        <v>0</v>
      </c>
      <c r="K19" s="728">
        <v>0</v>
      </c>
      <c r="L19" s="725">
        <v>0</v>
      </c>
      <c r="M19" s="651">
        <v>0</v>
      </c>
      <c r="N19" s="651">
        <v>0</v>
      </c>
      <c r="O19" s="722">
        <v>0</v>
      </c>
      <c r="P19" s="727">
        <v>0</v>
      </c>
      <c r="Q19" s="720">
        <v>0</v>
      </c>
      <c r="R19" s="720">
        <v>0</v>
      </c>
      <c r="S19" s="720">
        <v>0</v>
      </c>
      <c r="T19" s="720">
        <v>0</v>
      </c>
      <c r="U19" s="728">
        <v>0</v>
      </c>
      <c r="V19" s="725">
        <v>0</v>
      </c>
      <c r="W19" s="651">
        <v>0</v>
      </c>
      <c r="X19" s="651">
        <v>0</v>
      </c>
      <c r="Y19" s="652">
        <v>0</v>
      </c>
      <c r="Z19" s="219">
        <f t="shared" si="0"/>
        <v>0</v>
      </c>
    </row>
    <row r="20" spans="1:26" x14ac:dyDescent="0.2">
      <c r="A20" s="22" t="s">
        <v>15</v>
      </c>
      <c r="B20" s="650">
        <v>0</v>
      </c>
      <c r="C20" s="651">
        <v>0</v>
      </c>
      <c r="D20" s="651">
        <v>0</v>
      </c>
      <c r="E20" s="651">
        <v>0</v>
      </c>
      <c r="F20" s="651">
        <v>0</v>
      </c>
      <c r="G20" s="722">
        <v>0</v>
      </c>
      <c r="H20" s="727">
        <v>0</v>
      </c>
      <c r="I20" s="720">
        <v>0</v>
      </c>
      <c r="J20" s="720">
        <v>0</v>
      </c>
      <c r="K20" s="728">
        <v>0</v>
      </c>
      <c r="L20" s="725">
        <v>0</v>
      </c>
      <c r="M20" s="651">
        <v>0</v>
      </c>
      <c r="N20" s="651">
        <v>0</v>
      </c>
      <c r="O20" s="722">
        <v>0</v>
      </c>
      <c r="P20" s="727">
        <v>0</v>
      </c>
      <c r="Q20" s="720">
        <v>0</v>
      </c>
      <c r="R20" s="720">
        <v>0</v>
      </c>
      <c r="S20" s="720">
        <v>0</v>
      </c>
      <c r="T20" s="720">
        <v>0</v>
      </c>
      <c r="U20" s="728">
        <v>0</v>
      </c>
      <c r="V20" s="725">
        <v>0</v>
      </c>
      <c r="W20" s="651">
        <v>0</v>
      </c>
      <c r="X20" s="651">
        <v>0</v>
      </c>
      <c r="Y20" s="652">
        <v>0</v>
      </c>
      <c r="Z20" s="219">
        <f t="shared" si="0"/>
        <v>0</v>
      </c>
    </row>
    <row r="21" spans="1:26" x14ac:dyDescent="0.2">
      <c r="A21" s="22" t="s">
        <v>16</v>
      </c>
      <c r="B21" s="650">
        <v>1</v>
      </c>
      <c r="C21" s="651">
        <v>0</v>
      </c>
      <c r="D21" s="651">
        <v>1</v>
      </c>
      <c r="E21" s="651">
        <v>0</v>
      </c>
      <c r="F21" s="651">
        <v>0</v>
      </c>
      <c r="G21" s="722">
        <v>0</v>
      </c>
      <c r="H21" s="727">
        <v>0</v>
      </c>
      <c r="I21" s="720">
        <v>0</v>
      </c>
      <c r="J21" s="720">
        <v>0</v>
      </c>
      <c r="K21" s="728">
        <v>0</v>
      </c>
      <c r="L21" s="725">
        <v>0</v>
      </c>
      <c r="M21" s="651">
        <v>0</v>
      </c>
      <c r="N21" s="651">
        <v>0</v>
      </c>
      <c r="O21" s="722">
        <v>0</v>
      </c>
      <c r="P21" s="727">
        <v>0</v>
      </c>
      <c r="Q21" s="720">
        <v>1</v>
      </c>
      <c r="R21" s="720">
        <v>1</v>
      </c>
      <c r="S21" s="720">
        <v>1</v>
      </c>
      <c r="T21" s="720">
        <v>0</v>
      </c>
      <c r="U21" s="728">
        <v>0</v>
      </c>
      <c r="V21" s="725">
        <v>0</v>
      </c>
      <c r="W21" s="651">
        <v>0</v>
      </c>
      <c r="X21" s="651">
        <v>0</v>
      </c>
      <c r="Y21" s="652">
        <v>0</v>
      </c>
      <c r="Z21" s="219">
        <f t="shared" si="0"/>
        <v>5</v>
      </c>
    </row>
    <row r="22" spans="1:26" x14ac:dyDescent="0.2">
      <c r="A22" s="22" t="s">
        <v>17</v>
      </c>
      <c r="B22" s="650">
        <v>0</v>
      </c>
      <c r="C22" s="651">
        <v>1</v>
      </c>
      <c r="D22" s="651">
        <v>1</v>
      </c>
      <c r="E22" s="651">
        <v>0</v>
      </c>
      <c r="F22" s="651">
        <v>1</v>
      </c>
      <c r="G22" s="722">
        <v>0</v>
      </c>
      <c r="H22" s="727">
        <v>0</v>
      </c>
      <c r="I22" s="720">
        <v>0</v>
      </c>
      <c r="J22" s="720">
        <v>0</v>
      </c>
      <c r="K22" s="728">
        <v>0</v>
      </c>
      <c r="L22" s="725">
        <v>0</v>
      </c>
      <c r="M22" s="651">
        <v>0</v>
      </c>
      <c r="N22" s="651">
        <v>0</v>
      </c>
      <c r="O22" s="722">
        <v>0</v>
      </c>
      <c r="P22" s="727">
        <v>0</v>
      </c>
      <c r="Q22" s="720">
        <v>0</v>
      </c>
      <c r="R22" s="720">
        <v>0</v>
      </c>
      <c r="S22" s="720">
        <v>0</v>
      </c>
      <c r="T22" s="720">
        <v>0</v>
      </c>
      <c r="U22" s="728">
        <v>0</v>
      </c>
      <c r="V22" s="725">
        <v>0</v>
      </c>
      <c r="W22" s="651">
        <v>0</v>
      </c>
      <c r="X22" s="651">
        <v>0</v>
      </c>
      <c r="Y22" s="652">
        <v>0</v>
      </c>
      <c r="Z22" s="219">
        <f t="shared" si="0"/>
        <v>3</v>
      </c>
    </row>
    <row r="23" spans="1:26" x14ac:dyDescent="0.2">
      <c r="A23" s="22" t="s">
        <v>18</v>
      </c>
      <c r="B23" s="650">
        <v>0</v>
      </c>
      <c r="C23" s="651">
        <v>1</v>
      </c>
      <c r="D23" s="651">
        <v>0</v>
      </c>
      <c r="E23" s="651">
        <v>0</v>
      </c>
      <c r="F23" s="651">
        <v>1</v>
      </c>
      <c r="G23" s="722">
        <v>1</v>
      </c>
      <c r="H23" s="727">
        <v>1</v>
      </c>
      <c r="I23" s="720">
        <v>0</v>
      </c>
      <c r="J23" s="720">
        <v>0</v>
      </c>
      <c r="K23" s="728">
        <v>0</v>
      </c>
      <c r="L23" s="725">
        <v>0</v>
      </c>
      <c r="M23" s="651">
        <v>0</v>
      </c>
      <c r="N23" s="651">
        <v>0</v>
      </c>
      <c r="O23" s="722">
        <v>0</v>
      </c>
      <c r="P23" s="727">
        <v>1</v>
      </c>
      <c r="Q23" s="720">
        <v>0</v>
      </c>
      <c r="R23" s="720">
        <v>0</v>
      </c>
      <c r="S23" s="720">
        <v>0</v>
      </c>
      <c r="T23" s="720">
        <v>0</v>
      </c>
      <c r="U23" s="728">
        <v>0</v>
      </c>
      <c r="V23" s="725">
        <v>0</v>
      </c>
      <c r="W23" s="651">
        <v>1</v>
      </c>
      <c r="X23" s="651">
        <v>0</v>
      </c>
      <c r="Y23" s="652">
        <v>0</v>
      </c>
      <c r="Z23" s="219">
        <f t="shared" si="0"/>
        <v>6</v>
      </c>
    </row>
    <row r="24" spans="1:26" x14ac:dyDescent="0.2">
      <c r="A24" s="22" t="s">
        <v>2</v>
      </c>
      <c r="B24" s="650">
        <v>0</v>
      </c>
      <c r="C24" s="651">
        <v>0</v>
      </c>
      <c r="D24" s="651">
        <v>0</v>
      </c>
      <c r="E24" s="651">
        <v>0</v>
      </c>
      <c r="F24" s="651">
        <v>0</v>
      </c>
      <c r="G24" s="722">
        <v>1</v>
      </c>
      <c r="H24" s="727">
        <v>0</v>
      </c>
      <c r="I24" s="720">
        <v>0</v>
      </c>
      <c r="J24" s="720">
        <v>0</v>
      </c>
      <c r="K24" s="728">
        <v>0</v>
      </c>
      <c r="L24" s="725">
        <v>0</v>
      </c>
      <c r="M24" s="651">
        <v>0</v>
      </c>
      <c r="N24" s="651">
        <v>0</v>
      </c>
      <c r="O24" s="722">
        <v>0</v>
      </c>
      <c r="P24" s="727">
        <v>0</v>
      </c>
      <c r="Q24" s="720">
        <v>0</v>
      </c>
      <c r="R24" s="720">
        <v>1</v>
      </c>
      <c r="S24" s="720">
        <v>1</v>
      </c>
      <c r="T24" s="720">
        <v>0</v>
      </c>
      <c r="U24" s="728">
        <v>1</v>
      </c>
      <c r="V24" s="725">
        <v>0</v>
      </c>
      <c r="W24" s="651">
        <v>0</v>
      </c>
      <c r="X24" s="651">
        <v>0</v>
      </c>
      <c r="Y24" s="652">
        <v>0</v>
      </c>
      <c r="Z24" s="219">
        <f t="shared" si="0"/>
        <v>4</v>
      </c>
    </row>
    <row r="25" spans="1:26" x14ac:dyDescent="0.2">
      <c r="A25" s="22" t="s">
        <v>19</v>
      </c>
      <c r="B25" s="650">
        <v>1</v>
      </c>
      <c r="C25" s="651">
        <v>0</v>
      </c>
      <c r="D25" s="651">
        <v>1</v>
      </c>
      <c r="E25" s="651">
        <v>1</v>
      </c>
      <c r="F25" s="651">
        <v>0</v>
      </c>
      <c r="G25" s="722">
        <v>0</v>
      </c>
      <c r="H25" s="727">
        <v>0</v>
      </c>
      <c r="I25" s="720">
        <v>0</v>
      </c>
      <c r="J25" s="720">
        <v>0</v>
      </c>
      <c r="K25" s="728">
        <v>0</v>
      </c>
      <c r="L25" s="725">
        <v>0</v>
      </c>
      <c r="M25" s="651">
        <v>0</v>
      </c>
      <c r="N25" s="651">
        <v>0</v>
      </c>
      <c r="O25" s="722">
        <v>0</v>
      </c>
      <c r="P25" s="727">
        <v>0</v>
      </c>
      <c r="Q25" s="720">
        <v>1</v>
      </c>
      <c r="R25" s="720">
        <v>0</v>
      </c>
      <c r="S25" s="720">
        <v>1</v>
      </c>
      <c r="T25" s="720">
        <v>0</v>
      </c>
      <c r="U25" s="728">
        <v>1</v>
      </c>
      <c r="V25" s="725">
        <v>0</v>
      </c>
      <c r="W25" s="651">
        <v>0</v>
      </c>
      <c r="X25" s="651">
        <v>0</v>
      </c>
      <c r="Y25" s="652">
        <v>0</v>
      </c>
      <c r="Z25" s="219">
        <f t="shared" si="0"/>
        <v>6</v>
      </c>
    </row>
    <row r="26" spans="1:26" x14ac:dyDescent="0.2">
      <c r="A26" s="22" t="s">
        <v>3</v>
      </c>
      <c r="B26" s="650">
        <v>0</v>
      </c>
      <c r="C26" s="651">
        <v>0</v>
      </c>
      <c r="D26" s="651">
        <v>0</v>
      </c>
      <c r="E26" s="651">
        <v>1</v>
      </c>
      <c r="F26" s="651">
        <v>0</v>
      </c>
      <c r="G26" s="722">
        <v>0</v>
      </c>
      <c r="H26" s="727">
        <v>0</v>
      </c>
      <c r="I26" s="720">
        <v>0</v>
      </c>
      <c r="J26" s="720">
        <v>0</v>
      </c>
      <c r="K26" s="728">
        <v>0</v>
      </c>
      <c r="L26" s="725">
        <v>0</v>
      </c>
      <c r="M26" s="651">
        <v>0</v>
      </c>
      <c r="N26" s="651">
        <v>0</v>
      </c>
      <c r="O26" s="722">
        <v>0</v>
      </c>
      <c r="P26" s="727">
        <v>0</v>
      </c>
      <c r="Q26" s="720">
        <v>0</v>
      </c>
      <c r="R26" s="720">
        <v>0</v>
      </c>
      <c r="S26" s="720">
        <v>0</v>
      </c>
      <c r="T26" s="720">
        <v>0</v>
      </c>
      <c r="U26" s="728">
        <v>0</v>
      </c>
      <c r="V26" s="725">
        <v>0</v>
      </c>
      <c r="W26" s="651">
        <v>0</v>
      </c>
      <c r="X26" s="651">
        <v>0</v>
      </c>
      <c r="Y26" s="652">
        <v>0</v>
      </c>
      <c r="Z26" s="219">
        <f t="shared" si="0"/>
        <v>1</v>
      </c>
    </row>
    <row r="27" spans="1:26" x14ac:dyDescent="0.2">
      <c r="A27" s="22" t="s">
        <v>20</v>
      </c>
      <c r="B27" s="650">
        <v>0</v>
      </c>
      <c r="C27" s="651">
        <v>1</v>
      </c>
      <c r="D27" s="651">
        <v>1</v>
      </c>
      <c r="E27" s="651">
        <v>1</v>
      </c>
      <c r="F27" s="651">
        <v>0</v>
      </c>
      <c r="G27" s="722">
        <v>0</v>
      </c>
      <c r="H27" s="727">
        <v>0</v>
      </c>
      <c r="I27" s="720">
        <v>0</v>
      </c>
      <c r="J27" s="720">
        <v>0</v>
      </c>
      <c r="K27" s="728">
        <v>0</v>
      </c>
      <c r="L27" s="725">
        <v>0</v>
      </c>
      <c r="M27" s="651">
        <v>0</v>
      </c>
      <c r="N27" s="651">
        <v>0</v>
      </c>
      <c r="O27" s="722">
        <v>0</v>
      </c>
      <c r="P27" s="727">
        <v>0</v>
      </c>
      <c r="Q27" s="720">
        <v>0</v>
      </c>
      <c r="R27" s="720">
        <v>0</v>
      </c>
      <c r="S27" s="720">
        <v>0</v>
      </c>
      <c r="T27" s="720">
        <v>0</v>
      </c>
      <c r="U27" s="728">
        <v>0</v>
      </c>
      <c r="V27" s="725">
        <v>0</v>
      </c>
      <c r="W27" s="651">
        <v>0</v>
      </c>
      <c r="X27" s="651">
        <v>0</v>
      </c>
      <c r="Y27" s="652">
        <v>0</v>
      </c>
      <c r="Z27" s="219">
        <f t="shared" si="0"/>
        <v>3</v>
      </c>
    </row>
    <row r="28" spans="1:26" x14ac:dyDescent="0.2">
      <c r="A28" s="22" t="s">
        <v>21</v>
      </c>
      <c r="B28" s="650">
        <v>0</v>
      </c>
      <c r="C28" s="651">
        <v>0</v>
      </c>
      <c r="D28" s="651">
        <v>0</v>
      </c>
      <c r="E28" s="651">
        <v>0</v>
      </c>
      <c r="F28" s="651">
        <v>0</v>
      </c>
      <c r="G28" s="722">
        <v>0</v>
      </c>
      <c r="H28" s="727">
        <v>0</v>
      </c>
      <c r="I28" s="720">
        <v>0</v>
      </c>
      <c r="J28" s="720">
        <v>0</v>
      </c>
      <c r="K28" s="728">
        <v>0</v>
      </c>
      <c r="L28" s="725">
        <v>0</v>
      </c>
      <c r="M28" s="651">
        <v>0</v>
      </c>
      <c r="N28" s="651">
        <v>0</v>
      </c>
      <c r="O28" s="722">
        <v>0</v>
      </c>
      <c r="P28" s="727">
        <v>0</v>
      </c>
      <c r="Q28" s="720">
        <v>0</v>
      </c>
      <c r="R28" s="720">
        <v>0</v>
      </c>
      <c r="S28" s="720">
        <v>0</v>
      </c>
      <c r="T28" s="720">
        <v>0</v>
      </c>
      <c r="U28" s="728">
        <v>0</v>
      </c>
      <c r="V28" s="725">
        <v>0</v>
      </c>
      <c r="W28" s="651">
        <v>0</v>
      </c>
      <c r="X28" s="651">
        <v>0</v>
      </c>
      <c r="Y28" s="652">
        <v>0</v>
      </c>
      <c r="Z28" s="219">
        <f t="shared" si="0"/>
        <v>0</v>
      </c>
    </row>
    <row r="29" spans="1:26" x14ac:dyDescent="0.2">
      <c r="A29" s="22" t="s">
        <v>1096</v>
      </c>
      <c r="B29" s="650">
        <v>0</v>
      </c>
      <c r="C29" s="651">
        <v>0</v>
      </c>
      <c r="D29" s="651">
        <v>0</v>
      </c>
      <c r="E29" s="651">
        <v>0</v>
      </c>
      <c r="F29" s="651">
        <v>0</v>
      </c>
      <c r="G29" s="722">
        <v>0</v>
      </c>
      <c r="H29" s="727">
        <v>0</v>
      </c>
      <c r="I29" s="720">
        <v>0</v>
      </c>
      <c r="J29" s="720">
        <v>0</v>
      </c>
      <c r="K29" s="728">
        <v>0</v>
      </c>
      <c r="L29" s="725">
        <v>0</v>
      </c>
      <c r="M29" s="651">
        <v>0</v>
      </c>
      <c r="N29" s="651">
        <v>0</v>
      </c>
      <c r="O29" s="722">
        <v>0</v>
      </c>
      <c r="P29" s="727">
        <v>0</v>
      </c>
      <c r="Q29" s="720">
        <v>0</v>
      </c>
      <c r="R29" s="720">
        <v>0</v>
      </c>
      <c r="S29" s="720">
        <v>0</v>
      </c>
      <c r="T29" s="720">
        <v>0</v>
      </c>
      <c r="U29" s="728">
        <v>0</v>
      </c>
      <c r="V29" s="725">
        <v>0</v>
      </c>
      <c r="W29" s="651">
        <v>0</v>
      </c>
      <c r="X29" s="651">
        <v>0</v>
      </c>
      <c r="Y29" s="652">
        <v>1</v>
      </c>
      <c r="Z29" s="219">
        <f t="shared" si="0"/>
        <v>1</v>
      </c>
    </row>
    <row r="30" spans="1:26" x14ac:dyDescent="0.2">
      <c r="A30" s="22" t="s">
        <v>22</v>
      </c>
      <c r="B30" s="650">
        <v>0</v>
      </c>
      <c r="C30" s="651">
        <v>1</v>
      </c>
      <c r="D30" s="651">
        <v>1</v>
      </c>
      <c r="E30" s="651">
        <v>1</v>
      </c>
      <c r="F30" s="651">
        <v>1</v>
      </c>
      <c r="G30" s="722">
        <v>0</v>
      </c>
      <c r="H30" s="727">
        <v>0</v>
      </c>
      <c r="I30" s="720">
        <v>0</v>
      </c>
      <c r="J30" s="720">
        <v>0</v>
      </c>
      <c r="K30" s="728">
        <v>0</v>
      </c>
      <c r="L30" s="725">
        <v>0</v>
      </c>
      <c r="M30" s="651">
        <v>0</v>
      </c>
      <c r="N30" s="651">
        <v>0</v>
      </c>
      <c r="O30" s="722">
        <v>0</v>
      </c>
      <c r="P30" s="727">
        <v>0</v>
      </c>
      <c r="Q30" s="720">
        <v>1</v>
      </c>
      <c r="R30" s="720">
        <v>0</v>
      </c>
      <c r="S30" s="720">
        <v>0</v>
      </c>
      <c r="T30" s="720">
        <v>0</v>
      </c>
      <c r="U30" s="728">
        <v>0</v>
      </c>
      <c r="V30" s="725">
        <v>0</v>
      </c>
      <c r="W30" s="651">
        <v>0</v>
      </c>
      <c r="X30" s="651">
        <v>0</v>
      </c>
      <c r="Y30" s="652">
        <v>0</v>
      </c>
      <c r="Z30" s="219">
        <f t="shared" si="0"/>
        <v>5</v>
      </c>
    </row>
    <row r="31" spans="1:26" x14ac:dyDescent="0.2">
      <c r="A31" s="220" t="s">
        <v>23</v>
      </c>
      <c r="B31" s="653">
        <v>0</v>
      </c>
      <c r="C31" s="654">
        <v>0</v>
      </c>
      <c r="D31" s="654">
        <v>0</v>
      </c>
      <c r="E31" s="654">
        <v>0</v>
      </c>
      <c r="F31" s="654">
        <v>0</v>
      </c>
      <c r="G31" s="723">
        <v>0</v>
      </c>
      <c r="H31" s="729">
        <v>0</v>
      </c>
      <c r="I31" s="730">
        <v>0</v>
      </c>
      <c r="J31" s="730">
        <v>0</v>
      </c>
      <c r="K31" s="731">
        <v>0</v>
      </c>
      <c r="L31" s="726">
        <v>0</v>
      </c>
      <c r="M31" s="654">
        <v>0</v>
      </c>
      <c r="N31" s="654">
        <v>0</v>
      </c>
      <c r="O31" s="723">
        <v>0</v>
      </c>
      <c r="P31" s="729">
        <v>0</v>
      </c>
      <c r="Q31" s="730">
        <v>0</v>
      </c>
      <c r="R31" s="730">
        <v>0</v>
      </c>
      <c r="S31" s="730">
        <v>0</v>
      </c>
      <c r="T31" s="730">
        <v>0</v>
      </c>
      <c r="U31" s="731">
        <v>0</v>
      </c>
      <c r="V31" s="726">
        <v>0</v>
      </c>
      <c r="W31" s="654">
        <v>0</v>
      </c>
      <c r="X31" s="654">
        <v>0</v>
      </c>
      <c r="Y31" s="655">
        <v>0</v>
      </c>
      <c r="Z31" s="221">
        <f t="shared" si="0"/>
        <v>0</v>
      </c>
    </row>
  </sheetData>
  <sheetProtection password="ECD7" sheet="1" objects="1" scenarios="1"/>
  <mergeCells count="5">
    <mergeCell ref="V4:Y4"/>
    <mergeCell ref="P4:U4"/>
    <mergeCell ref="L4:O4"/>
    <mergeCell ref="H4:K4"/>
    <mergeCell ref="B4:G4"/>
  </mergeCells>
  <conditionalFormatting sqref="B6:Y31">
    <cfRule type="expression" dxfId="0" priority="1">
      <formula>B6=1</formula>
    </cfRule>
  </conditionalFormatting>
  <pageMargins left="0.25" right="0.25" top="0.75" bottom="0.75" header="0.3" footer="0.3"/>
  <pageSetup orientation="landscape"/>
  <headerFooter>
    <oddHeader>&amp;C&amp;"Arial,Bold"&amp;16&amp;K00B9E4Latin America Policy Summary</oddHead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17"/>
  <sheetViews>
    <sheetView showGridLines="0" zoomScale="85" zoomScaleNormal="85" workbookViewId="0">
      <selection activeCell="C61" sqref="C61"/>
    </sheetView>
  </sheetViews>
  <sheetFormatPr defaultRowHeight="12.75" x14ac:dyDescent="0.2"/>
  <cols>
    <col min="1" max="1" width="109.5703125" style="806" customWidth="1"/>
    <col min="2" max="2" width="12.28515625" style="806" bestFit="1" customWidth="1"/>
    <col min="3" max="3" width="10.5703125" style="808" bestFit="1" customWidth="1"/>
    <col min="4" max="4" width="9.42578125" style="809" bestFit="1" customWidth="1"/>
    <col min="5" max="5" width="11.28515625" style="810" customWidth="1"/>
    <col min="6" max="7" width="11.28515625" style="811" customWidth="1"/>
    <col min="8" max="8" width="11.28515625" style="806" customWidth="1"/>
    <col min="9" max="16384" width="9.140625" style="806"/>
  </cols>
  <sheetData>
    <row r="1" spans="1:7" x14ac:dyDescent="0.2">
      <c r="C1" s="806"/>
      <c r="D1" s="806"/>
    </row>
    <row r="2" spans="1:7" s="103" customFormat="1" x14ac:dyDescent="0.2">
      <c r="A2" s="103" t="s">
        <v>3337</v>
      </c>
      <c r="B2" s="103" t="s">
        <v>3277</v>
      </c>
      <c r="C2" s="812" t="s">
        <v>1738</v>
      </c>
      <c r="D2" s="813" t="s">
        <v>3264</v>
      </c>
      <c r="E2" s="813" t="s">
        <v>3274</v>
      </c>
      <c r="F2" s="814" t="s">
        <v>1526</v>
      </c>
      <c r="G2" s="814"/>
    </row>
    <row r="3" spans="1:7" s="103" customFormat="1" x14ac:dyDescent="0.2">
      <c r="A3" s="806" t="s">
        <v>1742</v>
      </c>
      <c r="B3" s="806" t="s">
        <v>3278</v>
      </c>
      <c r="C3" s="808">
        <v>41372</v>
      </c>
      <c r="D3" s="809" t="s">
        <v>3265</v>
      </c>
      <c r="E3" s="813"/>
      <c r="F3" s="814" t="s">
        <v>1526</v>
      </c>
      <c r="G3" s="814"/>
    </row>
    <row r="4" spans="1:7" x14ac:dyDescent="0.2">
      <c r="A4" s="806" t="s">
        <v>1739</v>
      </c>
      <c r="B4" s="806" t="s">
        <v>3278</v>
      </c>
      <c r="C4" s="808">
        <v>41374</v>
      </c>
      <c r="D4" s="809" t="s">
        <v>3265</v>
      </c>
      <c r="F4" s="814" t="s">
        <v>1526</v>
      </c>
      <c r="G4" s="815"/>
    </row>
    <row r="5" spans="1:7" x14ac:dyDescent="0.2">
      <c r="A5" s="806" t="s">
        <v>1740</v>
      </c>
      <c r="B5" s="806" t="s">
        <v>3278</v>
      </c>
      <c r="C5" s="808">
        <v>41375</v>
      </c>
      <c r="D5" s="809" t="s">
        <v>3265</v>
      </c>
      <c r="F5" s="814" t="s">
        <v>1526</v>
      </c>
      <c r="G5" s="815"/>
    </row>
    <row r="6" spans="1:7" x14ac:dyDescent="0.2">
      <c r="A6" s="806" t="s">
        <v>1743</v>
      </c>
      <c r="B6" s="806" t="s">
        <v>3279</v>
      </c>
      <c r="C6" s="808">
        <v>41376</v>
      </c>
      <c r="D6" s="809" t="s">
        <v>3265</v>
      </c>
      <c r="F6" s="814" t="s">
        <v>1526</v>
      </c>
      <c r="G6" s="815"/>
    </row>
    <row r="7" spans="1:7" x14ac:dyDescent="0.2">
      <c r="A7" s="806" t="s">
        <v>1741</v>
      </c>
      <c r="B7" s="806" t="s">
        <v>3278</v>
      </c>
      <c r="C7" s="808">
        <v>41376</v>
      </c>
      <c r="D7" s="809" t="s">
        <v>3265</v>
      </c>
      <c r="F7" s="814" t="s">
        <v>1526</v>
      </c>
      <c r="G7" s="815"/>
    </row>
    <row r="8" spans="1:7" x14ac:dyDescent="0.2">
      <c r="A8" s="806" t="s">
        <v>3262</v>
      </c>
      <c r="B8" s="806" t="s">
        <v>3279</v>
      </c>
      <c r="C8" s="808">
        <v>41379</v>
      </c>
      <c r="D8" s="809" t="s">
        <v>3265</v>
      </c>
      <c r="F8" s="814" t="s">
        <v>1526</v>
      </c>
      <c r="G8" s="815"/>
    </row>
    <row r="9" spans="1:7" x14ac:dyDescent="0.2">
      <c r="A9" s="806" t="s">
        <v>3263</v>
      </c>
      <c r="B9" s="806" t="s">
        <v>3279</v>
      </c>
      <c r="C9" s="808">
        <v>41379</v>
      </c>
      <c r="D9" s="809" t="s">
        <v>3265</v>
      </c>
      <c r="F9" s="814" t="s">
        <v>1526</v>
      </c>
      <c r="G9" s="815"/>
    </row>
    <row r="10" spans="1:7" x14ac:dyDescent="0.2">
      <c r="A10" s="806" t="s">
        <v>3267</v>
      </c>
      <c r="B10" s="806" t="s">
        <v>3279</v>
      </c>
      <c r="C10" s="808">
        <v>41379</v>
      </c>
      <c r="D10" s="810" t="s">
        <v>3266</v>
      </c>
      <c r="E10" s="816" t="s">
        <v>3269</v>
      </c>
      <c r="F10" s="814" t="s">
        <v>1526</v>
      </c>
      <c r="G10" s="815"/>
    </row>
    <row r="11" spans="1:7" x14ac:dyDescent="0.2">
      <c r="A11" s="806" t="s">
        <v>3270</v>
      </c>
      <c r="B11" s="806" t="s">
        <v>3279</v>
      </c>
      <c r="C11" s="808">
        <v>41380</v>
      </c>
      <c r="D11" s="810" t="s">
        <v>3265</v>
      </c>
      <c r="F11" s="814" t="s">
        <v>1526</v>
      </c>
      <c r="G11" s="815"/>
    </row>
    <row r="12" spans="1:7" x14ac:dyDescent="0.2">
      <c r="A12" s="806" t="s">
        <v>3271</v>
      </c>
      <c r="B12" s="806" t="s">
        <v>3280</v>
      </c>
      <c r="C12" s="808">
        <v>41380</v>
      </c>
      <c r="D12" s="810" t="s">
        <v>3265</v>
      </c>
      <c r="F12" s="814" t="s">
        <v>1526</v>
      </c>
      <c r="G12" s="815"/>
    </row>
    <row r="13" spans="1:7" x14ac:dyDescent="0.2">
      <c r="A13" s="806" t="s">
        <v>3273</v>
      </c>
      <c r="B13" s="806" t="s">
        <v>3279</v>
      </c>
      <c r="C13" s="808">
        <v>41380</v>
      </c>
      <c r="D13" s="810" t="s">
        <v>3265</v>
      </c>
      <c r="F13" s="814" t="s">
        <v>1526</v>
      </c>
      <c r="G13" s="815"/>
    </row>
    <row r="14" spans="1:7" x14ac:dyDescent="0.2">
      <c r="A14" s="806" t="s">
        <v>3275</v>
      </c>
      <c r="B14" s="806" t="s">
        <v>3279</v>
      </c>
      <c r="C14" s="808">
        <v>41381</v>
      </c>
      <c r="D14" s="810" t="s">
        <v>3265</v>
      </c>
      <c r="F14" s="814" t="s">
        <v>1526</v>
      </c>
      <c r="G14" s="815"/>
    </row>
    <row r="15" spans="1:7" x14ac:dyDescent="0.2">
      <c r="A15" s="806" t="s">
        <v>3276</v>
      </c>
      <c r="B15" s="806" t="s">
        <v>3279</v>
      </c>
      <c r="C15" s="808">
        <v>41381</v>
      </c>
      <c r="D15" s="810" t="s">
        <v>3265</v>
      </c>
      <c r="F15" s="814" t="s">
        <v>1526</v>
      </c>
      <c r="G15" s="815"/>
    </row>
    <row r="16" spans="1:7" x14ac:dyDescent="0.2">
      <c r="A16" s="806" t="s">
        <v>3282</v>
      </c>
      <c r="B16" s="806" t="s">
        <v>3279</v>
      </c>
      <c r="C16" s="808">
        <v>41386</v>
      </c>
      <c r="D16" s="809" t="s">
        <v>3266</v>
      </c>
      <c r="F16" s="814" t="s">
        <v>1526</v>
      </c>
      <c r="G16" s="815"/>
    </row>
    <row r="17" spans="1:7" x14ac:dyDescent="0.2">
      <c r="A17" s="806" t="s">
        <v>3283</v>
      </c>
      <c r="B17" s="806" t="s">
        <v>3279</v>
      </c>
      <c r="C17" s="808">
        <v>41389</v>
      </c>
      <c r="D17" s="809" t="s">
        <v>3266</v>
      </c>
      <c r="F17" s="814" t="s">
        <v>1526</v>
      </c>
      <c r="G17" s="815"/>
    </row>
    <row r="18" spans="1:7" x14ac:dyDescent="0.2">
      <c r="A18" s="806" t="s">
        <v>3286</v>
      </c>
      <c r="B18" s="806" t="s">
        <v>3279</v>
      </c>
      <c r="C18" s="808">
        <v>41390</v>
      </c>
      <c r="D18" s="809" t="s">
        <v>3266</v>
      </c>
      <c r="F18" s="814" t="s">
        <v>1526</v>
      </c>
      <c r="G18" s="815"/>
    </row>
    <row r="19" spans="1:7" x14ac:dyDescent="0.2">
      <c r="A19" s="806" t="s">
        <v>3287</v>
      </c>
      <c r="B19" s="806" t="s">
        <v>3278</v>
      </c>
      <c r="C19" s="808">
        <v>41390</v>
      </c>
      <c r="D19" s="809" t="s">
        <v>3266</v>
      </c>
      <c r="F19" s="814" t="s">
        <v>1526</v>
      </c>
      <c r="G19" s="815"/>
    </row>
    <row r="20" spans="1:7" x14ac:dyDescent="0.2">
      <c r="A20" s="806" t="s">
        <v>3289</v>
      </c>
      <c r="B20" s="806" t="s">
        <v>3278</v>
      </c>
      <c r="C20" s="808">
        <v>41390</v>
      </c>
      <c r="D20" s="809" t="s">
        <v>3266</v>
      </c>
      <c r="F20" s="814" t="s">
        <v>1526</v>
      </c>
      <c r="G20" s="815"/>
    </row>
    <row r="21" spans="1:7" x14ac:dyDescent="0.2">
      <c r="A21" s="806" t="s">
        <v>3290</v>
      </c>
      <c r="B21" s="806" t="s">
        <v>3279</v>
      </c>
      <c r="C21" s="808">
        <v>41390</v>
      </c>
      <c r="D21" s="809" t="s">
        <v>3266</v>
      </c>
      <c r="F21" s="814" t="s">
        <v>1526</v>
      </c>
      <c r="G21" s="815"/>
    </row>
    <row r="22" spans="1:7" x14ac:dyDescent="0.2">
      <c r="A22" s="806" t="s">
        <v>3291</v>
      </c>
      <c r="B22" s="806" t="s">
        <v>3279</v>
      </c>
      <c r="C22" s="808">
        <v>41392</v>
      </c>
      <c r="D22" s="809" t="s">
        <v>3266</v>
      </c>
      <c r="F22" s="814" t="s">
        <v>1526</v>
      </c>
      <c r="G22" s="815"/>
    </row>
    <row r="23" spans="1:7" x14ac:dyDescent="0.2">
      <c r="A23" s="806" t="s">
        <v>3292</v>
      </c>
      <c r="B23" s="806" t="s">
        <v>3278</v>
      </c>
      <c r="C23" s="808">
        <v>41392</v>
      </c>
      <c r="D23" s="809" t="s">
        <v>3266</v>
      </c>
      <c r="F23" s="814" t="s">
        <v>1526</v>
      </c>
      <c r="G23" s="815"/>
    </row>
    <row r="24" spans="1:7" x14ac:dyDescent="0.2">
      <c r="A24" s="806" t="s">
        <v>3293</v>
      </c>
      <c r="B24" s="806" t="s">
        <v>3279</v>
      </c>
      <c r="C24" s="808">
        <v>41392</v>
      </c>
      <c r="D24" s="809" t="s">
        <v>3266</v>
      </c>
      <c r="F24" s="814" t="s">
        <v>1526</v>
      </c>
      <c r="G24" s="815"/>
    </row>
    <row r="25" spans="1:7" x14ac:dyDescent="0.2">
      <c r="A25" s="806" t="s">
        <v>3295</v>
      </c>
      <c r="B25" s="806" t="s">
        <v>3278</v>
      </c>
      <c r="C25" s="808">
        <v>41393</v>
      </c>
      <c r="D25" s="809" t="s">
        <v>3265</v>
      </c>
      <c r="F25" s="814" t="s">
        <v>1526</v>
      </c>
      <c r="G25" s="815"/>
    </row>
    <row r="26" spans="1:7" x14ac:dyDescent="0.2">
      <c r="A26" s="806" t="s">
        <v>3294</v>
      </c>
      <c r="B26" s="806" t="s">
        <v>3278</v>
      </c>
      <c r="C26" s="808">
        <v>41393</v>
      </c>
      <c r="D26" s="809" t="s">
        <v>3265</v>
      </c>
      <c r="F26" s="814" t="s">
        <v>1526</v>
      </c>
      <c r="G26" s="815"/>
    </row>
    <row r="27" spans="1:7" x14ac:dyDescent="0.2">
      <c r="A27" s="806" t="s">
        <v>3296</v>
      </c>
      <c r="B27" s="806" t="s">
        <v>3278</v>
      </c>
      <c r="C27" s="808">
        <v>41393</v>
      </c>
      <c r="D27" s="809" t="s">
        <v>3266</v>
      </c>
      <c r="F27" s="814" t="s">
        <v>1526</v>
      </c>
      <c r="G27" s="815"/>
    </row>
    <row r="28" spans="1:7" x14ac:dyDescent="0.2">
      <c r="A28" s="806" t="s">
        <v>3306</v>
      </c>
      <c r="B28" s="806" t="s">
        <v>3278</v>
      </c>
      <c r="C28" s="808">
        <v>41396</v>
      </c>
      <c r="D28" s="809" t="s">
        <v>3266</v>
      </c>
      <c r="F28" s="814" t="s">
        <v>1526</v>
      </c>
      <c r="G28" s="815"/>
    </row>
    <row r="29" spans="1:7" x14ac:dyDescent="0.2">
      <c r="A29" s="806" t="s">
        <v>3302</v>
      </c>
      <c r="B29" s="806" t="s">
        <v>3278</v>
      </c>
      <c r="C29" s="808">
        <v>41396</v>
      </c>
      <c r="D29" s="809" t="s">
        <v>3266</v>
      </c>
      <c r="F29" s="814" t="s">
        <v>1526</v>
      </c>
      <c r="G29" s="815"/>
    </row>
    <row r="30" spans="1:7" x14ac:dyDescent="0.2">
      <c r="A30" s="806" t="s">
        <v>3303</v>
      </c>
      <c r="B30" s="806" t="s">
        <v>3278</v>
      </c>
      <c r="C30" s="808">
        <v>41396</v>
      </c>
      <c r="D30" s="809" t="s">
        <v>3266</v>
      </c>
      <c r="F30" s="814" t="s">
        <v>1526</v>
      </c>
      <c r="G30" s="815"/>
    </row>
    <row r="31" spans="1:7" x14ac:dyDescent="0.2">
      <c r="A31" s="806" t="s">
        <v>3304</v>
      </c>
      <c r="B31" s="806" t="s">
        <v>3279</v>
      </c>
      <c r="C31" s="808">
        <v>41396</v>
      </c>
      <c r="D31" s="809" t="s">
        <v>3266</v>
      </c>
      <c r="F31" s="814" t="s">
        <v>1526</v>
      </c>
      <c r="G31" s="815"/>
    </row>
    <row r="32" spans="1:7" x14ac:dyDescent="0.2">
      <c r="A32" s="806" t="s">
        <v>3305</v>
      </c>
      <c r="B32" s="806" t="s">
        <v>3278</v>
      </c>
      <c r="C32" s="808">
        <v>41396</v>
      </c>
      <c r="D32" s="809" t="s">
        <v>3266</v>
      </c>
      <c r="F32" s="814" t="s">
        <v>1526</v>
      </c>
      <c r="G32" s="815"/>
    </row>
    <row r="33" spans="1:7" x14ac:dyDescent="0.2">
      <c r="A33" s="806" t="s">
        <v>3311</v>
      </c>
      <c r="B33" s="806" t="s">
        <v>3278</v>
      </c>
      <c r="C33" s="808">
        <v>41397</v>
      </c>
      <c r="D33" s="809" t="s">
        <v>3265</v>
      </c>
      <c r="F33" s="814" t="s">
        <v>1526</v>
      </c>
      <c r="G33" s="815"/>
    </row>
    <row r="34" spans="1:7" x14ac:dyDescent="0.2">
      <c r="A34" s="806" t="s">
        <v>3312</v>
      </c>
      <c r="B34" s="806" t="s">
        <v>3278</v>
      </c>
      <c r="C34" s="808">
        <v>41397</v>
      </c>
      <c r="D34" s="809" t="s">
        <v>3265</v>
      </c>
      <c r="F34" s="814" t="s">
        <v>1526</v>
      </c>
      <c r="G34" s="815"/>
    </row>
    <row r="35" spans="1:7" x14ac:dyDescent="0.2">
      <c r="A35" s="806" t="s">
        <v>3316</v>
      </c>
      <c r="B35" s="806" t="s">
        <v>3278</v>
      </c>
      <c r="C35" s="808">
        <v>41397</v>
      </c>
      <c r="D35" s="809" t="s">
        <v>3265</v>
      </c>
      <c r="F35" s="814" t="s">
        <v>1526</v>
      </c>
      <c r="G35" s="815"/>
    </row>
    <row r="36" spans="1:7" x14ac:dyDescent="0.2">
      <c r="A36" s="806" t="s">
        <v>3320</v>
      </c>
      <c r="B36" s="806" t="s">
        <v>3279</v>
      </c>
      <c r="C36" s="808">
        <v>41397</v>
      </c>
      <c r="D36" s="809" t="s">
        <v>3266</v>
      </c>
      <c r="F36" s="814" t="s">
        <v>1526</v>
      </c>
      <c r="G36" s="815"/>
    </row>
    <row r="37" spans="1:7" x14ac:dyDescent="0.2">
      <c r="A37" s="806" t="s">
        <v>3322</v>
      </c>
      <c r="B37" s="806" t="s">
        <v>3278</v>
      </c>
      <c r="C37" s="808">
        <v>41465</v>
      </c>
      <c r="D37" s="809" t="s">
        <v>3265</v>
      </c>
      <c r="F37" s="814" t="s">
        <v>1526</v>
      </c>
      <c r="G37" s="815"/>
    </row>
    <row r="38" spans="1:7" x14ac:dyDescent="0.2">
      <c r="A38" s="806" t="s">
        <v>3336</v>
      </c>
      <c r="B38" s="806" t="s">
        <v>3280</v>
      </c>
      <c r="C38" s="808">
        <v>41558</v>
      </c>
      <c r="D38" s="809" t="s">
        <v>3265</v>
      </c>
      <c r="F38" s="814" t="s">
        <v>1526</v>
      </c>
      <c r="G38" s="815"/>
    </row>
    <row r="39" spans="1:7" x14ac:dyDescent="0.2">
      <c r="F39" s="814" t="s">
        <v>1526</v>
      </c>
      <c r="G39" s="815"/>
    </row>
    <row r="40" spans="1:7" x14ac:dyDescent="0.2">
      <c r="F40" s="814" t="s">
        <v>1526</v>
      </c>
      <c r="G40" s="815"/>
    </row>
    <row r="41" spans="1:7" x14ac:dyDescent="0.2">
      <c r="F41" s="814" t="s">
        <v>1526</v>
      </c>
      <c r="G41" s="815"/>
    </row>
    <row r="42" spans="1:7" x14ac:dyDescent="0.2">
      <c r="F42" s="814" t="s">
        <v>1526</v>
      </c>
      <c r="G42" s="815"/>
    </row>
    <row r="43" spans="1:7" x14ac:dyDescent="0.2">
      <c r="F43" s="814" t="s">
        <v>1526</v>
      </c>
      <c r="G43" s="817"/>
    </row>
    <row r="44" spans="1:7" x14ac:dyDescent="0.2">
      <c r="F44" s="814" t="s">
        <v>1526</v>
      </c>
      <c r="G44" s="817"/>
    </row>
    <row r="45" spans="1:7" x14ac:dyDescent="0.2">
      <c r="F45" s="814" t="s">
        <v>1526</v>
      </c>
      <c r="G45" s="817"/>
    </row>
    <row r="46" spans="1:7" x14ac:dyDescent="0.2">
      <c r="F46" s="814" t="s">
        <v>1526</v>
      </c>
      <c r="G46" s="817"/>
    </row>
    <row r="47" spans="1:7" x14ac:dyDescent="0.2">
      <c r="G47" s="817"/>
    </row>
    <row r="48" spans="1:7" x14ac:dyDescent="0.2">
      <c r="G48" s="817"/>
    </row>
    <row r="49" spans="7:7" x14ac:dyDescent="0.2">
      <c r="G49" s="817"/>
    </row>
    <row r="50" spans="7:7" x14ac:dyDescent="0.2">
      <c r="G50" s="817"/>
    </row>
    <row r="51" spans="7:7" x14ac:dyDescent="0.2">
      <c r="G51" s="817"/>
    </row>
    <row r="52" spans="7:7" x14ac:dyDescent="0.2">
      <c r="G52" s="817"/>
    </row>
    <row r="53" spans="7:7" x14ac:dyDescent="0.2">
      <c r="G53" s="817"/>
    </row>
    <row r="54" spans="7:7" x14ac:dyDescent="0.2">
      <c r="G54" s="817"/>
    </row>
    <row r="55" spans="7:7" x14ac:dyDescent="0.2">
      <c r="G55" s="817"/>
    </row>
    <row r="56" spans="7:7" x14ac:dyDescent="0.2">
      <c r="G56" s="817"/>
    </row>
    <row r="57" spans="7:7" x14ac:dyDescent="0.2">
      <c r="G57" s="817"/>
    </row>
    <row r="58" spans="7:7" x14ac:dyDescent="0.2">
      <c r="G58" s="817"/>
    </row>
    <row r="59" spans="7:7" x14ac:dyDescent="0.2">
      <c r="G59" s="817"/>
    </row>
    <row r="60" spans="7:7" x14ac:dyDescent="0.2">
      <c r="G60" s="817"/>
    </row>
    <row r="61" spans="7:7" x14ac:dyDescent="0.2">
      <c r="G61" s="817"/>
    </row>
    <row r="62" spans="7:7" x14ac:dyDescent="0.2">
      <c r="G62" s="817"/>
    </row>
    <row r="63" spans="7:7" x14ac:dyDescent="0.2">
      <c r="G63" s="817"/>
    </row>
    <row r="64" spans="7:7" x14ac:dyDescent="0.2">
      <c r="G64" s="817"/>
    </row>
    <row r="65" spans="7:7" x14ac:dyDescent="0.2">
      <c r="G65" s="817"/>
    </row>
    <row r="66" spans="7:7" x14ac:dyDescent="0.2">
      <c r="G66" s="817"/>
    </row>
    <row r="67" spans="7:7" x14ac:dyDescent="0.2">
      <c r="G67" s="817"/>
    </row>
    <row r="68" spans="7:7" x14ac:dyDescent="0.2">
      <c r="G68" s="817"/>
    </row>
    <row r="69" spans="7:7" x14ac:dyDescent="0.2">
      <c r="G69" s="817"/>
    </row>
    <row r="70" spans="7:7" x14ac:dyDescent="0.2">
      <c r="G70" s="817"/>
    </row>
    <row r="71" spans="7:7" x14ac:dyDescent="0.2">
      <c r="G71" s="817"/>
    </row>
    <row r="72" spans="7:7" x14ac:dyDescent="0.2">
      <c r="G72" s="817"/>
    </row>
    <row r="73" spans="7:7" x14ac:dyDescent="0.2">
      <c r="G73" s="817"/>
    </row>
    <row r="74" spans="7:7" x14ac:dyDescent="0.2">
      <c r="G74" s="817"/>
    </row>
    <row r="75" spans="7:7" x14ac:dyDescent="0.2">
      <c r="G75" s="817"/>
    </row>
    <row r="76" spans="7:7" x14ac:dyDescent="0.2">
      <c r="G76" s="817"/>
    </row>
    <row r="77" spans="7:7" x14ac:dyDescent="0.2">
      <c r="G77" s="817"/>
    </row>
    <row r="78" spans="7:7" x14ac:dyDescent="0.2">
      <c r="G78" s="817"/>
    </row>
    <row r="79" spans="7:7" x14ac:dyDescent="0.2">
      <c r="G79" s="817"/>
    </row>
    <row r="80" spans="7:7" x14ac:dyDescent="0.2">
      <c r="G80" s="817"/>
    </row>
    <row r="81" spans="7:7" x14ac:dyDescent="0.2">
      <c r="G81" s="817"/>
    </row>
    <row r="82" spans="7:7" x14ac:dyDescent="0.2">
      <c r="G82" s="817"/>
    </row>
    <row r="83" spans="7:7" x14ac:dyDescent="0.2">
      <c r="G83" s="817"/>
    </row>
    <row r="84" spans="7:7" x14ac:dyDescent="0.2">
      <c r="G84" s="817"/>
    </row>
    <row r="85" spans="7:7" x14ac:dyDescent="0.2">
      <c r="G85" s="817"/>
    </row>
    <row r="86" spans="7:7" x14ac:dyDescent="0.2">
      <c r="G86" s="817"/>
    </row>
    <row r="87" spans="7:7" x14ac:dyDescent="0.2">
      <c r="G87" s="817"/>
    </row>
    <row r="88" spans="7:7" x14ac:dyDescent="0.2">
      <c r="G88" s="817"/>
    </row>
    <row r="89" spans="7:7" x14ac:dyDescent="0.2">
      <c r="G89" s="817"/>
    </row>
    <row r="90" spans="7:7" x14ac:dyDescent="0.2">
      <c r="G90" s="817"/>
    </row>
    <row r="91" spans="7:7" x14ac:dyDescent="0.2">
      <c r="G91" s="817"/>
    </row>
    <row r="92" spans="7:7" x14ac:dyDescent="0.2">
      <c r="G92" s="817"/>
    </row>
    <row r="93" spans="7:7" x14ac:dyDescent="0.2">
      <c r="G93" s="817"/>
    </row>
    <row r="94" spans="7:7" x14ac:dyDescent="0.2">
      <c r="G94" s="817"/>
    </row>
    <row r="95" spans="7:7" x14ac:dyDescent="0.2">
      <c r="G95" s="817"/>
    </row>
    <row r="96" spans="7:7" x14ac:dyDescent="0.2">
      <c r="G96" s="817"/>
    </row>
    <row r="97" spans="7:7" x14ac:dyDescent="0.2">
      <c r="G97" s="817"/>
    </row>
    <row r="98" spans="7:7" x14ac:dyDescent="0.2">
      <c r="G98" s="817"/>
    </row>
    <row r="99" spans="7:7" x14ac:dyDescent="0.2">
      <c r="G99" s="817"/>
    </row>
    <row r="100" spans="7:7" x14ac:dyDescent="0.2">
      <c r="G100" s="817"/>
    </row>
    <row r="101" spans="7:7" x14ac:dyDescent="0.2">
      <c r="G101" s="817"/>
    </row>
    <row r="102" spans="7:7" x14ac:dyDescent="0.2">
      <c r="G102" s="817"/>
    </row>
    <row r="103" spans="7:7" x14ac:dyDescent="0.2">
      <c r="G103" s="817"/>
    </row>
    <row r="104" spans="7:7" x14ac:dyDescent="0.2">
      <c r="G104" s="817"/>
    </row>
    <row r="105" spans="7:7" x14ac:dyDescent="0.2">
      <c r="G105" s="817"/>
    </row>
    <row r="106" spans="7:7" x14ac:dyDescent="0.2">
      <c r="G106" s="817"/>
    </row>
    <row r="107" spans="7:7" x14ac:dyDescent="0.2">
      <c r="G107" s="817"/>
    </row>
    <row r="108" spans="7:7" x14ac:dyDescent="0.2">
      <c r="G108" s="817"/>
    </row>
    <row r="109" spans="7:7" x14ac:dyDescent="0.2">
      <c r="G109" s="817"/>
    </row>
    <row r="110" spans="7:7" x14ac:dyDescent="0.2">
      <c r="G110" s="817"/>
    </row>
    <row r="111" spans="7:7" x14ac:dyDescent="0.2">
      <c r="G111" s="817"/>
    </row>
    <row r="112" spans="7:7" x14ac:dyDescent="0.2">
      <c r="G112" s="817"/>
    </row>
    <row r="113" spans="7:7" x14ac:dyDescent="0.2">
      <c r="G113" s="817"/>
    </row>
    <row r="114" spans="7:7" x14ac:dyDescent="0.2">
      <c r="G114" s="817"/>
    </row>
    <row r="115" spans="7:7" x14ac:dyDescent="0.2">
      <c r="G115" s="817"/>
    </row>
    <row r="116" spans="7:7" x14ac:dyDescent="0.2">
      <c r="G116" s="817"/>
    </row>
    <row r="117" spans="7:7" x14ac:dyDescent="0.2">
      <c r="G117" s="817"/>
    </row>
    <row r="118" spans="7:7" x14ac:dyDescent="0.2">
      <c r="G118" s="817"/>
    </row>
    <row r="119" spans="7:7" x14ac:dyDescent="0.2">
      <c r="G119" s="817"/>
    </row>
    <row r="120" spans="7:7" x14ac:dyDescent="0.2">
      <c r="G120" s="817"/>
    </row>
    <row r="121" spans="7:7" x14ac:dyDescent="0.2">
      <c r="G121" s="817"/>
    </row>
    <row r="122" spans="7:7" x14ac:dyDescent="0.2">
      <c r="G122" s="817"/>
    </row>
    <row r="123" spans="7:7" x14ac:dyDescent="0.2">
      <c r="G123" s="817"/>
    </row>
    <row r="124" spans="7:7" x14ac:dyDescent="0.2">
      <c r="G124" s="817"/>
    </row>
    <row r="125" spans="7:7" x14ac:dyDescent="0.2">
      <c r="G125" s="817"/>
    </row>
    <row r="126" spans="7:7" x14ac:dyDescent="0.2">
      <c r="G126" s="817"/>
    </row>
    <row r="127" spans="7:7" x14ac:dyDescent="0.2">
      <c r="G127" s="817"/>
    </row>
    <row r="128" spans="7:7" x14ac:dyDescent="0.2">
      <c r="G128" s="817"/>
    </row>
    <row r="129" spans="7:7" x14ac:dyDescent="0.2">
      <c r="G129" s="817"/>
    </row>
    <row r="130" spans="7:7" x14ac:dyDescent="0.2">
      <c r="G130" s="817"/>
    </row>
    <row r="131" spans="7:7" x14ac:dyDescent="0.2">
      <c r="G131" s="817"/>
    </row>
    <row r="132" spans="7:7" x14ac:dyDescent="0.2">
      <c r="G132" s="817"/>
    </row>
    <row r="133" spans="7:7" x14ac:dyDescent="0.2">
      <c r="G133" s="817"/>
    </row>
    <row r="134" spans="7:7" x14ac:dyDescent="0.2">
      <c r="G134" s="817"/>
    </row>
    <row r="135" spans="7:7" x14ac:dyDescent="0.2">
      <c r="G135" s="817"/>
    </row>
    <row r="136" spans="7:7" x14ac:dyDescent="0.2">
      <c r="G136" s="817"/>
    </row>
    <row r="137" spans="7:7" x14ac:dyDescent="0.2">
      <c r="G137" s="817"/>
    </row>
    <row r="138" spans="7:7" x14ac:dyDescent="0.2">
      <c r="G138" s="817"/>
    </row>
    <row r="139" spans="7:7" x14ac:dyDescent="0.2">
      <c r="G139" s="817"/>
    </row>
    <row r="140" spans="7:7" x14ac:dyDescent="0.2">
      <c r="G140" s="817"/>
    </row>
    <row r="141" spans="7:7" x14ac:dyDescent="0.2">
      <c r="G141" s="817"/>
    </row>
    <row r="142" spans="7:7" x14ac:dyDescent="0.2">
      <c r="G142" s="817"/>
    </row>
    <row r="143" spans="7:7" x14ac:dyDescent="0.2">
      <c r="G143" s="817"/>
    </row>
    <row r="144" spans="7:7" x14ac:dyDescent="0.2">
      <c r="G144" s="817"/>
    </row>
    <row r="145" spans="7:7" x14ac:dyDescent="0.2">
      <c r="G145" s="817"/>
    </row>
    <row r="146" spans="7:7" x14ac:dyDescent="0.2">
      <c r="G146" s="817"/>
    </row>
    <row r="147" spans="7:7" x14ac:dyDescent="0.2">
      <c r="G147" s="817"/>
    </row>
    <row r="148" spans="7:7" x14ac:dyDescent="0.2">
      <c r="G148" s="817"/>
    </row>
    <row r="149" spans="7:7" x14ac:dyDescent="0.2">
      <c r="G149" s="817"/>
    </row>
    <row r="150" spans="7:7" x14ac:dyDescent="0.2">
      <c r="G150" s="817"/>
    </row>
    <row r="151" spans="7:7" x14ac:dyDescent="0.2">
      <c r="G151" s="817"/>
    </row>
    <row r="152" spans="7:7" x14ac:dyDescent="0.2">
      <c r="G152" s="817"/>
    </row>
    <row r="153" spans="7:7" x14ac:dyDescent="0.2">
      <c r="G153" s="817"/>
    </row>
    <row r="154" spans="7:7" x14ac:dyDescent="0.2">
      <c r="G154" s="817"/>
    </row>
    <row r="155" spans="7:7" x14ac:dyDescent="0.2">
      <c r="G155" s="817"/>
    </row>
    <row r="156" spans="7:7" x14ac:dyDescent="0.2">
      <c r="G156" s="817"/>
    </row>
    <row r="157" spans="7:7" x14ac:dyDescent="0.2">
      <c r="G157" s="817"/>
    </row>
    <row r="158" spans="7:7" x14ac:dyDescent="0.2">
      <c r="G158" s="817"/>
    </row>
    <row r="159" spans="7:7" x14ac:dyDescent="0.2">
      <c r="G159" s="817"/>
    </row>
    <row r="160" spans="7:7" x14ac:dyDescent="0.2">
      <c r="G160" s="817"/>
    </row>
    <row r="161" spans="7:7" x14ac:dyDescent="0.2">
      <c r="G161" s="817"/>
    </row>
    <row r="162" spans="7:7" x14ac:dyDescent="0.2">
      <c r="G162" s="817"/>
    </row>
    <row r="163" spans="7:7" x14ac:dyDescent="0.2">
      <c r="G163" s="817"/>
    </row>
    <row r="164" spans="7:7" x14ac:dyDescent="0.2">
      <c r="G164" s="817"/>
    </row>
    <row r="165" spans="7:7" x14ac:dyDescent="0.2">
      <c r="G165" s="817"/>
    </row>
    <row r="166" spans="7:7" x14ac:dyDescent="0.2">
      <c r="G166" s="817"/>
    </row>
    <row r="167" spans="7:7" x14ac:dyDescent="0.2">
      <c r="G167" s="817"/>
    </row>
    <row r="168" spans="7:7" x14ac:dyDescent="0.2">
      <c r="G168" s="817"/>
    </row>
    <row r="169" spans="7:7" x14ac:dyDescent="0.2">
      <c r="G169" s="817"/>
    </row>
    <row r="170" spans="7:7" x14ac:dyDescent="0.2">
      <c r="G170" s="817"/>
    </row>
    <row r="171" spans="7:7" x14ac:dyDescent="0.2">
      <c r="G171" s="817"/>
    </row>
    <row r="172" spans="7:7" x14ac:dyDescent="0.2">
      <c r="G172" s="817"/>
    </row>
    <row r="173" spans="7:7" x14ac:dyDescent="0.2">
      <c r="G173" s="817"/>
    </row>
    <row r="174" spans="7:7" x14ac:dyDescent="0.2">
      <c r="G174" s="817"/>
    </row>
    <row r="175" spans="7:7" x14ac:dyDescent="0.2">
      <c r="G175" s="817"/>
    </row>
    <row r="176" spans="7:7" x14ac:dyDescent="0.2">
      <c r="G176" s="817"/>
    </row>
    <row r="177" spans="7:7" x14ac:dyDescent="0.2">
      <c r="G177" s="817"/>
    </row>
    <row r="178" spans="7:7" x14ac:dyDescent="0.2">
      <c r="G178" s="817"/>
    </row>
    <row r="179" spans="7:7" x14ac:dyDescent="0.2">
      <c r="G179" s="817"/>
    </row>
    <row r="180" spans="7:7" x14ac:dyDescent="0.2">
      <c r="G180" s="817"/>
    </row>
    <row r="181" spans="7:7" x14ac:dyDescent="0.2">
      <c r="G181" s="817"/>
    </row>
    <row r="182" spans="7:7" x14ac:dyDescent="0.2">
      <c r="G182" s="817"/>
    </row>
    <row r="183" spans="7:7" x14ac:dyDescent="0.2">
      <c r="G183" s="817"/>
    </row>
    <row r="184" spans="7:7" x14ac:dyDescent="0.2">
      <c r="G184" s="817"/>
    </row>
    <row r="185" spans="7:7" x14ac:dyDescent="0.2">
      <c r="G185" s="817"/>
    </row>
    <row r="186" spans="7:7" x14ac:dyDescent="0.2">
      <c r="G186" s="817"/>
    </row>
    <row r="187" spans="7:7" x14ac:dyDescent="0.2">
      <c r="G187" s="817"/>
    </row>
    <row r="188" spans="7:7" x14ac:dyDescent="0.2">
      <c r="G188" s="817"/>
    </row>
    <row r="189" spans="7:7" x14ac:dyDescent="0.2">
      <c r="G189" s="817"/>
    </row>
    <row r="190" spans="7:7" x14ac:dyDescent="0.2">
      <c r="G190" s="817"/>
    </row>
    <row r="191" spans="7:7" x14ac:dyDescent="0.2">
      <c r="G191" s="817"/>
    </row>
    <row r="192" spans="7:7" x14ac:dyDescent="0.2">
      <c r="G192" s="817"/>
    </row>
    <row r="193" spans="7:7" x14ac:dyDescent="0.2">
      <c r="G193" s="817"/>
    </row>
    <row r="194" spans="7:7" x14ac:dyDescent="0.2">
      <c r="G194" s="817"/>
    </row>
    <row r="195" spans="7:7" x14ac:dyDescent="0.2">
      <c r="G195" s="817"/>
    </row>
    <row r="196" spans="7:7" x14ac:dyDescent="0.2">
      <c r="G196" s="817"/>
    </row>
    <row r="197" spans="7:7" x14ac:dyDescent="0.2">
      <c r="G197" s="817"/>
    </row>
    <row r="198" spans="7:7" x14ac:dyDescent="0.2">
      <c r="G198" s="817"/>
    </row>
    <row r="199" spans="7:7" x14ac:dyDescent="0.2">
      <c r="G199" s="817"/>
    </row>
    <row r="200" spans="7:7" x14ac:dyDescent="0.2">
      <c r="G200" s="817"/>
    </row>
    <row r="201" spans="7:7" x14ac:dyDescent="0.2">
      <c r="G201" s="817"/>
    </row>
    <row r="202" spans="7:7" x14ac:dyDescent="0.2">
      <c r="G202" s="817"/>
    </row>
    <row r="203" spans="7:7" x14ac:dyDescent="0.2">
      <c r="G203" s="817"/>
    </row>
    <row r="204" spans="7:7" x14ac:dyDescent="0.2">
      <c r="G204" s="817"/>
    </row>
    <row r="205" spans="7:7" x14ac:dyDescent="0.2">
      <c r="G205" s="817"/>
    </row>
    <row r="206" spans="7:7" x14ac:dyDescent="0.2">
      <c r="G206" s="817"/>
    </row>
    <row r="207" spans="7:7" x14ac:dyDescent="0.2">
      <c r="G207" s="817"/>
    </row>
    <row r="208" spans="7:7" x14ac:dyDescent="0.2">
      <c r="G208" s="817"/>
    </row>
    <row r="209" spans="7:7" x14ac:dyDescent="0.2">
      <c r="G209" s="817"/>
    </row>
    <row r="210" spans="7:7" x14ac:dyDescent="0.2">
      <c r="G210" s="817"/>
    </row>
    <row r="211" spans="7:7" x14ac:dyDescent="0.2">
      <c r="G211" s="817"/>
    </row>
    <row r="212" spans="7:7" x14ac:dyDescent="0.2">
      <c r="G212" s="817"/>
    </row>
    <row r="213" spans="7:7" x14ac:dyDescent="0.2">
      <c r="G213" s="817"/>
    </row>
    <row r="214" spans="7:7" x14ac:dyDescent="0.2">
      <c r="G214" s="817"/>
    </row>
    <row r="215" spans="7:7" x14ac:dyDescent="0.2">
      <c r="G215" s="817"/>
    </row>
    <row r="216" spans="7:7" x14ac:dyDescent="0.2">
      <c r="G216" s="817"/>
    </row>
    <row r="217" spans="7:7" x14ac:dyDescent="0.2">
      <c r="G217" s="817"/>
    </row>
    <row r="218" spans="7:7" x14ac:dyDescent="0.2">
      <c r="G218" s="817"/>
    </row>
    <row r="219" spans="7:7" x14ac:dyDescent="0.2">
      <c r="G219" s="817"/>
    </row>
    <row r="220" spans="7:7" x14ac:dyDescent="0.2">
      <c r="G220" s="817"/>
    </row>
    <row r="221" spans="7:7" x14ac:dyDescent="0.2">
      <c r="G221" s="817"/>
    </row>
    <row r="222" spans="7:7" x14ac:dyDescent="0.2">
      <c r="G222" s="817"/>
    </row>
    <row r="223" spans="7:7" x14ac:dyDescent="0.2">
      <c r="G223" s="817"/>
    </row>
    <row r="224" spans="7:7" x14ac:dyDescent="0.2">
      <c r="G224" s="817"/>
    </row>
    <row r="225" spans="7:7" x14ac:dyDescent="0.2">
      <c r="G225" s="817"/>
    </row>
    <row r="226" spans="7:7" x14ac:dyDescent="0.2">
      <c r="G226" s="817"/>
    </row>
    <row r="227" spans="7:7" x14ac:dyDescent="0.2">
      <c r="G227" s="817"/>
    </row>
    <row r="228" spans="7:7" x14ac:dyDescent="0.2">
      <c r="G228" s="817"/>
    </row>
    <row r="229" spans="7:7" x14ac:dyDescent="0.2">
      <c r="G229" s="817"/>
    </row>
    <row r="230" spans="7:7" x14ac:dyDescent="0.2">
      <c r="G230" s="817"/>
    </row>
    <row r="231" spans="7:7" x14ac:dyDescent="0.2">
      <c r="G231" s="817"/>
    </row>
    <row r="232" spans="7:7" x14ac:dyDescent="0.2">
      <c r="G232" s="817"/>
    </row>
    <row r="233" spans="7:7" x14ac:dyDescent="0.2">
      <c r="G233" s="817"/>
    </row>
    <row r="234" spans="7:7" x14ac:dyDescent="0.2">
      <c r="G234" s="817"/>
    </row>
    <row r="235" spans="7:7" x14ac:dyDescent="0.2">
      <c r="G235" s="817"/>
    </row>
    <row r="236" spans="7:7" x14ac:dyDescent="0.2">
      <c r="G236" s="817"/>
    </row>
    <row r="237" spans="7:7" x14ac:dyDescent="0.2">
      <c r="G237" s="817"/>
    </row>
    <row r="238" spans="7:7" x14ac:dyDescent="0.2">
      <c r="G238" s="817"/>
    </row>
    <row r="239" spans="7:7" x14ac:dyDescent="0.2">
      <c r="G239" s="817"/>
    </row>
    <row r="240" spans="7:7" x14ac:dyDescent="0.2">
      <c r="G240" s="817"/>
    </row>
    <row r="241" spans="7:7" x14ac:dyDescent="0.2">
      <c r="G241" s="817"/>
    </row>
    <row r="242" spans="7:7" x14ac:dyDescent="0.2">
      <c r="G242" s="817"/>
    </row>
    <row r="243" spans="7:7" x14ac:dyDescent="0.2">
      <c r="G243" s="817"/>
    </row>
    <row r="244" spans="7:7" x14ac:dyDescent="0.2">
      <c r="G244" s="817"/>
    </row>
    <row r="245" spans="7:7" x14ac:dyDescent="0.2">
      <c r="G245" s="817"/>
    </row>
    <row r="246" spans="7:7" x14ac:dyDescent="0.2">
      <c r="G246" s="817"/>
    </row>
    <row r="247" spans="7:7" x14ac:dyDescent="0.2">
      <c r="G247" s="817"/>
    </row>
    <row r="248" spans="7:7" x14ac:dyDescent="0.2">
      <c r="G248" s="817"/>
    </row>
    <row r="249" spans="7:7" x14ac:dyDescent="0.2">
      <c r="G249" s="817"/>
    </row>
    <row r="250" spans="7:7" x14ac:dyDescent="0.2">
      <c r="G250" s="817"/>
    </row>
    <row r="251" spans="7:7" x14ac:dyDescent="0.2">
      <c r="G251" s="817"/>
    </row>
    <row r="252" spans="7:7" x14ac:dyDescent="0.2">
      <c r="G252" s="817"/>
    </row>
    <row r="253" spans="7:7" x14ac:dyDescent="0.2">
      <c r="G253" s="817"/>
    </row>
    <row r="254" spans="7:7" x14ac:dyDescent="0.2">
      <c r="G254" s="817"/>
    </row>
    <row r="255" spans="7:7" x14ac:dyDescent="0.2">
      <c r="G255" s="817"/>
    </row>
    <row r="256" spans="7:7" x14ac:dyDescent="0.2">
      <c r="G256" s="817"/>
    </row>
    <row r="257" spans="7:7" x14ac:dyDescent="0.2">
      <c r="G257" s="817"/>
    </row>
    <row r="258" spans="7:7" x14ac:dyDescent="0.2">
      <c r="G258" s="817"/>
    </row>
    <row r="259" spans="7:7" x14ac:dyDescent="0.2">
      <c r="G259" s="817"/>
    </row>
    <row r="260" spans="7:7" x14ac:dyDescent="0.2">
      <c r="G260" s="817"/>
    </row>
    <row r="261" spans="7:7" x14ac:dyDescent="0.2">
      <c r="G261" s="817"/>
    </row>
    <row r="262" spans="7:7" x14ac:dyDescent="0.2">
      <c r="G262" s="817"/>
    </row>
    <row r="263" spans="7:7" x14ac:dyDescent="0.2">
      <c r="G263" s="817"/>
    </row>
    <row r="264" spans="7:7" x14ac:dyDescent="0.2">
      <c r="G264" s="817"/>
    </row>
    <row r="265" spans="7:7" x14ac:dyDescent="0.2">
      <c r="G265" s="817"/>
    </row>
    <row r="266" spans="7:7" x14ac:dyDescent="0.2">
      <c r="G266" s="817"/>
    </row>
    <row r="267" spans="7:7" x14ac:dyDescent="0.2">
      <c r="G267" s="817"/>
    </row>
    <row r="268" spans="7:7" x14ac:dyDescent="0.2">
      <c r="G268" s="817"/>
    </row>
    <row r="269" spans="7:7" x14ac:dyDescent="0.2">
      <c r="G269" s="817"/>
    </row>
    <row r="270" spans="7:7" x14ac:dyDescent="0.2">
      <c r="G270" s="817"/>
    </row>
    <row r="271" spans="7:7" x14ac:dyDescent="0.2">
      <c r="G271" s="817"/>
    </row>
    <row r="272" spans="7:7" x14ac:dyDescent="0.2">
      <c r="G272" s="817"/>
    </row>
    <row r="273" spans="7:7" x14ac:dyDescent="0.2">
      <c r="G273" s="817"/>
    </row>
    <row r="274" spans="7:7" x14ac:dyDescent="0.2">
      <c r="G274" s="817"/>
    </row>
    <row r="275" spans="7:7" x14ac:dyDescent="0.2">
      <c r="G275" s="817"/>
    </row>
    <row r="276" spans="7:7" x14ac:dyDescent="0.2">
      <c r="G276" s="817"/>
    </row>
    <row r="277" spans="7:7" x14ac:dyDescent="0.2">
      <c r="G277" s="817"/>
    </row>
    <row r="278" spans="7:7" x14ac:dyDescent="0.2">
      <c r="G278" s="817"/>
    </row>
    <row r="279" spans="7:7" x14ac:dyDescent="0.2">
      <c r="G279" s="817"/>
    </row>
    <row r="280" spans="7:7" x14ac:dyDescent="0.2">
      <c r="G280" s="817"/>
    </row>
    <row r="281" spans="7:7" x14ac:dyDescent="0.2">
      <c r="G281" s="817"/>
    </row>
    <row r="282" spans="7:7" x14ac:dyDescent="0.2">
      <c r="G282" s="817"/>
    </row>
    <row r="283" spans="7:7" x14ac:dyDescent="0.2">
      <c r="G283" s="817"/>
    </row>
    <row r="284" spans="7:7" x14ac:dyDescent="0.2">
      <c r="G284" s="817"/>
    </row>
    <row r="285" spans="7:7" x14ac:dyDescent="0.2">
      <c r="G285" s="817"/>
    </row>
    <row r="286" spans="7:7" x14ac:dyDescent="0.2">
      <c r="G286" s="817"/>
    </row>
    <row r="287" spans="7:7" x14ac:dyDescent="0.2">
      <c r="G287" s="817"/>
    </row>
    <row r="288" spans="7:7" x14ac:dyDescent="0.2">
      <c r="G288" s="817"/>
    </row>
    <row r="289" spans="7:7" x14ac:dyDescent="0.2">
      <c r="G289" s="817"/>
    </row>
    <row r="290" spans="7:7" x14ac:dyDescent="0.2">
      <c r="G290" s="817"/>
    </row>
    <row r="291" spans="7:7" x14ac:dyDescent="0.2">
      <c r="G291" s="817"/>
    </row>
    <row r="292" spans="7:7" x14ac:dyDescent="0.2">
      <c r="G292" s="817"/>
    </row>
    <row r="293" spans="7:7" x14ac:dyDescent="0.2">
      <c r="G293" s="817"/>
    </row>
    <row r="294" spans="7:7" x14ac:dyDescent="0.2">
      <c r="G294" s="817"/>
    </row>
    <row r="295" spans="7:7" x14ac:dyDescent="0.2">
      <c r="G295" s="817"/>
    </row>
    <row r="296" spans="7:7" x14ac:dyDescent="0.2">
      <c r="G296" s="817"/>
    </row>
    <row r="297" spans="7:7" x14ac:dyDescent="0.2">
      <c r="G297" s="817"/>
    </row>
    <row r="298" spans="7:7" x14ac:dyDescent="0.2">
      <c r="G298" s="817"/>
    </row>
    <row r="299" spans="7:7" x14ac:dyDescent="0.2">
      <c r="G299" s="817"/>
    </row>
    <row r="300" spans="7:7" x14ac:dyDescent="0.2">
      <c r="G300" s="817"/>
    </row>
    <row r="301" spans="7:7" x14ac:dyDescent="0.2">
      <c r="G301" s="817"/>
    </row>
    <row r="302" spans="7:7" x14ac:dyDescent="0.2">
      <c r="G302" s="817"/>
    </row>
    <row r="303" spans="7:7" x14ac:dyDescent="0.2">
      <c r="G303" s="817"/>
    </row>
    <row r="304" spans="7:7" x14ac:dyDescent="0.2">
      <c r="G304" s="817"/>
    </row>
    <row r="305" spans="7:7" x14ac:dyDescent="0.2">
      <c r="G305" s="817"/>
    </row>
    <row r="306" spans="7:7" x14ac:dyDescent="0.2">
      <c r="G306" s="817"/>
    </row>
    <row r="307" spans="7:7" x14ac:dyDescent="0.2">
      <c r="G307" s="817"/>
    </row>
    <row r="308" spans="7:7" x14ac:dyDescent="0.2">
      <c r="G308" s="817"/>
    </row>
    <row r="309" spans="7:7" x14ac:dyDescent="0.2">
      <c r="G309" s="817"/>
    </row>
    <row r="310" spans="7:7" x14ac:dyDescent="0.2">
      <c r="G310" s="817"/>
    </row>
    <row r="311" spans="7:7" x14ac:dyDescent="0.2">
      <c r="G311" s="817"/>
    </row>
    <row r="312" spans="7:7" x14ac:dyDescent="0.2">
      <c r="G312" s="817"/>
    </row>
    <row r="313" spans="7:7" x14ac:dyDescent="0.2">
      <c r="G313" s="817"/>
    </row>
    <row r="314" spans="7:7" x14ac:dyDescent="0.2">
      <c r="G314" s="817"/>
    </row>
    <row r="315" spans="7:7" x14ac:dyDescent="0.2">
      <c r="G315" s="817"/>
    </row>
    <row r="316" spans="7:7" x14ac:dyDescent="0.2">
      <c r="G316" s="817"/>
    </row>
    <row r="317" spans="7:7" x14ac:dyDescent="0.2">
      <c r="G317" s="817"/>
    </row>
    <row r="318" spans="7:7" x14ac:dyDescent="0.2">
      <c r="G318" s="817"/>
    </row>
    <row r="319" spans="7:7" x14ac:dyDescent="0.2">
      <c r="G319" s="817"/>
    </row>
    <row r="320" spans="7:7" x14ac:dyDescent="0.2">
      <c r="G320" s="817"/>
    </row>
    <row r="321" spans="7:7" x14ac:dyDescent="0.2">
      <c r="G321" s="817"/>
    </row>
    <row r="322" spans="7:7" x14ac:dyDescent="0.2">
      <c r="G322" s="817"/>
    </row>
    <row r="323" spans="7:7" x14ac:dyDescent="0.2">
      <c r="G323" s="817"/>
    </row>
    <row r="324" spans="7:7" x14ac:dyDescent="0.2">
      <c r="G324" s="817"/>
    </row>
    <row r="325" spans="7:7" x14ac:dyDescent="0.2">
      <c r="G325" s="817"/>
    </row>
    <row r="326" spans="7:7" x14ac:dyDescent="0.2">
      <c r="G326" s="817"/>
    </row>
    <row r="327" spans="7:7" x14ac:dyDescent="0.2">
      <c r="G327" s="817"/>
    </row>
    <row r="328" spans="7:7" x14ac:dyDescent="0.2">
      <c r="G328" s="817"/>
    </row>
    <row r="329" spans="7:7" x14ac:dyDescent="0.2">
      <c r="G329" s="817"/>
    </row>
    <row r="330" spans="7:7" x14ac:dyDescent="0.2">
      <c r="G330" s="817"/>
    </row>
    <row r="331" spans="7:7" x14ac:dyDescent="0.2">
      <c r="G331" s="817"/>
    </row>
    <row r="332" spans="7:7" x14ac:dyDescent="0.2">
      <c r="G332" s="817"/>
    </row>
    <row r="333" spans="7:7" x14ac:dyDescent="0.2">
      <c r="G333" s="817"/>
    </row>
    <row r="334" spans="7:7" x14ac:dyDescent="0.2">
      <c r="G334" s="817"/>
    </row>
    <row r="335" spans="7:7" x14ac:dyDescent="0.2">
      <c r="G335" s="817"/>
    </row>
    <row r="336" spans="7:7" x14ac:dyDescent="0.2">
      <c r="G336" s="817"/>
    </row>
    <row r="337" spans="7:7" x14ac:dyDescent="0.2">
      <c r="G337" s="817"/>
    </row>
    <row r="338" spans="7:7" x14ac:dyDescent="0.2">
      <c r="G338" s="817"/>
    </row>
    <row r="339" spans="7:7" x14ac:dyDescent="0.2">
      <c r="G339" s="817"/>
    </row>
    <row r="340" spans="7:7" x14ac:dyDescent="0.2">
      <c r="G340" s="817"/>
    </row>
    <row r="341" spans="7:7" x14ac:dyDescent="0.2">
      <c r="G341" s="817"/>
    </row>
    <row r="342" spans="7:7" x14ac:dyDescent="0.2">
      <c r="G342" s="817"/>
    </row>
    <row r="343" spans="7:7" x14ac:dyDescent="0.2">
      <c r="G343" s="817"/>
    </row>
    <row r="344" spans="7:7" x14ac:dyDescent="0.2">
      <c r="G344" s="817"/>
    </row>
    <row r="345" spans="7:7" x14ac:dyDescent="0.2">
      <c r="G345" s="817"/>
    </row>
    <row r="346" spans="7:7" x14ac:dyDescent="0.2">
      <c r="G346" s="817"/>
    </row>
    <row r="347" spans="7:7" x14ac:dyDescent="0.2">
      <c r="G347" s="817"/>
    </row>
    <row r="348" spans="7:7" x14ac:dyDescent="0.2">
      <c r="G348" s="817"/>
    </row>
    <row r="349" spans="7:7" x14ac:dyDescent="0.2">
      <c r="G349" s="817"/>
    </row>
    <row r="350" spans="7:7" x14ac:dyDescent="0.2">
      <c r="G350" s="817"/>
    </row>
    <row r="351" spans="7:7" x14ac:dyDescent="0.2">
      <c r="G351" s="817"/>
    </row>
    <row r="352" spans="7:7" x14ac:dyDescent="0.2">
      <c r="G352" s="817"/>
    </row>
    <row r="353" spans="7:7" x14ac:dyDescent="0.2">
      <c r="G353" s="817"/>
    </row>
    <row r="354" spans="7:7" x14ac:dyDescent="0.2">
      <c r="G354" s="817"/>
    </row>
    <row r="355" spans="7:7" x14ac:dyDescent="0.2">
      <c r="G355" s="817"/>
    </row>
    <row r="356" spans="7:7" x14ac:dyDescent="0.2">
      <c r="G356" s="817"/>
    </row>
    <row r="357" spans="7:7" x14ac:dyDescent="0.2">
      <c r="G357" s="817"/>
    </row>
    <row r="358" spans="7:7" x14ac:dyDescent="0.2">
      <c r="G358" s="817"/>
    </row>
    <row r="359" spans="7:7" x14ac:dyDescent="0.2">
      <c r="G359" s="817"/>
    </row>
    <row r="360" spans="7:7" x14ac:dyDescent="0.2">
      <c r="G360" s="817"/>
    </row>
    <row r="361" spans="7:7" x14ac:dyDescent="0.2">
      <c r="G361" s="817"/>
    </row>
    <row r="362" spans="7:7" x14ac:dyDescent="0.2">
      <c r="G362" s="817"/>
    </row>
    <row r="363" spans="7:7" x14ac:dyDescent="0.2">
      <c r="G363" s="817"/>
    </row>
    <row r="364" spans="7:7" x14ac:dyDescent="0.2">
      <c r="G364" s="817"/>
    </row>
    <row r="365" spans="7:7" x14ac:dyDescent="0.2">
      <c r="G365" s="817"/>
    </row>
    <row r="366" spans="7:7" x14ac:dyDescent="0.2">
      <c r="G366" s="817"/>
    </row>
    <row r="367" spans="7:7" x14ac:dyDescent="0.2">
      <c r="G367" s="817"/>
    </row>
    <row r="368" spans="7:7" x14ac:dyDescent="0.2">
      <c r="G368" s="817"/>
    </row>
    <row r="369" spans="7:7" x14ac:dyDescent="0.2">
      <c r="G369" s="817"/>
    </row>
    <row r="370" spans="7:7" x14ac:dyDescent="0.2">
      <c r="G370" s="817"/>
    </row>
    <row r="371" spans="7:7" x14ac:dyDescent="0.2">
      <c r="G371" s="817"/>
    </row>
    <row r="372" spans="7:7" x14ac:dyDescent="0.2">
      <c r="G372" s="817"/>
    </row>
    <row r="373" spans="7:7" x14ac:dyDescent="0.2">
      <c r="G373" s="817"/>
    </row>
    <row r="374" spans="7:7" x14ac:dyDescent="0.2">
      <c r="G374" s="817"/>
    </row>
    <row r="375" spans="7:7" x14ac:dyDescent="0.2">
      <c r="G375" s="817"/>
    </row>
    <row r="376" spans="7:7" x14ac:dyDescent="0.2">
      <c r="G376" s="817"/>
    </row>
    <row r="377" spans="7:7" x14ac:dyDescent="0.2">
      <c r="G377" s="817"/>
    </row>
    <row r="378" spans="7:7" x14ac:dyDescent="0.2">
      <c r="G378" s="817"/>
    </row>
    <row r="379" spans="7:7" x14ac:dyDescent="0.2">
      <c r="G379" s="817"/>
    </row>
    <row r="380" spans="7:7" x14ac:dyDescent="0.2">
      <c r="G380" s="817"/>
    </row>
    <row r="381" spans="7:7" x14ac:dyDescent="0.2">
      <c r="G381" s="817"/>
    </row>
    <row r="382" spans="7:7" x14ac:dyDescent="0.2">
      <c r="G382" s="817"/>
    </row>
    <row r="383" spans="7:7" x14ac:dyDescent="0.2">
      <c r="G383" s="817"/>
    </row>
    <row r="384" spans="7:7" x14ac:dyDescent="0.2">
      <c r="G384" s="817"/>
    </row>
    <row r="385" spans="7:7" x14ac:dyDescent="0.2">
      <c r="G385" s="817"/>
    </row>
    <row r="386" spans="7:7" x14ac:dyDescent="0.2">
      <c r="G386" s="817"/>
    </row>
    <row r="387" spans="7:7" x14ac:dyDescent="0.2">
      <c r="G387" s="817"/>
    </row>
    <row r="388" spans="7:7" x14ac:dyDescent="0.2">
      <c r="G388" s="817"/>
    </row>
    <row r="389" spans="7:7" x14ac:dyDescent="0.2">
      <c r="G389" s="817"/>
    </row>
    <row r="390" spans="7:7" x14ac:dyDescent="0.2">
      <c r="G390" s="817"/>
    </row>
    <row r="391" spans="7:7" x14ac:dyDescent="0.2">
      <c r="G391" s="817"/>
    </row>
    <row r="392" spans="7:7" x14ac:dyDescent="0.2">
      <c r="G392" s="817"/>
    </row>
    <row r="393" spans="7:7" x14ac:dyDescent="0.2">
      <c r="G393" s="817"/>
    </row>
    <row r="394" spans="7:7" x14ac:dyDescent="0.2">
      <c r="G394" s="817"/>
    </row>
    <row r="395" spans="7:7" x14ac:dyDescent="0.2">
      <c r="G395" s="817"/>
    </row>
    <row r="396" spans="7:7" x14ac:dyDescent="0.2">
      <c r="G396" s="817"/>
    </row>
    <row r="397" spans="7:7" x14ac:dyDescent="0.2">
      <c r="G397" s="817"/>
    </row>
    <row r="398" spans="7:7" x14ac:dyDescent="0.2">
      <c r="G398" s="817"/>
    </row>
    <row r="399" spans="7:7" x14ac:dyDescent="0.2">
      <c r="G399" s="817"/>
    </row>
    <row r="400" spans="7:7" x14ac:dyDescent="0.2">
      <c r="G400" s="817"/>
    </row>
    <row r="401" spans="7:7" x14ac:dyDescent="0.2">
      <c r="G401" s="817"/>
    </row>
    <row r="402" spans="7:7" x14ac:dyDescent="0.2">
      <c r="G402" s="817"/>
    </row>
    <row r="403" spans="7:7" x14ac:dyDescent="0.2">
      <c r="G403" s="817"/>
    </row>
    <row r="404" spans="7:7" x14ac:dyDescent="0.2">
      <c r="G404" s="817"/>
    </row>
    <row r="405" spans="7:7" x14ac:dyDescent="0.2">
      <c r="G405" s="817"/>
    </row>
    <row r="406" spans="7:7" x14ac:dyDescent="0.2">
      <c r="G406" s="817"/>
    </row>
    <row r="407" spans="7:7" x14ac:dyDescent="0.2">
      <c r="G407" s="817"/>
    </row>
    <row r="408" spans="7:7" x14ac:dyDescent="0.2">
      <c r="G408" s="817"/>
    </row>
    <row r="409" spans="7:7" x14ac:dyDescent="0.2">
      <c r="G409" s="817"/>
    </row>
    <row r="410" spans="7:7" x14ac:dyDescent="0.2">
      <c r="G410" s="817"/>
    </row>
    <row r="411" spans="7:7" x14ac:dyDescent="0.2">
      <c r="G411" s="817"/>
    </row>
    <row r="412" spans="7:7" x14ac:dyDescent="0.2">
      <c r="G412" s="817"/>
    </row>
    <row r="413" spans="7:7" x14ac:dyDescent="0.2">
      <c r="G413" s="817"/>
    </row>
    <row r="414" spans="7:7" x14ac:dyDescent="0.2">
      <c r="G414" s="817"/>
    </row>
    <row r="415" spans="7:7" x14ac:dyDescent="0.2">
      <c r="G415" s="817"/>
    </row>
    <row r="416" spans="7:7" x14ac:dyDescent="0.2">
      <c r="G416" s="817"/>
    </row>
    <row r="417" spans="7:7" x14ac:dyDescent="0.2">
      <c r="G417" s="817"/>
    </row>
    <row r="418" spans="7:7" x14ac:dyDescent="0.2">
      <c r="G418" s="817"/>
    </row>
    <row r="419" spans="7:7" x14ac:dyDescent="0.2">
      <c r="G419" s="817"/>
    </row>
    <row r="420" spans="7:7" x14ac:dyDescent="0.2">
      <c r="G420" s="817"/>
    </row>
    <row r="421" spans="7:7" x14ac:dyDescent="0.2">
      <c r="G421" s="817"/>
    </row>
    <row r="422" spans="7:7" x14ac:dyDescent="0.2">
      <c r="G422" s="817"/>
    </row>
    <row r="423" spans="7:7" x14ac:dyDescent="0.2">
      <c r="G423" s="817"/>
    </row>
    <row r="424" spans="7:7" x14ac:dyDescent="0.2">
      <c r="G424" s="817"/>
    </row>
    <row r="425" spans="7:7" x14ac:dyDescent="0.2">
      <c r="G425" s="817"/>
    </row>
    <row r="426" spans="7:7" x14ac:dyDescent="0.2">
      <c r="G426" s="817"/>
    </row>
    <row r="427" spans="7:7" x14ac:dyDescent="0.2">
      <c r="G427" s="817"/>
    </row>
    <row r="428" spans="7:7" x14ac:dyDescent="0.2">
      <c r="G428" s="817"/>
    </row>
    <row r="429" spans="7:7" x14ac:dyDescent="0.2">
      <c r="G429" s="817"/>
    </row>
    <row r="430" spans="7:7" x14ac:dyDescent="0.2">
      <c r="G430" s="817"/>
    </row>
    <row r="431" spans="7:7" x14ac:dyDescent="0.2">
      <c r="G431" s="817"/>
    </row>
    <row r="432" spans="7:7" x14ac:dyDescent="0.2">
      <c r="G432" s="817"/>
    </row>
    <row r="433" spans="7:7" x14ac:dyDescent="0.2">
      <c r="G433" s="817"/>
    </row>
    <row r="434" spans="7:7" x14ac:dyDescent="0.2">
      <c r="G434" s="817"/>
    </row>
    <row r="435" spans="7:7" x14ac:dyDescent="0.2">
      <c r="G435" s="817"/>
    </row>
    <row r="436" spans="7:7" x14ac:dyDescent="0.2">
      <c r="G436" s="817"/>
    </row>
    <row r="437" spans="7:7" x14ac:dyDescent="0.2">
      <c r="G437" s="817"/>
    </row>
    <row r="438" spans="7:7" x14ac:dyDescent="0.2">
      <c r="G438" s="817"/>
    </row>
    <row r="439" spans="7:7" x14ac:dyDescent="0.2">
      <c r="G439" s="817"/>
    </row>
    <row r="440" spans="7:7" x14ac:dyDescent="0.2">
      <c r="G440" s="817"/>
    </row>
    <row r="441" spans="7:7" x14ac:dyDescent="0.2">
      <c r="G441" s="817"/>
    </row>
    <row r="442" spans="7:7" x14ac:dyDescent="0.2">
      <c r="G442" s="817"/>
    </row>
    <row r="443" spans="7:7" x14ac:dyDescent="0.2">
      <c r="G443" s="817"/>
    </row>
    <row r="444" spans="7:7" x14ac:dyDescent="0.2">
      <c r="G444" s="817"/>
    </row>
    <row r="445" spans="7:7" x14ac:dyDescent="0.2">
      <c r="G445" s="817"/>
    </row>
    <row r="446" spans="7:7" x14ac:dyDescent="0.2">
      <c r="G446" s="817"/>
    </row>
    <row r="447" spans="7:7" x14ac:dyDescent="0.2">
      <c r="G447" s="817"/>
    </row>
    <row r="448" spans="7:7" x14ac:dyDescent="0.2">
      <c r="G448" s="817"/>
    </row>
    <row r="449" spans="7:7" x14ac:dyDescent="0.2">
      <c r="G449" s="817"/>
    </row>
    <row r="450" spans="7:7" x14ac:dyDescent="0.2">
      <c r="G450" s="817"/>
    </row>
    <row r="451" spans="7:7" x14ac:dyDescent="0.2">
      <c r="G451" s="817"/>
    </row>
    <row r="452" spans="7:7" x14ac:dyDescent="0.2">
      <c r="G452" s="817"/>
    </row>
    <row r="453" spans="7:7" x14ac:dyDescent="0.2">
      <c r="G453" s="817"/>
    </row>
    <row r="454" spans="7:7" x14ac:dyDescent="0.2">
      <c r="G454" s="817"/>
    </row>
    <row r="455" spans="7:7" x14ac:dyDescent="0.2">
      <c r="G455" s="817"/>
    </row>
    <row r="456" spans="7:7" x14ac:dyDescent="0.2">
      <c r="G456" s="817"/>
    </row>
    <row r="457" spans="7:7" x14ac:dyDescent="0.2">
      <c r="G457" s="817"/>
    </row>
    <row r="458" spans="7:7" x14ac:dyDescent="0.2">
      <c r="G458" s="817"/>
    </row>
    <row r="459" spans="7:7" x14ac:dyDescent="0.2">
      <c r="G459" s="817"/>
    </row>
    <row r="460" spans="7:7" x14ac:dyDescent="0.2">
      <c r="G460" s="817"/>
    </row>
    <row r="461" spans="7:7" x14ac:dyDescent="0.2">
      <c r="G461" s="817"/>
    </row>
    <row r="462" spans="7:7" x14ac:dyDescent="0.2">
      <c r="G462" s="817"/>
    </row>
    <row r="463" spans="7:7" x14ac:dyDescent="0.2">
      <c r="G463" s="817"/>
    </row>
    <row r="464" spans="7:7" x14ac:dyDescent="0.2">
      <c r="G464" s="817"/>
    </row>
    <row r="465" spans="7:7" x14ac:dyDescent="0.2">
      <c r="G465" s="817"/>
    </row>
    <row r="466" spans="7:7" x14ac:dyDescent="0.2">
      <c r="G466" s="817"/>
    </row>
    <row r="467" spans="7:7" x14ac:dyDescent="0.2">
      <c r="G467" s="817"/>
    </row>
    <row r="468" spans="7:7" x14ac:dyDescent="0.2">
      <c r="G468" s="817"/>
    </row>
    <row r="469" spans="7:7" x14ac:dyDescent="0.2">
      <c r="G469" s="817"/>
    </row>
    <row r="470" spans="7:7" x14ac:dyDescent="0.2">
      <c r="G470" s="817"/>
    </row>
    <row r="471" spans="7:7" x14ac:dyDescent="0.2">
      <c r="G471" s="817"/>
    </row>
    <row r="472" spans="7:7" x14ac:dyDescent="0.2">
      <c r="G472" s="817"/>
    </row>
    <row r="473" spans="7:7" x14ac:dyDescent="0.2">
      <c r="G473" s="817"/>
    </row>
    <row r="474" spans="7:7" x14ac:dyDescent="0.2">
      <c r="G474" s="817"/>
    </row>
    <row r="475" spans="7:7" x14ac:dyDescent="0.2">
      <c r="G475" s="817"/>
    </row>
    <row r="476" spans="7:7" x14ac:dyDescent="0.2">
      <c r="G476" s="817"/>
    </row>
    <row r="477" spans="7:7" x14ac:dyDescent="0.2">
      <c r="G477" s="817"/>
    </row>
    <row r="478" spans="7:7" x14ac:dyDescent="0.2">
      <c r="G478" s="817"/>
    </row>
    <row r="479" spans="7:7" x14ac:dyDescent="0.2">
      <c r="G479" s="817"/>
    </row>
    <row r="480" spans="7:7" x14ac:dyDescent="0.2">
      <c r="G480" s="817"/>
    </row>
    <row r="481" spans="7:7" x14ac:dyDescent="0.2">
      <c r="G481" s="817"/>
    </row>
    <row r="482" spans="7:7" x14ac:dyDescent="0.2">
      <c r="G482" s="817"/>
    </row>
    <row r="483" spans="7:7" x14ac:dyDescent="0.2">
      <c r="G483" s="817"/>
    </row>
    <row r="484" spans="7:7" x14ac:dyDescent="0.2">
      <c r="G484" s="817"/>
    </row>
    <row r="485" spans="7:7" x14ac:dyDescent="0.2">
      <c r="G485" s="817"/>
    </row>
    <row r="486" spans="7:7" x14ac:dyDescent="0.2">
      <c r="G486" s="817"/>
    </row>
    <row r="487" spans="7:7" x14ac:dyDescent="0.2">
      <c r="G487" s="817"/>
    </row>
    <row r="488" spans="7:7" x14ac:dyDescent="0.2">
      <c r="G488" s="817"/>
    </row>
    <row r="489" spans="7:7" x14ac:dyDescent="0.2">
      <c r="G489" s="817"/>
    </row>
    <row r="490" spans="7:7" x14ac:dyDescent="0.2">
      <c r="G490" s="817"/>
    </row>
    <row r="491" spans="7:7" x14ac:dyDescent="0.2">
      <c r="G491" s="817"/>
    </row>
    <row r="492" spans="7:7" x14ac:dyDescent="0.2">
      <c r="G492" s="817"/>
    </row>
    <row r="493" spans="7:7" x14ac:dyDescent="0.2">
      <c r="G493" s="817"/>
    </row>
    <row r="494" spans="7:7" x14ac:dyDescent="0.2">
      <c r="G494" s="817"/>
    </row>
    <row r="495" spans="7:7" x14ac:dyDescent="0.2">
      <c r="G495" s="817"/>
    </row>
    <row r="496" spans="7:7" x14ac:dyDescent="0.2">
      <c r="G496" s="817"/>
    </row>
    <row r="497" spans="7:7" x14ac:dyDescent="0.2">
      <c r="G497" s="817"/>
    </row>
    <row r="498" spans="7:7" x14ac:dyDescent="0.2">
      <c r="G498" s="817"/>
    </row>
    <row r="499" spans="7:7" x14ac:dyDescent="0.2">
      <c r="G499" s="817"/>
    </row>
    <row r="500" spans="7:7" x14ac:dyDescent="0.2">
      <c r="G500" s="817"/>
    </row>
    <row r="501" spans="7:7" x14ac:dyDescent="0.2">
      <c r="G501" s="817"/>
    </row>
    <row r="502" spans="7:7" x14ac:dyDescent="0.2">
      <c r="G502" s="817"/>
    </row>
    <row r="503" spans="7:7" x14ac:dyDescent="0.2">
      <c r="G503" s="817"/>
    </row>
    <row r="504" spans="7:7" x14ac:dyDescent="0.2">
      <c r="G504" s="817"/>
    </row>
    <row r="505" spans="7:7" x14ac:dyDescent="0.2">
      <c r="G505" s="817"/>
    </row>
    <row r="506" spans="7:7" x14ac:dyDescent="0.2">
      <c r="G506" s="817"/>
    </row>
    <row r="507" spans="7:7" x14ac:dyDescent="0.2">
      <c r="G507" s="817"/>
    </row>
    <row r="508" spans="7:7" x14ac:dyDescent="0.2">
      <c r="G508" s="817"/>
    </row>
    <row r="509" spans="7:7" x14ac:dyDescent="0.2">
      <c r="G509" s="817"/>
    </row>
    <row r="510" spans="7:7" x14ac:dyDescent="0.2">
      <c r="G510" s="817"/>
    </row>
    <row r="511" spans="7:7" x14ac:dyDescent="0.2">
      <c r="G511" s="817"/>
    </row>
    <row r="512" spans="7:7" x14ac:dyDescent="0.2">
      <c r="G512" s="817"/>
    </row>
    <row r="513" spans="7:7" x14ac:dyDescent="0.2">
      <c r="G513" s="817"/>
    </row>
    <row r="514" spans="7:7" x14ac:dyDescent="0.2">
      <c r="G514" s="817"/>
    </row>
    <row r="515" spans="7:7" x14ac:dyDescent="0.2">
      <c r="G515" s="817"/>
    </row>
    <row r="516" spans="7:7" x14ac:dyDescent="0.2">
      <c r="G516" s="817"/>
    </row>
    <row r="517" spans="7:7" x14ac:dyDescent="0.2">
      <c r="G517" s="817"/>
    </row>
    <row r="518" spans="7:7" x14ac:dyDescent="0.2">
      <c r="G518" s="817"/>
    </row>
    <row r="519" spans="7:7" x14ac:dyDescent="0.2">
      <c r="G519" s="817"/>
    </row>
    <row r="520" spans="7:7" x14ac:dyDescent="0.2">
      <c r="G520" s="817"/>
    </row>
    <row r="521" spans="7:7" x14ac:dyDescent="0.2">
      <c r="G521" s="817"/>
    </row>
    <row r="522" spans="7:7" x14ac:dyDescent="0.2">
      <c r="G522" s="817"/>
    </row>
    <row r="523" spans="7:7" x14ac:dyDescent="0.2">
      <c r="G523" s="817"/>
    </row>
    <row r="524" spans="7:7" x14ac:dyDescent="0.2">
      <c r="G524" s="817"/>
    </row>
    <row r="525" spans="7:7" x14ac:dyDescent="0.2">
      <c r="G525" s="817"/>
    </row>
    <row r="526" spans="7:7" x14ac:dyDescent="0.2">
      <c r="G526" s="817"/>
    </row>
    <row r="527" spans="7:7" x14ac:dyDescent="0.2">
      <c r="G527" s="817"/>
    </row>
    <row r="528" spans="7:7" x14ac:dyDescent="0.2">
      <c r="G528" s="817"/>
    </row>
    <row r="529" spans="7:7" x14ac:dyDescent="0.2">
      <c r="G529" s="817"/>
    </row>
    <row r="530" spans="7:7" x14ac:dyDescent="0.2">
      <c r="G530" s="817"/>
    </row>
    <row r="531" spans="7:7" x14ac:dyDescent="0.2">
      <c r="G531" s="817"/>
    </row>
    <row r="532" spans="7:7" x14ac:dyDescent="0.2">
      <c r="G532" s="817"/>
    </row>
    <row r="533" spans="7:7" x14ac:dyDescent="0.2">
      <c r="G533" s="817"/>
    </row>
    <row r="534" spans="7:7" x14ac:dyDescent="0.2">
      <c r="G534" s="817"/>
    </row>
    <row r="535" spans="7:7" x14ac:dyDescent="0.2">
      <c r="G535" s="817"/>
    </row>
    <row r="536" spans="7:7" x14ac:dyDescent="0.2">
      <c r="G536" s="817"/>
    </row>
    <row r="537" spans="7:7" x14ac:dyDescent="0.2">
      <c r="G537" s="817"/>
    </row>
    <row r="538" spans="7:7" x14ac:dyDescent="0.2">
      <c r="G538" s="817"/>
    </row>
    <row r="539" spans="7:7" x14ac:dyDescent="0.2">
      <c r="G539" s="817"/>
    </row>
    <row r="540" spans="7:7" x14ac:dyDescent="0.2">
      <c r="G540" s="817"/>
    </row>
    <row r="541" spans="7:7" x14ac:dyDescent="0.2">
      <c r="G541" s="817"/>
    </row>
    <row r="542" spans="7:7" x14ac:dyDescent="0.2">
      <c r="G542" s="817"/>
    </row>
    <row r="543" spans="7:7" x14ac:dyDescent="0.2">
      <c r="G543" s="817"/>
    </row>
    <row r="544" spans="7:7" x14ac:dyDescent="0.2">
      <c r="G544" s="817"/>
    </row>
    <row r="545" spans="7:7" x14ac:dyDescent="0.2">
      <c r="G545" s="817"/>
    </row>
    <row r="546" spans="7:7" x14ac:dyDescent="0.2">
      <c r="G546" s="817"/>
    </row>
    <row r="547" spans="7:7" x14ac:dyDescent="0.2">
      <c r="G547" s="817"/>
    </row>
    <row r="548" spans="7:7" x14ac:dyDescent="0.2">
      <c r="G548" s="817"/>
    </row>
    <row r="549" spans="7:7" x14ac:dyDescent="0.2">
      <c r="G549" s="817"/>
    </row>
    <row r="550" spans="7:7" x14ac:dyDescent="0.2">
      <c r="G550" s="817"/>
    </row>
    <row r="551" spans="7:7" x14ac:dyDescent="0.2">
      <c r="G551" s="817"/>
    </row>
    <row r="552" spans="7:7" x14ac:dyDescent="0.2">
      <c r="G552" s="817"/>
    </row>
    <row r="553" spans="7:7" x14ac:dyDescent="0.2">
      <c r="G553" s="817"/>
    </row>
    <row r="554" spans="7:7" x14ac:dyDescent="0.2">
      <c r="G554" s="817"/>
    </row>
    <row r="555" spans="7:7" x14ac:dyDescent="0.2">
      <c r="G555" s="817"/>
    </row>
    <row r="556" spans="7:7" x14ac:dyDescent="0.2">
      <c r="G556" s="817"/>
    </row>
    <row r="557" spans="7:7" x14ac:dyDescent="0.2">
      <c r="G557" s="817"/>
    </row>
    <row r="558" spans="7:7" x14ac:dyDescent="0.2">
      <c r="G558" s="817"/>
    </row>
    <row r="559" spans="7:7" x14ac:dyDescent="0.2">
      <c r="G559" s="817"/>
    </row>
    <row r="560" spans="7:7" x14ac:dyDescent="0.2">
      <c r="G560" s="817"/>
    </row>
    <row r="561" spans="7:7" x14ac:dyDescent="0.2">
      <c r="G561" s="817"/>
    </row>
    <row r="562" spans="7:7" x14ac:dyDescent="0.2">
      <c r="G562" s="817"/>
    </row>
    <row r="563" spans="7:7" x14ac:dyDescent="0.2">
      <c r="G563" s="817"/>
    </row>
    <row r="564" spans="7:7" x14ac:dyDescent="0.2">
      <c r="G564" s="817"/>
    </row>
    <row r="565" spans="7:7" x14ac:dyDescent="0.2">
      <c r="G565" s="817"/>
    </row>
    <row r="566" spans="7:7" x14ac:dyDescent="0.2">
      <c r="G566" s="817"/>
    </row>
    <row r="567" spans="7:7" x14ac:dyDescent="0.2">
      <c r="G567" s="817"/>
    </row>
    <row r="568" spans="7:7" x14ac:dyDescent="0.2">
      <c r="G568" s="817"/>
    </row>
    <row r="569" spans="7:7" x14ac:dyDescent="0.2">
      <c r="G569" s="817"/>
    </row>
    <row r="570" spans="7:7" x14ac:dyDescent="0.2">
      <c r="G570" s="817"/>
    </row>
    <row r="571" spans="7:7" x14ac:dyDescent="0.2">
      <c r="G571" s="817"/>
    </row>
    <row r="572" spans="7:7" x14ac:dyDescent="0.2">
      <c r="G572" s="817"/>
    </row>
    <row r="573" spans="7:7" x14ac:dyDescent="0.2">
      <c r="G573" s="817"/>
    </row>
    <row r="574" spans="7:7" x14ac:dyDescent="0.2">
      <c r="G574" s="817"/>
    </row>
    <row r="575" spans="7:7" x14ac:dyDescent="0.2">
      <c r="G575" s="817"/>
    </row>
    <row r="576" spans="7:7" x14ac:dyDescent="0.2">
      <c r="G576" s="817"/>
    </row>
    <row r="577" spans="7:7" x14ac:dyDescent="0.2">
      <c r="G577" s="817"/>
    </row>
    <row r="578" spans="7:7" x14ac:dyDescent="0.2">
      <c r="G578" s="817"/>
    </row>
    <row r="579" spans="7:7" x14ac:dyDescent="0.2">
      <c r="G579" s="817"/>
    </row>
    <row r="580" spans="7:7" x14ac:dyDescent="0.2">
      <c r="G580" s="817"/>
    </row>
    <row r="581" spans="7:7" x14ac:dyDescent="0.2">
      <c r="G581" s="817"/>
    </row>
    <row r="582" spans="7:7" x14ac:dyDescent="0.2">
      <c r="G582" s="817"/>
    </row>
    <row r="583" spans="7:7" x14ac:dyDescent="0.2">
      <c r="G583" s="817"/>
    </row>
    <row r="584" spans="7:7" x14ac:dyDescent="0.2">
      <c r="G584" s="817"/>
    </row>
    <row r="585" spans="7:7" x14ac:dyDescent="0.2">
      <c r="G585" s="817"/>
    </row>
    <row r="586" spans="7:7" x14ac:dyDescent="0.2">
      <c r="G586" s="817"/>
    </row>
    <row r="587" spans="7:7" x14ac:dyDescent="0.2">
      <c r="G587" s="817"/>
    </row>
    <row r="588" spans="7:7" x14ac:dyDescent="0.2">
      <c r="G588" s="817"/>
    </row>
    <row r="589" spans="7:7" x14ac:dyDescent="0.2">
      <c r="G589" s="817"/>
    </row>
    <row r="590" spans="7:7" x14ac:dyDescent="0.2">
      <c r="G590" s="817"/>
    </row>
    <row r="591" spans="7:7" x14ac:dyDescent="0.2">
      <c r="G591" s="817"/>
    </row>
    <row r="592" spans="7:7" x14ac:dyDescent="0.2">
      <c r="G592" s="817"/>
    </row>
    <row r="593" spans="7:7" x14ac:dyDescent="0.2">
      <c r="G593" s="817"/>
    </row>
    <row r="594" spans="7:7" x14ac:dyDescent="0.2">
      <c r="G594" s="817"/>
    </row>
    <row r="595" spans="7:7" x14ac:dyDescent="0.2">
      <c r="G595" s="817"/>
    </row>
    <row r="596" spans="7:7" x14ac:dyDescent="0.2">
      <c r="G596" s="817"/>
    </row>
    <row r="597" spans="7:7" x14ac:dyDescent="0.2">
      <c r="G597" s="817"/>
    </row>
    <row r="598" spans="7:7" x14ac:dyDescent="0.2">
      <c r="G598" s="817"/>
    </row>
    <row r="599" spans="7:7" x14ac:dyDescent="0.2">
      <c r="G599" s="817"/>
    </row>
    <row r="600" spans="7:7" x14ac:dyDescent="0.2">
      <c r="G600" s="817"/>
    </row>
    <row r="601" spans="7:7" x14ac:dyDescent="0.2">
      <c r="G601" s="817"/>
    </row>
    <row r="602" spans="7:7" x14ac:dyDescent="0.2">
      <c r="G602" s="817"/>
    </row>
    <row r="603" spans="7:7" x14ac:dyDescent="0.2">
      <c r="G603" s="817"/>
    </row>
    <row r="604" spans="7:7" x14ac:dyDescent="0.2">
      <c r="G604" s="817"/>
    </row>
    <row r="605" spans="7:7" x14ac:dyDescent="0.2">
      <c r="G605" s="817"/>
    </row>
    <row r="606" spans="7:7" x14ac:dyDescent="0.2">
      <c r="G606" s="817"/>
    </row>
    <row r="607" spans="7:7" x14ac:dyDescent="0.2">
      <c r="G607" s="817"/>
    </row>
    <row r="608" spans="7:7" x14ac:dyDescent="0.2">
      <c r="G608" s="817"/>
    </row>
    <row r="609" spans="7:7" x14ac:dyDescent="0.2">
      <c r="G609" s="817"/>
    </row>
    <row r="610" spans="7:7" x14ac:dyDescent="0.2">
      <c r="G610" s="817"/>
    </row>
    <row r="611" spans="7:7" x14ac:dyDescent="0.2">
      <c r="G611" s="817"/>
    </row>
    <row r="612" spans="7:7" x14ac:dyDescent="0.2">
      <c r="G612" s="817"/>
    </row>
    <row r="613" spans="7:7" x14ac:dyDescent="0.2">
      <c r="G613" s="817"/>
    </row>
    <row r="614" spans="7:7" x14ac:dyDescent="0.2">
      <c r="G614" s="817"/>
    </row>
    <row r="615" spans="7:7" x14ac:dyDescent="0.2">
      <c r="G615" s="817"/>
    </row>
    <row r="616" spans="7:7" x14ac:dyDescent="0.2">
      <c r="G616" s="817"/>
    </row>
    <row r="617" spans="7:7" x14ac:dyDescent="0.2">
      <c r="G617" s="817"/>
    </row>
    <row r="618" spans="7:7" x14ac:dyDescent="0.2">
      <c r="G618" s="817"/>
    </row>
    <row r="619" spans="7:7" x14ac:dyDescent="0.2">
      <c r="G619" s="817"/>
    </row>
    <row r="620" spans="7:7" x14ac:dyDescent="0.2">
      <c r="G620" s="817"/>
    </row>
    <row r="621" spans="7:7" x14ac:dyDescent="0.2">
      <c r="G621" s="817"/>
    </row>
    <row r="622" spans="7:7" x14ac:dyDescent="0.2">
      <c r="G622" s="817"/>
    </row>
    <row r="623" spans="7:7" x14ac:dyDescent="0.2">
      <c r="G623" s="817"/>
    </row>
    <row r="624" spans="7:7" x14ac:dyDescent="0.2">
      <c r="G624" s="817"/>
    </row>
    <row r="625" spans="7:7" x14ac:dyDescent="0.2">
      <c r="G625" s="817"/>
    </row>
    <row r="626" spans="7:7" x14ac:dyDescent="0.2">
      <c r="G626" s="817"/>
    </row>
    <row r="627" spans="7:7" x14ac:dyDescent="0.2">
      <c r="G627" s="817"/>
    </row>
    <row r="628" spans="7:7" x14ac:dyDescent="0.2">
      <c r="G628" s="817"/>
    </row>
    <row r="629" spans="7:7" x14ac:dyDescent="0.2">
      <c r="G629" s="817"/>
    </row>
    <row r="630" spans="7:7" x14ac:dyDescent="0.2">
      <c r="G630" s="817"/>
    </row>
    <row r="631" spans="7:7" x14ac:dyDescent="0.2">
      <c r="G631" s="817"/>
    </row>
    <row r="632" spans="7:7" x14ac:dyDescent="0.2">
      <c r="G632" s="817"/>
    </row>
    <row r="633" spans="7:7" x14ac:dyDescent="0.2">
      <c r="G633" s="817"/>
    </row>
    <row r="634" spans="7:7" x14ac:dyDescent="0.2">
      <c r="G634" s="817"/>
    </row>
    <row r="635" spans="7:7" x14ac:dyDescent="0.2">
      <c r="G635" s="817"/>
    </row>
    <row r="636" spans="7:7" x14ac:dyDescent="0.2">
      <c r="G636" s="817"/>
    </row>
    <row r="637" spans="7:7" x14ac:dyDescent="0.2">
      <c r="G637" s="817"/>
    </row>
    <row r="638" spans="7:7" x14ac:dyDescent="0.2">
      <c r="G638" s="817"/>
    </row>
    <row r="639" spans="7:7" x14ac:dyDescent="0.2">
      <c r="G639" s="817"/>
    </row>
    <row r="640" spans="7:7" x14ac:dyDescent="0.2">
      <c r="G640" s="817"/>
    </row>
    <row r="641" spans="7:7" x14ac:dyDescent="0.2">
      <c r="G641" s="817"/>
    </row>
    <row r="642" spans="7:7" x14ac:dyDescent="0.2">
      <c r="G642" s="817"/>
    </row>
    <row r="643" spans="7:7" x14ac:dyDescent="0.2">
      <c r="G643" s="817"/>
    </row>
    <row r="644" spans="7:7" x14ac:dyDescent="0.2">
      <c r="G644" s="817"/>
    </row>
    <row r="645" spans="7:7" x14ac:dyDescent="0.2">
      <c r="G645" s="817"/>
    </row>
    <row r="646" spans="7:7" x14ac:dyDescent="0.2">
      <c r="G646" s="817"/>
    </row>
    <row r="647" spans="7:7" x14ac:dyDescent="0.2">
      <c r="G647" s="817"/>
    </row>
    <row r="648" spans="7:7" x14ac:dyDescent="0.2">
      <c r="G648" s="817"/>
    </row>
    <row r="649" spans="7:7" x14ac:dyDescent="0.2">
      <c r="G649" s="817"/>
    </row>
    <row r="650" spans="7:7" x14ac:dyDescent="0.2">
      <c r="G650" s="817"/>
    </row>
    <row r="651" spans="7:7" x14ac:dyDescent="0.2">
      <c r="G651" s="817"/>
    </row>
    <row r="652" spans="7:7" x14ac:dyDescent="0.2">
      <c r="G652" s="817"/>
    </row>
    <row r="653" spans="7:7" x14ac:dyDescent="0.2">
      <c r="G653" s="817"/>
    </row>
    <row r="654" spans="7:7" x14ac:dyDescent="0.2">
      <c r="G654" s="817"/>
    </row>
    <row r="655" spans="7:7" x14ac:dyDescent="0.2">
      <c r="G655" s="817"/>
    </row>
    <row r="656" spans="7:7" x14ac:dyDescent="0.2">
      <c r="G656" s="817"/>
    </row>
    <row r="657" spans="7:7" x14ac:dyDescent="0.2">
      <c r="G657" s="817"/>
    </row>
    <row r="658" spans="7:7" x14ac:dyDescent="0.2">
      <c r="G658" s="817"/>
    </row>
    <row r="659" spans="7:7" x14ac:dyDescent="0.2">
      <c r="G659" s="817"/>
    </row>
    <row r="660" spans="7:7" x14ac:dyDescent="0.2">
      <c r="G660" s="817"/>
    </row>
    <row r="661" spans="7:7" x14ac:dyDescent="0.2">
      <c r="G661" s="817"/>
    </row>
    <row r="662" spans="7:7" x14ac:dyDescent="0.2">
      <c r="G662" s="817"/>
    </row>
    <row r="663" spans="7:7" x14ac:dyDescent="0.2">
      <c r="G663" s="817"/>
    </row>
    <row r="664" spans="7:7" x14ac:dyDescent="0.2">
      <c r="G664" s="817"/>
    </row>
    <row r="665" spans="7:7" x14ac:dyDescent="0.2">
      <c r="G665" s="817"/>
    </row>
    <row r="666" spans="7:7" x14ac:dyDescent="0.2">
      <c r="G666" s="817"/>
    </row>
    <row r="667" spans="7:7" x14ac:dyDescent="0.2">
      <c r="G667" s="817"/>
    </row>
    <row r="668" spans="7:7" x14ac:dyDescent="0.2">
      <c r="G668" s="817"/>
    </row>
    <row r="669" spans="7:7" x14ac:dyDescent="0.2">
      <c r="G669" s="817"/>
    </row>
    <row r="670" spans="7:7" x14ac:dyDescent="0.2">
      <c r="G670" s="817"/>
    </row>
    <row r="671" spans="7:7" x14ac:dyDescent="0.2">
      <c r="G671" s="817"/>
    </row>
    <row r="672" spans="7:7" x14ac:dyDescent="0.2">
      <c r="G672" s="817"/>
    </row>
    <row r="673" spans="7:7" x14ac:dyDescent="0.2">
      <c r="G673" s="817"/>
    </row>
    <row r="674" spans="7:7" x14ac:dyDescent="0.2">
      <c r="G674" s="817"/>
    </row>
    <row r="675" spans="7:7" x14ac:dyDescent="0.2">
      <c r="G675" s="817"/>
    </row>
    <row r="676" spans="7:7" x14ac:dyDescent="0.2">
      <c r="G676" s="817"/>
    </row>
    <row r="677" spans="7:7" x14ac:dyDescent="0.2">
      <c r="G677" s="817"/>
    </row>
    <row r="678" spans="7:7" x14ac:dyDescent="0.2">
      <c r="G678" s="817"/>
    </row>
    <row r="679" spans="7:7" x14ac:dyDescent="0.2">
      <c r="G679" s="817"/>
    </row>
    <row r="680" spans="7:7" x14ac:dyDescent="0.2">
      <c r="G680" s="817"/>
    </row>
    <row r="681" spans="7:7" x14ac:dyDescent="0.2">
      <c r="G681" s="817"/>
    </row>
    <row r="682" spans="7:7" x14ac:dyDescent="0.2">
      <c r="G682" s="817"/>
    </row>
    <row r="683" spans="7:7" x14ac:dyDescent="0.2">
      <c r="G683" s="817"/>
    </row>
    <row r="684" spans="7:7" x14ac:dyDescent="0.2">
      <c r="G684" s="817"/>
    </row>
    <row r="685" spans="7:7" x14ac:dyDescent="0.2">
      <c r="G685" s="817"/>
    </row>
    <row r="686" spans="7:7" x14ac:dyDescent="0.2">
      <c r="G686" s="817"/>
    </row>
    <row r="687" spans="7:7" x14ac:dyDescent="0.2">
      <c r="G687" s="817"/>
    </row>
    <row r="688" spans="7:7" x14ac:dyDescent="0.2">
      <c r="G688" s="817"/>
    </row>
    <row r="689" spans="7:7" x14ac:dyDescent="0.2">
      <c r="G689" s="817"/>
    </row>
    <row r="690" spans="7:7" x14ac:dyDescent="0.2">
      <c r="G690" s="817"/>
    </row>
    <row r="691" spans="7:7" x14ac:dyDescent="0.2">
      <c r="G691" s="817"/>
    </row>
    <row r="692" spans="7:7" x14ac:dyDescent="0.2">
      <c r="G692" s="817"/>
    </row>
    <row r="693" spans="7:7" x14ac:dyDescent="0.2">
      <c r="G693" s="817"/>
    </row>
    <row r="694" spans="7:7" x14ac:dyDescent="0.2">
      <c r="G694" s="817"/>
    </row>
    <row r="695" spans="7:7" x14ac:dyDescent="0.2">
      <c r="G695" s="817"/>
    </row>
    <row r="696" spans="7:7" x14ac:dyDescent="0.2">
      <c r="G696" s="817"/>
    </row>
    <row r="697" spans="7:7" x14ac:dyDescent="0.2">
      <c r="G697" s="817"/>
    </row>
    <row r="698" spans="7:7" x14ac:dyDescent="0.2">
      <c r="G698" s="817"/>
    </row>
    <row r="699" spans="7:7" x14ac:dyDescent="0.2">
      <c r="G699" s="817"/>
    </row>
    <row r="700" spans="7:7" x14ac:dyDescent="0.2">
      <c r="G700" s="817"/>
    </row>
    <row r="701" spans="7:7" x14ac:dyDescent="0.2">
      <c r="G701" s="817"/>
    </row>
    <row r="702" spans="7:7" x14ac:dyDescent="0.2">
      <c r="G702" s="817"/>
    </row>
    <row r="703" spans="7:7" x14ac:dyDescent="0.2">
      <c r="G703" s="817"/>
    </row>
    <row r="704" spans="7:7" x14ac:dyDescent="0.2">
      <c r="G704" s="817"/>
    </row>
    <row r="705" spans="7:7" x14ac:dyDescent="0.2">
      <c r="G705" s="817"/>
    </row>
    <row r="706" spans="7:7" x14ac:dyDescent="0.2">
      <c r="G706" s="817"/>
    </row>
    <row r="707" spans="7:7" x14ac:dyDescent="0.2">
      <c r="G707" s="817"/>
    </row>
    <row r="708" spans="7:7" x14ac:dyDescent="0.2">
      <c r="G708" s="817"/>
    </row>
    <row r="709" spans="7:7" x14ac:dyDescent="0.2">
      <c r="G709" s="817"/>
    </row>
    <row r="710" spans="7:7" x14ac:dyDescent="0.2">
      <c r="G710" s="817"/>
    </row>
    <row r="711" spans="7:7" x14ac:dyDescent="0.2">
      <c r="G711" s="817"/>
    </row>
    <row r="712" spans="7:7" x14ac:dyDescent="0.2">
      <c r="G712" s="817"/>
    </row>
    <row r="713" spans="7:7" x14ac:dyDescent="0.2">
      <c r="G713" s="817"/>
    </row>
    <row r="714" spans="7:7" x14ac:dyDescent="0.2">
      <c r="G714" s="817"/>
    </row>
    <row r="715" spans="7:7" x14ac:dyDescent="0.2">
      <c r="G715" s="817"/>
    </row>
    <row r="716" spans="7:7" x14ac:dyDescent="0.2">
      <c r="G716" s="817"/>
    </row>
    <row r="717" spans="7:7" x14ac:dyDescent="0.2">
      <c r="G717" s="817"/>
    </row>
    <row r="718" spans="7:7" x14ac:dyDescent="0.2">
      <c r="G718" s="817"/>
    </row>
    <row r="719" spans="7:7" x14ac:dyDescent="0.2">
      <c r="G719" s="817"/>
    </row>
    <row r="720" spans="7:7" x14ac:dyDescent="0.2">
      <c r="G720" s="817"/>
    </row>
    <row r="721" spans="7:7" x14ac:dyDescent="0.2">
      <c r="G721" s="817"/>
    </row>
    <row r="722" spans="7:7" x14ac:dyDescent="0.2">
      <c r="G722" s="817"/>
    </row>
    <row r="723" spans="7:7" x14ac:dyDescent="0.2">
      <c r="G723" s="817"/>
    </row>
    <row r="724" spans="7:7" x14ac:dyDescent="0.2">
      <c r="G724" s="817"/>
    </row>
    <row r="725" spans="7:7" x14ac:dyDescent="0.2">
      <c r="G725" s="817"/>
    </row>
    <row r="726" spans="7:7" x14ac:dyDescent="0.2">
      <c r="G726" s="817"/>
    </row>
    <row r="727" spans="7:7" x14ac:dyDescent="0.2">
      <c r="G727" s="817"/>
    </row>
    <row r="728" spans="7:7" x14ac:dyDescent="0.2">
      <c r="G728" s="817"/>
    </row>
    <row r="729" spans="7:7" x14ac:dyDescent="0.2">
      <c r="G729" s="817"/>
    </row>
    <row r="730" spans="7:7" x14ac:dyDescent="0.2">
      <c r="G730" s="817"/>
    </row>
    <row r="731" spans="7:7" x14ac:dyDescent="0.2">
      <c r="G731" s="817"/>
    </row>
    <row r="732" spans="7:7" x14ac:dyDescent="0.2">
      <c r="G732" s="817"/>
    </row>
    <row r="733" spans="7:7" x14ac:dyDescent="0.2">
      <c r="G733" s="817"/>
    </row>
    <row r="734" spans="7:7" x14ac:dyDescent="0.2">
      <c r="G734" s="817"/>
    </row>
    <row r="735" spans="7:7" x14ac:dyDescent="0.2">
      <c r="G735" s="817"/>
    </row>
    <row r="736" spans="7:7" x14ac:dyDescent="0.2">
      <c r="G736" s="817"/>
    </row>
    <row r="737" spans="7:7" x14ac:dyDescent="0.2">
      <c r="G737" s="817"/>
    </row>
    <row r="738" spans="7:7" x14ac:dyDescent="0.2">
      <c r="G738" s="817"/>
    </row>
    <row r="739" spans="7:7" x14ac:dyDescent="0.2">
      <c r="G739" s="817"/>
    </row>
    <row r="740" spans="7:7" x14ac:dyDescent="0.2">
      <c r="G740" s="817"/>
    </row>
    <row r="741" spans="7:7" x14ac:dyDescent="0.2">
      <c r="G741" s="817"/>
    </row>
    <row r="742" spans="7:7" x14ac:dyDescent="0.2">
      <c r="G742" s="817"/>
    </row>
    <row r="743" spans="7:7" x14ac:dyDescent="0.2">
      <c r="G743" s="817"/>
    </row>
    <row r="744" spans="7:7" x14ac:dyDescent="0.2">
      <c r="G744" s="817"/>
    </row>
    <row r="745" spans="7:7" x14ac:dyDescent="0.2">
      <c r="G745" s="817"/>
    </row>
    <row r="746" spans="7:7" x14ac:dyDescent="0.2">
      <c r="G746" s="817"/>
    </row>
    <row r="747" spans="7:7" x14ac:dyDescent="0.2">
      <c r="G747" s="817"/>
    </row>
    <row r="748" spans="7:7" x14ac:dyDescent="0.2">
      <c r="G748" s="817"/>
    </row>
    <row r="749" spans="7:7" x14ac:dyDescent="0.2">
      <c r="G749" s="817"/>
    </row>
    <row r="750" spans="7:7" x14ac:dyDescent="0.2">
      <c r="G750" s="817"/>
    </row>
    <row r="751" spans="7:7" x14ac:dyDescent="0.2">
      <c r="G751" s="817"/>
    </row>
    <row r="752" spans="7:7" x14ac:dyDescent="0.2">
      <c r="G752" s="817"/>
    </row>
    <row r="753" spans="7:7" x14ac:dyDescent="0.2">
      <c r="G753" s="817"/>
    </row>
    <row r="754" spans="7:7" x14ac:dyDescent="0.2">
      <c r="G754" s="817"/>
    </row>
    <row r="755" spans="7:7" x14ac:dyDescent="0.2">
      <c r="G755" s="817"/>
    </row>
    <row r="756" spans="7:7" x14ac:dyDescent="0.2">
      <c r="G756" s="817"/>
    </row>
    <row r="757" spans="7:7" x14ac:dyDescent="0.2">
      <c r="G757" s="817"/>
    </row>
    <row r="758" spans="7:7" x14ac:dyDescent="0.2">
      <c r="G758" s="817"/>
    </row>
    <row r="759" spans="7:7" x14ac:dyDescent="0.2">
      <c r="G759" s="817"/>
    </row>
    <row r="760" spans="7:7" x14ac:dyDescent="0.2">
      <c r="G760" s="817"/>
    </row>
    <row r="761" spans="7:7" x14ac:dyDescent="0.2">
      <c r="G761" s="817"/>
    </row>
    <row r="762" spans="7:7" x14ac:dyDescent="0.2">
      <c r="G762" s="817"/>
    </row>
    <row r="763" spans="7:7" x14ac:dyDescent="0.2">
      <c r="G763" s="817"/>
    </row>
    <row r="764" spans="7:7" x14ac:dyDescent="0.2">
      <c r="G764" s="817"/>
    </row>
    <row r="765" spans="7:7" x14ac:dyDescent="0.2">
      <c r="G765" s="817"/>
    </row>
    <row r="766" spans="7:7" x14ac:dyDescent="0.2">
      <c r="G766" s="817"/>
    </row>
    <row r="767" spans="7:7" x14ac:dyDescent="0.2">
      <c r="G767" s="817"/>
    </row>
    <row r="768" spans="7:7" x14ac:dyDescent="0.2">
      <c r="G768" s="817"/>
    </row>
    <row r="769" spans="7:7" x14ac:dyDescent="0.2">
      <c r="G769" s="817"/>
    </row>
    <row r="770" spans="7:7" x14ac:dyDescent="0.2">
      <c r="G770" s="817"/>
    </row>
    <row r="771" spans="7:7" x14ac:dyDescent="0.2">
      <c r="G771" s="817"/>
    </row>
    <row r="772" spans="7:7" x14ac:dyDescent="0.2">
      <c r="G772" s="817"/>
    </row>
    <row r="773" spans="7:7" x14ac:dyDescent="0.2">
      <c r="G773" s="817"/>
    </row>
    <row r="774" spans="7:7" x14ac:dyDescent="0.2">
      <c r="G774" s="817"/>
    </row>
    <row r="775" spans="7:7" x14ac:dyDescent="0.2">
      <c r="G775" s="817"/>
    </row>
    <row r="776" spans="7:7" x14ac:dyDescent="0.2">
      <c r="G776" s="817"/>
    </row>
    <row r="777" spans="7:7" x14ac:dyDescent="0.2">
      <c r="G777" s="817"/>
    </row>
    <row r="778" spans="7:7" x14ac:dyDescent="0.2">
      <c r="G778" s="817"/>
    </row>
    <row r="779" spans="7:7" x14ac:dyDescent="0.2">
      <c r="G779" s="817"/>
    </row>
    <row r="780" spans="7:7" x14ac:dyDescent="0.2">
      <c r="G780" s="817"/>
    </row>
    <row r="781" spans="7:7" x14ac:dyDescent="0.2">
      <c r="G781" s="817"/>
    </row>
    <row r="782" spans="7:7" x14ac:dyDescent="0.2">
      <c r="G782" s="817"/>
    </row>
    <row r="783" spans="7:7" x14ac:dyDescent="0.2">
      <c r="G783" s="817"/>
    </row>
    <row r="784" spans="7:7" x14ac:dyDescent="0.2">
      <c r="G784" s="817"/>
    </row>
    <row r="785" spans="7:7" x14ac:dyDescent="0.2">
      <c r="G785" s="817"/>
    </row>
    <row r="786" spans="7:7" x14ac:dyDescent="0.2">
      <c r="G786" s="817"/>
    </row>
    <row r="787" spans="7:7" x14ac:dyDescent="0.2">
      <c r="G787" s="817"/>
    </row>
    <row r="788" spans="7:7" x14ac:dyDescent="0.2">
      <c r="G788" s="817"/>
    </row>
    <row r="789" spans="7:7" x14ac:dyDescent="0.2">
      <c r="G789" s="817"/>
    </row>
    <row r="790" spans="7:7" x14ac:dyDescent="0.2">
      <c r="G790" s="817"/>
    </row>
    <row r="791" spans="7:7" x14ac:dyDescent="0.2">
      <c r="G791" s="817"/>
    </row>
    <row r="792" spans="7:7" x14ac:dyDescent="0.2">
      <c r="G792" s="817"/>
    </row>
    <row r="793" spans="7:7" x14ac:dyDescent="0.2">
      <c r="G793" s="817"/>
    </row>
    <row r="794" spans="7:7" x14ac:dyDescent="0.2">
      <c r="G794" s="817"/>
    </row>
    <row r="795" spans="7:7" x14ac:dyDescent="0.2">
      <c r="G795" s="817"/>
    </row>
    <row r="796" spans="7:7" x14ac:dyDescent="0.2">
      <c r="G796" s="817"/>
    </row>
    <row r="797" spans="7:7" x14ac:dyDescent="0.2">
      <c r="G797" s="817"/>
    </row>
    <row r="798" spans="7:7" x14ac:dyDescent="0.2">
      <c r="G798" s="817"/>
    </row>
    <row r="799" spans="7:7" x14ac:dyDescent="0.2">
      <c r="G799" s="817"/>
    </row>
    <row r="800" spans="7:7" x14ac:dyDescent="0.2">
      <c r="G800" s="817"/>
    </row>
    <row r="801" spans="7:7" x14ac:dyDescent="0.2">
      <c r="G801" s="817"/>
    </row>
    <row r="802" spans="7:7" x14ac:dyDescent="0.2">
      <c r="G802" s="817"/>
    </row>
    <row r="803" spans="7:7" x14ac:dyDescent="0.2">
      <c r="G803" s="817"/>
    </row>
    <row r="804" spans="7:7" x14ac:dyDescent="0.2">
      <c r="G804" s="817"/>
    </row>
    <row r="805" spans="7:7" x14ac:dyDescent="0.2">
      <c r="G805" s="817"/>
    </row>
    <row r="806" spans="7:7" x14ac:dyDescent="0.2">
      <c r="G806" s="817"/>
    </row>
    <row r="807" spans="7:7" x14ac:dyDescent="0.2">
      <c r="G807" s="817"/>
    </row>
    <row r="808" spans="7:7" x14ac:dyDescent="0.2">
      <c r="G808" s="817"/>
    </row>
    <row r="809" spans="7:7" x14ac:dyDescent="0.2">
      <c r="G809" s="817"/>
    </row>
    <row r="810" spans="7:7" x14ac:dyDescent="0.2">
      <c r="G810" s="817"/>
    </row>
    <row r="811" spans="7:7" x14ac:dyDescent="0.2">
      <c r="G811" s="817"/>
    </row>
    <row r="812" spans="7:7" x14ac:dyDescent="0.2">
      <c r="G812" s="817"/>
    </row>
    <row r="813" spans="7:7" x14ac:dyDescent="0.2">
      <c r="G813" s="817"/>
    </row>
    <row r="814" spans="7:7" x14ac:dyDescent="0.2">
      <c r="G814" s="817"/>
    </row>
    <row r="815" spans="7:7" x14ac:dyDescent="0.2">
      <c r="G815" s="817"/>
    </row>
    <row r="816" spans="7:7" x14ac:dyDescent="0.2">
      <c r="G816" s="817"/>
    </row>
    <row r="817" spans="7:7" x14ac:dyDescent="0.2">
      <c r="G817" s="817"/>
    </row>
    <row r="818" spans="7:7" x14ac:dyDescent="0.2">
      <c r="G818" s="817"/>
    </row>
    <row r="819" spans="7:7" x14ac:dyDescent="0.2">
      <c r="G819" s="817"/>
    </row>
    <row r="820" spans="7:7" x14ac:dyDescent="0.2">
      <c r="G820" s="817"/>
    </row>
    <row r="821" spans="7:7" x14ac:dyDescent="0.2">
      <c r="G821" s="817"/>
    </row>
    <row r="822" spans="7:7" x14ac:dyDescent="0.2">
      <c r="G822" s="817"/>
    </row>
    <row r="823" spans="7:7" x14ac:dyDescent="0.2">
      <c r="G823" s="817"/>
    </row>
    <row r="824" spans="7:7" x14ac:dyDescent="0.2">
      <c r="G824" s="817"/>
    </row>
    <row r="825" spans="7:7" x14ac:dyDescent="0.2">
      <c r="G825" s="817"/>
    </row>
    <row r="826" spans="7:7" x14ac:dyDescent="0.2">
      <c r="G826" s="817"/>
    </row>
    <row r="827" spans="7:7" x14ac:dyDescent="0.2">
      <c r="G827" s="817"/>
    </row>
    <row r="828" spans="7:7" x14ac:dyDescent="0.2">
      <c r="G828" s="817"/>
    </row>
    <row r="829" spans="7:7" x14ac:dyDescent="0.2">
      <c r="G829" s="817"/>
    </row>
    <row r="830" spans="7:7" x14ac:dyDescent="0.2">
      <c r="G830" s="817"/>
    </row>
    <row r="831" spans="7:7" x14ac:dyDescent="0.2">
      <c r="G831" s="817"/>
    </row>
    <row r="832" spans="7:7" x14ac:dyDescent="0.2">
      <c r="G832" s="817"/>
    </row>
    <row r="833" spans="7:7" x14ac:dyDescent="0.2">
      <c r="G833" s="817"/>
    </row>
    <row r="834" spans="7:7" x14ac:dyDescent="0.2">
      <c r="G834" s="817"/>
    </row>
    <row r="835" spans="7:7" x14ac:dyDescent="0.2">
      <c r="G835" s="817"/>
    </row>
    <row r="836" spans="7:7" x14ac:dyDescent="0.2">
      <c r="G836" s="817"/>
    </row>
    <row r="837" spans="7:7" x14ac:dyDescent="0.2">
      <c r="G837" s="817"/>
    </row>
    <row r="838" spans="7:7" x14ac:dyDescent="0.2">
      <c r="G838" s="817"/>
    </row>
    <row r="839" spans="7:7" x14ac:dyDescent="0.2">
      <c r="G839" s="817"/>
    </row>
    <row r="840" spans="7:7" x14ac:dyDescent="0.2">
      <c r="G840" s="817"/>
    </row>
    <row r="841" spans="7:7" x14ac:dyDescent="0.2">
      <c r="G841" s="817"/>
    </row>
    <row r="842" spans="7:7" x14ac:dyDescent="0.2">
      <c r="G842" s="817"/>
    </row>
    <row r="843" spans="7:7" x14ac:dyDescent="0.2">
      <c r="G843" s="817"/>
    </row>
    <row r="844" spans="7:7" x14ac:dyDescent="0.2">
      <c r="G844" s="817"/>
    </row>
    <row r="845" spans="7:7" x14ac:dyDescent="0.2">
      <c r="G845" s="817"/>
    </row>
    <row r="846" spans="7:7" x14ac:dyDescent="0.2">
      <c r="G846" s="817"/>
    </row>
    <row r="847" spans="7:7" x14ac:dyDescent="0.2">
      <c r="G847" s="817"/>
    </row>
    <row r="848" spans="7:7" x14ac:dyDescent="0.2">
      <c r="G848" s="817"/>
    </row>
    <row r="849" spans="7:7" x14ac:dyDescent="0.2">
      <c r="G849" s="817"/>
    </row>
    <row r="850" spans="7:7" x14ac:dyDescent="0.2">
      <c r="G850" s="817"/>
    </row>
    <row r="851" spans="7:7" x14ac:dyDescent="0.2">
      <c r="G851" s="817"/>
    </row>
    <row r="852" spans="7:7" x14ac:dyDescent="0.2">
      <c r="G852" s="817"/>
    </row>
    <row r="853" spans="7:7" x14ac:dyDescent="0.2">
      <c r="G853" s="817"/>
    </row>
    <row r="854" spans="7:7" x14ac:dyDescent="0.2">
      <c r="G854" s="817"/>
    </row>
    <row r="855" spans="7:7" x14ac:dyDescent="0.2">
      <c r="G855" s="817"/>
    </row>
    <row r="856" spans="7:7" x14ac:dyDescent="0.2">
      <c r="G856" s="817"/>
    </row>
    <row r="857" spans="7:7" x14ac:dyDescent="0.2">
      <c r="G857" s="817"/>
    </row>
    <row r="858" spans="7:7" x14ac:dyDescent="0.2">
      <c r="G858" s="817"/>
    </row>
    <row r="859" spans="7:7" x14ac:dyDescent="0.2">
      <c r="G859" s="817"/>
    </row>
    <row r="860" spans="7:7" x14ac:dyDescent="0.2">
      <c r="G860" s="817"/>
    </row>
    <row r="861" spans="7:7" x14ac:dyDescent="0.2">
      <c r="G861" s="817"/>
    </row>
    <row r="862" spans="7:7" x14ac:dyDescent="0.2">
      <c r="G862" s="817"/>
    </row>
    <row r="863" spans="7:7" x14ac:dyDescent="0.2">
      <c r="G863" s="817"/>
    </row>
    <row r="864" spans="7:7" x14ac:dyDescent="0.2">
      <c r="G864" s="817"/>
    </row>
    <row r="865" spans="7:7" x14ac:dyDescent="0.2">
      <c r="G865" s="817"/>
    </row>
    <row r="866" spans="7:7" x14ac:dyDescent="0.2">
      <c r="G866" s="817"/>
    </row>
    <row r="867" spans="7:7" x14ac:dyDescent="0.2">
      <c r="G867" s="817"/>
    </row>
    <row r="868" spans="7:7" x14ac:dyDescent="0.2">
      <c r="G868" s="817"/>
    </row>
    <row r="869" spans="7:7" x14ac:dyDescent="0.2">
      <c r="G869" s="817"/>
    </row>
    <row r="870" spans="7:7" x14ac:dyDescent="0.2">
      <c r="G870" s="817"/>
    </row>
    <row r="871" spans="7:7" x14ac:dyDescent="0.2">
      <c r="G871" s="817"/>
    </row>
    <row r="872" spans="7:7" x14ac:dyDescent="0.2">
      <c r="G872" s="817"/>
    </row>
    <row r="873" spans="7:7" x14ac:dyDescent="0.2">
      <c r="G873" s="817"/>
    </row>
    <row r="874" spans="7:7" x14ac:dyDescent="0.2">
      <c r="G874" s="817"/>
    </row>
    <row r="875" spans="7:7" x14ac:dyDescent="0.2">
      <c r="G875" s="817"/>
    </row>
    <row r="876" spans="7:7" x14ac:dyDescent="0.2">
      <c r="G876" s="817"/>
    </row>
    <row r="877" spans="7:7" x14ac:dyDescent="0.2">
      <c r="G877" s="817"/>
    </row>
    <row r="878" spans="7:7" x14ac:dyDescent="0.2">
      <c r="G878" s="817"/>
    </row>
    <row r="879" spans="7:7" x14ac:dyDescent="0.2">
      <c r="G879" s="817"/>
    </row>
    <row r="880" spans="7:7" x14ac:dyDescent="0.2">
      <c r="G880" s="817"/>
    </row>
    <row r="881" spans="7:7" x14ac:dyDescent="0.2">
      <c r="G881" s="817"/>
    </row>
    <row r="882" spans="7:7" x14ac:dyDescent="0.2">
      <c r="G882" s="817"/>
    </row>
    <row r="883" spans="7:7" x14ac:dyDescent="0.2">
      <c r="G883" s="817"/>
    </row>
    <row r="884" spans="7:7" x14ac:dyDescent="0.2">
      <c r="G884" s="817"/>
    </row>
    <row r="885" spans="7:7" x14ac:dyDescent="0.2">
      <c r="G885" s="817"/>
    </row>
    <row r="886" spans="7:7" x14ac:dyDescent="0.2">
      <c r="G886" s="817"/>
    </row>
    <row r="887" spans="7:7" x14ac:dyDescent="0.2">
      <c r="G887" s="817"/>
    </row>
    <row r="888" spans="7:7" x14ac:dyDescent="0.2">
      <c r="G888" s="817"/>
    </row>
    <row r="889" spans="7:7" x14ac:dyDescent="0.2">
      <c r="G889" s="817"/>
    </row>
    <row r="890" spans="7:7" x14ac:dyDescent="0.2">
      <c r="G890" s="817"/>
    </row>
    <row r="891" spans="7:7" x14ac:dyDescent="0.2">
      <c r="G891" s="817"/>
    </row>
    <row r="892" spans="7:7" x14ac:dyDescent="0.2">
      <c r="G892" s="817"/>
    </row>
    <row r="893" spans="7:7" x14ac:dyDescent="0.2">
      <c r="G893" s="817"/>
    </row>
    <row r="894" spans="7:7" x14ac:dyDescent="0.2">
      <c r="G894" s="817"/>
    </row>
    <row r="895" spans="7:7" x14ac:dyDescent="0.2">
      <c r="G895" s="817"/>
    </row>
    <row r="896" spans="7:7" x14ac:dyDescent="0.2">
      <c r="G896" s="817"/>
    </row>
    <row r="897" spans="7:7" x14ac:dyDescent="0.2">
      <c r="G897" s="817"/>
    </row>
    <row r="898" spans="7:7" x14ac:dyDescent="0.2">
      <c r="G898" s="817"/>
    </row>
    <row r="899" spans="7:7" x14ac:dyDescent="0.2">
      <c r="G899" s="817"/>
    </row>
    <row r="900" spans="7:7" x14ac:dyDescent="0.2">
      <c r="G900" s="817"/>
    </row>
    <row r="901" spans="7:7" x14ac:dyDescent="0.2">
      <c r="G901" s="817"/>
    </row>
    <row r="902" spans="7:7" x14ac:dyDescent="0.2">
      <c r="G902" s="817"/>
    </row>
    <row r="903" spans="7:7" x14ac:dyDescent="0.2">
      <c r="G903" s="817"/>
    </row>
    <row r="904" spans="7:7" x14ac:dyDescent="0.2">
      <c r="G904" s="817"/>
    </row>
    <row r="905" spans="7:7" x14ac:dyDescent="0.2">
      <c r="G905" s="817"/>
    </row>
    <row r="906" spans="7:7" x14ac:dyDescent="0.2">
      <c r="G906" s="817"/>
    </row>
    <row r="907" spans="7:7" x14ac:dyDescent="0.2">
      <c r="G907" s="817"/>
    </row>
    <row r="908" spans="7:7" x14ac:dyDescent="0.2">
      <c r="G908" s="817"/>
    </row>
    <row r="909" spans="7:7" x14ac:dyDescent="0.2">
      <c r="G909" s="817"/>
    </row>
    <row r="910" spans="7:7" x14ac:dyDescent="0.2">
      <c r="G910" s="817"/>
    </row>
    <row r="911" spans="7:7" x14ac:dyDescent="0.2">
      <c r="G911" s="817"/>
    </row>
    <row r="912" spans="7:7" x14ac:dyDescent="0.2">
      <c r="G912" s="817"/>
    </row>
    <row r="913" spans="7:7" x14ac:dyDescent="0.2">
      <c r="G913" s="817"/>
    </row>
    <row r="914" spans="7:7" x14ac:dyDescent="0.2">
      <c r="G914" s="817"/>
    </row>
    <row r="915" spans="7:7" x14ac:dyDescent="0.2">
      <c r="G915" s="817"/>
    </row>
    <row r="916" spans="7:7" x14ac:dyDescent="0.2">
      <c r="G916" s="817"/>
    </row>
    <row r="917" spans="7:7" x14ac:dyDescent="0.2">
      <c r="G917" s="817"/>
    </row>
    <row r="918" spans="7:7" x14ac:dyDescent="0.2">
      <c r="G918" s="817"/>
    </row>
    <row r="919" spans="7:7" x14ac:dyDescent="0.2">
      <c r="G919" s="817"/>
    </row>
    <row r="920" spans="7:7" x14ac:dyDescent="0.2">
      <c r="G920" s="817"/>
    </row>
    <row r="921" spans="7:7" x14ac:dyDescent="0.2">
      <c r="G921" s="817"/>
    </row>
    <row r="922" spans="7:7" x14ac:dyDescent="0.2">
      <c r="G922" s="817"/>
    </row>
    <row r="923" spans="7:7" x14ac:dyDescent="0.2">
      <c r="G923" s="817"/>
    </row>
    <row r="924" spans="7:7" x14ac:dyDescent="0.2">
      <c r="G924" s="817"/>
    </row>
    <row r="925" spans="7:7" x14ac:dyDescent="0.2">
      <c r="G925" s="817"/>
    </row>
    <row r="926" spans="7:7" x14ac:dyDescent="0.2">
      <c r="G926" s="817"/>
    </row>
    <row r="927" spans="7:7" x14ac:dyDescent="0.2">
      <c r="G927" s="817"/>
    </row>
    <row r="928" spans="7:7" x14ac:dyDescent="0.2">
      <c r="G928" s="817"/>
    </row>
    <row r="929" spans="7:7" x14ac:dyDescent="0.2">
      <c r="G929" s="817"/>
    </row>
    <row r="930" spans="7:7" x14ac:dyDescent="0.2">
      <c r="G930" s="817"/>
    </row>
    <row r="931" spans="7:7" x14ac:dyDescent="0.2">
      <c r="G931" s="817"/>
    </row>
    <row r="932" spans="7:7" x14ac:dyDescent="0.2">
      <c r="G932" s="817"/>
    </row>
    <row r="933" spans="7:7" x14ac:dyDescent="0.2">
      <c r="G933" s="817"/>
    </row>
    <row r="934" spans="7:7" x14ac:dyDescent="0.2">
      <c r="G934" s="817"/>
    </row>
    <row r="935" spans="7:7" x14ac:dyDescent="0.2">
      <c r="G935" s="817"/>
    </row>
    <row r="936" spans="7:7" x14ac:dyDescent="0.2">
      <c r="G936" s="817"/>
    </row>
    <row r="937" spans="7:7" x14ac:dyDescent="0.2">
      <c r="G937" s="817"/>
    </row>
    <row r="938" spans="7:7" x14ac:dyDescent="0.2">
      <c r="G938" s="817"/>
    </row>
    <row r="939" spans="7:7" x14ac:dyDescent="0.2">
      <c r="G939" s="817"/>
    </row>
    <row r="940" spans="7:7" x14ac:dyDescent="0.2">
      <c r="G940" s="817"/>
    </row>
    <row r="941" spans="7:7" x14ac:dyDescent="0.2">
      <c r="G941" s="817"/>
    </row>
    <row r="942" spans="7:7" x14ac:dyDescent="0.2">
      <c r="G942" s="817"/>
    </row>
    <row r="943" spans="7:7" x14ac:dyDescent="0.2">
      <c r="G943" s="817"/>
    </row>
    <row r="944" spans="7:7" x14ac:dyDescent="0.2">
      <c r="G944" s="817"/>
    </row>
    <row r="945" spans="7:7" x14ac:dyDescent="0.2">
      <c r="G945" s="817"/>
    </row>
    <row r="946" spans="7:7" x14ac:dyDescent="0.2">
      <c r="G946" s="817"/>
    </row>
    <row r="947" spans="7:7" x14ac:dyDescent="0.2">
      <c r="G947" s="817"/>
    </row>
    <row r="948" spans="7:7" x14ac:dyDescent="0.2">
      <c r="G948" s="817"/>
    </row>
    <row r="949" spans="7:7" x14ac:dyDescent="0.2">
      <c r="G949" s="817"/>
    </row>
    <row r="950" spans="7:7" x14ac:dyDescent="0.2">
      <c r="G950" s="817"/>
    </row>
    <row r="951" spans="7:7" x14ac:dyDescent="0.2">
      <c r="G951" s="817"/>
    </row>
    <row r="952" spans="7:7" x14ac:dyDescent="0.2">
      <c r="G952" s="817"/>
    </row>
    <row r="953" spans="7:7" x14ac:dyDescent="0.2">
      <c r="G953" s="817"/>
    </row>
    <row r="954" spans="7:7" x14ac:dyDescent="0.2">
      <c r="G954" s="817"/>
    </row>
    <row r="955" spans="7:7" x14ac:dyDescent="0.2">
      <c r="G955" s="817"/>
    </row>
    <row r="956" spans="7:7" x14ac:dyDescent="0.2">
      <c r="G956" s="817"/>
    </row>
    <row r="957" spans="7:7" x14ac:dyDescent="0.2">
      <c r="G957" s="817"/>
    </row>
    <row r="958" spans="7:7" x14ac:dyDescent="0.2">
      <c r="G958" s="817"/>
    </row>
    <row r="959" spans="7:7" x14ac:dyDescent="0.2">
      <c r="G959" s="817"/>
    </row>
    <row r="960" spans="7:7" x14ac:dyDescent="0.2">
      <c r="G960" s="817"/>
    </row>
    <row r="961" spans="7:7" x14ac:dyDescent="0.2">
      <c r="G961" s="817"/>
    </row>
    <row r="962" spans="7:7" x14ac:dyDescent="0.2">
      <c r="G962" s="817"/>
    </row>
    <row r="963" spans="7:7" x14ac:dyDescent="0.2">
      <c r="G963" s="817"/>
    </row>
    <row r="964" spans="7:7" x14ac:dyDescent="0.2">
      <c r="G964" s="817"/>
    </row>
    <row r="965" spans="7:7" x14ac:dyDescent="0.2">
      <c r="G965" s="817"/>
    </row>
    <row r="966" spans="7:7" x14ac:dyDescent="0.2">
      <c r="G966" s="817"/>
    </row>
    <row r="967" spans="7:7" x14ac:dyDescent="0.2">
      <c r="G967" s="817"/>
    </row>
    <row r="968" spans="7:7" x14ac:dyDescent="0.2">
      <c r="G968" s="817"/>
    </row>
    <row r="969" spans="7:7" x14ac:dyDescent="0.2">
      <c r="G969" s="817"/>
    </row>
    <row r="970" spans="7:7" x14ac:dyDescent="0.2">
      <c r="G970" s="817"/>
    </row>
    <row r="971" spans="7:7" x14ac:dyDescent="0.2">
      <c r="G971" s="817"/>
    </row>
    <row r="972" spans="7:7" x14ac:dyDescent="0.2">
      <c r="G972" s="817"/>
    </row>
    <row r="973" spans="7:7" x14ac:dyDescent="0.2">
      <c r="G973" s="817"/>
    </row>
    <row r="974" spans="7:7" x14ac:dyDescent="0.2">
      <c r="G974" s="817"/>
    </row>
    <row r="975" spans="7:7" x14ac:dyDescent="0.2">
      <c r="G975" s="817"/>
    </row>
    <row r="976" spans="7:7" x14ac:dyDescent="0.2">
      <c r="G976" s="817"/>
    </row>
    <row r="977" spans="7:7" x14ac:dyDescent="0.2">
      <c r="G977" s="817"/>
    </row>
    <row r="978" spans="7:7" x14ac:dyDescent="0.2">
      <c r="G978" s="817"/>
    </row>
    <row r="979" spans="7:7" x14ac:dyDescent="0.2">
      <c r="G979" s="817"/>
    </row>
    <row r="980" spans="7:7" x14ac:dyDescent="0.2">
      <c r="G980" s="817"/>
    </row>
    <row r="981" spans="7:7" x14ac:dyDescent="0.2">
      <c r="G981" s="817"/>
    </row>
    <row r="982" spans="7:7" x14ac:dyDescent="0.2">
      <c r="G982" s="817"/>
    </row>
    <row r="983" spans="7:7" x14ac:dyDescent="0.2">
      <c r="G983" s="817"/>
    </row>
    <row r="984" spans="7:7" x14ac:dyDescent="0.2">
      <c r="G984" s="817"/>
    </row>
    <row r="985" spans="7:7" x14ac:dyDescent="0.2">
      <c r="G985" s="817"/>
    </row>
    <row r="986" spans="7:7" x14ac:dyDescent="0.2">
      <c r="G986" s="817"/>
    </row>
    <row r="987" spans="7:7" x14ac:dyDescent="0.2">
      <c r="G987" s="817"/>
    </row>
    <row r="988" spans="7:7" x14ac:dyDescent="0.2">
      <c r="G988" s="817"/>
    </row>
    <row r="989" spans="7:7" x14ac:dyDescent="0.2">
      <c r="G989" s="817"/>
    </row>
    <row r="990" spans="7:7" x14ac:dyDescent="0.2">
      <c r="G990" s="817"/>
    </row>
    <row r="991" spans="7:7" x14ac:dyDescent="0.2">
      <c r="G991" s="817"/>
    </row>
    <row r="992" spans="7:7" x14ac:dyDescent="0.2">
      <c r="G992" s="817"/>
    </row>
    <row r="993" spans="7:7" x14ac:dyDescent="0.2">
      <c r="G993" s="817"/>
    </row>
    <row r="994" spans="7:7" x14ac:dyDescent="0.2">
      <c r="G994" s="817"/>
    </row>
    <row r="995" spans="7:7" x14ac:dyDescent="0.2">
      <c r="G995" s="817"/>
    </row>
    <row r="996" spans="7:7" x14ac:dyDescent="0.2">
      <c r="G996" s="817"/>
    </row>
    <row r="997" spans="7:7" x14ac:dyDescent="0.2">
      <c r="G997" s="817"/>
    </row>
    <row r="998" spans="7:7" x14ac:dyDescent="0.2">
      <c r="G998" s="817"/>
    </row>
    <row r="999" spans="7:7" x14ac:dyDescent="0.2">
      <c r="G999" s="817"/>
    </row>
    <row r="1000" spans="7:7" x14ac:dyDescent="0.2">
      <c r="G1000" s="817"/>
    </row>
    <row r="1001" spans="7:7" x14ac:dyDescent="0.2">
      <c r="G1001" s="817"/>
    </row>
    <row r="1002" spans="7:7" x14ac:dyDescent="0.2">
      <c r="G1002" s="817"/>
    </row>
    <row r="1003" spans="7:7" x14ac:dyDescent="0.2">
      <c r="G1003" s="817"/>
    </row>
    <row r="1004" spans="7:7" x14ac:dyDescent="0.2">
      <c r="G1004" s="817"/>
    </row>
    <row r="1005" spans="7:7" x14ac:dyDescent="0.2">
      <c r="G1005" s="817"/>
    </row>
    <row r="1006" spans="7:7" x14ac:dyDescent="0.2">
      <c r="G1006" s="817"/>
    </row>
    <row r="1007" spans="7:7" x14ac:dyDescent="0.2">
      <c r="G1007" s="817"/>
    </row>
    <row r="1008" spans="7:7" x14ac:dyDescent="0.2">
      <c r="G1008" s="817"/>
    </row>
    <row r="1009" spans="7:7" x14ac:dyDescent="0.2">
      <c r="G1009" s="817"/>
    </row>
    <row r="1010" spans="7:7" x14ac:dyDescent="0.2">
      <c r="G1010" s="817"/>
    </row>
    <row r="1011" spans="7:7" x14ac:dyDescent="0.2">
      <c r="G1011" s="817"/>
    </row>
    <row r="1012" spans="7:7" x14ac:dyDescent="0.2">
      <c r="G1012" s="817"/>
    </row>
    <row r="1013" spans="7:7" x14ac:dyDescent="0.2">
      <c r="G1013" s="817"/>
    </row>
    <row r="1014" spans="7:7" x14ac:dyDescent="0.2">
      <c r="G1014" s="817"/>
    </row>
    <row r="1015" spans="7:7" x14ac:dyDescent="0.2">
      <c r="G1015" s="817"/>
    </row>
    <row r="1016" spans="7:7" x14ac:dyDescent="0.2">
      <c r="G1016" s="817"/>
    </row>
    <row r="1017" spans="7:7" x14ac:dyDescent="0.2">
      <c r="G1017" s="817"/>
    </row>
  </sheetData>
  <sheetProtection password="ECD7" sheet="1" objects="1" scenarios="1"/>
  <sortState ref="G6:G1019">
    <sortCondition ref="G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47" baseType="lpstr">
      <vt:lpstr>Dashboard</vt:lpstr>
      <vt:lpstr>Levelisation!Criteria</vt:lpstr>
      <vt:lpstr>criteria_GreenMFIConts</vt:lpstr>
      <vt:lpstr>dbl_BenchmarkMax</vt:lpstr>
      <vt:lpstr>dbl_DBWeightP1</vt:lpstr>
      <vt:lpstr>dbl_DBWeightP2</vt:lpstr>
      <vt:lpstr>dbl_DBWeightP3</vt:lpstr>
      <vt:lpstr>dbl_DBWeightP4</vt:lpstr>
      <vt:lpstr>dbl_FirstScore</vt:lpstr>
      <vt:lpstr>dbl_Indicators</vt:lpstr>
      <vt:lpstr>dbl_ScoreMax</vt:lpstr>
      <vt:lpstr>dbl_ScoreOverall</vt:lpstr>
      <vt:lpstr>dbl_WeightAI</vt:lpstr>
      <vt:lpstr>dbl_WeightCAW</vt:lpstr>
      <vt:lpstr>dbl_WeightCD</vt:lpstr>
      <vt:lpstr>dbl_WeightCEP</vt:lpstr>
      <vt:lpstr>dbl_WeightCOF</vt:lpstr>
      <vt:lpstr>dbl_WeightCPO</vt:lpstr>
      <vt:lpstr>dbl_WeightFS</vt:lpstr>
      <vt:lpstr>dbl_WeightGMF</vt:lpstr>
      <vt:lpstr>dbl_WeightIT</vt:lpstr>
      <vt:lpstr>dbl_WeightMSE</vt:lpstr>
      <vt:lpstr>dbl_WeightP1</vt:lpstr>
      <vt:lpstr>dbl_WeightP2</vt:lpstr>
      <vt:lpstr>dbl_WeightP3</vt:lpstr>
      <vt:lpstr>dbl_WeightP4</vt:lpstr>
      <vt:lpstr>dbl_WeightPA</vt:lpstr>
      <vt:lpstr>dbl_WeightPR</vt:lpstr>
      <vt:lpstr>dbl_WeightVC</vt:lpstr>
      <vt:lpstr>Levelisation!Extract</vt:lpstr>
      <vt:lpstr>int_Year</vt:lpstr>
      <vt:lpstr>list_Countries</vt:lpstr>
      <vt:lpstr>Policy!Print_Area</vt:lpstr>
      <vt:lpstr>str_Country</vt:lpstr>
      <vt:lpstr>str_FirstCountry</vt:lpstr>
      <vt:lpstr>str_OptionInvType</vt:lpstr>
      <vt:lpstr>str_Permissions</vt:lpstr>
      <vt:lpstr>str_WeightScenario</vt:lpstr>
      <vt:lpstr>tbl_DBFinOrgs</vt:lpstr>
      <vt:lpstr>tbl_DBGreenMFI</vt:lpstr>
      <vt:lpstr>tbl_FinOrgs</vt:lpstr>
      <vt:lpstr>tbl_FinOrgsConts</vt:lpstr>
      <vt:lpstr>tbl_FinOrgsContsFiltered</vt:lpstr>
      <vt:lpstr>tbl_GreenMFI</vt:lpstr>
      <vt:lpstr>tbl_GreenMFIConts</vt:lpstr>
      <vt:lpstr>tbl_GreenMFIContsFiltered</vt:lpstr>
      <vt:lpstr>tbl_Scores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MGROCHA;UEZEKIEL</dc:creator>
  <cp:lastModifiedBy>uezekiel</cp:lastModifiedBy>
  <cp:lastPrinted>2012-02-27T16:22:26Z</cp:lastPrinted>
  <dcterms:created xsi:type="dcterms:W3CDTF">2011-12-02T14:39:53Z</dcterms:created>
  <dcterms:modified xsi:type="dcterms:W3CDTF">2013-10-11T16:11:20Z</dcterms:modified>
</cp:coreProperties>
</file>